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trlProps/ctrlProp4.xml" ContentType="application/vnd.ms-excel.controlproperties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trlProps/ctrlProp5.xml" ContentType="application/vnd.ms-excel.controlproperties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so00603_surrey_ac_uk/Documents/AMZNS FILES/"/>
    </mc:Choice>
  </mc:AlternateContent>
  <xr:revisionPtr revIDLastSave="10" documentId="11_9AA0AE4F6D061AA90C16A5027B238A4138B461BA" xr6:coauthVersionLast="46" xr6:coauthVersionMax="46" xr10:uidLastSave="{0D050B0A-D7B4-4E02-B688-4CFD3051F09F}"/>
  <bookViews>
    <workbookView xWindow="-108" yWindow="-108" windowWidth="23256" windowHeight="12576" tabRatio="782" activeTab="2" xr2:uid="{00000000-000D-0000-FFFF-FFFF00000000}"/>
  </bookViews>
  <sheets>
    <sheet name="DASHBOARD" sheetId="10" r:id="rId1"/>
    <sheet name="Market Size" sheetId="2" r:id="rId2"/>
    <sheet name="Financial Analysis" sheetId="1" r:id="rId3"/>
    <sheet name="Scenarios" sheetId="8" r:id="rId4"/>
    <sheet name="SOTP COMPS" sheetId="4" r:id="rId5"/>
    <sheet name="Other Charts" sheetId="14" r:id="rId6"/>
    <sheet name="WACC Analysis" sheetId="13" r:id="rId7"/>
    <sheet name="Management" sheetId="11" r:id="rId8"/>
    <sheet name="Share Price" sheetId="5" r:id="rId9"/>
  </sheets>
  <definedNames>
    <definedName name="__FDS_HYPERLINK_TOGGLE_STATE__" hidden="1">"ON"</definedName>
    <definedName name="_xlnm._FilterDatabase" localSheetId="7" hidden="1">Management!$E$3:$F$10</definedName>
    <definedName name="_Order1" hidden="1">0</definedName>
    <definedName name="CIQWBGuid" hidden="1">"19ce16bd-0a5e-4cca-be5a-800b10bf9dc8"</definedName>
    <definedName name="IQ_ADDIN" hidden="1">"AUTO"</definedName>
    <definedName name="IQ_AVG_PRICE_TARGET" hidden="1">"c82"</definedName>
    <definedName name="IQ_CONV_RATE" hidden="1">"c2192"</definedName>
    <definedName name="IQ_DNTM" hidden="1">700000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ST_ACT_EPS_PRIMARY" hidden="1">"c2232"</definedName>
    <definedName name="IQ_EST_EPS_SURPRISE" hidden="1">"c1635"</definedName>
    <definedName name="IQ_EST_NUM_BUY_REUT" hidden="1">"c3869"</definedName>
    <definedName name="IQ_EST_NUM_BUY_THOM" hidden="1">"c5165"</definedName>
    <definedName name="IQ_EST_NUM_HOLD_REUT" hidden="1">"c3871"</definedName>
    <definedName name="IQ_EST_NUM_HOLD_THOM" hidden="1">"c5167"</definedName>
    <definedName name="IQ_EST_NUM_OUTPERFORM_REUT" hidden="1">"c3870"</definedName>
    <definedName name="IQ_EST_NUM_OUTPERFORM_THOM" hidden="1">"c5166"</definedName>
    <definedName name="IQ_EST_NUM_SELL_REUT" hidden="1">"c3873"</definedName>
    <definedName name="IQ_EST_NUM_SELL_THOM" hidden="1">"c5169"</definedName>
    <definedName name="IQ_EST_NUM_UNDERPERFORM_REUT" hidden="1">"c3872"</definedName>
    <definedName name="IQ_EST_NUM_UNDERPERFORM_THOM" hidden="1">"c5168"</definedName>
    <definedName name="IQ_EXPENSE_CODE_" hidden="1">"test"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localSheetId="6" hidden="1">43336.5851273148</definedName>
    <definedName name="IQ_NAMES_REVISION_DATE_" hidden="1">43412.7003240741</definedName>
    <definedName name="IQ_NAV_ACT_OR_EST" hidden="1">"c2225"</definedName>
    <definedName name="IQ_OG_TOTAL_OIL_PRODUCTON" hidden="1">"c2059"</definedName>
    <definedName name="IQ_OPENED55" hidden="1">1</definedName>
    <definedName name="IQ_PRIMARY_EPS_TYPE_THOM" hidden="1">"c5297"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YTDMONTH" hidden="1">130000</definedName>
    <definedName name="IQRWACCAnalysisBB10" localSheetId="0" hidden="1">#REF!</definedName>
    <definedName name="IQRWACCAnalysisBB10" localSheetId="6" hidden="1">'WACC Analysis'!$AX$10:$AX$56</definedName>
    <definedName name="IQRWACCAnalysisBB10" hidden="1">#REF!</definedName>
    <definedName name="IQRWACCAnalysisBC10" localSheetId="0" hidden="1">#REF!</definedName>
    <definedName name="IQRWACCAnalysisBC10" localSheetId="6" hidden="1">'WACC Analysis'!$AX$10:$AX$56</definedName>
    <definedName name="IQRWACCAnalysisBC10" hidden="1">#REF!</definedName>
    <definedName name="IQRWACCAnalysisBF10" localSheetId="0" hidden="1">#REF!</definedName>
    <definedName name="IQRWACCAnalysisBF10" localSheetId="6" hidden="1">'WACC Analysis'!$AX$10:$AX$47</definedName>
    <definedName name="IQRWACCAnalysisBF10" hidden="1">#REF!</definedName>
    <definedName name="IQRWACCAnalysisBH10" localSheetId="0" hidden="1">#REF!</definedName>
    <definedName name="IQRWACCAnalysisBH10" localSheetId="6" hidden="1">'WACC Analysis'!$AX$10:$AX$56</definedName>
    <definedName name="IQRWACCAnalysisBH10" hidden="1">#REF!</definedName>
    <definedName name="IQRWACCAnalysisBJ10" localSheetId="0" hidden="1">#REF!</definedName>
    <definedName name="IQRWACCAnalysisBJ10" localSheetId="6" hidden="1">'WACC Analysis'!$BF$10:$BF$74</definedName>
    <definedName name="IQRWACCAnalysisBJ10" hidden="1">#REF!</definedName>
    <definedName name="IQRWACCAnalysisBK10" localSheetId="0" hidden="1">#REF!</definedName>
    <definedName name="IQRWACCAnalysisBK10" localSheetId="6" hidden="1">'WACC Analysis'!$BF$10:$BF$74</definedName>
    <definedName name="IQRWACCAnalysisBK10" hidden="1">#REF!</definedName>
    <definedName name="IQRWACCAnalysisBL10" localSheetId="0" hidden="1">#REF!</definedName>
    <definedName name="IQRWACCAnalysisBL10" localSheetId="6" hidden="1">'WACC Analysis'!$AX$10:$AX$56</definedName>
    <definedName name="IQRWACCAnalysisBL10" hidden="1">#REF!</definedName>
    <definedName name="IQRWACCAnalysisBM10" localSheetId="0" hidden="1">#REF!</definedName>
    <definedName name="IQRWACCAnalysisBM10" localSheetId="6" hidden="1">'WACC Analysis'!$AX$10:$AX$56</definedName>
    <definedName name="IQRWACCAnalysisBM10" hidden="1">#REF!</definedName>
    <definedName name="IQRWACCAnalysisBN10" localSheetId="0" hidden="1">#REF!</definedName>
    <definedName name="IQRWACCAnalysisBN10" localSheetId="6" hidden="1">'WACC Analysis'!$BF$10:$BF$48</definedName>
    <definedName name="IQRWACCAnalysisBN10" hidden="1">#REF!</definedName>
    <definedName name="IQRWACCAnalysisBO10" localSheetId="0" hidden="1">#REF!</definedName>
    <definedName name="IQRWACCAnalysisBO10" localSheetId="6" hidden="1">'WACC Analysis'!$AX$10:$AX$56</definedName>
    <definedName name="IQRWACCAnalysisBO10" hidden="1">#REF!</definedName>
    <definedName name="IQRWACCAnalysisBP10" localSheetId="0" hidden="1">#REF!</definedName>
    <definedName name="IQRWACCAnalysisBP10" localSheetId="6" hidden="1">'WACC Analysis'!$BF$10:$BF$74</definedName>
    <definedName name="IQRWACCAnalysisBP10" hidden="1">#REF!</definedName>
    <definedName name="IQRWACCAnalysisBQ10" localSheetId="0" hidden="1">#REF!</definedName>
    <definedName name="IQRWACCAnalysisBQ10" localSheetId="6" hidden="1">'WACC Analysis'!$AX$10:$AX$56</definedName>
    <definedName name="IQRWACCAnalysisBQ10" hidden="1">#REF!</definedName>
    <definedName name="IQRWACCAnalysisBR10" localSheetId="0" hidden="1">#REF!</definedName>
    <definedName name="IQRWACCAnalysisBR10" localSheetId="6" hidden="1">'WACC Analysis'!$AX$10:$AX$56</definedName>
    <definedName name="IQRWACCAnalysisBR10" hidden="1">#REF!</definedName>
    <definedName name="IQRWACCAnalysisBS10" localSheetId="0" hidden="1">#REF!</definedName>
    <definedName name="IQRWACCAnalysisBS10" localSheetId="6" hidden="1">'WACC Analysis'!$AX$10:$AX$56</definedName>
    <definedName name="IQRWACCAnalysisBS10" hidden="1">#REF!</definedName>
    <definedName name="IQRWACCAnalysisBT10" localSheetId="0" hidden="1">#REF!</definedName>
    <definedName name="IQRWACCAnalysisBT10" localSheetId="6" hidden="1">'WACC Analysis'!$BF$10:$BF$74</definedName>
    <definedName name="IQRWACCAnalysisBT10" hidden="1">#REF!</definedName>
    <definedName name="IQRWACCAnalysisBU10" localSheetId="0" hidden="1">#REF!</definedName>
    <definedName name="IQRWACCAnalysisBU10" localSheetId="6" hidden="1">'WACC Analysis'!$BF$10:$BF$74</definedName>
    <definedName name="IQRWACCAnalysisBU10" hidden="1">#REF!</definedName>
    <definedName name="IQRWACCAnalysisBV10" localSheetId="0" hidden="1">#REF!</definedName>
    <definedName name="IQRWACCAnalysisBV10" localSheetId="6" hidden="1">'WACC Analysis'!$BF$10:$BF$74</definedName>
    <definedName name="IQRWACCAnalysisBV10" hidden="1">#REF!</definedName>
    <definedName name="IQRWACCAnalysisBW10" localSheetId="0" hidden="1">#REF!</definedName>
    <definedName name="IQRWACCAnalysisBW10" localSheetId="6" hidden="1">'WACC Analysis'!$BF$10:$BF$74</definedName>
    <definedName name="IQRWACCAnalysisBW10" hidden="1">#REF!</definedName>
    <definedName name="IQRWACCAnalysisBX10" localSheetId="0" hidden="1">#REF!</definedName>
    <definedName name="IQRWACCAnalysisBX10" localSheetId="6" hidden="1">'WACC Analysis'!$BF$10:$BF$74</definedName>
    <definedName name="IQRWACCAnalysisBX10" hidden="1">#REF!</definedName>
    <definedName name="IQRWACCAnalysisBY10" localSheetId="0" hidden="1">#REF!</definedName>
    <definedName name="IQRWACCAnalysisBY10" localSheetId="6" hidden="1">'WACC Analysis'!$BF$10:$BF$74</definedName>
    <definedName name="IQRWACCAnalysisBY10" hidden="1">#REF!</definedName>
    <definedName name="IQRWACCAnalysisBZ10" localSheetId="0" hidden="1">#REF!</definedName>
    <definedName name="IQRWACCAnalysisBZ10" localSheetId="6" hidden="1">'WACC Analysis'!$BF$10:$BF$74</definedName>
    <definedName name="IQRWACCAnalysisBZ10" hidden="1">#REF!</definedName>
    <definedName name="IQRWACCAnalysisCA10" localSheetId="0" hidden="1">#REF!</definedName>
    <definedName name="IQRWACCAnalysisCA10" localSheetId="6" hidden="1">'WACC Analysis'!$BF$10:$BF$74</definedName>
    <definedName name="IQRWACCAnalysisCA10" hidden="1">#REF!</definedName>
    <definedName name="IQRWACCAnalysisCB10" localSheetId="0" hidden="1">#REF!</definedName>
    <definedName name="IQRWACCAnalysisCB10" localSheetId="6" hidden="1">'WACC Analysis'!$BF$10:$BF$74</definedName>
    <definedName name="IQRWACCAnalysisCB10" hidden="1">#REF!</definedName>
    <definedName name="IQRWACCAnalysisCC10" localSheetId="0" hidden="1">#REF!</definedName>
    <definedName name="IQRWACCAnalysisCC10" localSheetId="6" hidden="1">'WACC Analysis'!$BF$10:$BF$74</definedName>
    <definedName name="IQRWACCAnalysisCC10" hidden="1">#REF!</definedName>
    <definedName name="IQRWACCAnalysisCD10" localSheetId="0" hidden="1">#REF!</definedName>
    <definedName name="IQRWACCAnalysisCD10" localSheetId="6" hidden="1">'WACC Analysis'!$BF$10:$BF$74</definedName>
    <definedName name="IQRWACCAnalysisCD10" hidden="1">#REF!</definedName>
    <definedName name="IQRWACCAnalysisformulas2BF10" localSheetId="6" hidden="1">'WACC Analysis'!$AX$10:$AX$47</definedName>
    <definedName name="IQRWACCAnalysisformulas2BF10" hidden="1">#REF!</definedName>
    <definedName name="IQRWACCAnalysisformulas2BN10" localSheetId="6" hidden="1">'WACC Analysis'!$BF$10:$BF$48</definedName>
    <definedName name="IQRWACCAnalysisformulas2BN10" hidden="1">#REF!</definedName>
    <definedName name="IQRWACCAnalysisformulasBF10" localSheetId="0" hidden="1">#REF!</definedName>
    <definedName name="IQRWACCAnalysisformulasBF10" localSheetId="6" hidden="1">#REF!</definedName>
    <definedName name="IQRWACCAnalysisformulasBF10" hidden="1">#REF!</definedName>
    <definedName name="IQRWACCAnalysisformulasBN10" localSheetId="0" hidden="1">#REF!</definedName>
    <definedName name="IQRWACCAnalysisformulasBN10" localSheetId="6" hidden="1">#REF!</definedName>
    <definedName name="IQRWACCAnalysisformulasBN10" hidden="1">#REF!</definedName>
    <definedName name="IQRWACCAnalysishardcodeBF10" localSheetId="6" hidden="1">'WACC Analysis'!$AX$10:$AX$47</definedName>
    <definedName name="IQRWACCAnalysishardcodeBF10" hidden="1">#REF!</definedName>
    <definedName name="IQRWACCAnalysishardcodeBN10" localSheetId="6" hidden="1">'WACC Analysis'!$BF$10:$BF$48</definedName>
    <definedName name="IQRWACCAnalysishardcodeBN10" hidden="1">#REF!</definedName>
    <definedName name="IQRWACCformulasBF10" localSheetId="0" hidden="1">#REF!</definedName>
    <definedName name="IQRWACCformulasBF10" localSheetId="6" hidden="1">#REF!</definedName>
    <definedName name="IQRWACCformulasBF10" hidden="1">#REF!</definedName>
    <definedName name="IQRWACCformulasBN10" localSheetId="0" hidden="1">#REF!</definedName>
    <definedName name="IQRWACCformulasBN10" localSheetId="6" hidden="1">#REF!</definedName>
    <definedName name="IQRWACCformulasBN10" hidden="1">#REF!</definedName>
    <definedName name="IQRWACChardcodeBF10" localSheetId="6" hidden="1">'WACC Analysis'!$AX$10:$AX$47</definedName>
    <definedName name="IQRWACChardcodeBF10" hidden="1">#REF!</definedName>
    <definedName name="IQRWACChardcodeBF9" localSheetId="6" hidden="1">'WACC Analysis'!$AX$10:$AX$47</definedName>
    <definedName name="IQRWACChardcodeBF9" hidden="1">#REF!</definedName>
    <definedName name="IQRWACChardcodeBN10" localSheetId="6" hidden="1">'WACC Analysis'!$BF$10:$BF$48</definedName>
    <definedName name="IQRWACChardcodeBN10" hidden="1">#REF!</definedName>
    <definedName name="IQRWACChardcodeBN9" localSheetId="6" hidden="1">'WACC Analysis'!$BF$10:$BF$48</definedName>
    <definedName name="IQRWACChardcodeBN9" hidden="1">#REF!</definedName>
    <definedName name="ListOffset" hidden="1">1</definedName>
    <definedName name="o" localSheetId="0" hidden="1">{#N/A,#N/A,FALSE,"New Depr Sch-150% DB";#N/A,#N/A,FALSE,"Cash Flows RLP";#N/A,#N/A,FALSE,"IRR";#N/A,#N/A,FALSE,"Proforma IS";#N/A,#N/A,FALSE,"Assumptions"}</definedName>
    <definedName name="o" localSheetId="6" hidden="1">{#N/A,#N/A,FALSE,"New Depr Sch-150% DB";#N/A,#N/A,FALSE,"Cash Flows RLP";#N/A,#N/A,FALSE,"IRR";#N/A,#N/A,FALSE,"Proforma IS";#N/A,#N/A,FALSE,"Assumptions"}</definedName>
    <definedName name="o" hidden="1">{#N/A,#N/A,FALSE,"New Depr Sch-150% DB";#N/A,#N/A,FALSE,"Cash Flows RLP";#N/A,#N/A,FALSE,"IRR";#N/A,#N/A,FALSE,"Proforma IS";#N/A,#N/A,FALSE,"Assumptions"}</definedName>
    <definedName name="_xlnm.Print_Area" localSheetId="1">'Market Size'!$B$3:$T$49</definedName>
    <definedName name="_xlnm.Print_Area" localSheetId="8">'Share Price'!$A$4:$H$995</definedName>
    <definedName name="wrn.Basic._.Report." localSheetId="0" hidden="1">{#N/A,#N/A,FALSE,"New Depr Sch-150% DB";#N/A,#N/A,FALSE,"Cash Flows RLP";#N/A,#N/A,FALSE,"IRR";#N/A,#N/A,FALSE,"Proforma IS";#N/A,#N/A,FALSE,"Assumptions"}</definedName>
    <definedName name="wrn.Basic._.Report." localSheetId="6" hidden="1">{#N/A,#N/A,FALSE,"New Depr Sch-150% DB";#N/A,#N/A,FALSE,"Cash Flows RLP";#N/A,#N/A,FALSE,"IRR";#N/A,#N/A,FALSE,"Proforma IS";#N/A,#N/A,FALSE,"Assumptions"}</definedName>
    <definedName name="wrn.Basic._.Report." hidden="1">{#N/A,#N/A,FALSE,"New Depr Sch-150% DB";#N/A,#N/A,FALSE,"Cash Flows RLP";#N/A,#N/A,FALSE,"IRR";#N/A,#N/A,FALSE,"Proforma IS";#N/A,#N/A,FALSE,"Assumptions"}</definedName>
    <definedName name="wrn.clientcopy." localSheetId="0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6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localSheetId="0" hidden="1">{#N/A,#N/A,FALSE,"Assumptions";#N/A,#N/A,FALSE,"Proforma IS";#N/A,#N/A,FALSE,"Cash Flows RLP";#N/A,#N/A,FALSE,"IRR";#N/A,#N/A,FALSE,"New Depr Sch-150% DB";#N/A,#N/A,FALSE,"Comments"}</definedName>
    <definedName name="wrn.Complete._.Report." localSheetId="6" hidden="1">{#N/A,#N/A,FALSE,"Assumptions";#N/A,#N/A,FALSE,"Proforma IS";#N/A,#N/A,FALSE,"Cash Flows RLP";#N/A,#N/A,FALSE,"IRR";#N/A,#N/A,FALSE,"New Depr Sch-150% DB";#N/A,#N/A,FALSE,"Comments"}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filecopy." localSheetId="0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6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 localSheetId="0" hidden="1">{#N/A,#N/A,FALSE,"Japan 2003";#N/A,#N/A,FALSE,"Sheet2"}</definedName>
    <definedName name="wrn.print." localSheetId="6" hidden="1">{#N/A,#N/A,FALSE,"Japan 2003";#N/A,#N/A,FALSE,"Sheet2"}</definedName>
    <definedName name="wrn.print." hidden="1">{#N/A,#N/A,FALSE,"Japan 2003";#N/A,#N/A,FALSE,"Sheet2"}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3" l="1"/>
  <c r="H36" i="13"/>
  <c r="H39" i="13"/>
  <c r="H42" i="13"/>
  <c r="L8" i="2"/>
  <c r="B281" i="1" l="1"/>
  <c r="E251" i="1" l="1"/>
  <c r="E55" i="4"/>
  <c r="F55" i="4"/>
  <c r="G55" i="4"/>
  <c r="H55" i="4"/>
  <c r="I55" i="4"/>
  <c r="D55" i="4"/>
  <c r="N41" i="13"/>
  <c r="M41" i="13" s="1"/>
  <c r="L41" i="13" s="1"/>
  <c r="K41" i="13" s="1"/>
  <c r="P41" i="13"/>
  <c r="Q41" i="13" s="1"/>
  <c r="R41" i="13" s="1"/>
  <c r="S41" i="13" s="1"/>
  <c r="L10" i="2"/>
  <c r="H30" i="13" l="1"/>
  <c r="A31" i="13"/>
  <c r="H33" i="13"/>
  <c r="H34" i="13"/>
  <c r="A36" i="13"/>
  <c r="A40" i="13"/>
  <c r="H40" i="13"/>
  <c r="H41" i="13" s="1"/>
  <c r="A42" i="13"/>
  <c r="H45" i="13"/>
  <c r="A46" i="13"/>
  <c r="H46" i="13"/>
  <c r="H47" i="13" l="1"/>
  <c r="D80" i="4"/>
  <c r="E80" i="4"/>
  <c r="C80" i="4"/>
  <c r="D79" i="4"/>
  <c r="E79" i="4"/>
  <c r="C79" i="4"/>
  <c r="D267" i="1"/>
  <c r="A329" i="1"/>
  <c r="G44" i="4" l="1"/>
  <c r="O44" i="4" s="1"/>
  <c r="L44" i="4"/>
  <c r="M44" i="4"/>
  <c r="N44" i="4"/>
  <c r="R44" i="4" l="1"/>
  <c r="P44" i="4"/>
  <c r="Q44" i="4"/>
  <c r="BJ511" i="13"/>
  <c r="BK511" i="13" s="1"/>
  <c r="BJ510" i="13"/>
  <c r="BK510" i="13" s="1"/>
  <c r="AZ510" i="13"/>
  <c r="AY510" i="13"/>
  <c r="BJ509" i="13"/>
  <c r="BK509" i="13" s="1"/>
  <c r="BH509" i="13"/>
  <c r="BG509" i="13"/>
  <c r="AZ509" i="13"/>
  <c r="AY509" i="13"/>
  <c r="BJ508" i="13"/>
  <c r="BK508" i="13" s="1"/>
  <c r="BH508" i="13"/>
  <c r="BG508" i="13"/>
  <c r="AZ508" i="13"/>
  <c r="AY508" i="13"/>
  <c r="BJ507" i="13"/>
  <c r="BK507" i="13" s="1"/>
  <c r="BH507" i="13"/>
  <c r="BG507" i="13"/>
  <c r="AZ507" i="13"/>
  <c r="AY507" i="13"/>
  <c r="BJ506" i="13"/>
  <c r="BK506" i="13" s="1"/>
  <c r="BH506" i="13"/>
  <c r="BG506" i="13"/>
  <c r="AZ506" i="13"/>
  <c r="AY506" i="13"/>
  <c r="BJ505" i="13"/>
  <c r="BK505" i="13" s="1"/>
  <c r="BH505" i="13"/>
  <c r="BG505" i="13"/>
  <c r="AZ505" i="13"/>
  <c r="AY505" i="13"/>
  <c r="BJ504" i="13"/>
  <c r="BK504" i="13" s="1"/>
  <c r="BH504" i="13"/>
  <c r="BG504" i="13"/>
  <c r="AZ504" i="13"/>
  <c r="AY504" i="13"/>
  <c r="BJ503" i="13"/>
  <c r="BK503" i="13" s="1"/>
  <c r="BH503" i="13"/>
  <c r="BG503" i="13"/>
  <c r="AZ503" i="13"/>
  <c r="AY503" i="13"/>
  <c r="BJ502" i="13"/>
  <c r="BK502" i="13" s="1"/>
  <c r="BH502" i="13"/>
  <c r="BG502" i="13"/>
  <c r="AZ502" i="13"/>
  <c r="AY502" i="13"/>
  <c r="BJ501" i="13"/>
  <c r="BK501" i="13" s="1"/>
  <c r="BH501" i="13"/>
  <c r="BG501" i="13"/>
  <c r="AZ501" i="13"/>
  <c r="AY501" i="13"/>
  <c r="BJ500" i="13"/>
  <c r="BK500" i="13" s="1"/>
  <c r="BH500" i="13"/>
  <c r="BG500" i="13"/>
  <c r="AZ500" i="13"/>
  <c r="AY500" i="13"/>
  <c r="BJ499" i="13"/>
  <c r="BK499" i="13" s="1"/>
  <c r="BH499" i="13"/>
  <c r="BG499" i="13"/>
  <c r="AZ499" i="13"/>
  <c r="AY499" i="13"/>
  <c r="BJ498" i="13"/>
  <c r="BK498" i="13" s="1"/>
  <c r="BH498" i="13"/>
  <c r="BG498" i="13"/>
  <c r="AZ498" i="13"/>
  <c r="AY498" i="13"/>
  <c r="BJ497" i="13"/>
  <c r="BK497" i="13" s="1"/>
  <c r="BH497" i="13"/>
  <c r="BG497" i="13"/>
  <c r="AZ497" i="13"/>
  <c r="AY497" i="13"/>
  <c r="BJ496" i="13"/>
  <c r="BK496" i="13" s="1"/>
  <c r="BH496" i="13"/>
  <c r="BG496" i="13"/>
  <c r="AZ496" i="13"/>
  <c r="AY496" i="13"/>
  <c r="BJ495" i="13"/>
  <c r="BK495" i="13" s="1"/>
  <c r="BH495" i="13"/>
  <c r="BG495" i="13"/>
  <c r="AZ495" i="13"/>
  <c r="AY495" i="13"/>
  <c r="BJ494" i="13"/>
  <c r="BK494" i="13" s="1"/>
  <c r="BH494" i="13"/>
  <c r="BG494" i="13"/>
  <c r="AZ494" i="13"/>
  <c r="AY494" i="13"/>
  <c r="BJ493" i="13"/>
  <c r="BK493" i="13" s="1"/>
  <c r="BH493" i="13"/>
  <c r="BG493" i="13"/>
  <c r="AZ493" i="13"/>
  <c r="AY493" i="13"/>
  <c r="BJ492" i="13"/>
  <c r="BK492" i="13" s="1"/>
  <c r="BH492" i="13"/>
  <c r="BG492" i="13"/>
  <c r="AZ492" i="13"/>
  <c r="AY492" i="13"/>
  <c r="BJ491" i="13"/>
  <c r="BK491" i="13" s="1"/>
  <c r="BH491" i="13"/>
  <c r="BG491" i="13"/>
  <c r="AZ491" i="13"/>
  <c r="AY491" i="13"/>
  <c r="BJ490" i="13"/>
  <c r="BK490" i="13" s="1"/>
  <c r="BH490" i="13"/>
  <c r="BG490" i="13"/>
  <c r="AZ490" i="13"/>
  <c r="AY490" i="13"/>
  <c r="BJ489" i="13"/>
  <c r="BK489" i="13" s="1"/>
  <c r="BH489" i="13"/>
  <c r="BG489" i="13"/>
  <c r="AZ489" i="13"/>
  <c r="AY489" i="13"/>
  <c r="BJ488" i="13"/>
  <c r="BK488" i="13" s="1"/>
  <c r="BH488" i="13"/>
  <c r="BG488" i="13"/>
  <c r="AZ488" i="13"/>
  <c r="AY488" i="13"/>
  <c r="BJ487" i="13"/>
  <c r="BK487" i="13" s="1"/>
  <c r="BH487" i="13"/>
  <c r="BG487" i="13"/>
  <c r="AZ487" i="13"/>
  <c r="AY487" i="13"/>
  <c r="BJ486" i="13"/>
  <c r="BK486" i="13" s="1"/>
  <c r="BH486" i="13"/>
  <c r="BG486" i="13"/>
  <c r="AZ486" i="13"/>
  <c r="AY486" i="13"/>
  <c r="BJ485" i="13"/>
  <c r="BK485" i="13" s="1"/>
  <c r="BH485" i="13"/>
  <c r="BG485" i="13"/>
  <c r="AZ485" i="13"/>
  <c r="AY485" i="13"/>
  <c r="BJ484" i="13"/>
  <c r="BK484" i="13" s="1"/>
  <c r="BH484" i="13"/>
  <c r="BG484" i="13"/>
  <c r="AZ484" i="13"/>
  <c r="AY484" i="13"/>
  <c r="BJ483" i="13"/>
  <c r="BK483" i="13" s="1"/>
  <c r="BH483" i="13"/>
  <c r="BG483" i="13"/>
  <c r="AZ483" i="13"/>
  <c r="AY483" i="13"/>
  <c r="BJ482" i="13"/>
  <c r="BK482" i="13" s="1"/>
  <c r="BH482" i="13"/>
  <c r="BG482" i="13"/>
  <c r="AZ482" i="13"/>
  <c r="AY482" i="13"/>
  <c r="BJ481" i="13"/>
  <c r="BK481" i="13" s="1"/>
  <c r="BH481" i="13"/>
  <c r="BG481" i="13"/>
  <c r="AZ481" i="13"/>
  <c r="AY481" i="13"/>
  <c r="BJ480" i="13"/>
  <c r="BK480" i="13" s="1"/>
  <c r="BH480" i="13"/>
  <c r="BG480" i="13"/>
  <c r="AZ480" i="13"/>
  <c r="AY480" i="13"/>
  <c r="BJ479" i="13"/>
  <c r="BK479" i="13" s="1"/>
  <c r="BH479" i="13"/>
  <c r="BG479" i="13"/>
  <c r="AZ479" i="13"/>
  <c r="AY479" i="13"/>
  <c r="BJ478" i="13"/>
  <c r="BK478" i="13" s="1"/>
  <c r="BH478" i="13"/>
  <c r="BG478" i="13"/>
  <c r="AZ478" i="13"/>
  <c r="AY478" i="13"/>
  <c r="BJ477" i="13"/>
  <c r="BK477" i="13" s="1"/>
  <c r="BH477" i="13"/>
  <c r="BG477" i="13"/>
  <c r="AZ477" i="13"/>
  <c r="AY477" i="13"/>
  <c r="BJ476" i="13"/>
  <c r="BK476" i="13" s="1"/>
  <c r="BH476" i="13"/>
  <c r="BG476" i="13"/>
  <c r="AZ476" i="13"/>
  <c r="AY476" i="13"/>
  <c r="BJ475" i="13"/>
  <c r="BK475" i="13" s="1"/>
  <c r="BH475" i="13"/>
  <c r="BG475" i="13"/>
  <c r="AZ475" i="13"/>
  <c r="AY475" i="13"/>
  <c r="BJ474" i="13"/>
  <c r="BK474" i="13" s="1"/>
  <c r="BH474" i="13"/>
  <c r="BG474" i="13"/>
  <c r="AZ474" i="13"/>
  <c r="AY474" i="13"/>
  <c r="BJ473" i="13"/>
  <c r="BK473" i="13" s="1"/>
  <c r="BH473" i="13"/>
  <c r="BG473" i="13"/>
  <c r="AZ473" i="13"/>
  <c r="AY473" i="13"/>
  <c r="BJ472" i="13"/>
  <c r="BK472" i="13" s="1"/>
  <c r="BH472" i="13"/>
  <c r="BG472" i="13"/>
  <c r="AZ472" i="13"/>
  <c r="AY472" i="13"/>
  <c r="BJ471" i="13"/>
  <c r="BK471" i="13" s="1"/>
  <c r="BH471" i="13"/>
  <c r="BG471" i="13"/>
  <c r="AZ471" i="13"/>
  <c r="AY471" i="13"/>
  <c r="BJ470" i="13"/>
  <c r="BK470" i="13" s="1"/>
  <c r="BH470" i="13"/>
  <c r="BG470" i="13"/>
  <c r="AZ470" i="13"/>
  <c r="AY470" i="13"/>
  <c r="BJ469" i="13"/>
  <c r="BK469" i="13" s="1"/>
  <c r="BH469" i="13"/>
  <c r="BG469" i="13"/>
  <c r="AZ469" i="13"/>
  <c r="AY469" i="13"/>
  <c r="BJ468" i="13"/>
  <c r="BK468" i="13" s="1"/>
  <c r="BH468" i="13"/>
  <c r="BG468" i="13"/>
  <c r="AZ468" i="13"/>
  <c r="AY468" i="13"/>
  <c r="BJ467" i="13"/>
  <c r="BK467" i="13" s="1"/>
  <c r="BH467" i="13"/>
  <c r="BG467" i="13"/>
  <c r="AZ467" i="13"/>
  <c r="AY467" i="13"/>
  <c r="BJ466" i="13"/>
  <c r="BK466" i="13" s="1"/>
  <c r="BH466" i="13"/>
  <c r="BG466" i="13"/>
  <c r="AZ466" i="13"/>
  <c r="AY466" i="13"/>
  <c r="BJ465" i="13"/>
  <c r="BK465" i="13" s="1"/>
  <c r="BH465" i="13"/>
  <c r="BG465" i="13"/>
  <c r="AZ465" i="13"/>
  <c r="AY465" i="13"/>
  <c r="BJ464" i="13"/>
  <c r="BK464" i="13" s="1"/>
  <c r="BH464" i="13"/>
  <c r="BG464" i="13"/>
  <c r="AZ464" i="13"/>
  <c r="AY464" i="13"/>
  <c r="BJ463" i="13"/>
  <c r="BK463" i="13" s="1"/>
  <c r="BH463" i="13"/>
  <c r="BG463" i="13"/>
  <c r="AZ463" i="13"/>
  <c r="AY463" i="13"/>
  <c r="BJ462" i="13"/>
  <c r="BK462" i="13" s="1"/>
  <c r="BH462" i="13"/>
  <c r="BG462" i="13"/>
  <c r="AZ462" i="13"/>
  <c r="AY462" i="13"/>
  <c r="BJ461" i="13"/>
  <c r="BK461" i="13" s="1"/>
  <c r="BH461" i="13"/>
  <c r="BG461" i="13"/>
  <c r="AZ461" i="13"/>
  <c r="AY461" i="13"/>
  <c r="BJ460" i="13"/>
  <c r="BK460" i="13" s="1"/>
  <c r="BH460" i="13"/>
  <c r="BG460" i="13"/>
  <c r="AZ460" i="13"/>
  <c r="AY460" i="13"/>
  <c r="BJ459" i="13"/>
  <c r="BK459" i="13" s="1"/>
  <c r="BH459" i="13"/>
  <c r="BG459" i="13"/>
  <c r="AZ459" i="13"/>
  <c r="AY459" i="13"/>
  <c r="BJ458" i="13"/>
  <c r="BK458" i="13" s="1"/>
  <c r="BH458" i="13"/>
  <c r="BG458" i="13"/>
  <c r="AZ458" i="13"/>
  <c r="AY458" i="13"/>
  <c r="BJ457" i="13"/>
  <c r="BK457" i="13" s="1"/>
  <c r="BH457" i="13"/>
  <c r="BG457" i="13"/>
  <c r="AZ457" i="13"/>
  <c r="AY457" i="13"/>
  <c r="BJ456" i="13"/>
  <c r="BK456" i="13" s="1"/>
  <c r="BH456" i="13"/>
  <c r="BG456" i="13"/>
  <c r="AZ456" i="13"/>
  <c r="AY456" i="13"/>
  <c r="BJ455" i="13"/>
  <c r="BK455" i="13" s="1"/>
  <c r="BH455" i="13"/>
  <c r="BG455" i="13"/>
  <c r="AZ455" i="13"/>
  <c r="AY455" i="13"/>
  <c r="BJ454" i="13"/>
  <c r="BK454" i="13" s="1"/>
  <c r="BH454" i="13"/>
  <c r="BG454" i="13"/>
  <c r="AZ454" i="13"/>
  <c r="AY454" i="13"/>
  <c r="BJ453" i="13"/>
  <c r="BK453" i="13" s="1"/>
  <c r="BH453" i="13"/>
  <c r="BG453" i="13"/>
  <c r="AZ453" i="13"/>
  <c r="AY453" i="13"/>
  <c r="BJ452" i="13"/>
  <c r="BK452" i="13" s="1"/>
  <c r="BH452" i="13"/>
  <c r="BG452" i="13"/>
  <c r="AZ452" i="13"/>
  <c r="AY452" i="13"/>
  <c r="BJ451" i="13"/>
  <c r="BK451" i="13" s="1"/>
  <c r="BH451" i="13"/>
  <c r="BG451" i="13"/>
  <c r="AZ451" i="13"/>
  <c r="AY451" i="13"/>
  <c r="BJ450" i="13"/>
  <c r="BK450" i="13" s="1"/>
  <c r="BH450" i="13"/>
  <c r="BG450" i="13"/>
  <c r="AZ450" i="13"/>
  <c r="AY450" i="13"/>
  <c r="BJ449" i="13"/>
  <c r="BK449" i="13" s="1"/>
  <c r="BH449" i="13"/>
  <c r="BG449" i="13"/>
  <c r="AZ449" i="13"/>
  <c r="AY449" i="13"/>
  <c r="BJ448" i="13"/>
  <c r="BK448" i="13" s="1"/>
  <c r="BH448" i="13"/>
  <c r="BG448" i="13"/>
  <c r="AZ448" i="13"/>
  <c r="AY448" i="13"/>
  <c r="BJ447" i="13"/>
  <c r="BK447" i="13" s="1"/>
  <c r="BH447" i="13"/>
  <c r="BG447" i="13"/>
  <c r="AZ447" i="13"/>
  <c r="AY447" i="13"/>
  <c r="BJ446" i="13"/>
  <c r="BK446" i="13" s="1"/>
  <c r="BH446" i="13"/>
  <c r="BG446" i="13"/>
  <c r="AZ446" i="13"/>
  <c r="AY446" i="13"/>
  <c r="BJ445" i="13"/>
  <c r="BK445" i="13" s="1"/>
  <c r="BH445" i="13"/>
  <c r="BG445" i="13"/>
  <c r="AZ445" i="13"/>
  <c r="AY445" i="13"/>
  <c r="BJ444" i="13"/>
  <c r="BK444" i="13" s="1"/>
  <c r="BH444" i="13"/>
  <c r="BG444" i="13"/>
  <c r="AZ444" i="13"/>
  <c r="AY444" i="13"/>
  <c r="BJ443" i="13"/>
  <c r="BK443" i="13" s="1"/>
  <c r="BH443" i="13"/>
  <c r="BG443" i="13"/>
  <c r="AZ443" i="13"/>
  <c r="AY443" i="13"/>
  <c r="BJ442" i="13"/>
  <c r="BK442" i="13" s="1"/>
  <c r="BH442" i="13"/>
  <c r="BG442" i="13"/>
  <c r="AZ442" i="13"/>
  <c r="AY442" i="13"/>
  <c r="BJ441" i="13"/>
  <c r="BK441" i="13" s="1"/>
  <c r="BH441" i="13"/>
  <c r="BG441" i="13"/>
  <c r="AZ441" i="13"/>
  <c r="AY441" i="13"/>
  <c r="BJ440" i="13"/>
  <c r="BK440" i="13" s="1"/>
  <c r="BH440" i="13"/>
  <c r="BG440" i="13"/>
  <c r="AZ440" i="13"/>
  <c r="AY440" i="13"/>
  <c r="BJ439" i="13"/>
  <c r="BK439" i="13" s="1"/>
  <c r="BH439" i="13"/>
  <c r="BG439" i="13"/>
  <c r="AZ439" i="13"/>
  <c r="AY439" i="13"/>
  <c r="BJ438" i="13"/>
  <c r="BK438" i="13" s="1"/>
  <c r="BH438" i="13"/>
  <c r="BG438" i="13"/>
  <c r="AZ438" i="13"/>
  <c r="AY438" i="13"/>
  <c r="BJ437" i="13"/>
  <c r="BK437" i="13" s="1"/>
  <c r="BH437" i="13"/>
  <c r="BG437" i="13"/>
  <c r="AZ437" i="13"/>
  <c r="AY437" i="13"/>
  <c r="BJ436" i="13"/>
  <c r="BK436" i="13" s="1"/>
  <c r="BH436" i="13"/>
  <c r="BG436" i="13"/>
  <c r="AZ436" i="13"/>
  <c r="AY436" i="13"/>
  <c r="BJ435" i="13"/>
  <c r="BK435" i="13" s="1"/>
  <c r="BH435" i="13"/>
  <c r="BG435" i="13"/>
  <c r="AZ435" i="13"/>
  <c r="AY435" i="13"/>
  <c r="BJ434" i="13"/>
  <c r="BK434" i="13" s="1"/>
  <c r="BH434" i="13"/>
  <c r="BG434" i="13"/>
  <c r="AZ434" i="13"/>
  <c r="AY434" i="13"/>
  <c r="BJ433" i="13"/>
  <c r="BK433" i="13" s="1"/>
  <c r="BH433" i="13"/>
  <c r="BG433" i="13"/>
  <c r="AZ433" i="13"/>
  <c r="AY433" i="13"/>
  <c r="BJ432" i="13"/>
  <c r="BK432" i="13" s="1"/>
  <c r="BH432" i="13"/>
  <c r="BG432" i="13"/>
  <c r="AZ432" i="13"/>
  <c r="AY432" i="13"/>
  <c r="BJ431" i="13"/>
  <c r="BK431" i="13" s="1"/>
  <c r="BH431" i="13"/>
  <c r="BG431" i="13"/>
  <c r="AZ431" i="13"/>
  <c r="AY431" i="13"/>
  <c r="BJ430" i="13"/>
  <c r="BK430" i="13" s="1"/>
  <c r="BH430" i="13"/>
  <c r="BG430" i="13"/>
  <c r="AZ430" i="13"/>
  <c r="AY430" i="13"/>
  <c r="BJ429" i="13"/>
  <c r="BK429" i="13" s="1"/>
  <c r="BH429" i="13"/>
  <c r="BG429" i="13"/>
  <c r="AZ429" i="13"/>
  <c r="AY429" i="13"/>
  <c r="BJ428" i="13"/>
  <c r="BK428" i="13" s="1"/>
  <c r="BH428" i="13"/>
  <c r="BG428" i="13"/>
  <c r="AZ428" i="13"/>
  <c r="AY428" i="13"/>
  <c r="BJ427" i="13"/>
  <c r="BK427" i="13" s="1"/>
  <c r="BH427" i="13"/>
  <c r="BG427" i="13"/>
  <c r="AZ427" i="13"/>
  <c r="AY427" i="13"/>
  <c r="BJ426" i="13"/>
  <c r="BK426" i="13" s="1"/>
  <c r="BH426" i="13"/>
  <c r="BG426" i="13"/>
  <c r="AZ426" i="13"/>
  <c r="AY426" i="13"/>
  <c r="BJ425" i="13"/>
  <c r="BK425" i="13" s="1"/>
  <c r="BH425" i="13"/>
  <c r="BG425" i="13"/>
  <c r="AZ425" i="13"/>
  <c r="AY425" i="13"/>
  <c r="BJ424" i="13"/>
  <c r="BK424" i="13" s="1"/>
  <c r="BH424" i="13"/>
  <c r="BG424" i="13"/>
  <c r="AZ424" i="13"/>
  <c r="AY424" i="13"/>
  <c r="BJ423" i="13"/>
  <c r="BK423" i="13" s="1"/>
  <c r="BH423" i="13"/>
  <c r="BG423" i="13"/>
  <c r="AZ423" i="13"/>
  <c r="AY423" i="13"/>
  <c r="BJ422" i="13"/>
  <c r="BK422" i="13" s="1"/>
  <c r="BH422" i="13"/>
  <c r="BG422" i="13"/>
  <c r="AZ422" i="13"/>
  <c r="AY422" i="13"/>
  <c r="BJ421" i="13"/>
  <c r="BK421" i="13" s="1"/>
  <c r="BH421" i="13"/>
  <c r="BG421" i="13"/>
  <c r="AZ421" i="13"/>
  <c r="AY421" i="13"/>
  <c r="BJ420" i="13"/>
  <c r="BK420" i="13" s="1"/>
  <c r="BH420" i="13"/>
  <c r="BG420" i="13"/>
  <c r="AZ420" i="13"/>
  <c r="AY420" i="13"/>
  <c r="BJ419" i="13"/>
  <c r="BK419" i="13" s="1"/>
  <c r="BH419" i="13"/>
  <c r="BG419" i="13"/>
  <c r="AZ419" i="13"/>
  <c r="AY419" i="13"/>
  <c r="BJ418" i="13"/>
  <c r="BK418" i="13" s="1"/>
  <c r="BH418" i="13"/>
  <c r="BG418" i="13"/>
  <c r="AZ418" i="13"/>
  <c r="AY418" i="13"/>
  <c r="BJ417" i="13"/>
  <c r="BK417" i="13" s="1"/>
  <c r="BH417" i="13"/>
  <c r="BG417" i="13"/>
  <c r="AZ417" i="13"/>
  <c r="AY417" i="13"/>
  <c r="BJ416" i="13"/>
  <c r="BK416" i="13" s="1"/>
  <c r="BH416" i="13"/>
  <c r="BG416" i="13"/>
  <c r="AZ416" i="13"/>
  <c r="AY416" i="13"/>
  <c r="BJ415" i="13"/>
  <c r="BK415" i="13" s="1"/>
  <c r="BH415" i="13"/>
  <c r="BG415" i="13"/>
  <c r="AZ415" i="13"/>
  <c r="AY415" i="13"/>
  <c r="BJ414" i="13"/>
  <c r="BK414" i="13" s="1"/>
  <c r="BH414" i="13"/>
  <c r="BG414" i="13"/>
  <c r="AZ414" i="13"/>
  <c r="AY414" i="13"/>
  <c r="BJ413" i="13"/>
  <c r="BK413" i="13" s="1"/>
  <c r="BH413" i="13"/>
  <c r="BG413" i="13"/>
  <c r="AZ413" i="13"/>
  <c r="AY413" i="13"/>
  <c r="BJ412" i="13"/>
  <c r="BK412" i="13" s="1"/>
  <c r="BH412" i="13"/>
  <c r="BG412" i="13"/>
  <c r="AZ412" i="13"/>
  <c r="AY412" i="13"/>
  <c r="BJ411" i="13"/>
  <c r="BK411" i="13" s="1"/>
  <c r="BH411" i="13"/>
  <c r="BG411" i="13"/>
  <c r="AZ411" i="13"/>
  <c r="AY411" i="13"/>
  <c r="BJ410" i="13"/>
  <c r="BK410" i="13" s="1"/>
  <c r="BH410" i="13"/>
  <c r="BG410" i="13"/>
  <c r="AZ410" i="13"/>
  <c r="AY410" i="13"/>
  <c r="BJ409" i="13"/>
  <c r="BK409" i="13" s="1"/>
  <c r="BH409" i="13"/>
  <c r="BG409" i="13"/>
  <c r="AZ409" i="13"/>
  <c r="AY409" i="13"/>
  <c r="BJ408" i="13"/>
  <c r="BK408" i="13" s="1"/>
  <c r="BH408" i="13"/>
  <c r="BG408" i="13"/>
  <c r="AZ408" i="13"/>
  <c r="AY408" i="13"/>
  <c r="BJ407" i="13"/>
  <c r="BK407" i="13" s="1"/>
  <c r="BH407" i="13"/>
  <c r="BG407" i="13"/>
  <c r="AZ407" i="13"/>
  <c r="AY407" i="13"/>
  <c r="BJ406" i="13"/>
  <c r="BK406" i="13" s="1"/>
  <c r="BH406" i="13"/>
  <c r="BG406" i="13"/>
  <c r="AZ406" i="13"/>
  <c r="AY406" i="13"/>
  <c r="BJ405" i="13"/>
  <c r="BK405" i="13" s="1"/>
  <c r="BH405" i="13"/>
  <c r="BG405" i="13"/>
  <c r="AZ405" i="13"/>
  <c r="AY405" i="13"/>
  <c r="BJ404" i="13"/>
  <c r="BK404" i="13" s="1"/>
  <c r="BH404" i="13"/>
  <c r="BG404" i="13"/>
  <c r="AZ404" i="13"/>
  <c r="AY404" i="13"/>
  <c r="BJ403" i="13"/>
  <c r="BK403" i="13" s="1"/>
  <c r="BH403" i="13"/>
  <c r="BG403" i="13"/>
  <c r="AZ403" i="13"/>
  <c r="AY403" i="13"/>
  <c r="BJ402" i="13"/>
  <c r="BK402" i="13" s="1"/>
  <c r="BH402" i="13"/>
  <c r="BG402" i="13"/>
  <c r="AZ402" i="13"/>
  <c r="AY402" i="13"/>
  <c r="BJ401" i="13"/>
  <c r="BK401" i="13" s="1"/>
  <c r="BH401" i="13"/>
  <c r="BG401" i="13"/>
  <c r="AZ401" i="13"/>
  <c r="AY401" i="13"/>
  <c r="BJ400" i="13"/>
  <c r="BK400" i="13" s="1"/>
  <c r="BH400" i="13"/>
  <c r="BG400" i="13"/>
  <c r="AZ400" i="13"/>
  <c r="AY400" i="13"/>
  <c r="BJ399" i="13"/>
  <c r="BK399" i="13" s="1"/>
  <c r="BH399" i="13"/>
  <c r="BG399" i="13"/>
  <c r="AZ399" i="13"/>
  <c r="AY399" i="13"/>
  <c r="BJ398" i="13"/>
  <c r="BK398" i="13" s="1"/>
  <c r="BH398" i="13"/>
  <c r="BG398" i="13"/>
  <c r="AZ398" i="13"/>
  <c r="AY398" i="13"/>
  <c r="BJ397" i="13"/>
  <c r="BK397" i="13" s="1"/>
  <c r="BH397" i="13"/>
  <c r="BG397" i="13"/>
  <c r="AZ397" i="13"/>
  <c r="AY397" i="13"/>
  <c r="BJ396" i="13"/>
  <c r="BK396" i="13" s="1"/>
  <c r="BH396" i="13"/>
  <c r="BG396" i="13"/>
  <c r="AZ396" i="13"/>
  <c r="AY396" i="13"/>
  <c r="BJ395" i="13"/>
  <c r="BK395" i="13" s="1"/>
  <c r="BH395" i="13"/>
  <c r="BG395" i="13"/>
  <c r="AZ395" i="13"/>
  <c r="AY395" i="13"/>
  <c r="BJ394" i="13"/>
  <c r="BK394" i="13" s="1"/>
  <c r="BH394" i="13"/>
  <c r="BG394" i="13"/>
  <c r="AZ394" i="13"/>
  <c r="AY394" i="13"/>
  <c r="BJ393" i="13"/>
  <c r="BK393" i="13" s="1"/>
  <c r="BH393" i="13"/>
  <c r="BG393" i="13"/>
  <c r="AZ393" i="13"/>
  <c r="AY393" i="13"/>
  <c r="BJ392" i="13"/>
  <c r="BK392" i="13" s="1"/>
  <c r="BH392" i="13"/>
  <c r="BG392" i="13"/>
  <c r="AZ392" i="13"/>
  <c r="AY392" i="13"/>
  <c r="BJ391" i="13"/>
  <c r="BK391" i="13" s="1"/>
  <c r="BH391" i="13"/>
  <c r="BG391" i="13"/>
  <c r="AZ391" i="13"/>
  <c r="AY391" i="13"/>
  <c r="BJ390" i="13"/>
  <c r="BK390" i="13" s="1"/>
  <c r="BH390" i="13"/>
  <c r="BG390" i="13"/>
  <c r="AZ390" i="13"/>
  <c r="AY390" i="13"/>
  <c r="BJ389" i="13"/>
  <c r="BK389" i="13" s="1"/>
  <c r="BH389" i="13"/>
  <c r="BG389" i="13"/>
  <c r="AZ389" i="13"/>
  <c r="AY389" i="13"/>
  <c r="BJ388" i="13"/>
  <c r="BK388" i="13" s="1"/>
  <c r="BH388" i="13"/>
  <c r="BG388" i="13"/>
  <c r="AZ388" i="13"/>
  <c r="AY388" i="13"/>
  <c r="BJ387" i="13"/>
  <c r="BK387" i="13" s="1"/>
  <c r="BH387" i="13"/>
  <c r="BG387" i="13"/>
  <c r="AZ387" i="13"/>
  <c r="AY387" i="13"/>
  <c r="BJ386" i="13"/>
  <c r="BK386" i="13" s="1"/>
  <c r="BH386" i="13"/>
  <c r="BG386" i="13"/>
  <c r="AZ386" i="13"/>
  <c r="AY386" i="13"/>
  <c r="BJ385" i="13"/>
  <c r="BK385" i="13" s="1"/>
  <c r="BH385" i="13"/>
  <c r="BG385" i="13"/>
  <c r="AZ385" i="13"/>
  <c r="AY385" i="13"/>
  <c r="BJ384" i="13"/>
  <c r="BK384" i="13" s="1"/>
  <c r="BH384" i="13"/>
  <c r="BG384" i="13"/>
  <c r="AZ384" i="13"/>
  <c r="AY384" i="13"/>
  <c r="BJ383" i="13"/>
  <c r="BK383" i="13" s="1"/>
  <c r="BH383" i="13"/>
  <c r="BG383" i="13"/>
  <c r="AZ383" i="13"/>
  <c r="AY383" i="13"/>
  <c r="BJ382" i="13"/>
  <c r="BK382" i="13" s="1"/>
  <c r="BH382" i="13"/>
  <c r="BG382" i="13"/>
  <c r="AZ382" i="13"/>
  <c r="AY382" i="13"/>
  <c r="BJ381" i="13"/>
  <c r="BK381" i="13" s="1"/>
  <c r="BH381" i="13"/>
  <c r="BG381" i="13"/>
  <c r="AZ381" i="13"/>
  <c r="AY381" i="13"/>
  <c r="BJ380" i="13"/>
  <c r="BK380" i="13" s="1"/>
  <c r="BH380" i="13"/>
  <c r="BG380" i="13"/>
  <c r="AZ380" i="13"/>
  <c r="AY380" i="13"/>
  <c r="BJ379" i="13"/>
  <c r="BK379" i="13" s="1"/>
  <c r="BH379" i="13"/>
  <c r="BG379" i="13"/>
  <c r="AZ379" i="13"/>
  <c r="AY379" i="13"/>
  <c r="BJ378" i="13"/>
  <c r="BK378" i="13" s="1"/>
  <c r="BH378" i="13"/>
  <c r="BG378" i="13"/>
  <c r="AZ378" i="13"/>
  <c r="AY378" i="13"/>
  <c r="BJ377" i="13"/>
  <c r="BK377" i="13" s="1"/>
  <c r="BH377" i="13"/>
  <c r="BG377" i="13"/>
  <c r="AZ377" i="13"/>
  <c r="AY377" i="13"/>
  <c r="BJ376" i="13"/>
  <c r="BK376" i="13" s="1"/>
  <c r="BH376" i="13"/>
  <c r="BG376" i="13"/>
  <c r="AZ376" i="13"/>
  <c r="AY376" i="13"/>
  <c r="BJ375" i="13"/>
  <c r="BK375" i="13" s="1"/>
  <c r="BH375" i="13"/>
  <c r="BG375" i="13"/>
  <c r="AZ375" i="13"/>
  <c r="AY375" i="13"/>
  <c r="BJ374" i="13"/>
  <c r="BK374" i="13" s="1"/>
  <c r="BH374" i="13"/>
  <c r="BG374" i="13"/>
  <c r="AZ374" i="13"/>
  <c r="AY374" i="13"/>
  <c r="BJ373" i="13"/>
  <c r="BK373" i="13" s="1"/>
  <c r="BH373" i="13"/>
  <c r="BG373" i="13"/>
  <c r="AZ373" i="13"/>
  <c r="AY373" i="13"/>
  <c r="BJ372" i="13"/>
  <c r="BK372" i="13" s="1"/>
  <c r="BH372" i="13"/>
  <c r="BG372" i="13"/>
  <c r="AZ372" i="13"/>
  <c r="AY372" i="13"/>
  <c r="BJ371" i="13"/>
  <c r="BK371" i="13" s="1"/>
  <c r="BH371" i="13"/>
  <c r="BG371" i="13"/>
  <c r="AZ371" i="13"/>
  <c r="AY371" i="13"/>
  <c r="BJ370" i="13"/>
  <c r="BK370" i="13" s="1"/>
  <c r="BH370" i="13"/>
  <c r="BG370" i="13"/>
  <c r="AZ370" i="13"/>
  <c r="AY370" i="13"/>
  <c r="BJ369" i="13"/>
  <c r="BK369" i="13" s="1"/>
  <c r="BH369" i="13"/>
  <c r="BG369" i="13"/>
  <c r="AZ369" i="13"/>
  <c r="AY369" i="13"/>
  <c r="BJ368" i="13"/>
  <c r="BK368" i="13" s="1"/>
  <c r="BH368" i="13"/>
  <c r="BG368" i="13"/>
  <c r="AZ368" i="13"/>
  <c r="AY368" i="13"/>
  <c r="BJ367" i="13"/>
  <c r="BK367" i="13" s="1"/>
  <c r="BH367" i="13"/>
  <c r="BG367" i="13"/>
  <c r="AZ367" i="13"/>
  <c r="AY367" i="13"/>
  <c r="BJ366" i="13"/>
  <c r="BK366" i="13" s="1"/>
  <c r="BH366" i="13"/>
  <c r="BG366" i="13"/>
  <c r="AZ366" i="13"/>
  <c r="AY366" i="13"/>
  <c r="BJ365" i="13"/>
  <c r="BK365" i="13" s="1"/>
  <c r="BH365" i="13"/>
  <c r="BG365" i="13"/>
  <c r="AZ365" i="13"/>
  <c r="AY365" i="13"/>
  <c r="BJ364" i="13"/>
  <c r="BK364" i="13" s="1"/>
  <c r="BH364" i="13"/>
  <c r="BG364" i="13"/>
  <c r="AZ364" i="13"/>
  <c r="AY364" i="13"/>
  <c r="BJ363" i="13"/>
  <c r="BK363" i="13" s="1"/>
  <c r="BH363" i="13"/>
  <c r="BG363" i="13"/>
  <c r="AZ363" i="13"/>
  <c r="AY363" i="13"/>
  <c r="BJ362" i="13"/>
  <c r="BK362" i="13" s="1"/>
  <c r="BH362" i="13"/>
  <c r="BG362" i="13"/>
  <c r="AZ362" i="13"/>
  <c r="AY362" i="13"/>
  <c r="BJ361" i="13"/>
  <c r="BK361" i="13" s="1"/>
  <c r="BH361" i="13"/>
  <c r="BG361" i="13"/>
  <c r="AZ361" i="13"/>
  <c r="AY361" i="13"/>
  <c r="BJ360" i="13"/>
  <c r="BK360" i="13" s="1"/>
  <c r="BH360" i="13"/>
  <c r="BG360" i="13"/>
  <c r="AZ360" i="13"/>
  <c r="AY360" i="13"/>
  <c r="BJ359" i="13"/>
  <c r="BK359" i="13" s="1"/>
  <c r="BH359" i="13"/>
  <c r="BG359" i="13"/>
  <c r="AZ359" i="13"/>
  <c r="AY359" i="13"/>
  <c r="BJ358" i="13"/>
  <c r="BK358" i="13" s="1"/>
  <c r="BH358" i="13"/>
  <c r="BG358" i="13"/>
  <c r="AZ358" i="13"/>
  <c r="AY358" i="13"/>
  <c r="BJ357" i="13"/>
  <c r="BK357" i="13" s="1"/>
  <c r="BH357" i="13"/>
  <c r="BG357" i="13"/>
  <c r="AZ357" i="13"/>
  <c r="AY357" i="13"/>
  <c r="BJ356" i="13"/>
  <c r="BK356" i="13" s="1"/>
  <c r="BH356" i="13"/>
  <c r="BG356" i="13"/>
  <c r="AZ356" i="13"/>
  <c r="AY356" i="13"/>
  <c r="BJ355" i="13"/>
  <c r="BK355" i="13" s="1"/>
  <c r="BH355" i="13"/>
  <c r="BG355" i="13"/>
  <c r="AZ355" i="13"/>
  <c r="AY355" i="13"/>
  <c r="BJ354" i="13"/>
  <c r="BK354" i="13" s="1"/>
  <c r="BH354" i="13"/>
  <c r="BG354" i="13"/>
  <c r="AZ354" i="13"/>
  <c r="AY354" i="13"/>
  <c r="BJ353" i="13"/>
  <c r="BK353" i="13" s="1"/>
  <c r="BH353" i="13"/>
  <c r="BG353" i="13"/>
  <c r="AZ353" i="13"/>
  <c r="AY353" i="13"/>
  <c r="BJ352" i="13"/>
  <c r="BK352" i="13" s="1"/>
  <c r="BH352" i="13"/>
  <c r="BG352" i="13"/>
  <c r="AZ352" i="13"/>
  <c r="AY352" i="13"/>
  <c r="BJ351" i="13"/>
  <c r="BK351" i="13" s="1"/>
  <c r="BH351" i="13"/>
  <c r="BG351" i="13"/>
  <c r="AZ351" i="13"/>
  <c r="AY351" i="13"/>
  <c r="BJ350" i="13"/>
  <c r="BK350" i="13" s="1"/>
  <c r="BH350" i="13"/>
  <c r="BG350" i="13"/>
  <c r="AZ350" i="13"/>
  <c r="AY350" i="13"/>
  <c r="BJ349" i="13"/>
  <c r="BK349" i="13" s="1"/>
  <c r="BH349" i="13"/>
  <c r="BG349" i="13"/>
  <c r="AZ349" i="13"/>
  <c r="AY349" i="13"/>
  <c r="BJ348" i="13"/>
  <c r="BK348" i="13" s="1"/>
  <c r="BH348" i="13"/>
  <c r="BG348" i="13"/>
  <c r="AZ348" i="13"/>
  <c r="AY348" i="13"/>
  <c r="BJ347" i="13"/>
  <c r="BK347" i="13" s="1"/>
  <c r="BH347" i="13"/>
  <c r="BG347" i="13"/>
  <c r="AZ347" i="13"/>
  <c r="AY347" i="13"/>
  <c r="BJ346" i="13"/>
  <c r="BK346" i="13" s="1"/>
  <c r="BH346" i="13"/>
  <c r="BG346" i="13"/>
  <c r="AZ346" i="13"/>
  <c r="AY346" i="13"/>
  <c r="BJ345" i="13"/>
  <c r="BK345" i="13" s="1"/>
  <c r="BH345" i="13"/>
  <c r="BG345" i="13"/>
  <c r="AZ345" i="13"/>
  <c r="AY345" i="13"/>
  <c r="BJ344" i="13"/>
  <c r="BK344" i="13" s="1"/>
  <c r="BH344" i="13"/>
  <c r="BG344" i="13"/>
  <c r="AZ344" i="13"/>
  <c r="AY344" i="13"/>
  <c r="BJ343" i="13"/>
  <c r="BK343" i="13" s="1"/>
  <c r="BH343" i="13"/>
  <c r="BG343" i="13"/>
  <c r="AZ343" i="13"/>
  <c r="AY343" i="13"/>
  <c r="BJ342" i="13"/>
  <c r="BK342" i="13" s="1"/>
  <c r="BH342" i="13"/>
  <c r="BG342" i="13"/>
  <c r="AZ342" i="13"/>
  <c r="AY342" i="13"/>
  <c r="BJ341" i="13"/>
  <c r="BK341" i="13" s="1"/>
  <c r="BH341" i="13"/>
  <c r="BG341" i="13"/>
  <c r="AZ341" i="13"/>
  <c r="AY341" i="13"/>
  <c r="BJ340" i="13"/>
  <c r="BK340" i="13" s="1"/>
  <c r="BH340" i="13"/>
  <c r="BG340" i="13"/>
  <c r="AZ340" i="13"/>
  <c r="AY340" i="13"/>
  <c r="BJ339" i="13"/>
  <c r="BK339" i="13" s="1"/>
  <c r="BH339" i="13"/>
  <c r="BG339" i="13"/>
  <c r="AZ339" i="13"/>
  <c r="AY339" i="13"/>
  <c r="BJ338" i="13"/>
  <c r="BK338" i="13" s="1"/>
  <c r="BH338" i="13"/>
  <c r="BG338" i="13"/>
  <c r="AZ338" i="13"/>
  <c r="AY338" i="13"/>
  <c r="BJ337" i="13"/>
  <c r="BK337" i="13" s="1"/>
  <c r="BH337" i="13"/>
  <c r="BG337" i="13"/>
  <c r="AZ337" i="13"/>
  <c r="AY337" i="13"/>
  <c r="BJ336" i="13"/>
  <c r="BK336" i="13" s="1"/>
  <c r="BH336" i="13"/>
  <c r="BG336" i="13"/>
  <c r="AZ336" i="13"/>
  <c r="AY336" i="13"/>
  <c r="BJ335" i="13"/>
  <c r="BK335" i="13" s="1"/>
  <c r="BH335" i="13"/>
  <c r="BG335" i="13"/>
  <c r="AZ335" i="13"/>
  <c r="AY335" i="13"/>
  <c r="BJ334" i="13"/>
  <c r="BK334" i="13" s="1"/>
  <c r="BH334" i="13"/>
  <c r="BG334" i="13"/>
  <c r="AZ334" i="13"/>
  <c r="AY334" i="13"/>
  <c r="BJ333" i="13"/>
  <c r="BK333" i="13" s="1"/>
  <c r="BH333" i="13"/>
  <c r="BG333" i="13"/>
  <c r="AZ333" i="13"/>
  <c r="AY333" i="13"/>
  <c r="BJ332" i="13"/>
  <c r="BK332" i="13" s="1"/>
  <c r="BH332" i="13"/>
  <c r="BG332" i="13"/>
  <c r="AZ332" i="13"/>
  <c r="AY332" i="13"/>
  <c r="BJ331" i="13"/>
  <c r="BK331" i="13" s="1"/>
  <c r="BH331" i="13"/>
  <c r="BG331" i="13"/>
  <c r="AZ331" i="13"/>
  <c r="AY331" i="13"/>
  <c r="BJ330" i="13"/>
  <c r="BK330" i="13" s="1"/>
  <c r="BH330" i="13"/>
  <c r="BG330" i="13"/>
  <c r="AZ330" i="13"/>
  <c r="AY330" i="13"/>
  <c r="BJ329" i="13"/>
  <c r="BK329" i="13" s="1"/>
  <c r="BH329" i="13"/>
  <c r="BG329" i="13"/>
  <c r="AZ329" i="13"/>
  <c r="AY329" i="13"/>
  <c r="BJ328" i="13"/>
  <c r="BK328" i="13" s="1"/>
  <c r="BH328" i="13"/>
  <c r="BG328" i="13"/>
  <c r="AZ328" i="13"/>
  <c r="AY328" i="13"/>
  <c r="BJ327" i="13"/>
  <c r="BK327" i="13" s="1"/>
  <c r="BH327" i="13"/>
  <c r="BG327" i="13"/>
  <c r="AZ327" i="13"/>
  <c r="AY327" i="13"/>
  <c r="BJ326" i="13"/>
  <c r="BK326" i="13" s="1"/>
  <c r="BH326" i="13"/>
  <c r="BG326" i="13"/>
  <c r="AZ326" i="13"/>
  <c r="AY326" i="13"/>
  <c r="BJ325" i="13"/>
  <c r="BK325" i="13" s="1"/>
  <c r="BH325" i="13"/>
  <c r="BG325" i="13"/>
  <c r="AZ325" i="13"/>
  <c r="AY325" i="13"/>
  <c r="BJ324" i="13"/>
  <c r="BK324" i="13" s="1"/>
  <c r="BH324" i="13"/>
  <c r="BG324" i="13"/>
  <c r="AZ324" i="13"/>
  <c r="AY324" i="13"/>
  <c r="BJ323" i="13"/>
  <c r="BK323" i="13" s="1"/>
  <c r="BH323" i="13"/>
  <c r="BG323" i="13"/>
  <c r="AZ323" i="13"/>
  <c r="AY323" i="13"/>
  <c r="BJ322" i="13"/>
  <c r="BK322" i="13" s="1"/>
  <c r="BH322" i="13"/>
  <c r="BG322" i="13"/>
  <c r="AZ322" i="13"/>
  <c r="AY322" i="13"/>
  <c r="BJ321" i="13"/>
  <c r="BK321" i="13" s="1"/>
  <c r="BH321" i="13"/>
  <c r="BG321" i="13"/>
  <c r="AZ321" i="13"/>
  <c r="AY321" i="13"/>
  <c r="BJ320" i="13"/>
  <c r="BK320" i="13" s="1"/>
  <c r="BH320" i="13"/>
  <c r="BG320" i="13"/>
  <c r="AZ320" i="13"/>
  <c r="AY320" i="13"/>
  <c r="BJ319" i="13"/>
  <c r="BK319" i="13" s="1"/>
  <c r="BH319" i="13"/>
  <c r="BG319" i="13"/>
  <c r="AZ319" i="13"/>
  <c r="AY319" i="13"/>
  <c r="BJ318" i="13"/>
  <c r="BK318" i="13" s="1"/>
  <c r="BH318" i="13"/>
  <c r="BG318" i="13"/>
  <c r="AZ318" i="13"/>
  <c r="AY318" i="13"/>
  <c r="BJ317" i="13"/>
  <c r="BK317" i="13" s="1"/>
  <c r="BH317" i="13"/>
  <c r="BG317" i="13"/>
  <c r="AZ317" i="13"/>
  <c r="AY317" i="13"/>
  <c r="BJ316" i="13"/>
  <c r="BK316" i="13" s="1"/>
  <c r="BH316" i="13"/>
  <c r="BG316" i="13"/>
  <c r="AZ316" i="13"/>
  <c r="AY316" i="13"/>
  <c r="BJ315" i="13"/>
  <c r="BK315" i="13" s="1"/>
  <c r="BH315" i="13"/>
  <c r="BG315" i="13"/>
  <c r="AZ315" i="13"/>
  <c r="AY315" i="13"/>
  <c r="BJ314" i="13"/>
  <c r="BK314" i="13" s="1"/>
  <c r="BH314" i="13"/>
  <c r="BG314" i="13"/>
  <c r="AZ314" i="13"/>
  <c r="AY314" i="13"/>
  <c r="BJ313" i="13"/>
  <c r="BK313" i="13" s="1"/>
  <c r="BH313" i="13"/>
  <c r="BG313" i="13"/>
  <c r="AZ313" i="13"/>
  <c r="AY313" i="13"/>
  <c r="BJ312" i="13"/>
  <c r="BK312" i="13" s="1"/>
  <c r="BH312" i="13"/>
  <c r="BG312" i="13"/>
  <c r="AZ312" i="13"/>
  <c r="AY312" i="13"/>
  <c r="BJ311" i="13"/>
  <c r="BK311" i="13" s="1"/>
  <c r="BH311" i="13"/>
  <c r="BG311" i="13"/>
  <c r="AZ311" i="13"/>
  <c r="AY311" i="13"/>
  <c r="BJ310" i="13"/>
  <c r="BK310" i="13" s="1"/>
  <c r="BH310" i="13"/>
  <c r="BG310" i="13"/>
  <c r="AZ310" i="13"/>
  <c r="AY310" i="13"/>
  <c r="BJ309" i="13"/>
  <c r="BK309" i="13" s="1"/>
  <c r="BH309" i="13"/>
  <c r="BG309" i="13"/>
  <c r="AZ309" i="13"/>
  <c r="AY309" i="13"/>
  <c r="BJ308" i="13"/>
  <c r="BK308" i="13" s="1"/>
  <c r="BH308" i="13"/>
  <c r="BG308" i="13"/>
  <c r="AZ308" i="13"/>
  <c r="AY308" i="13"/>
  <c r="BJ307" i="13"/>
  <c r="BK307" i="13" s="1"/>
  <c r="BH307" i="13"/>
  <c r="BG307" i="13"/>
  <c r="AZ307" i="13"/>
  <c r="AY307" i="13"/>
  <c r="BJ306" i="13"/>
  <c r="BK306" i="13" s="1"/>
  <c r="BH306" i="13"/>
  <c r="BG306" i="13"/>
  <c r="AZ306" i="13"/>
  <c r="AY306" i="13"/>
  <c r="BJ305" i="13"/>
  <c r="BK305" i="13" s="1"/>
  <c r="BH305" i="13"/>
  <c r="BG305" i="13"/>
  <c r="AZ305" i="13"/>
  <c r="AY305" i="13"/>
  <c r="BJ304" i="13"/>
  <c r="BK304" i="13" s="1"/>
  <c r="BH304" i="13"/>
  <c r="BG304" i="13"/>
  <c r="AZ304" i="13"/>
  <c r="AY304" i="13"/>
  <c r="BJ303" i="13"/>
  <c r="BK303" i="13" s="1"/>
  <c r="BH303" i="13"/>
  <c r="BG303" i="13"/>
  <c r="AZ303" i="13"/>
  <c r="AY303" i="13"/>
  <c r="BJ302" i="13"/>
  <c r="BK302" i="13" s="1"/>
  <c r="BH302" i="13"/>
  <c r="BG302" i="13"/>
  <c r="AZ302" i="13"/>
  <c r="AY302" i="13"/>
  <c r="BJ301" i="13"/>
  <c r="BK301" i="13" s="1"/>
  <c r="BH301" i="13"/>
  <c r="BG301" i="13"/>
  <c r="AZ301" i="13"/>
  <c r="AY301" i="13"/>
  <c r="BJ300" i="13"/>
  <c r="BK300" i="13" s="1"/>
  <c r="BH300" i="13"/>
  <c r="BG300" i="13"/>
  <c r="AZ300" i="13"/>
  <c r="AY300" i="13"/>
  <c r="BJ299" i="13"/>
  <c r="BK299" i="13" s="1"/>
  <c r="BH299" i="13"/>
  <c r="BG299" i="13"/>
  <c r="AZ299" i="13"/>
  <c r="AY299" i="13"/>
  <c r="BJ298" i="13"/>
  <c r="BK298" i="13" s="1"/>
  <c r="BH298" i="13"/>
  <c r="BG298" i="13"/>
  <c r="AZ298" i="13"/>
  <c r="AY298" i="13"/>
  <c r="BJ297" i="13"/>
  <c r="BK297" i="13" s="1"/>
  <c r="BH297" i="13"/>
  <c r="BG297" i="13"/>
  <c r="AZ297" i="13"/>
  <c r="AY297" i="13"/>
  <c r="BJ296" i="13"/>
  <c r="BK296" i="13" s="1"/>
  <c r="BH296" i="13"/>
  <c r="BG296" i="13"/>
  <c r="AZ296" i="13"/>
  <c r="AY296" i="13"/>
  <c r="BJ295" i="13"/>
  <c r="BK295" i="13" s="1"/>
  <c r="BH295" i="13"/>
  <c r="BG295" i="13"/>
  <c r="AZ295" i="13"/>
  <c r="AY295" i="13"/>
  <c r="BJ294" i="13"/>
  <c r="BK294" i="13" s="1"/>
  <c r="BH294" i="13"/>
  <c r="BG294" i="13"/>
  <c r="AZ294" i="13"/>
  <c r="AY294" i="13"/>
  <c r="BJ293" i="13"/>
  <c r="BK293" i="13" s="1"/>
  <c r="BH293" i="13"/>
  <c r="BG293" i="13"/>
  <c r="AZ293" i="13"/>
  <c r="AY293" i="13"/>
  <c r="BJ292" i="13"/>
  <c r="BK292" i="13" s="1"/>
  <c r="BH292" i="13"/>
  <c r="BG292" i="13"/>
  <c r="AZ292" i="13"/>
  <c r="AY292" i="13"/>
  <c r="BJ291" i="13"/>
  <c r="BK291" i="13" s="1"/>
  <c r="BH291" i="13"/>
  <c r="BG291" i="13"/>
  <c r="AZ291" i="13"/>
  <c r="AY291" i="13"/>
  <c r="BJ290" i="13"/>
  <c r="BK290" i="13" s="1"/>
  <c r="BH290" i="13"/>
  <c r="BG290" i="13"/>
  <c r="AZ290" i="13"/>
  <c r="AY290" i="13"/>
  <c r="BJ289" i="13"/>
  <c r="BK289" i="13" s="1"/>
  <c r="BH289" i="13"/>
  <c r="BG289" i="13"/>
  <c r="AZ289" i="13"/>
  <c r="AY289" i="13"/>
  <c r="BJ288" i="13"/>
  <c r="BK288" i="13" s="1"/>
  <c r="BH288" i="13"/>
  <c r="BG288" i="13"/>
  <c r="AZ288" i="13"/>
  <c r="AY288" i="13"/>
  <c r="BJ287" i="13"/>
  <c r="BK287" i="13" s="1"/>
  <c r="BH287" i="13"/>
  <c r="BG287" i="13"/>
  <c r="AZ287" i="13"/>
  <c r="AY287" i="13"/>
  <c r="BJ286" i="13"/>
  <c r="BK286" i="13" s="1"/>
  <c r="BH286" i="13"/>
  <c r="BG286" i="13"/>
  <c r="AZ286" i="13"/>
  <c r="AY286" i="13"/>
  <c r="BJ285" i="13"/>
  <c r="BK285" i="13" s="1"/>
  <c r="BH285" i="13"/>
  <c r="BG285" i="13"/>
  <c r="AZ285" i="13"/>
  <c r="AY285" i="13"/>
  <c r="BJ284" i="13"/>
  <c r="BK284" i="13" s="1"/>
  <c r="BH284" i="13"/>
  <c r="BG284" i="13"/>
  <c r="AZ284" i="13"/>
  <c r="AY284" i="13"/>
  <c r="BJ283" i="13"/>
  <c r="BK283" i="13" s="1"/>
  <c r="BH283" i="13"/>
  <c r="BG283" i="13"/>
  <c r="AZ283" i="13"/>
  <c r="AY283" i="13"/>
  <c r="BJ282" i="13"/>
  <c r="BK282" i="13" s="1"/>
  <c r="BH282" i="13"/>
  <c r="BG282" i="13"/>
  <c r="AZ282" i="13"/>
  <c r="AY282" i="13"/>
  <c r="BJ281" i="13"/>
  <c r="BK281" i="13" s="1"/>
  <c r="BH281" i="13"/>
  <c r="BG281" i="13"/>
  <c r="AZ281" i="13"/>
  <c r="AY281" i="13"/>
  <c r="BJ280" i="13"/>
  <c r="BK280" i="13" s="1"/>
  <c r="BH280" i="13"/>
  <c r="BG280" i="13"/>
  <c r="AZ280" i="13"/>
  <c r="AY280" i="13"/>
  <c r="BJ279" i="13"/>
  <c r="BK279" i="13" s="1"/>
  <c r="BH279" i="13"/>
  <c r="BG279" i="13"/>
  <c r="AZ279" i="13"/>
  <c r="AY279" i="13"/>
  <c r="BJ278" i="13"/>
  <c r="BK278" i="13" s="1"/>
  <c r="BH278" i="13"/>
  <c r="BG278" i="13"/>
  <c r="AZ278" i="13"/>
  <c r="AY278" i="13"/>
  <c r="BJ277" i="13"/>
  <c r="BK277" i="13" s="1"/>
  <c r="BH277" i="13"/>
  <c r="BG277" i="13"/>
  <c r="AZ277" i="13"/>
  <c r="AY277" i="13"/>
  <c r="BJ276" i="13"/>
  <c r="BK276" i="13" s="1"/>
  <c r="BH276" i="13"/>
  <c r="BG276" i="13"/>
  <c r="AZ276" i="13"/>
  <c r="AY276" i="13"/>
  <c r="BJ275" i="13"/>
  <c r="BK275" i="13" s="1"/>
  <c r="BH275" i="13"/>
  <c r="BG275" i="13"/>
  <c r="AZ275" i="13"/>
  <c r="AY275" i="13"/>
  <c r="BJ274" i="13"/>
  <c r="BK274" i="13" s="1"/>
  <c r="BH274" i="13"/>
  <c r="BG274" i="13"/>
  <c r="AZ274" i="13"/>
  <c r="AY274" i="13"/>
  <c r="BJ273" i="13"/>
  <c r="BK273" i="13" s="1"/>
  <c r="BH273" i="13"/>
  <c r="BG273" i="13"/>
  <c r="AZ273" i="13"/>
  <c r="AY273" i="13"/>
  <c r="BJ272" i="13"/>
  <c r="BK272" i="13" s="1"/>
  <c r="BH272" i="13"/>
  <c r="BG272" i="13"/>
  <c r="AZ272" i="13"/>
  <c r="AY272" i="13"/>
  <c r="BJ271" i="13"/>
  <c r="BK271" i="13" s="1"/>
  <c r="BH271" i="13"/>
  <c r="BG271" i="13"/>
  <c r="AZ271" i="13"/>
  <c r="AY271" i="13"/>
  <c r="BJ270" i="13"/>
  <c r="BK270" i="13" s="1"/>
  <c r="BH270" i="13"/>
  <c r="BG270" i="13"/>
  <c r="AZ270" i="13"/>
  <c r="AY270" i="13"/>
  <c r="BJ269" i="13"/>
  <c r="BK269" i="13" s="1"/>
  <c r="BH269" i="13"/>
  <c r="BG269" i="13"/>
  <c r="AZ269" i="13"/>
  <c r="AY269" i="13"/>
  <c r="BJ268" i="13"/>
  <c r="BK268" i="13" s="1"/>
  <c r="BH268" i="13"/>
  <c r="BG268" i="13"/>
  <c r="AZ268" i="13"/>
  <c r="AY268" i="13"/>
  <c r="BJ267" i="13"/>
  <c r="BK267" i="13" s="1"/>
  <c r="BH267" i="13"/>
  <c r="BG267" i="13"/>
  <c r="AZ267" i="13"/>
  <c r="AY267" i="13"/>
  <c r="BJ266" i="13"/>
  <c r="BK266" i="13" s="1"/>
  <c r="BH266" i="13"/>
  <c r="BG266" i="13"/>
  <c r="AZ266" i="13"/>
  <c r="AY266" i="13"/>
  <c r="BJ265" i="13"/>
  <c r="BK265" i="13" s="1"/>
  <c r="BH265" i="13"/>
  <c r="BG265" i="13"/>
  <c r="AZ265" i="13"/>
  <c r="AY265" i="13"/>
  <c r="BJ264" i="13"/>
  <c r="BK264" i="13" s="1"/>
  <c r="BH264" i="13"/>
  <c r="BG264" i="13"/>
  <c r="AZ264" i="13"/>
  <c r="AY264" i="13"/>
  <c r="BJ263" i="13"/>
  <c r="BK263" i="13" s="1"/>
  <c r="BH263" i="13"/>
  <c r="BG263" i="13"/>
  <c r="AZ263" i="13"/>
  <c r="AY263" i="13"/>
  <c r="BJ262" i="13"/>
  <c r="BK262" i="13" s="1"/>
  <c r="BH262" i="13"/>
  <c r="BG262" i="13"/>
  <c r="AZ262" i="13"/>
  <c r="AY262" i="13"/>
  <c r="BJ261" i="13"/>
  <c r="BK261" i="13" s="1"/>
  <c r="BH261" i="13"/>
  <c r="BG261" i="13"/>
  <c r="AZ261" i="13"/>
  <c r="AY261" i="13"/>
  <c r="BJ260" i="13"/>
  <c r="BK260" i="13" s="1"/>
  <c r="BH260" i="13"/>
  <c r="BG260" i="13"/>
  <c r="AZ260" i="13"/>
  <c r="AY260" i="13"/>
  <c r="BJ259" i="13"/>
  <c r="BK259" i="13" s="1"/>
  <c r="BH259" i="13"/>
  <c r="BG259" i="13"/>
  <c r="AZ259" i="13"/>
  <c r="AY259" i="13"/>
  <c r="BJ258" i="13"/>
  <c r="BK258" i="13" s="1"/>
  <c r="BH258" i="13"/>
  <c r="BG258" i="13"/>
  <c r="AZ258" i="13"/>
  <c r="AY258" i="13"/>
  <c r="BJ257" i="13"/>
  <c r="BK257" i="13" s="1"/>
  <c r="BH257" i="13"/>
  <c r="BG257" i="13"/>
  <c r="AZ257" i="13"/>
  <c r="AY257" i="13"/>
  <c r="BJ256" i="13"/>
  <c r="BK256" i="13" s="1"/>
  <c r="BH256" i="13"/>
  <c r="BG256" i="13"/>
  <c r="AZ256" i="13"/>
  <c r="AY256" i="13"/>
  <c r="BJ255" i="13"/>
  <c r="BK255" i="13" s="1"/>
  <c r="BH255" i="13"/>
  <c r="BG255" i="13"/>
  <c r="AZ255" i="13"/>
  <c r="AY255" i="13"/>
  <c r="BJ254" i="13"/>
  <c r="BK254" i="13" s="1"/>
  <c r="BH254" i="13"/>
  <c r="BG254" i="13"/>
  <c r="AZ254" i="13"/>
  <c r="AY254" i="13"/>
  <c r="BJ253" i="13"/>
  <c r="BK253" i="13" s="1"/>
  <c r="BH253" i="13"/>
  <c r="BG253" i="13"/>
  <c r="AZ253" i="13"/>
  <c r="AY253" i="13"/>
  <c r="BJ252" i="13"/>
  <c r="BK252" i="13" s="1"/>
  <c r="BH252" i="13"/>
  <c r="BG252" i="13"/>
  <c r="AZ252" i="13"/>
  <c r="AY252" i="13"/>
  <c r="BJ251" i="13"/>
  <c r="BK251" i="13" s="1"/>
  <c r="BH251" i="13"/>
  <c r="BG251" i="13"/>
  <c r="AZ251" i="13"/>
  <c r="AY251" i="13"/>
  <c r="BJ250" i="13"/>
  <c r="BK250" i="13" s="1"/>
  <c r="BH250" i="13"/>
  <c r="BG250" i="13"/>
  <c r="AZ250" i="13"/>
  <c r="AY250" i="13"/>
  <c r="BJ249" i="13"/>
  <c r="BK249" i="13" s="1"/>
  <c r="BH249" i="13"/>
  <c r="BG249" i="13"/>
  <c r="AZ249" i="13"/>
  <c r="AY249" i="13"/>
  <c r="BJ248" i="13"/>
  <c r="BK248" i="13" s="1"/>
  <c r="BH248" i="13"/>
  <c r="BG248" i="13"/>
  <c r="AZ248" i="13"/>
  <c r="AY248" i="13"/>
  <c r="BJ247" i="13"/>
  <c r="BK247" i="13" s="1"/>
  <c r="BH247" i="13"/>
  <c r="BG247" i="13"/>
  <c r="AZ247" i="13"/>
  <c r="AY247" i="13"/>
  <c r="BJ246" i="13"/>
  <c r="BK246" i="13" s="1"/>
  <c r="BH246" i="13"/>
  <c r="BG246" i="13"/>
  <c r="AZ246" i="13"/>
  <c r="AY246" i="13"/>
  <c r="BJ245" i="13"/>
  <c r="BK245" i="13" s="1"/>
  <c r="BH245" i="13"/>
  <c r="BG245" i="13"/>
  <c r="AZ245" i="13"/>
  <c r="AY245" i="13"/>
  <c r="BJ244" i="13"/>
  <c r="BK244" i="13" s="1"/>
  <c r="BH244" i="13"/>
  <c r="BG244" i="13"/>
  <c r="AZ244" i="13"/>
  <c r="AY244" i="13"/>
  <c r="BJ243" i="13"/>
  <c r="BK243" i="13" s="1"/>
  <c r="BH243" i="13"/>
  <c r="BG243" i="13"/>
  <c r="AZ243" i="13"/>
  <c r="AY243" i="13"/>
  <c r="BJ242" i="13"/>
  <c r="BK242" i="13" s="1"/>
  <c r="BH242" i="13"/>
  <c r="BG242" i="13"/>
  <c r="AZ242" i="13"/>
  <c r="AY242" i="13"/>
  <c r="BJ241" i="13"/>
  <c r="BK241" i="13" s="1"/>
  <c r="BH241" i="13"/>
  <c r="BG241" i="13"/>
  <c r="AZ241" i="13"/>
  <c r="AY241" i="13"/>
  <c r="BJ240" i="13"/>
  <c r="BK240" i="13" s="1"/>
  <c r="BH240" i="13"/>
  <c r="BG240" i="13"/>
  <c r="AZ240" i="13"/>
  <c r="AY240" i="13"/>
  <c r="BJ239" i="13"/>
  <c r="BK239" i="13" s="1"/>
  <c r="BH239" i="13"/>
  <c r="BG239" i="13"/>
  <c r="AZ239" i="13"/>
  <c r="AY239" i="13"/>
  <c r="BJ238" i="13"/>
  <c r="BK238" i="13" s="1"/>
  <c r="BH238" i="13"/>
  <c r="BG238" i="13"/>
  <c r="AZ238" i="13"/>
  <c r="AY238" i="13"/>
  <c r="BJ237" i="13"/>
  <c r="BK237" i="13" s="1"/>
  <c r="BH237" i="13"/>
  <c r="BG237" i="13"/>
  <c r="AZ237" i="13"/>
  <c r="AY237" i="13"/>
  <c r="BJ236" i="13"/>
  <c r="BK236" i="13" s="1"/>
  <c r="BH236" i="13"/>
  <c r="BG236" i="13"/>
  <c r="AZ236" i="13"/>
  <c r="AY236" i="13"/>
  <c r="BJ235" i="13"/>
  <c r="BK235" i="13" s="1"/>
  <c r="BH235" i="13"/>
  <c r="BG235" i="13"/>
  <c r="AZ235" i="13"/>
  <c r="AY235" i="13"/>
  <c r="BJ234" i="13"/>
  <c r="BK234" i="13" s="1"/>
  <c r="BH234" i="13"/>
  <c r="BG234" i="13"/>
  <c r="AZ234" i="13"/>
  <c r="AY234" i="13"/>
  <c r="BJ233" i="13"/>
  <c r="BK233" i="13" s="1"/>
  <c r="BH233" i="13"/>
  <c r="BG233" i="13"/>
  <c r="AZ233" i="13"/>
  <c r="AY233" i="13"/>
  <c r="BJ232" i="13"/>
  <c r="BK232" i="13" s="1"/>
  <c r="BH232" i="13"/>
  <c r="BG232" i="13"/>
  <c r="AZ232" i="13"/>
  <c r="AY232" i="13"/>
  <c r="BJ231" i="13"/>
  <c r="BK231" i="13" s="1"/>
  <c r="BH231" i="13"/>
  <c r="BG231" i="13"/>
  <c r="AZ231" i="13"/>
  <c r="AY231" i="13"/>
  <c r="BJ230" i="13"/>
  <c r="BK230" i="13" s="1"/>
  <c r="BH230" i="13"/>
  <c r="BG230" i="13"/>
  <c r="AZ230" i="13"/>
  <c r="AY230" i="13"/>
  <c r="BJ229" i="13"/>
  <c r="BK229" i="13" s="1"/>
  <c r="BH229" i="13"/>
  <c r="BG229" i="13"/>
  <c r="AZ229" i="13"/>
  <c r="AY229" i="13"/>
  <c r="BJ228" i="13"/>
  <c r="BK228" i="13" s="1"/>
  <c r="BH228" i="13"/>
  <c r="BG228" i="13"/>
  <c r="AZ228" i="13"/>
  <c r="AY228" i="13"/>
  <c r="BJ227" i="13"/>
  <c r="BK227" i="13" s="1"/>
  <c r="BH227" i="13"/>
  <c r="BG227" i="13"/>
  <c r="AZ227" i="13"/>
  <c r="AY227" i="13"/>
  <c r="BJ226" i="13"/>
  <c r="BK226" i="13" s="1"/>
  <c r="BH226" i="13"/>
  <c r="BG226" i="13"/>
  <c r="AZ226" i="13"/>
  <c r="AY226" i="13"/>
  <c r="BJ225" i="13"/>
  <c r="BK225" i="13" s="1"/>
  <c r="BH225" i="13"/>
  <c r="BG225" i="13"/>
  <c r="AZ225" i="13"/>
  <c r="AY225" i="13"/>
  <c r="BJ224" i="13"/>
  <c r="BK224" i="13" s="1"/>
  <c r="BH224" i="13"/>
  <c r="BG224" i="13"/>
  <c r="AZ224" i="13"/>
  <c r="AY224" i="13"/>
  <c r="BJ223" i="13"/>
  <c r="BK223" i="13" s="1"/>
  <c r="BH223" i="13"/>
  <c r="BG223" i="13"/>
  <c r="AZ223" i="13"/>
  <c r="AY223" i="13"/>
  <c r="BJ222" i="13"/>
  <c r="BK222" i="13" s="1"/>
  <c r="BH222" i="13"/>
  <c r="BG222" i="13"/>
  <c r="AZ222" i="13"/>
  <c r="AY222" i="13"/>
  <c r="BJ221" i="13"/>
  <c r="BK221" i="13" s="1"/>
  <c r="BH221" i="13"/>
  <c r="BG221" i="13"/>
  <c r="AZ221" i="13"/>
  <c r="AY221" i="13"/>
  <c r="BJ220" i="13"/>
  <c r="BK220" i="13" s="1"/>
  <c r="BH220" i="13"/>
  <c r="BG220" i="13"/>
  <c r="AZ220" i="13"/>
  <c r="AY220" i="13"/>
  <c r="BJ219" i="13"/>
  <c r="BK219" i="13" s="1"/>
  <c r="BH219" i="13"/>
  <c r="BG219" i="13"/>
  <c r="AZ219" i="13"/>
  <c r="AY219" i="13"/>
  <c r="BJ218" i="13"/>
  <c r="BK218" i="13" s="1"/>
  <c r="BH218" i="13"/>
  <c r="BG218" i="13"/>
  <c r="AZ218" i="13"/>
  <c r="AY218" i="13"/>
  <c r="BJ217" i="13"/>
  <c r="BK217" i="13" s="1"/>
  <c r="BH217" i="13"/>
  <c r="BG217" i="13"/>
  <c r="AZ217" i="13"/>
  <c r="AY217" i="13"/>
  <c r="BJ216" i="13"/>
  <c r="BK216" i="13" s="1"/>
  <c r="BH216" i="13"/>
  <c r="BG216" i="13"/>
  <c r="AZ216" i="13"/>
  <c r="AY216" i="13"/>
  <c r="BJ215" i="13"/>
  <c r="BK215" i="13" s="1"/>
  <c r="BH215" i="13"/>
  <c r="BG215" i="13"/>
  <c r="AZ215" i="13"/>
  <c r="AY215" i="13"/>
  <c r="BJ214" i="13"/>
  <c r="BK214" i="13" s="1"/>
  <c r="BH214" i="13"/>
  <c r="BG214" i="13"/>
  <c r="AZ214" i="13"/>
  <c r="AY214" i="13"/>
  <c r="BJ213" i="13"/>
  <c r="BK213" i="13" s="1"/>
  <c r="BH213" i="13"/>
  <c r="BG213" i="13"/>
  <c r="AZ213" i="13"/>
  <c r="AY213" i="13"/>
  <c r="BJ212" i="13"/>
  <c r="BK212" i="13" s="1"/>
  <c r="BH212" i="13"/>
  <c r="BG212" i="13"/>
  <c r="AZ212" i="13"/>
  <c r="AY212" i="13"/>
  <c r="BJ211" i="13"/>
  <c r="BK211" i="13" s="1"/>
  <c r="BH211" i="13"/>
  <c r="BG211" i="13"/>
  <c r="AZ211" i="13"/>
  <c r="AY211" i="13"/>
  <c r="BJ210" i="13"/>
  <c r="BK210" i="13" s="1"/>
  <c r="BH210" i="13"/>
  <c r="BG210" i="13"/>
  <c r="AZ210" i="13"/>
  <c r="AY210" i="13"/>
  <c r="BJ209" i="13"/>
  <c r="BK209" i="13" s="1"/>
  <c r="BH209" i="13"/>
  <c r="BG209" i="13"/>
  <c r="AZ209" i="13"/>
  <c r="AY209" i="13"/>
  <c r="BJ208" i="13"/>
  <c r="BK208" i="13" s="1"/>
  <c r="BH208" i="13"/>
  <c r="BG208" i="13"/>
  <c r="AZ208" i="13"/>
  <c r="AY208" i="13"/>
  <c r="BJ207" i="13"/>
  <c r="BK207" i="13" s="1"/>
  <c r="BH207" i="13"/>
  <c r="BG207" i="13"/>
  <c r="AZ207" i="13"/>
  <c r="AY207" i="13"/>
  <c r="BJ206" i="13"/>
  <c r="BK206" i="13" s="1"/>
  <c r="BH206" i="13"/>
  <c r="BG206" i="13"/>
  <c r="AZ206" i="13"/>
  <c r="AY206" i="13"/>
  <c r="BJ205" i="13"/>
  <c r="BK205" i="13" s="1"/>
  <c r="BH205" i="13"/>
  <c r="BG205" i="13"/>
  <c r="AZ205" i="13"/>
  <c r="AY205" i="13"/>
  <c r="BJ204" i="13"/>
  <c r="BK204" i="13" s="1"/>
  <c r="BH204" i="13"/>
  <c r="BG204" i="13"/>
  <c r="AZ204" i="13"/>
  <c r="AY204" i="13"/>
  <c r="BJ203" i="13"/>
  <c r="BK203" i="13" s="1"/>
  <c r="BH203" i="13"/>
  <c r="BG203" i="13"/>
  <c r="AZ203" i="13"/>
  <c r="AY203" i="13"/>
  <c r="BJ202" i="13"/>
  <c r="BK202" i="13" s="1"/>
  <c r="BH202" i="13"/>
  <c r="BG202" i="13"/>
  <c r="AZ202" i="13"/>
  <c r="AY202" i="13"/>
  <c r="BJ201" i="13"/>
  <c r="BK201" i="13" s="1"/>
  <c r="BH201" i="13"/>
  <c r="BG201" i="13"/>
  <c r="AZ201" i="13"/>
  <c r="AY201" i="13"/>
  <c r="BJ200" i="13"/>
  <c r="BK200" i="13" s="1"/>
  <c r="BH200" i="13"/>
  <c r="BG200" i="13"/>
  <c r="AZ200" i="13"/>
  <c r="AY200" i="13"/>
  <c r="BJ199" i="13"/>
  <c r="BK199" i="13" s="1"/>
  <c r="BH199" i="13"/>
  <c r="BG199" i="13"/>
  <c r="AZ199" i="13"/>
  <c r="AY199" i="13"/>
  <c r="BJ198" i="13"/>
  <c r="BK198" i="13" s="1"/>
  <c r="BH198" i="13"/>
  <c r="BG198" i="13"/>
  <c r="AZ198" i="13"/>
  <c r="AY198" i="13"/>
  <c r="BJ197" i="13"/>
  <c r="BK197" i="13" s="1"/>
  <c r="BH197" i="13"/>
  <c r="BG197" i="13"/>
  <c r="AZ197" i="13"/>
  <c r="AY197" i="13"/>
  <c r="BJ196" i="13"/>
  <c r="BK196" i="13" s="1"/>
  <c r="BH196" i="13"/>
  <c r="BG196" i="13"/>
  <c r="AZ196" i="13"/>
  <c r="AY196" i="13"/>
  <c r="BJ195" i="13"/>
  <c r="BK195" i="13" s="1"/>
  <c r="BH195" i="13"/>
  <c r="BG195" i="13"/>
  <c r="AZ195" i="13"/>
  <c r="AY195" i="13"/>
  <c r="BJ194" i="13"/>
  <c r="BK194" i="13" s="1"/>
  <c r="BH194" i="13"/>
  <c r="BG194" i="13"/>
  <c r="AZ194" i="13"/>
  <c r="AY194" i="13"/>
  <c r="BJ193" i="13"/>
  <c r="BK193" i="13" s="1"/>
  <c r="BH193" i="13"/>
  <c r="BG193" i="13"/>
  <c r="AZ193" i="13"/>
  <c r="AY193" i="13"/>
  <c r="BJ192" i="13"/>
  <c r="BK192" i="13" s="1"/>
  <c r="BH192" i="13"/>
  <c r="BG192" i="13"/>
  <c r="AZ192" i="13"/>
  <c r="AY192" i="13"/>
  <c r="BJ191" i="13"/>
  <c r="BK191" i="13" s="1"/>
  <c r="BH191" i="13"/>
  <c r="BG191" i="13"/>
  <c r="AZ191" i="13"/>
  <c r="AY191" i="13"/>
  <c r="BJ190" i="13"/>
  <c r="BK190" i="13" s="1"/>
  <c r="BH190" i="13"/>
  <c r="BG190" i="13"/>
  <c r="AZ190" i="13"/>
  <c r="AY190" i="13"/>
  <c r="BJ189" i="13"/>
  <c r="BK189" i="13" s="1"/>
  <c r="BH189" i="13"/>
  <c r="BG189" i="13"/>
  <c r="AZ189" i="13"/>
  <c r="AY189" i="13"/>
  <c r="BJ188" i="13"/>
  <c r="BK188" i="13" s="1"/>
  <c r="BH188" i="13"/>
  <c r="BG188" i="13"/>
  <c r="AZ188" i="13"/>
  <c r="AY188" i="13"/>
  <c r="BJ187" i="13"/>
  <c r="BK187" i="13" s="1"/>
  <c r="BH187" i="13"/>
  <c r="BG187" i="13"/>
  <c r="AZ187" i="13"/>
  <c r="AY187" i="13"/>
  <c r="BJ186" i="13"/>
  <c r="BK186" i="13" s="1"/>
  <c r="BH186" i="13"/>
  <c r="BG186" i="13"/>
  <c r="AZ186" i="13"/>
  <c r="AY186" i="13"/>
  <c r="BJ185" i="13"/>
  <c r="BK185" i="13" s="1"/>
  <c r="BH185" i="13"/>
  <c r="BG185" i="13"/>
  <c r="AZ185" i="13"/>
  <c r="AY185" i="13"/>
  <c r="BJ184" i="13"/>
  <c r="BK184" i="13" s="1"/>
  <c r="BH184" i="13"/>
  <c r="BG184" i="13"/>
  <c r="AZ184" i="13"/>
  <c r="AY184" i="13"/>
  <c r="BJ183" i="13"/>
  <c r="BK183" i="13" s="1"/>
  <c r="BH183" i="13"/>
  <c r="BG183" i="13"/>
  <c r="AZ183" i="13"/>
  <c r="AY183" i="13"/>
  <c r="BJ182" i="13"/>
  <c r="BK182" i="13" s="1"/>
  <c r="BH182" i="13"/>
  <c r="BG182" i="13"/>
  <c r="AZ182" i="13"/>
  <c r="AY182" i="13"/>
  <c r="BJ181" i="13"/>
  <c r="BK181" i="13" s="1"/>
  <c r="BH181" i="13"/>
  <c r="BG181" i="13"/>
  <c r="AZ181" i="13"/>
  <c r="AY181" i="13"/>
  <c r="BJ180" i="13"/>
  <c r="BK180" i="13" s="1"/>
  <c r="BH180" i="13"/>
  <c r="BG180" i="13"/>
  <c r="AZ180" i="13"/>
  <c r="AY180" i="13"/>
  <c r="BJ179" i="13"/>
  <c r="BK179" i="13" s="1"/>
  <c r="BH179" i="13"/>
  <c r="BG179" i="13"/>
  <c r="AZ179" i="13"/>
  <c r="AY179" i="13"/>
  <c r="BJ178" i="13"/>
  <c r="BK178" i="13" s="1"/>
  <c r="BH178" i="13"/>
  <c r="BG178" i="13"/>
  <c r="AZ178" i="13"/>
  <c r="AY178" i="13"/>
  <c r="BJ177" i="13"/>
  <c r="BK177" i="13" s="1"/>
  <c r="BH177" i="13"/>
  <c r="BG177" i="13"/>
  <c r="AZ177" i="13"/>
  <c r="AY177" i="13"/>
  <c r="BJ176" i="13"/>
  <c r="BK176" i="13" s="1"/>
  <c r="BH176" i="13"/>
  <c r="BG176" i="13"/>
  <c r="AZ176" i="13"/>
  <c r="AY176" i="13"/>
  <c r="BJ175" i="13"/>
  <c r="BK175" i="13" s="1"/>
  <c r="BH175" i="13"/>
  <c r="BG175" i="13"/>
  <c r="AZ175" i="13"/>
  <c r="AY175" i="13"/>
  <c r="BJ174" i="13"/>
  <c r="BK174" i="13" s="1"/>
  <c r="BH174" i="13"/>
  <c r="BG174" i="13"/>
  <c r="AZ174" i="13"/>
  <c r="AY174" i="13"/>
  <c r="BJ173" i="13"/>
  <c r="BK173" i="13" s="1"/>
  <c r="BH173" i="13"/>
  <c r="BG173" i="13"/>
  <c r="AZ173" i="13"/>
  <c r="AY173" i="13"/>
  <c r="BJ172" i="13"/>
  <c r="BK172" i="13" s="1"/>
  <c r="BH172" i="13"/>
  <c r="BG172" i="13"/>
  <c r="AZ172" i="13"/>
  <c r="AY172" i="13"/>
  <c r="BJ171" i="13"/>
  <c r="BK171" i="13" s="1"/>
  <c r="BH171" i="13"/>
  <c r="BG171" i="13"/>
  <c r="AZ171" i="13"/>
  <c r="AY171" i="13"/>
  <c r="BJ170" i="13"/>
  <c r="BK170" i="13" s="1"/>
  <c r="BH170" i="13"/>
  <c r="BG170" i="13"/>
  <c r="AZ170" i="13"/>
  <c r="AY170" i="13"/>
  <c r="BJ169" i="13"/>
  <c r="BK169" i="13" s="1"/>
  <c r="BH169" i="13"/>
  <c r="BG169" i="13"/>
  <c r="AZ169" i="13"/>
  <c r="AY169" i="13"/>
  <c r="BJ168" i="13"/>
  <c r="BK168" i="13" s="1"/>
  <c r="BH168" i="13"/>
  <c r="BG168" i="13"/>
  <c r="AZ168" i="13"/>
  <c r="AY168" i="13"/>
  <c r="BJ167" i="13"/>
  <c r="BK167" i="13" s="1"/>
  <c r="BH167" i="13"/>
  <c r="BG167" i="13"/>
  <c r="AZ167" i="13"/>
  <c r="AY167" i="13"/>
  <c r="BJ166" i="13"/>
  <c r="BK166" i="13" s="1"/>
  <c r="BH166" i="13"/>
  <c r="BG166" i="13"/>
  <c r="AZ166" i="13"/>
  <c r="AY166" i="13"/>
  <c r="BJ165" i="13"/>
  <c r="BK165" i="13" s="1"/>
  <c r="BH165" i="13"/>
  <c r="BG165" i="13"/>
  <c r="AZ165" i="13"/>
  <c r="AY165" i="13"/>
  <c r="BJ164" i="13"/>
  <c r="BK164" i="13" s="1"/>
  <c r="BH164" i="13"/>
  <c r="BG164" i="13"/>
  <c r="AZ164" i="13"/>
  <c r="AY164" i="13"/>
  <c r="BJ163" i="13"/>
  <c r="BK163" i="13" s="1"/>
  <c r="BH163" i="13"/>
  <c r="BG163" i="13"/>
  <c r="AZ163" i="13"/>
  <c r="AY163" i="13"/>
  <c r="BJ162" i="13"/>
  <c r="BK162" i="13" s="1"/>
  <c r="BH162" i="13"/>
  <c r="BG162" i="13"/>
  <c r="AZ162" i="13"/>
  <c r="AY162" i="13"/>
  <c r="BJ161" i="13"/>
  <c r="BK161" i="13" s="1"/>
  <c r="BH161" i="13"/>
  <c r="BG161" i="13"/>
  <c r="AZ161" i="13"/>
  <c r="AY161" i="13"/>
  <c r="BJ160" i="13"/>
  <c r="BK160" i="13" s="1"/>
  <c r="BH160" i="13"/>
  <c r="BG160" i="13"/>
  <c r="AZ160" i="13"/>
  <c r="AY160" i="13"/>
  <c r="BJ159" i="13"/>
  <c r="BK159" i="13" s="1"/>
  <c r="BH159" i="13"/>
  <c r="BG159" i="13"/>
  <c r="AZ159" i="13"/>
  <c r="AY159" i="13"/>
  <c r="BJ158" i="13"/>
  <c r="BK158" i="13" s="1"/>
  <c r="BH158" i="13"/>
  <c r="BG158" i="13"/>
  <c r="AZ158" i="13"/>
  <c r="AY158" i="13"/>
  <c r="BJ157" i="13"/>
  <c r="BK157" i="13" s="1"/>
  <c r="BH157" i="13"/>
  <c r="BG157" i="13"/>
  <c r="AZ157" i="13"/>
  <c r="AY157" i="13"/>
  <c r="BJ156" i="13"/>
  <c r="BK156" i="13" s="1"/>
  <c r="BH156" i="13"/>
  <c r="BG156" i="13"/>
  <c r="AZ156" i="13"/>
  <c r="AY156" i="13"/>
  <c r="BJ155" i="13"/>
  <c r="BK155" i="13" s="1"/>
  <c r="BH155" i="13"/>
  <c r="BG155" i="13"/>
  <c r="AZ155" i="13"/>
  <c r="AY155" i="13"/>
  <c r="BJ154" i="13"/>
  <c r="BK154" i="13" s="1"/>
  <c r="BH154" i="13"/>
  <c r="BG154" i="13"/>
  <c r="AZ154" i="13"/>
  <c r="AY154" i="13"/>
  <c r="BJ153" i="13"/>
  <c r="BK153" i="13" s="1"/>
  <c r="BH153" i="13"/>
  <c r="BG153" i="13"/>
  <c r="AZ153" i="13"/>
  <c r="AY153" i="13"/>
  <c r="BJ152" i="13"/>
  <c r="BK152" i="13" s="1"/>
  <c r="BH152" i="13"/>
  <c r="BG152" i="13"/>
  <c r="AZ152" i="13"/>
  <c r="AY152" i="13"/>
  <c r="BJ151" i="13"/>
  <c r="BK151" i="13" s="1"/>
  <c r="BH151" i="13"/>
  <c r="BG151" i="13"/>
  <c r="AZ151" i="13"/>
  <c r="AY151" i="13"/>
  <c r="BJ150" i="13"/>
  <c r="BK150" i="13" s="1"/>
  <c r="BH150" i="13"/>
  <c r="BG150" i="13"/>
  <c r="AZ150" i="13"/>
  <c r="AY150" i="13"/>
  <c r="BJ149" i="13"/>
  <c r="BK149" i="13" s="1"/>
  <c r="BH149" i="13"/>
  <c r="BG149" i="13"/>
  <c r="AZ149" i="13"/>
  <c r="AY149" i="13"/>
  <c r="BJ148" i="13"/>
  <c r="BK148" i="13" s="1"/>
  <c r="BH148" i="13"/>
  <c r="BG148" i="13"/>
  <c r="AZ148" i="13"/>
  <c r="AY148" i="13"/>
  <c r="BJ147" i="13"/>
  <c r="BK147" i="13" s="1"/>
  <c r="BH147" i="13"/>
  <c r="BG147" i="13"/>
  <c r="AZ147" i="13"/>
  <c r="AY147" i="13"/>
  <c r="BJ146" i="13"/>
  <c r="BK146" i="13" s="1"/>
  <c r="BH146" i="13"/>
  <c r="BG146" i="13"/>
  <c r="AZ146" i="13"/>
  <c r="AY146" i="13"/>
  <c r="BJ145" i="13"/>
  <c r="BK145" i="13" s="1"/>
  <c r="BH145" i="13"/>
  <c r="BG145" i="13"/>
  <c r="AZ145" i="13"/>
  <c r="AY145" i="13"/>
  <c r="BJ144" i="13"/>
  <c r="BK144" i="13" s="1"/>
  <c r="BH144" i="13"/>
  <c r="BG144" i="13"/>
  <c r="AZ144" i="13"/>
  <c r="AY144" i="13"/>
  <c r="BJ143" i="13"/>
  <c r="BK143" i="13" s="1"/>
  <c r="BH143" i="13"/>
  <c r="BG143" i="13"/>
  <c r="AZ143" i="13"/>
  <c r="AY143" i="13"/>
  <c r="BJ142" i="13"/>
  <c r="BK142" i="13" s="1"/>
  <c r="BH142" i="13"/>
  <c r="BG142" i="13"/>
  <c r="AZ142" i="13"/>
  <c r="AY142" i="13"/>
  <c r="BJ141" i="13"/>
  <c r="BK141" i="13" s="1"/>
  <c r="BH141" i="13"/>
  <c r="BG141" i="13"/>
  <c r="AZ141" i="13"/>
  <c r="AY141" i="13"/>
  <c r="BJ140" i="13"/>
  <c r="BK140" i="13" s="1"/>
  <c r="BH140" i="13"/>
  <c r="BG140" i="13"/>
  <c r="AZ140" i="13"/>
  <c r="AY140" i="13"/>
  <c r="BJ139" i="13"/>
  <c r="BK139" i="13" s="1"/>
  <c r="BH139" i="13"/>
  <c r="BG139" i="13"/>
  <c r="AZ139" i="13"/>
  <c r="AY139" i="13"/>
  <c r="BJ138" i="13"/>
  <c r="BK138" i="13" s="1"/>
  <c r="BH138" i="13"/>
  <c r="BG138" i="13"/>
  <c r="AZ138" i="13"/>
  <c r="AY138" i="13"/>
  <c r="BJ137" i="13"/>
  <c r="BK137" i="13" s="1"/>
  <c r="BH137" i="13"/>
  <c r="BG137" i="13"/>
  <c r="AZ137" i="13"/>
  <c r="AY137" i="13"/>
  <c r="BJ136" i="13"/>
  <c r="BK136" i="13" s="1"/>
  <c r="BH136" i="13"/>
  <c r="BG136" i="13"/>
  <c r="AZ136" i="13"/>
  <c r="AY136" i="13"/>
  <c r="BJ135" i="13"/>
  <c r="BK135" i="13" s="1"/>
  <c r="BH135" i="13"/>
  <c r="BG135" i="13"/>
  <c r="AZ135" i="13"/>
  <c r="AY135" i="13"/>
  <c r="BJ134" i="13"/>
  <c r="BK134" i="13" s="1"/>
  <c r="BH134" i="13"/>
  <c r="BG134" i="13"/>
  <c r="AZ134" i="13"/>
  <c r="AY134" i="13"/>
  <c r="BJ133" i="13"/>
  <c r="BK133" i="13" s="1"/>
  <c r="BH133" i="13"/>
  <c r="BG133" i="13"/>
  <c r="AZ133" i="13"/>
  <c r="AY133" i="13"/>
  <c r="BJ132" i="13"/>
  <c r="BK132" i="13" s="1"/>
  <c r="BH132" i="13"/>
  <c r="BG132" i="13"/>
  <c r="AZ132" i="13"/>
  <c r="AY132" i="13"/>
  <c r="BJ131" i="13"/>
  <c r="BK131" i="13" s="1"/>
  <c r="BH131" i="13"/>
  <c r="BG131" i="13"/>
  <c r="AZ131" i="13"/>
  <c r="AY131" i="13"/>
  <c r="BJ130" i="13"/>
  <c r="BK130" i="13" s="1"/>
  <c r="BH130" i="13"/>
  <c r="BG130" i="13"/>
  <c r="AZ130" i="13"/>
  <c r="AY130" i="13"/>
  <c r="BJ129" i="13"/>
  <c r="BK129" i="13" s="1"/>
  <c r="BH129" i="13"/>
  <c r="BG129" i="13"/>
  <c r="AZ129" i="13"/>
  <c r="AY129" i="13"/>
  <c r="BJ128" i="13"/>
  <c r="BK128" i="13" s="1"/>
  <c r="BH128" i="13"/>
  <c r="BG128" i="13"/>
  <c r="AZ128" i="13"/>
  <c r="AY128" i="13"/>
  <c r="BJ127" i="13"/>
  <c r="BK127" i="13" s="1"/>
  <c r="BH127" i="13"/>
  <c r="BG127" i="13"/>
  <c r="AZ127" i="13"/>
  <c r="AY127" i="13"/>
  <c r="BJ126" i="13"/>
  <c r="BK126" i="13" s="1"/>
  <c r="BH126" i="13"/>
  <c r="BG126" i="13"/>
  <c r="AZ126" i="13"/>
  <c r="AY126" i="13"/>
  <c r="BJ125" i="13"/>
  <c r="BK125" i="13" s="1"/>
  <c r="BH125" i="13"/>
  <c r="BG125" i="13"/>
  <c r="AZ125" i="13"/>
  <c r="AY125" i="13"/>
  <c r="BJ124" i="13"/>
  <c r="BK124" i="13" s="1"/>
  <c r="BH124" i="13"/>
  <c r="BG124" i="13"/>
  <c r="AZ124" i="13"/>
  <c r="AY124" i="13"/>
  <c r="BJ123" i="13"/>
  <c r="BK123" i="13" s="1"/>
  <c r="BH123" i="13"/>
  <c r="BG123" i="13"/>
  <c r="BJ122" i="13"/>
  <c r="BK122" i="13" s="1"/>
  <c r="BH122" i="13"/>
  <c r="BG122" i="13"/>
  <c r="AZ122" i="13"/>
  <c r="AY122" i="13"/>
  <c r="BJ121" i="13"/>
  <c r="BK121" i="13" s="1"/>
  <c r="BH121" i="13"/>
  <c r="BG121" i="13"/>
  <c r="AZ121" i="13"/>
  <c r="AY121" i="13"/>
  <c r="BJ120" i="13"/>
  <c r="BK120" i="13" s="1"/>
  <c r="BH120" i="13"/>
  <c r="BG120" i="13"/>
  <c r="AZ120" i="13"/>
  <c r="AY120" i="13"/>
  <c r="BJ119" i="13"/>
  <c r="BK119" i="13" s="1"/>
  <c r="BH119" i="13"/>
  <c r="BG119" i="13"/>
  <c r="AZ119" i="13"/>
  <c r="AY119" i="13"/>
  <c r="BJ118" i="13"/>
  <c r="BK118" i="13" s="1"/>
  <c r="BH118" i="13"/>
  <c r="BG118" i="13"/>
  <c r="AZ118" i="13"/>
  <c r="AY118" i="13"/>
  <c r="BJ117" i="13"/>
  <c r="BK117" i="13" s="1"/>
  <c r="BH117" i="13"/>
  <c r="BG117" i="13"/>
  <c r="AZ117" i="13"/>
  <c r="AY117" i="13"/>
  <c r="BJ116" i="13"/>
  <c r="BK116" i="13" s="1"/>
  <c r="BH116" i="13"/>
  <c r="BG116" i="13"/>
  <c r="AZ116" i="13"/>
  <c r="AY116" i="13"/>
  <c r="BJ115" i="13"/>
  <c r="BK115" i="13" s="1"/>
  <c r="BH115" i="13"/>
  <c r="BG115" i="13"/>
  <c r="AZ115" i="13"/>
  <c r="AY115" i="13"/>
  <c r="BJ114" i="13"/>
  <c r="BK114" i="13" s="1"/>
  <c r="BH114" i="13"/>
  <c r="BG114" i="13"/>
  <c r="AZ114" i="13"/>
  <c r="AY114" i="13"/>
  <c r="BJ113" i="13"/>
  <c r="BK113" i="13" s="1"/>
  <c r="BH113" i="13"/>
  <c r="BG113" i="13"/>
  <c r="AZ113" i="13"/>
  <c r="AY113" i="13"/>
  <c r="BJ112" i="13"/>
  <c r="BK112" i="13" s="1"/>
  <c r="BH112" i="13"/>
  <c r="BG112" i="13"/>
  <c r="AZ112" i="13"/>
  <c r="AY112" i="13"/>
  <c r="BJ111" i="13"/>
  <c r="BK111" i="13" s="1"/>
  <c r="BH111" i="13"/>
  <c r="BG111" i="13"/>
  <c r="AZ111" i="13"/>
  <c r="AY111" i="13"/>
  <c r="BJ110" i="13"/>
  <c r="BK110" i="13" s="1"/>
  <c r="BH110" i="13"/>
  <c r="BG110" i="13"/>
  <c r="AZ110" i="13"/>
  <c r="AY110" i="13"/>
  <c r="BJ109" i="13"/>
  <c r="BK109" i="13" s="1"/>
  <c r="BH109" i="13"/>
  <c r="BG109" i="13"/>
  <c r="AZ109" i="13"/>
  <c r="AY109" i="13"/>
  <c r="BJ108" i="13"/>
  <c r="BK108" i="13" s="1"/>
  <c r="BH108" i="13"/>
  <c r="BG108" i="13"/>
  <c r="AZ108" i="13"/>
  <c r="AY108" i="13"/>
  <c r="BJ107" i="13"/>
  <c r="BK107" i="13" s="1"/>
  <c r="BH107" i="13"/>
  <c r="BG107" i="13"/>
  <c r="AZ107" i="13"/>
  <c r="AY107" i="13"/>
  <c r="BJ106" i="13"/>
  <c r="BK106" i="13" s="1"/>
  <c r="BH106" i="13"/>
  <c r="BG106" i="13"/>
  <c r="AZ106" i="13"/>
  <c r="AY106" i="13"/>
  <c r="BJ105" i="13"/>
  <c r="BK105" i="13" s="1"/>
  <c r="BH105" i="13"/>
  <c r="BG105" i="13"/>
  <c r="AZ105" i="13"/>
  <c r="AY105" i="13"/>
  <c r="BJ104" i="13"/>
  <c r="BK104" i="13" s="1"/>
  <c r="BH104" i="13"/>
  <c r="BG104" i="13"/>
  <c r="AZ104" i="13"/>
  <c r="AY104" i="13"/>
  <c r="BJ103" i="13"/>
  <c r="BK103" i="13" s="1"/>
  <c r="BH103" i="13"/>
  <c r="BG103" i="13"/>
  <c r="AZ103" i="13"/>
  <c r="AY103" i="13"/>
  <c r="BJ102" i="13"/>
  <c r="BK102" i="13" s="1"/>
  <c r="BH102" i="13"/>
  <c r="BG102" i="13"/>
  <c r="AZ102" i="13"/>
  <c r="AY102" i="13"/>
  <c r="BJ101" i="13"/>
  <c r="BK101" i="13" s="1"/>
  <c r="BH101" i="13"/>
  <c r="BG101" i="13"/>
  <c r="AZ101" i="13"/>
  <c r="AY101" i="13"/>
  <c r="BJ100" i="13"/>
  <c r="BK100" i="13" s="1"/>
  <c r="BH100" i="13"/>
  <c r="BG100" i="13"/>
  <c r="AZ100" i="13"/>
  <c r="AY100" i="13"/>
  <c r="BJ99" i="13"/>
  <c r="BK99" i="13" s="1"/>
  <c r="BH99" i="13"/>
  <c r="BG99" i="13"/>
  <c r="AZ99" i="13"/>
  <c r="AY99" i="13"/>
  <c r="BJ98" i="13"/>
  <c r="BK98" i="13" s="1"/>
  <c r="BH98" i="13"/>
  <c r="BG98" i="13"/>
  <c r="AZ98" i="13"/>
  <c r="AY98" i="13"/>
  <c r="BJ97" i="13"/>
  <c r="BK97" i="13" s="1"/>
  <c r="BH97" i="13"/>
  <c r="BG97" i="13"/>
  <c r="AZ97" i="13"/>
  <c r="AY97" i="13"/>
  <c r="BJ96" i="13"/>
  <c r="BK96" i="13" s="1"/>
  <c r="BH96" i="13"/>
  <c r="BG96" i="13"/>
  <c r="AZ96" i="13"/>
  <c r="AY96" i="13"/>
  <c r="BJ95" i="13"/>
  <c r="BK95" i="13" s="1"/>
  <c r="BH95" i="13"/>
  <c r="BG95" i="13"/>
  <c r="AZ95" i="13"/>
  <c r="AY95" i="13"/>
  <c r="BJ94" i="13"/>
  <c r="BK94" i="13" s="1"/>
  <c r="BH94" i="13"/>
  <c r="BG94" i="13"/>
  <c r="AZ94" i="13"/>
  <c r="AY94" i="13"/>
  <c r="BJ93" i="13"/>
  <c r="BK93" i="13" s="1"/>
  <c r="BH93" i="13"/>
  <c r="BG93" i="13"/>
  <c r="AZ93" i="13"/>
  <c r="AY93" i="13"/>
  <c r="BJ92" i="13"/>
  <c r="BK92" i="13" s="1"/>
  <c r="BH92" i="13"/>
  <c r="BG92" i="13"/>
  <c r="AZ92" i="13"/>
  <c r="AY92" i="13"/>
  <c r="BJ91" i="13"/>
  <c r="BK91" i="13" s="1"/>
  <c r="BH91" i="13"/>
  <c r="BG91" i="13"/>
  <c r="AZ91" i="13"/>
  <c r="AY91" i="13"/>
  <c r="BJ90" i="13"/>
  <c r="BK90" i="13" s="1"/>
  <c r="BH90" i="13"/>
  <c r="BG90" i="13"/>
  <c r="AZ90" i="13"/>
  <c r="AY90" i="13"/>
  <c r="BJ89" i="13"/>
  <c r="BK89" i="13" s="1"/>
  <c r="BH89" i="13"/>
  <c r="BG89" i="13"/>
  <c r="AZ89" i="13"/>
  <c r="AY89" i="13"/>
  <c r="BJ88" i="13"/>
  <c r="BK88" i="13" s="1"/>
  <c r="BH88" i="13"/>
  <c r="BG88" i="13"/>
  <c r="AZ88" i="13"/>
  <c r="AY88" i="13"/>
  <c r="BJ87" i="13"/>
  <c r="BK87" i="13" s="1"/>
  <c r="BH87" i="13"/>
  <c r="BG87" i="13"/>
  <c r="AZ87" i="13"/>
  <c r="AY87" i="13"/>
  <c r="BJ86" i="13"/>
  <c r="BK86" i="13" s="1"/>
  <c r="BH86" i="13"/>
  <c r="BG86" i="13"/>
  <c r="AZ86" i="13"/>
  <c r="AY86" i="13"/>
  <c r="BJ85" i="13"/>
  <c r="BK85" i="13" s="1"/>
  <c r="BH85" i="13"/>
  <c r="BG85" i="13"/>
  <c r="AZ85" i="13"/>
  <c r="AY85" i="13"/>
  <c r="BJ84" i="13"/>
  <c r="BK84" i="13" s="1"/>
  <c r="BH84" i="13"/>
  <c r="BG84" i="13"/>
  <c r="AZ84" i="13"/>
  <c r="AY84" i="13"/>
  <c r="BJ83" i="13"/>
  <c r="BK83" i="13" s="1"/>
  <c r="BH83" i="13"/>
  <c r="BG83" i="13"/>
  <c r="AZ83" i="13"/>
  <c r="AY83" i="13"/>
  <c r="BJ82" i="13"/>
  <c r="BK82" i="13" s="1"/>
  <c r="BH82" i="13"/>
  <c r="BG82" i="13"/>
  <c r="AZ82" i="13"/>
  <c r="AY82" i="13"/>
  <c r="BJ81" i="13"/>
  <c r="BK81" i="13" s="1"/>
  <c r="BH81" i="13"/>
  <c r="BG81" i="13"/>
  <c r="AZ81" i="13"/>
  <c r="AY81" i="13"/>
  <c r="BJ80" i="13"/>
  <c r="BK80" i="13" s="1"/>
  <c r="BH80" i="13"/>
  <c r="BG80" i="13"/>
  <c r="AZ80" i="13"/>
  <c r="AY80" i="13"/>
  <c r="BJ79" i="13"/>
  <c r="BK79" i="13" s="1"/>
  <c r="BH79" i="13"/>
  <c r="BG79" i="13"/>
  <c r="AZ79" i="13"/>
  <c r="AY79" i="13"/>
  <c r="BJ78" i="13"/>
  <c r="BK78" i="13" s="1"/>
  <c r="BH78" i="13"/>
  <c r="BG78" i="13"/>
  <c r="AZ78" i="13"/>
  <c r="AY78" i="13"/>
  <c r="BJ77" i="13"/>
  <c r="BK77" i="13" s="1"/>
  <c r="BH77" i="13"/>
  <c r="BG77" i="13"/>
  <c r="AZ77" i="13"/>
  <c r="AY77" i="13"/>
  <c r="BJ76" i="13"/>
  <c r="BK76" i="13" s="1"/>
  <c r="BH76" i="13"/>
  <c r="BG76" i="13"/>
  <c r="AZ76" i="13"/>
  <c r="AY76" i="13"/>
  <c r="BJ75" i="13"/>
  <c r="BK75" i="13" s="1"/>
  <c r="BH75" i="13"/>
  <c r="BG75" i="13"/>
  <c r="AZ75" i="13"/>
  <c r="AY75" i="13"/>
  <c r="BJ74" i="13"/>
  <c r="BK74" i="13" s="1"/>
  <c r="BH74" i="13"/>
  <c r="BG74" i="13"/>
  <c r="AZ74" i="13"/>
  <c r="AY74" i="13"/>
  <c r="BJ73" i="13"/>
  <c r="BK73" i="13" s="1"/>
  <c r="BH73" i="13"/>
  <c r="BG73" i="13"/>
  <c r="AZ73" i="13"/>
  <c r="AY73" i="13"/>
  <c r="BJ72" i="13"/>
  <c r="BK72" i="13" s="1"/>
  <c r="BH72" i="13"/>
  <c r="BG72" i="13"/>
  <c r="AZ72" i="13"/>
  <c r="AY72" i="13"/>
  <c r="BJ71" i="13"/>
  <c r="BK71" i="13" s="1"/>
  <c r="BH71" i="13"/>
  <c r="BG71" i="13"/>
  <c r="AZ71" i="13"/>
  <c r="AY71" i="13"/>
  <c r="BJ70" i="13"/>
  <c r="BK70" i="13" s="1"/>
  <c r="BH70" i="13"/>
  <c r="BG70" i="13"/>
  <c r="AZ70" i="13"/>
  <c r="AY70" i="13"/>
  <c r="BJ69" i="13"/>
  <c r="BK69" i="13" s="1"/>
  <c r="BH69" i="13"/>
  <c r="BG69" i="13"/>
  <c r="AZ69" i="13"/>
  <c r="AY69" i="13"/>
  <c r="BJ68" i="13"/>
  <c r="BK68" i="13" s="1"/>
  <c r="BH68" i="13"/>
  <c r="BG68" i="13"/>
  <c r="AZ68" i="13"/>
  <c r="AY68" i="13"/>
  <c r="BJ67" i="13"/>
  <c r="BK67" i="13" s="1"/>
  <c r="BH67" i="13"/>
  <c r="BG67" i="13"/>
  <c r="AZ67" i="13"/>
  <c r="AY67" i="13"/>
  <c r="BJ66" i="13"/>
  <c r="BK66" i="13" s="1"/>
  <c r="BH66" i="13"/>
  <c r="BG66" i="13"/>
  <c r="AZ66" i="13"/>
  <c r="AY66" i="13"/>
  <c r="BJ65" i="13"/>
  <c r="BK65" i="13" s="1"/>
  <c r="BH65" i="13"/>
  <c r="BG65" i="13"/>
  <c r="AZ65" i="13"/>
  <c r="AY65" i="13"/>
  <c r="BJ64" i="13"/>
  <c r="BK64" i="13" s="1"/>
  <c r="BH64" i="13"/>
  <c r="BG64" i="13"/>
  <c r="AZ64" i="13"/>
  <c r="AY64" i="13"/>
  <c r="BJ63" i="13"/>
  <c r="BK63" i="13" s="1"/>
  <c r="BH63" i="13"/>
  <c r="BG63" i="13"/>
  <c r="AZ63" i="13"/>
  <c r="AY63" i="13"/>
  <c r="BJ62" i="13"/>
  <c r="BK62" i="13" s="1"/>
  <c r="BH62" i="13"/>
  <c r="BG62" i="13"/>
  <c r="AZ62" i="13"/>
  <c r="AY62" i="13"/>
  <c r="BJ61" i="13"/>
  <c r="BK61" i="13" s="1"/>
  <c r="BH61" i="13"/>
  <c r="BG61" i="13"/>
  <c r="AZ61" i="13"/>
  <c r="AY61" i="13"/>
  <c r="BJ60" i="13"/>
  <c r="BK60" i="13" s="1"/>
  <c r="BH60" i="13"/>
  <c r="BG60" i="13"/>
  <c r="AZ60" i="13"/>
  <c r="AY60" i="13"/>
  <c r="BJ59" i="13"/>
  <c r="BK59" i="13" s="1"/>
  <c r="BH59" i="13"/>
  <c r="BG59" i="13"/>
  <c r="AZ59" i="13"/>
  <c r="AY59" i="13"/>
  <c r="BJ58" i="13"/>
  <c r="BK58" i="13" s="1"/>
  <c r="BH58" i="13"/>
  <c r="BG58" i="13"/>
  <c r="AZ58" i="13"/>
  <c r="AY58" i="13"/>
  <c r="BJ57" i="13"/>
  <c r="BK57" i="13" s="1"/>
  <c r="BH57" i="13"/>
  <c r="BG57" i="13"/>
  <c r="AZ57" i="13"/>
  <c r="AY57" i="13"/>
  <c r="BJ56" i="13"/>
  <c r="BK56" i="13" s="1"/>
  <c r="BH56" i="13"/>
  <c r="BG56" i="13"/>
  <c r="AZ56" i="13"/>
  <c r="AY56" i="13"/>
  <c r="BJ55" i="13"/>
  <c r="BK55" i="13" s="1"/>
  <c r="BH55" i="13"/>
  <c r="BG55" i="13"/>
  <c r="AZ55" i="13"/>
  <c r="AY55" i="13"/>
  <c r="BJ54" i="13"/>
  <c r="BK54" i="13" s="1"/>
  <c r="BH54" i="13"/>
  <c r="BG54" i="13"/>
  <c r="AZ54" i="13"/>
  <c r="AY54" i="13"/>
  <c r="BJ53" i="13"/>
  <c r="BK53" i="13" s="1"/>
  <c r="BH53" i="13"/>
  <c r="BG53" i="13"/>
  <c r="AZ53" i="13"/>
  <c r="AY53" i="13"/>
  <c r="BH52" i="13"/>
  <c r="BG52" i="13"/>
  <c r="AZ52" i="13"/>
  <c r="AY52" i="13"/>
  <c r="BJ51" i="13"/>
  <c r="BK51" i="13" s="1"/>
  <c r="BH51" i="13"/>
  <c r="BG51" i="13"/>
  <c r="AZ51" i="13"/>
  <c r="AY51" i="13"/>
  <c r="BJ50" i="13"/>
  <c r="BK50" i="13" s="1"/>
  <c r="BH50" i="13"/>
  <c r="BG50" i="13"/>
  <c r="AZ50" i="13"/>
  <c r="AY50" i="13"/>
  <c r="BJ49" i="13"/>
  <c r="BK49" i="13" s="1"/>
  <c r="BH49" i="13"/>
  <c r="BG49" i="13"/>
  <c r="AZ49" i="13"/>
  <c r="AY49" i="13"/>
  <c r="AZ48" i="13"/>
  <c r="AY48" i="13"/>
  <c r="J46" i="13"/>
  <c r="J47" i="13" s="1"/>
  <c r="J48" i="13" s="1"/>
  <c r="J44" i="13"/>
  <c r="J43" i="13" s="1"/>
  <c r="J42" i="13" s="1"/>
  <c r="AH34" i="13"/>
  <c r="AH35" i="13" s="1"/>
  <c r="AH36" i="13" s="1"/>
  <c r="AH37" i="13" s="1"/>
  <c r="AH38" i="13" s="1"/>
  <c r="J33" i="13"/>
  <c r="J34" i="13" s="1"/>
  <c r="J35" i="13" s="1"/>
  <c r="J31" i="13"/>
  <c r="J30" i="13" s="1"/>
  <c r="J29" i="13" s="1"/>
  <c r="L28" i="13"/>
  <c r="M28" i="13" s="1"/>
  <c r="N28" i="13" s="1"/>
  <c r="O28" i="13" s="1"/>
  <c r="P28" i="13" s="1"/>
  <c r="Q28" i="13" s="1"/>
  <c r="R28" i="13" s="1"/>
  <c r="S28" i="13" s="1"/>
  <c r="AI26" i="13"/>
  <c r="AH23" i="13"/>
  <c r="J22" i="13"/>
  <c r="AB21" i="13"/>
  <c r="S21" i="13"/>
  <c r="J21" i="13"/>
  <c r="AB20" i="13"/>
  <c r="A52" i="13" s="1"/>
  <c r="A18" i="13"/>
  <c r="A45" i="13" s="1"/>
  <c r="M16" i="13"/>
  <c r="A16" i="13"/>
  <c r="A39" i="13" s="1"/>
  <c r="R14" i="13"/>
  <c r="Q14" i="13"/>
  <c r="H14" i="13"/>
  <c r="S20" i="13" s="1"/>
  <c r="A14" i="13"/>
  <c r="J20" i="13" s="1"/>
  <c r="R13" i="13"/>
  <c r="Q13" i="13"/>
  <c r="H13" i="13"/>
  <c r="S19" i="13" s="1"/>
  <c r="A13" i="13"/>
  <c r="J19" i="13" s="1"/>
  <c r="AK12" i="13"/>
  <c r="AK13" i="13" s="1"/>
  <c r="AK14" i="13" s="1"/>
  <c r="AK15" i="13" s="1"/>
  <c r="AK16" i="13" s="1"/>
  <c r="AK17" i="13" s="1"/>
  <c r="AK18" i="13" s="1"/>
  <c r="AK19" i="13" s="1"/>
  <c r="AK20" i="13" s="1"/>
  <c r="AK21" i="13" s="1"/>
  <c r="AK22" i="13" s="1"/>
  <c r="AK23" i="13" s="1"/>
  <c r="AK24" i="13" s="1"/>
  <c r="AK25" i="13" s="1"/>
  <c r="AK26" i="13" s="1"/>
  <c r="AK27" i="13" s="1"/>
  <c r="AK28" i="13" s="1"/>
  <c r="AK29" i="13" s="1"/>
  <c r="R12" i="13"/>
  <c r="Q12" i="13"/>
  <c r="H12" i="13"/>
  <c r="A12" i="13"/>
  <c r="BE11" i="13"/>
  <c r="BE12" i="13" s="1"/>
  <c r="BE13" i="13" s="1"/>
  <c r="BE14" i="13" s="1"/>
  <c r="BE15" i="13" s="1"/>
  <c r="BE16" i="13" s="1"/>
  <c r="BE17" i="13" s="1"/>
  <c r="BE18" i="13" s="1"/>
  <c r="BE19" i="13" s="1"/>
  <c r="BE20" i="13" s="1"/>
  <c r="BE21" i="13" s="1"/>
  <c r="BE22" i="13" s="1"/>
  <c r="BE23" i="13" s="1"/>
  <c r="BE24" i="13" s="1"/>
  <c r="BE25" i="13" s="1"/>
  <c r="BE26" i="13" s="1"/>
  <c r="BE27" i="13" s="1"/>
  <c r="BE28" i="13" s="1"/>
  <c r="BE29" i="13" s="1"/>
  <c r="BE30" i="13" s="1"/>
  <c r="BE31" i="13" s="1"/>
  <c r="BE32" i="13" s="1"/>
  <c r="BE33" i="13" s="1"/>
  <c r="BE34" i="13" s="1"/>
  <c r="BE35" i="13" s="1"/>
  <c r="BE36" i="13" s="1"/>
  <c r="BE37" i="13" s="1"/>
  <c r="BE38" i="13" s="1"/>
  <c r="BE39" i="13" s="1"/>
  <c r="BE40" i="13" s="1"/>
  <c r="BE41" i="13" s="1"/>
  <c r="BE42" i="13" s="1"/>
  <c r="BE43" i="13" s="1"/>
  <c r="BE44" i="13" s="1"/>
  <c r="BE45" i="13" s="1"/>
  <c r="BE46" i="13" s="1"/>
  <c r="BE47" i="13" s="1"/>
  <c r="BE48" i="13" s="1"/>
  <c r="BE49" i="13" s="1"/>
  <c r="BE50" i="13" s="1"/>
  <c r="BE51" i="13" s="1"/>
  <c r="BE52" i="13" s="1"/>
  <c r="BE53" i="13" s="1"/>
  <c r="BE54" i="13" s="1"/>
  <c r="BE55" i="13" s="1"/>
  <c r="BE56" i="13" s="1"/>
  <c r="BE57" i="13" s="1"/>
  <c r="BE58" i="13" s="1"/>
  <c r="BE59" i="13" s="1"/>
  <c r="BE60" i="13" s="1"/>
  <c r="BE61" i="13" s="1"/>
  <c r="BE62" i="13" s="1"/>
  <c r="BE63" i="13" s="1"/>
  <c r="BE64" i="13" s="1"/>
  <c r="BE65" i="13" s="1"/>
  <c r="BE66" i="13" s="1"/>
  <c r="BE67" i="13" s="1"/>
  <c r="BE68" i="13" s="1"/>
  <c r="BE69" i="13" s="1"/>
  <c r="BE70" i="13" s="1"/>
  <c r="BE71" i="13" s="1"/>
  <c r="BE72" i="13" s="1"/>
  <c r="BE73" i="13" s="1"/>
  <c r="BE74" i="13" s="1"/>
  <c r="BE75" i="13" s="1"/>
  <c r="BE76" i="13" s="1"/>
  <c r="BE77" i="13" s="1"/>
  <c r="BE78" i="13" s="1"/>
  <c r="BE79" i="13" s="1"/>
  <c r="BE80" i="13" s="1"/>
  <c r="BE81" i="13" s="1"/>
  <c r="BE82" i="13" s="1"/>
  <c r="BE83" i="13" s="1"/>
  <c r="BE84" i="13" s="1"/>
  <c r="BE85" i="13" s="1"/>
  <c r="BE86" i="13" s="1"/>
  <c r="BE87" i="13" s="1"/>
  <c r="BE88" i="13" s="1"/>
  <c r="BE89" i="13" s="1"/>
  <c r="BE90" i="13" s="1"/>
  <c r="BE91" i="13" s="1"/>
  <c r="BE92" i="13" s="1"/>
  <c r="BE93" i="13" s="1"/>
  <c r="BE94" i="13" s="1"/>
  <c r="BE95" i="13" s="1"/>
  <c r="BE96" i="13" s="1"/>
  <c r="BE97" i="13" s="1"/>
  <c r="BE98" i="13" s="1"/>
  <c r="BE99" i="13" s="1"/>
  <c r="BE100" i="13" s="1"/>
  <c r="BE101" i="13" s="1"/>
  <c r="BE102" i="13" s="1"/>
  <c r="BE103" i="13" s="1"/>
  <c r="BE104" i="13" s="1"/>
  <c r="BE105" i="13" s="1"/>
  <c r="BE106" i="13" s="1"/>
  <c r="BE107" i="13" s="1"/>
  <c r="BE108" i="13" s="1"/>
  <c r="BE109" i="13" s="1"/>
  <c r="BE110" i="13" s="1"/>
  <c r="BE111" i="13" s="1"/>
  <c r="BE112" i="13" s="1"/>
  <c r="BE113" i="13" s="1"/>
  <c r="BE114" i="13" s="1"/>
  <c r="BE115" i="13" s="1"/>
  <c r="BE116" i="13" s="1"/>
  <c r="BE117" i="13" s="1"/>
  <c r="BE118" i="13" s="1"/>
  <c r="BE119" i="13" s="1"/>
  <c r="BE120" i="13" s="1"/>
  <c r="BE121" i="13" s="1"/>
  <c r="BE122" i="13" s="1"/>
  <c r="BE123" i="13" s="1"/>
  <c r="BE124" i="13" s="1"/>
  <c r="BE125" i="13" s="1"/>
  <c r="BE126" i="13" s="1"/>
  <c r="BE127" i="13" s="1"/>
  <c r="BE128" i="13" s="1"/>
  <c r="BE129" i="13" s="1"/>
  <c r="BE130" i="13" s="1"/>
  <c r="BE131" i="13" s="1"/>
  <c r="BE132" i="13" s="1"/>
  <c r="BE133" i="13" s="1"/>
  <c r="BE134" i="13" s="1"/>
  <c r="BE135" i="13" s="1"/>
  <c r="BE136" i="13" s="1"/>
  <c r="BE137" i="13" s="1"/>
  <c r="BE138" i="13" s="1"/>
  <c r="BE139" i="13" s="1"/>
  <c r="BE140" i="13" s="1"/>
  <c r="BE141" i="13" s="1"/>
  <c r="BE142" i="13" s="1"/>
  <c r="BE143" i="13" s="1"/>
  <c r="BE144" i="13" s="1"/>
  <c r="BE145" i="13" s="1"/>
  <c r="BE146" i="13" s="1"/>
  <c r="BE147" i="13" s="1"/>
  <c r="BE148" i="13" s="1"/>
  <c r="BE149" i="13" s="1"/>
  <c r="BE150" i="13" s="1"/>
  <c r="BE151" i="13" s="1"/>
  <c r="BE152" i="13" s="1"/>
  <c r="BE153" i="13" s="1"/>
  <c r="BE154" i="13" s="1"/>
  <c r="BE155" i="13" s="1"/>
  <c r="BE156" i="13" s="1"/>
  <c r="BE157" i="13" s="1"/>
  <c r="BE158" i="13" s="1"/>
  <c r="BE159" i="13" s="1"/>
  <c r="BE160" i="13" s="1"/>
  <c r="BE161" i="13" s="1"/>
  <c r="BE162" i="13" s="1"/>
  <c r="BE163" i="13" s="1"/>
  <c r="BE164" i="13" s="1"/>
  <c r="BE165" i="13" s="1"/>
  <c r="BE166" i="13" s="1"/>
  <c r="BE167" i="13" s="1"/>
  <c r="BE168" i="13" s="1"/>
  <c r="BE169" i="13" s="1"/>
  <c r="BE170" i="13" s="1"/>
  <c r="BE171" i="13" s="1"/>
  <c r="BE172" i="13" s="1"/>
  <c r="BE173" i="13" s="1"/>
  <c r="BE174" i="13" s="1"/>
  <c r="BE175" i="13" s="1"/>
  <c r="BE176" i="13" s="1"/>
  <c r="BE177" i="13" s="1"/>
  <c r="BE178" i="13" s="1"/>
  <c r="BE179" i="13" s="1"/>
  <c r="BE180" i="13" s="1"/>
  <c r="BE181" i="13" s="1"/>
  <c r="BE182" i="13" s="1"/>
  <c r="BE183" i="13" s="1"/>
  <c r="BE184" i="13" s="1"/>
  <c r="BE185" i="13" s="1"/>
  <c r="BE186" i="13" s="1"/>
  <c r="BE187" i="13" s="1"/>
  <c r="BE188" i="13" s="1"/>
  <c r="BE189" i="13" s="1"/>
  <c r="BE190" i="13" s="1"/>
  <c r="BE191" i="13" s="1"/>
  <c r="BE192" i="13" s="1"/>
  <c r="BE193" i="13" s="1"/>
  <c r="BE194" i="13" s="1"/>
  <c r="BE195" i="13" s="1"/>
  <c r="BE196" i="13" s="1"/>
  <c r="BE197" i="13" s="1"/>
  <c r="BE198" i="13" s="1"/>
  <c r="BE199" i="13" s="1"/>
  <c r="BE200" i="13" s="1"/>
  <c r="BE201" i="13" s="1"/>
  <c r="BE202" i="13" s="1"/>
  <c r="BE203" i="13" s="1"/>
  <c r="BE204" i="13" s="1"/>
  <c r="BE205" i="13" s="1"/>
  <c r="BE206" i="13" s="1"/>
  <c r="BE207" i="13" s="1"/>
  <c r="BE208" i="13" s="1"/>
  <c r="BE209" i="13" s="1"/>
  <c r="BE210" i="13" s="1"/>
  <c r="BE211" i="13" s="1"/>
  <c r="BE212" i="13" s="1"/>
  <c r="BE213" i="13" s="1"/>
  <c r="BE214" i="13" s="1"/>
  <c r="BE215" i="13" s="1"/>
  <c r="BE216" i="13" s="1"/>
  <c r="BE217" i="13" s="1"/>
  <c r="BE218" i="13" s="1"/>
  <c r="BE219" i="13" s="1"/>
  <c r="BE220" i="13" s="1"/>
  <c r="BE221" i="13" s="1"/>
  <c r="BE222" i="13" s="1"/>
  <c r="BE223" i="13" s="1"/>
  <c r="BE224" i="13" s="1"/>
  <c r="BE225" i="13" s="1"/>
  <c r="BE226" i="13" s="1"/>
  <c r="BE227" i="13" s="1"/>
  <c r="BE228" i="13" s="1"/>
  <c r="BE229" i="13" s="1"/>
  <c r="BE230" i="13" s="1"/>
  <c r="BE231" i="13" s="1"/>
  <c r="BE232" i="13" s="1"/>
  <c r="BE233" i="13" s="1"/>
  <c r="BE234" i="13" s="1"/>
  <c r="BE235" i="13" s="1"/>
  <c r="BE236" i="13" s="1"/>
  <c r="BE237" i="13" s="1"/>
  <c r="BE238" i="13" s="1"/>
  <c r="BE239" i="13" s="1"/>
  <c r="BE240" i="13" s="1"/>
  <c r="BE241" i="13" s="1"/>
  <c r="BE242" i="13" s="1"/>
  <c r="BE243" i="13" s="1"/>
  <c r="BE244" i="13" s="1"/>
  <c r="BE245" i="13" s="1"/>
  <c r="BE246" i="13" s="1"/>
  <c r="BE247" i="13" s="1"/>
  <c r="BE248" i="13" s="1"/>
  <c r="BE249" i="13" s="1"/>
  <c r="BE250" i="13" s="1"/>
  <c r="BE251" i="13" s="1"/>
  <c r="BE252" i="13" s="1"/>
  <c r="BE253" i="13" s="1"/>
  <c r="BE254" i="13" s="1"/>
  <c r="BE255" i="13" s="1"/>
  <c r="BE256" i="13" s="1"/>
  <c r="BE257" i="13" s="1"/>
  <c r="BE258" i="13" s="1"/>
  <c r="BE259" i="13" s="1"/>
  <c r="BE260" i="13" s="1"/>
  <c r="BE261" i="13" s="1"/>
  <c r="BE262" i="13" s="1"/>
  <c r="BE263" i="13" s="1"/>
  <c r="BE264" i="13" s="1"/>
  <c r="BE265" i="13" s="1"/>
  <c r="BE266" i="13" s="1"/>
  <c r="BE267" i="13" s="1"/>
  <c r="BE268" i="13" s="1"/>
  <c r="BE269" i="13" s="1"/>
  <c r="BE270" i="13" s="1"/>
  <c r="BE271" i="13" s="1"/>
  <c r="BE272" i="13" s="1"/>
  <c r="BE273" i="13" s="1"/>
  <c r="BE274" i="13" s="1"/>
  <c r="BE275" i="13" s="1"/>
  <c r="BE276" i="13" s="1"/>
  <c r="BE277" i="13" s="1"/>
  <c r="BE278" i="13" s="1"/>
  <c r="BE279" i="13" s="1"/>
  <c r="BE280" i="13" s="1"/>
  <c r="BE281" i="13" s="1"/>
  <c r="BE282" i="13" s="1"/>
  <c r="BE283" i="13" s="1"/>
  <c r="BE284" i="13" s="1"/>
  <c r="BE285" i="13" s="1"/>
  <c r="BE286" i="13" s="1"/>
  <c r="BE287" i="13" s="1"/>
  <c r="BE288" i="13" s="1"/>
  <c r="BE289" i="13" s="1"/>
  <c r="BE290" i="13" s="1"/>
  <c r="BE291" i="13" s="1"/>
  <c r="BE292" i="13" s="1"/>
  <c r="BE293" i="13" s="1"/>
  <c r="BE294" i="13" s="1"/>
  <c r="BE295" i="13" s="1"/>
  <c r="BE296" i="13" s="1"/>
  <c r="BE297" i="13" s="1"/>
  <c r="BE298" i="13" s="1"/>
  <c r="BE299" i="13" s="1"/>
  <c r="BE300" i="13" s="1"/>
  <c r="BE301" i="13" s="1"/>
  <c r="BE302" i="13" s="1"/>
  <c r="BE303" i="13" s="1"/>
  <c r="BE304" i="13" s="1"/>
  <c r="BE305" i="13" s="1"/>
  <c r="BE306" i="13" s="1"/>
  <c r="BE307" i="13" s="1"/>
  <c r="BE308" i="13" s="1"/>
  <c r="BE309" i="13" s="1"/>
  <c r="BE310" i="13" s="1"/>
  <c r="BE311" i="13" s="1"/>
  <c r="BE312" i="13" s="1"/>
  <c r="BE313" i="13" s="1"/>
  <c r="BE314" i="13" s="1"/>
  <c r="BE315" i="13" s="1"/>
  <c r="BE316" i="13" s="1"/>
  <c r="BE317" i="13" s="1"/>
  <c r="BE318" i="13" s="1"/>
  <c r="BE319" i="13" s="1"/>
  <c r="BE320" i="13" s="1"/>
  <c r="BE321" i="13" s="1"/>
  <c r="BE322" i="13" s="1"/>
  <c r="BE323" i="13" s="1"/>
  <c r="BE324" i="13" s="1"/>
  <c r="BE325" i="13" s="1"/>
  <c r="BE326" i="13" s="1"/>
  <c r="BE327" i="13" s="1"/>
  <c r="BE328" i="13" s="1"/>
  <c r="BE329" i="13" s="1"/>
  <c r="BE330" i="13" s="1"/>
  <c r="BE331" i="13" s="1"/>
  <c r="BE332" i="13" s="1"/>
  <c r="BE333" i="13" s="1"/>
  <c r="BE334" i="13" s="1"/>
  <c r="BE335" i="13" s="1"/>
  <c r="BE336" i="13" s="1"/>
  <c r="BE337" i="13" s="1"/>
  <c r="BE338" i="13" s="1"/>
  <c r="BE339" i="13" s="1"/>
  <c r="BE340" i="13" s="1"/>
  <c r="BE341" i="13" s="1"/>
  <c r="BE342" i="13" s="1"/>
  <c r="BE343" i="13" s="1"/>
  <c r="BE344" i="13" s="1"/>
  <c r="BE345" i="13" s="1"/>
  <c r="BE346" i="13" s="1"/>
  <c r="BE347" i="13" s="1"/>
  <c r="BE348" i="13" s="1"/>
  <c r="BE349" i="13" s="1"/>
  <c r="BE350" i="13" s="1"/>
  <c r="BE351" i="13" s="1"/>
  <c r="BE352" i="13" s="1"/>
  <c r="BE353" i="13" s="1"/>
  <c r="BE354" i="13" s="1"/>
  <c r="BE355" i="13" s="1"/>
  <c r="BE356" i="13" s="1"/>
  <c r="BE357" i="13" s="1"/>
  <c r="BE358" i="13" s="1"/>
  <c r="BE359" i="13" s="1"/>
  <c r="BE360" i="13" s="1"/>
  <c r="BE361" i="13" s="1"/>
  <c r="BE362" i="13" s="1"/>
  <c r="BE363" i="13" s="1"/>
  <c r="BE364" i="13" s="1"/>
  <c r="BE365" i="13" s="1"/>
  <c r="BE366" i="13" s="1"/>
  <c r="BE367" i="13" s="1"/>
  <c r="BE368" i="13" s="1"/>
  <c r="BE369" i="13" s="1"/>
  <c r="BE370" i="13" s="1"/>
  <c r="BE371" i="13" s="1"/>
  <c r="BE372" i="13" s="1"/>
  <c r="BE373" i="13" s="1"/>
  <c r="BE374" i="13" s="1"/>
  <c r="BE375" i="13" s="1"/>
  <c r="BE376" i="13" s="1"/>
  <c r="BE377" i="13" s="1"/>
  <c r="BE378" i="13" s="1"/>
  <c r="BE379" i="13" s="1"/>
  <c r="BE380" i="13" s="1"/>
  <c r="BE381" i="13" s="1"/>
  <c r="BE382" i="13" s="1"/>
  <c r="BE383" i="13" s="1"/>
  <c r="BE384" i="13" s="1"/>
  <c r="BE385" i="13" s="1"/>
  <c r="BE386" i="13" s="1"/>
  <c r="BE387" i="13" s="1"/>
  <c r="BE388" i="13" s="1"/>
  <c r="BE389" i="13" s="1"/>
  <c r="BE390" i="13" s="1"/>
  <c r="BE391" i="13" s="1"/>
  <c r="BE392" i="13" s="1"/>
  <c r="BE393" i="13" s="1"/>
  <c r="BE394" i="13" s="1"/>
  <c r="BE395" i="13" s="1"/>
  <c r="BE396" i="13" s="1"/>
  <c r="BE397" i="13" s="1"/>
  <c r="BE398" i="13" s="1"/>
  <c r="BE399" i="13" s="1"/>
  <c r="BE400" i="13" s="1"/>
  <c r="BE401" i="13" s="1"/>
  <c r="BE402" i="13" s="1"/>
  <c r="BE403" i="13" s="1"/>
  <c r="BE404" i="13" s="1"/>
  <c r="BE405" i="13" s="1"/>
  <c r="BE406" i="13" s="1"/>
  <c r="BE407" i="13" s="1"/>
  <c r="BE408" i="13" s="1"/>
  <c r="BE409" i="13" s="1"/>
  <c r="BE410" i="13" s="1"/>
  <c r="BE411" i="13" s="1"/>
  <c r="BE412" i="13" s="1"/>
  <c r="BE413" i="13" s="1"/>
  <c r="BE414" i="13" s="1"/>
  <c r="BE415" i="13" s="1"/>
  <c r="BE416" i="13" s="1"/>
  <c r="BE417" i="13" s="1"/>
  <c r="BE418" i="13" s="1"/>
  <c r="BE419" i="13" s="1"/>
  <c r="BE420" i="13" s="1"/>
  <c r="BE421" i="13" s="1"/>
  <c r="BE422" i="13" s="1"/>
  <c r="BE423" i="13" s="1"/>
  <c r="BE424" i="13" s="1"/>
  <c r="BE425" i="13" s="1"/>
  <c r="BE426" i="13" s="1"/>
  <c r="BE427" i="13" s="1"/>
  <c r="BE428" i="13" s="1"/>
  <c r="BE429" i="13" s="1"/>
  <c r="BE430" i="13" s="1"/>
  <c r="BE431" i="13" s="1"/>
  <c r="BE432" i="13" s="1"/>
  <c r="BE433" i="13" s="1"/>
  <c r="BE434" i="13" s="1"/>
  <c r="BE435" i="13" s="1"/>
  <c r="BE436" i="13" s="1"/>
  <c r="BE437" i="13" s="1"/>
  <c r="BE438" i="13" s="1"/>
  <c r="BE439" i="13" s="1"/>
  <c r="BE440" i="13" s="1"/>
  <c r="BE441" i="13" s="1"/>
  <c r="BE442" i="13" s="1"/>
  <c r="BE443" i="13" s="1"/>
  <c r="BE444" i="13" s="1"/>
  <c r="BE445" i="13" s="1"/>
  <c r="BE446" i="13" s="1"/>
  <c r="BE447" i="13" s="1"/>
  <c r="BE448" i="13" s="1"/>
  <c r="BE449" i="13" s="1"/>
  <c r="BE450" i="13" s="1"/>
  <c r="BE451" i="13" s="1"/>
  <c r="BE452" i="13" s="1"/>
  <c r="BE453" i="13" s="1"/>
  <c r="BE454" i="13" s="1"/>
  <c r="BE455" i="13" s="1"/>
  <c r="BE456" i="13" s="1"/>
  <c r="BE457" i="13" s="1"/>
  <c r="BE458" i="13" s="1"/>
  <c r="BE459" i="13" s="1"/>
  <c r="BE460" i="13" s="1"/>
  <c r="BE461" i="13" s="1"/>
  <c r="BE462" i="13" s="1"/>
  <c r="BE463" i="13" s="1"/>
  <c r="BE464" i="13" s="1"/>
  <c r="BE465" i="13" s="1"/>
  <c r="BE466" i="13" s="1"/>
  <c r="BE467" i="13" s="1"/>
  <c r="BE468" i="13" s="1"/>
  <c r="BE469" i="13" s="1"/>
  <c r="BE470" i="13" s="1"/>
  <c r="BE471" i="13" s="1"/>
  <c r="BE472" i="13" s="1"/>
  <c r="BE473" i="13" s="1"/>
  <c r="BE474" i="13" s="1"/>
  <c r="BE475" i="13" s="1"/>
  <c r="BE476" i="13" s="1"/>
  <c r="BE477" i="13" s="1"/>
  <c r="BE478" i="13" s="1"/>
  <c r="BE479" i="13" s="1"/>
  <c r="BE480" i="13" s="1"/>
  <c r="BE481" i="13" s="1"/>
  <c r="BE482" i="13" s="1"/>
  <c r="BE483" i="13" s="1"/>
  <c r="BE484" i="13" s="1"/>
  <c r="BE485" i="13" s="1"/>
  <c r="BE486" i="13" s="1"/>
  <c r="BE487" i="13" s="1"/>
  <c r="BE488" i="13" s="1"/>
  <c r="BE489" i="13" s="1"/>
  <c r="BE490" i="13" s="1"/>
  <c r="BE491" i="13" s="1"/>
  <c r="BE492" i="13" s="1"/>
  <c r="BE493" i="13" s="1"/>
  <c r="BE494" i="13" s="1"/>
  <c r="BE495" i="13" s="1"/>
  <c r="BE496" i="13" s="1"/>
  <c r="BE497" i="13" s="1"/>
  <c r="BE498" i="13" s="1"/>
  <c r="BE499" i="13" s="1"/>
  <c r="BE500" i="13" s="1"/>
  <c r="BE501" i="13" s="1"/>
  <c r="BE502" i="13" s="1"/>
  <c r="BE503" i="13" s="1"/>
  <c r="BE504" i="13" s="1"/>
  <c r="BE505" i="13" s="1"/>
  <c r="BE506" i="13" s="1"/>
  <c r="BE507" i="13" s="1"/>
  <c r="BE508" i="13" s="1"/>
  <c r="BE509" i="13" s="1"/>
  <c r="BA11" i="13"/>
  <c r="BA12" i="13" s="1"/>
  <c r="R11" i="13"/>
  <c r="Q11" i="13"/>
  <c r="T10" i="13"/>
  <c r="T11" i="13" s="1"/>
  <c r="T12" i="13" s="1"/>
  <c r="T13" i="13" s="1"/>
  <c r="T14" i="13" s="1"/>
  <c r="R10" i="13"/>
  <c r="Q10" i="13"/>
  <c r="A10" i="13"/>
  <c r="R9" i="13"/>
  <c r="Q9" i="13"/>
  <c r="AQ7" i="13"/>
  <c r="AP7" i="13"/>
  <c r="H1" i="13"/>
  <c r="AD21" i="13"/>
  <c r="BF11" i="13"/>
  <c r="AX43" i="13"/>
  <c r="BF38" i="13"/>
  <c r="AX12" i="13"/>
  <c r="AX47" i="13"/>
  <c r="BF40" i="13"/>
  <c r="BF42" i="13"/>
  <c r="AX45" i="13"/>
  <c r="AX40" i="13"/>
  <c r="AX22" i="13"/>
  <c r="AX13" i="13"/>
  <c r="AX28" i="13"/>
  <c r="AX17" i="13"/>
  <c r="BF19" i="13"/>
  <c r="AX10" i="13"/>
  <c r="BF10" i="13"/>
  <c r="BF32" i="13"/>
  <c r="BF31" i="13"/>
  <c r="BF13" i="13"/>
  <c r="AX36" i="13"/>
  <c r="AX38" i="13"/>
  <c r="BF24" i="13"/>
  <c r="AE34" i="13"/>
  <c r="AX29" i="13"/>
  <c r="AX27" i="13"/>
  <c r="AX34" i="13"/>
  <c r="AX35" i="13"/>
  <c r="BF46" i="13"/>
  <c r="BF22" i="13"/>
  <c r="AX19" i="13"/>
  <c r="BF20" i="13"/>
  <c r="BF37" i="13"/>
  <c r="BF21" i="13"/>
  <c r="BF15" i="13"/>
  <c r="BF43" i="13"/>
  <c r="AX30" i="13"/>
  <c r="AC24" i="13"/>
  <c r="BF27" i="13"/>
  <c r="BF30" i="13"/>
  <c r="BF44" i="13"/>
  <c r="AX31" i="13"/>
  <c r="BF48" i="13"/>
  <c r="BF16" i="13"/>
  <c r="BF12" i="13"/>
  <c r="AX46" i="13"/>
  <c r="AX14" i="13"/>
  <c r="AX32" i="13"/>
  <c r="BF18" i="13"/>
  <c r="BF41" i="13"/>
  <c r="BF23" i="13"/>
  <c r="BF36" i="13"/>
  <c r="BF29" i="13"/>
  <c r="BF45" i="13"/>
  <c r="BF35" i="13"/>
  <c r="AX25" i="13"/>
  <c r="AX37" i="13"/>
  <c r="AX11" i="13"/>
  <c r="BF34" i="13"/>
  <c r="AX23" i="13"/>
  <c r="BF26" i="13"/>
  <c r="AX16" i="13"/>
  <c r="AX42" i="13"/>
  <c r="AX33" i="13"/>
  <c r="AX21" i="13"/>
  <c r="BF17" i="13"/>
  <c r="AX20" i="13"/>
  <c r="AX41" i="13"/>
  <c r="AX26" i="13"/>
  <c r="AX44" i="13"/>
  <c r="AB1" i="13"/>
  <c r="BF28" i="13"/>
  <c r="BF39" i="13"/>
  <c r="AX15" i="13"/>
  <c r="AX18" i="13"/>
  <c r="BF14" i="13"/>
  <c r="BF47" i="13"/>
  <c r="AX24" i="13"/>
  <c r="BF33" i="13"/>
  <c r="BF25" i="13"/>
  <c r="AX39" i="13"/>
  <c r="AI34" i="13" l="1"/>
  <c r="S11" i="13"/>
  <c r="S13" i="13"/>
  <c r="H43" i="13"/>
  <c r="S14" i="13"/>
  <c r="S10" i="13"/>
  <c r="S12" i="13"/>
  <c r="S9" i="13"/>
  <c r="AE35" i="13"/>
  <c r="AZ37" i="13"/>
  <c r="BG37" i="13"/>
  <c r="AZ45" i="13"/>
  <c r="BJ15" i="13"/>
  <c r="BK15" i="13" s="1"/>
  <c r="BH13" i="13"/>
  <c r="BJ22" i="13"/>
  <c r="BK22" i="13" s="1"/>
  <c r="AZ20" i="13"/>
  <c r="BH27" i="13"/>
  <c r="AZ34" i="13"/>
  <c r="AY38" i="13"/>
  <c r="AZ41" i="13"/>
  <c r="BH45" i="13"/>
  <c r="AY13" i="13"/>
  <c r="AZ27" i="13"/>
  <c r="AZ10" i="13"/>
  <c r="AZ16" i="13"/>
  <c r="AY31" i="13"/>
  <c r="BH10" i="13"/>
  <c r="BG16" i="13"/>
  <c r="BJ20" i="13"/>
  <c r="BK20" i="13" s="1"/>
  <c r="BH31" i="13"/>
  <c r="BG34" i="13"/>
  <c r="BH41" i="13"/>
  <c r="AZ39" i="13"/>
  <c r="AZ42" i="13"/>
  <c r="AZ22" i="13"/>
  <c r="BH48" i="13"/>
  <c r="BJ23" i="13"/>
  <c r="BK23" i="13" s="1"/>
  <c r="AY32" i="13"/>
  <c r="BG32" i="13"/>
  <c r="AZ24" i="13"/>
  <c r="AZ29" i="13"/>
  <c r="BH35" i="13"/>
  <c r="BJ42" i="13"/>
  <c r="BK42" i="13" s="1"/>
  <c r="AZ46" i="13"/>
  <c r="BJ12" i="13"/>
  <c r="BK12" i="13" s="1"/>
  <c r="AY18" i="13"/>
  <c r="BJ24" i="13"/>
  <c r="BK24" i="13" s="1"/>
  <c r="BH29" i="13"/>
  <c r="AZ43" i="13"/>
  <c r="BH46" i="13"/>
  <c r="BJ19" i="13"/>
  <c r="BK19" i="13" s="1"/>
  <c r="BJ30" i="13"/>
  <c r="BK30" i="13" s="1"/>
  <c r="BH26" i="13"/>
  <c r="AZ17" i="13"/>
  <c r="AY28" i="13"/>
  <c r="AZ12" i="13"/>
  <c r="AC36" i="13"/>
  <c r="AZ35" i="13"/>
  <c r="AZ14" i="13"/>
  <c r="AZ25" i="13"/>
  <c r="AZ40" i="13"/>
  <c r="BH43" i="13"/>
  <c r="BJ47" i="13"/>
  <c r="BK47" i="13" s="1"/>
  <c r="BH17" i="13"/>
  <c r="BG28" i="13"/>
  <c r="BJ39" i="13"/>
  <c r="BK39" i="13" s="1"/>
  <c r="BG18" i="13"/>
  <c r="AZ33" i="13"/>
  <c r="AZ21" i="13"/>
  <c r="BJ25" i="13"/>
  <c r="BK25" i="13" s="1"/>
  <c r="AY36" i="13"/>
  <c r="BJ11" i="13"/>
  <c r="BK11" i="13" s="1"/>
  <c r="AY15" i="13"/>
  <c r="AY19" i="13"/>
  <c r="BH21" i="13"/>
  <c r="AY30" i="13"/>
  <c r="BH36" i="13"/>
  <c r="AY44" i="13"/>
  <c r="BG44" i="13"/>
  <c r="BH44" i="13"/>
  <c r="AY42" i="13"/>
  <c r="AY10" i="13"/>
  <c r="BJ21" i="13"/>
  <c r="BK21" i="13" s="1"/>
  <c r="BH18" i="13"/>
  <c r="BG35" i="13"/>
  <c r="BG15" i="13"/>
  <c r="BH15" i="13"/>
  <c r="AZ18" i="13"/>
  <c r="BG21" i="13"/>
  <c r="BH23" i="13"/>
  <c r="BJ35" i="13"/>
  <c r="BK35" i="13" s="1"/>
  <c r="BG39" i="13"/>
  <c r="AZ30" i="13"/>
  <c r="BH19" i="13"/>
  <c r="BH37" i="13"/>
  <c r="BH39" i="13"/>
  <c r="AZ36" i="13"/>
  <c r="BJ37" i="13"/>
  <c r="BK37" i="13" s="1"/>
  <c r="BH16" i="13"/>
  <c r="BG36" i="13"/>
  <c r="BJ16" i="13"/>
  <c r="BK16" i="13" s="1"/>
  <c r="BJ36" i="13"/>
  <c r="BK36" i="13" s="1"/>
  <c r="BJ28" i="13"/>
  <c r="BK28" i="13" s="1"/>
  <c r="BG24" i="13"/>
  <c r="BJ46" i="13"/>
  <c r="BK46" i="13" s="1"/>
  <c r="BG10" i="13"/>
  <c r="AZ19" i="13"/>
  <c r="AY34" i="13"/>
  <c r="BH20" i="13"/>
  <c r="AY33" i="13"/>
  <c r="BG30" i="13"/>
  <c r="BG46" i="13"/>
  <c r="AZ13" i="13"/>
  <c r="AY41" i="13"/>
  <c r="AY45" i="13"/>
  <c r="BG20" i="13"/>
  <c r="BH24" i="13"/>
  <c r="BJ26" i="13"/>
  <c r="BK26" i="13" s="1"/>
  <c r="BG12" i="13"/>
  <c r="AY39" i="13"/>
  <c r="AZ15" i="13"/>
  <c r="BG19" i="13"/>
  <c r="AZ31" i="13"/>
  <c r="BG27" i="13"/>
  <c r="AY17" i="13"/>
  <c r="BG45" i="13"/>
  <c r="BJ10" i="13"/>
  <c r="BK10" i="13" s="1"/>
  <c r="BH34" i="13"/>
  <c r="BG11" i="13"/>
  <c r="AY22" i="13"/>
  <c r="BJ27" i="13"/>
  <c r="BK27" i="13" s="1"/>
  <c r="BH32" i="13"/>
  <c r="BJ34" i="13"/>
  <c r="BK34" i="13" s="1"/>
  <c r="AY37" i="13"/>
  <c r="BG42" i="13"/>
  <c r="BH12" i="13"/>
  <c r="BG13" i="13"/>
  <c r="AY25" i="13"/>
  <c r="BH30" i="13"/>
  <c r="AZ38" i="13"/>
  <c r="BJ29" i="13"/>
  <c r="BK29" i="13" s="1"/>
  <c r="BH11" i="13"/>
  <c r="BJ32" i="13"/>
  <c r="BK32" i="13" s="1"/>
  <c r="BH42" i="13"/>
  <c r="BJ18" i="13"/>
  <c r="BK18" i="13" s="1"/>
  <c r="AZ32" i="13"/>
  <c r="BJ13" i="13"/>
  <c r="BK13" i="13" s="1"/>
  <c r="AZ11" i="13"/>
  <c r="AY11" i="13"/>
  <c r="AH39" i="13"/>
  <c r="AZ26" i="13"/>
  <c r="AY26" i="13"/>
  <c r="BJ38" i="13"/>
  <c r="BK38" i="13" s="1"/>
  <c r="BG38" i="13"/>
  <c r="BH38" i="13"/>
  <c r="BG14" i="13"/>
  <c r="BJ14" i="13"/>
  <c r="BK14" i="13" s="1"/>
  <c r="BH14" i="13"/>
  <c r="AZ23" i="13"/>
  <c r="AY23" i="13"/>
  <c r="BA13" i="13"/>
  <c r="BH33" i="13"/>
  <c r="BG33" i="13"/>
  <c r="BJ33" i="13"/>
  <c r="BK33" i="13" s="1"/>
  <c r="AY14" i="13"/>
  <c r="BG17" i="13"/>
  <c r="AY21" i="13"/>
  <c r="BG22" i="13"/>
  <c r="BG25" i="13"/>
  <c r="AY27" i="13"/>
  <c r="AY35" i="13"/>
  <c r="AY40" i="13"/>
  <c r="AZ47" i="13"/>
  <c r="AY47" i="13"/>
  <c r="BH22" i="13"/>
  <c r="BJ17" i="13"/>
  <c r="BK17" i="13" s="1"/>
  <c r="AY29" i="13"/>
  <c r="BH25" i="13"/>
  <c r="AY12" i="13"/>
  <c r="AY16" i="13"/>
  <c r="AY20" i="13"/>
  <c r="AY24" i="13"/>
  <c r="AZ28" i="13"/>
  <c r="BJ40" i="13"/>
  <c r="BK40" i="13" s="1"/>
  <c r="BG40" i="13"/>
  <c r="BG41" i="13"/>
  <c r="AZ44" i="13"/>
  <c r="AY46" i="13"/>
  <c r="BG48" i="13"/>
  <c r="BG23" i="13"/>
  <c r="BG26" i="13"/>
  <c r="BH40" i="13"/>
  <c r="BJ41" i="13"/>
  <c r="BK41" i="13" s="1"/>
  <c r="AY43" i="13"/>
  <c r="BG47" i="13"/>
  <c r="BJ48" i="13"/>
  <c r="BK48" i="13" s="1"/>
  <c r="BJ31" i="13"/>
  <c r="BK31" i="13" s="1"/>
  <c r="BG31" i="13"/>
  <c r="BH47" i="13"/>
  <c r="BH28" i="13"/>
  <c r="BG29" i="13"/>
  <c r="BJ43" i="13"/>
  <c r="BK43" i="13" s="1"/>
  <c r="BG43" i="13"/>
  <c r="BJ44" i="13"/>
  <c r="BK44" i="13" s="1"/>
  <c r="BJ45" i="13"/>
  <c r="BK45" i="13" s="1"/>
  <c r="AI35" i="13"/>
  <c r="AI36" i="13"/>
  <c r="AI38" i="13"/>
  <c r="AI37" i="13"/>
  <c r="S16" i="13" l="1"/>
  <c r="S18" i="13" s="1"/>
  <c r="S22" i="13" s="1"/>
  <c r="W18" i="13" s="1"/>
  <c r="H31" i="13" s="1"/>
  <c r="H32" i="13" s="1"/>
  <c r="BK8" i="13"/>
  <c r="BB12" i="13"/>
  <c r="BC12" i="13" s="1"/>
  <c r="BB11" i="13"/>
  <c r="BC11" i="13" s="1"/>
  <c r="BB10" i="13"/>
  <c r="BC10" i="13" s="1"/>
  <c r="BA14" i="13"/>
  <c r="BB14" i="13" s="1"/>
  <c r="BC14" i="13" s="1"/>
  <c r="BB13" i="13"/>
  <c r="BC13" i="13" s="1"/>
  <c r="AH40" i="13"/>
  <c r="AI39" i="13"/>
  <c r="H37" i="13" l="1"/>
  <c r="H49" i="13" s="1"/>
  <c r="BC8" i="13"/>
  <c r="AH41" i="13"/>
  <c r="AI40" i="13"/>
  <c r="J28" i="13" l="1"/>
  <c r="J41" i="13"/>
  <c r="AH42" i="13"/>
  <c r="AI41" i="13"/>
  <c r="AH43" i="13" l="1"/>
  <c r="AI43" i="13" s="1"/>
  <c r="AI42" i="13"/>
  <c r="L267" i="1" l="1"/>
  <c r="E259" i="1" l="1"/>
  <c r="I57" i="10" l="1"/>
  <c r="J55" i="10" s="1"/>
  <c r="J54" i="10" l="1"/>
  <c r="J57" i="10"/>
  <c r="J56" i="10"/>
  <c r="K14" i="2"/>
  <c r="D14" i="2"/>
  <c r="E127" i="8" l="1"/>
  <c r="F127" i="8"/>
  <c r="G127" i="8"/>
  <c r="H127" i="8"/>
  <c r="I127" i="8"/>
  <c r="J127" i="8"/>
  <c r="F126" i="8"/>
  <c r="G126" i="8"/>
  <c r="H126" i="8"/>
  <c r="I126" i="8"/>
  <c r="J126" i="8"/>
  <c r="E126" i="8"/>
  <c r="F125" i="8"/>
  <c r="G125" i="8"/>
  <c r="H125" i="8"/>
  <c r="I125" i="8"/>
  <c r="J125" i="8"/>
  <c r="E125" i="8"/>
  <c r="E118" i="8"/>
  <c r="F118" i="8"/>
  <c r="G118" i="8"/>
  <c r="H118" i="8"/>
  <c r="I118" i="8"/>
  <c r="J118" i="8"/>
  <c r="E119" i="8"/>
  <c r="F119" i="8"/>
  <c r="G119" i="8"/>
  <c r="H119" i="8"/>
  <c r="I119" i="8"/>
  <c r="J119" i="8"/>
  <c r="E120" i="8"/>
  <c r="F120" i="8"/>
  <c r="G120" i="8"/>
  <c r="H120" i="8"/>
  <c r="I120" i="8"/>
  <c r="J120" i="8"/>
  <c r="E121" i="8"/>
  <c r="F121" i="8"/>
  <c r="G121" i="8"/>
  <c r="H121" i="8"/>
  <c r="I121" i="8"/>
  <c r="J121" i="8"/>
  <c r="E122" i="8"/>
  <c r="F122" i="8"/>
  <c r="G122" i="8"/>
  <c r="H122" i="8"/>
  <c r="I122" i="8"/>
  <c r="J122" i="8"/>
  <c r="F117" i="8"/>
  <c r="G117" i="8"/>
  <c r="H117" i="8"/>
  <c r="I117" i="8"/>
  <c r="J117" i="8"/>
  <c r="E117" i="8"/>
  <c r="Y15" i="10" l="1"/>
  <c r="Y16" i="10"/>
  <c r="Y17" i="10"/>
  <c r="Y14" i="10"/>
  <c r="W15" i="10"/>
  <c r="W16" i="10"/>
  <c r="W17" i="10"/>
  <c r="W14" i="10"/>
  <c r="C989" i="5"/>
  <c r="D989" i="5" s="1"/>
  <c r="E989" i="5" s="1"/>
  <c r="W10" i="10"/>
  <c r="X10" i="10" s="1"/>
  <c r="Y10" i="10" s="1"/>
  <c r="W9" i="10"/>
  <c r="X9" i="10" s="1"/>
  <c r="Y9" i="10" s="1"/>
  <c r="G10" i="5"/>
  <c r="G9" i="5"/>
  <c r="H7" i="5"/>
  <c r="Q10" i="10" s="1"/>
  <c r="X18" i="10" s="1"/>
  <c r="Y18" i="10" s="1"/>
  <c r="G7" i="5"/>
  <c r="P10" i="10" s="1"/>
  <c r="V18" i="10" s="1"/>
  <c r="W18" i="10" s="1"/>
  <c r="Q7" i="10"/>
  <c r="W8" i="10" s="1"/>
  <c r="X8" i="10" s="1"/>
  <c r="Y8" i="10" s="1"/>
  <c r="E8" i="10"/>
  <c r="D16" i="2"/>
  <c r="E14" i="2"/>
  <c r="F14" i="2"/>
  <c r="G14" i="2"/>
  <c r="H14" i="2"/>
  <c r="I14" i="2"/>
  <c r="J14" i="2"/>
  <c r="K16" i="2"/>
  <c r="J16" i="2"/>
  <c r="I16" i="2"/>
  <c r="H16" i="2"/>
  <c r="G16" i="2"/>
  <c r="F16" i="2"/>
  <c r="E16" i="2"/>
  <c r="Q8" i="10" l="1"/>
  <c r="W7" i="10"/>
  <c r="W11" i="10" s="1"/>
  <c r="J64" i="8" l="1"/>
  <c r="J56" i="1" s="1"/>
  <c r="I64" i="8"/>
  <c r="I56" i="1" s="1"/>
  <c r="H64" i="8"/>
  <c r="H56" i="1" s="1"/>
  <c r="G64" i="8"/>
  <c r="G56" i="1" s="1"/>
  <c r="F64" i="8"/>
  <c r="F56" i="1" s="1"/>
  <c r="E64" i="8"/>
  <c r="E56" i="1" s="1"/>
  <c r="J63" i="8"/>
  <c r="J55" i="1" s="1"/>
  <c r="I63" i="8"/>
  <c r="I55" i="1" s="1"/>
  <c r="H63" i="8"/>
  <c r="H55" i="1" s="1"/>
  <c r="G63" i="8"/>
  <c r="G55" i="1" s="1"/>
  <c r="F63" i="8"/>
  <c r="F55" i="1" s="1"/>
  <c r="E63" i="8"/>
  <c r="E55" i="1" s="1"/>
  <c r="J61" i="8"/>
  <c r="J53" i="1" s="1"/>
  <c r="I61" i="8"/>
  <c r="I53" i="1" s="1"/>
  <c r="H61" i="8"/>
  <c r="H53" i="1" s="1"/>
  <c r="G61" i="8"/>
  <c r="G53" i="1" s="1"/>
  <c r="F61" i="8"/>
  <c r="F53" i="1" s="1"/>
  <c r="E61" i="8"/>
  <c r="E53" i="1" s="1"/>
  <c r="J60" i="8"/>
  <c r="J52" i="1" s="1"/>
  <c r="I60" i="8"/>
  <c r="I52" i="1" s="1"/>
  <c r="H60" i="8"/>
  <c r="H52" i="1" s="1"/>
  <c r="G60" i="8"/>
  <c r="G52" i="1" s="1"/>
  <c r="F60" i="8"/>
  <c r="F52" i="1" s="1"/>
  <c r="E60" i="8"/>
  <c r="E52" i="1" s="1"/>
  <c r="J59" i="8"/>
  <c r="J51" i="1" s="1"/>
  <c r="I59" i="8"/>
  <c r="I51" i="1" s="1"/>
  <c r="H59" i="8"/>
  <c r="H51" i="1" s="1"/>
  <c r="G59" i="8"/>
  <c r="G51" i="1" s="1"/>
  <c r="F59" i="8"/>
  <c r="F51" i="1" s="1"/>
  <c r="E59" i="8"/>
  <c r="E51" i="1" s="1"/>
  <c r="J58" i="8"/>
  <c r="J50" i="1" s="1"/>
  <c r="I58" i="8"/>
  <c r="I50" i="1" s="1"/>
  <c r="H58" i="8"/>
  <c r="H50" i="1" s="1"/>
  <c r="G58" i="8"/>
  <c r="G50" i="1" s="1"/>
  <c r="F58" i="8"/>
  <c r="F50" i="1" s="1"/>
  <c r="E58" i="8"/>
  <c r="E50" i="1" s="1"/>
  <c r="J56" i="8"/>
  <c r="J48" i="1" s="1"/>
  <c r="I56" i="8"/>
  <c r="I48" i="1" s="1"/>
  <c r="H56" i="8"/>
  <c r="H48" i="1" s="1"/>
  <c r="G56" i="8"/>
  <c r="G48" i="1" s="1"/>
  <c r="F56" i="8"/>
  <c r="F48" i="1" s="1"/>
  <c r="E56" i="8"/>
  <c r="E48" i="1" s="1"/>
  <c r="J55" i="8"/>
  <c r="J47" i="1" s="1"/>
  <c r="I55" i="8"/>
  <c r="I47" i="1" s="1"/>
  <c r="H55" i="8"/>
  <c r="H47" i="1" s="1"/>
  <c r="G55" i="8"/>
  <c r="G47" i="1" s="1"/>
  <c r="F55" i="8"/>
  <c r="F47" i="1" s="1"/>
  <c r="E55" i="8"/>
  <c r="E47" i="1" s="1"/>
  <c r="J54" i="8"/>
  <c r="J46" i="1" s="1"/>
  <c r="I54" i="8"/>
  <c r="I46" i="1" s="1"/>
  <c r="H54" i="8"/>
  <c r="H46" i="1" s="1"/>
  <c r="G54" i="8"/>
  <c r="G46" i="1" s="1"/>
  <c r="F54" i="8"/>
  <c r="F46" i="1" s="1"/>
  <c r="E54" i="8"/>
  <c r="E46" i="1" s="1"/>
  <c r="J53" i="8"/>
  <c r="J45" i="1" s="1"/>
  <c r="I53" i="8"/>
  <c r="I45" i="1" s="1"/>
  <c r="H53" i="8"/>
  <c r="H45" i="1" s="1"/>
  <c r="G53" i="8"/>
  <c r="G45" i="1" s="1"/>
  <c r="F53" i="8"/>
  <c r="F45" i="1" s="1"/>
  <c r="E53" i="8"/>
  <c r="E45" i="1" s="1"/>
  <c r="J51" i="8"/>
  <c r="J43" i="1" s="1"/>
  <c r="I51" i="8"/>
  <c r="I43" i="1" s="1"/>
  <c r="H51" i="8"/>
  <c r="H43" i="1" s="1"/>
  <c r="G51" i="8"/>
  <c r="G43" i="1" s="1"/>
  <c r="F51" i="8"/>
  <c r="F43" i="1" s="1"/>
  <c r="E51" i="8"/>
  <c r="E43" i="1" s="1"/>
  <c r="J50" i="8"/>
  <c r="J42" i="1" s="1"/>
  <c r="I50" i="8"/>
  <c r="I42" i="1" s="1"/>
  <c r="H50" i="8"/>
  <c r="H42" i="1" s="1"/>
  <c r="G50" i="8"/>
  <c r="G42" i="1" s="1"/>
  <c r="F50" i="8"/>
  <c r="F42" i="1" s="1"/>
  <c r="E50" i="8"/>
  <c r="E42" i="1" s="1"/>
  <c r="J49" i="8"/>
  <c r="J41" i="1" s="1"/>
  <c r="I49" i="8"/>
  <c r="I41" i="1" s="1"/>
  <c r="H49" i="8"/>
  <c r="H41" i="1" s="1"/>
  <c r="G49" i="8"/>
  <c r="G41" i="1" s="1"/>
  <c r="F49" i="8"/>
  <c r="F41" i="1" s="1"/>
  <c r="E49" i="8"/>
  <c r="E41" i="1" s="1"/>
  <c r="J47" i="8"/>
  <c r="J39" i="1" s="1"/>
  <c r="I47" i="8"/>
  <c r="I39" i="1" s="1"/>
  <c r="H47" i="8"/>
  <c r="H39" i="1" s="1"/>
  <c r="G47" i="8"/>
  <c r="G39" i="1" s="1"/>
  <c r="F47" i="8"/>
  <c r="F39" i="1" s="1"/>
  <c r="E47" i="8"/>
  <c r="E39" i="1" s="1"/>
  <c r="J46" i="8"/>
  <c r="J38" i="1" s="1"/>
  <c r="I46" i="8"/>
  <c r="I38" i="1" s="1"/>
  <c r="H46" i="8"/>
  <c r="H38" i="1" s="1"/>
  <c r="G46" i="8"/>
  <c r="G38" i="1" s="1"/>
  <c r="F46" i="8"/>
  <c r="F38" i="1" s="1"/>
  <c r="E46" i="8"/>
  <c r="E38" i="1" s="1"/>
  <c r="J45" i="8"/>
  <c r="J37" i="1" s="1"/>
  <c r="I45" i="8"/>
  <c r="I37" i="1" s="1"/>
  <c r="H45" i="8"/>
  <c r="H37" i="1" s="1"/>
  <c r="G45" i="8"/>
  <c r="G37" i="1" s="1"/>
  <c r="F45" i="8"/>
  <c r="F37" i="1" s="1"/>
  <c r="E45" i="8"/>
  <c r="E37" i="1" s="1"/>
  <c r="J44" i="8"/>
  <c r="J36" i="1" s="1"/>
  <c r="I44" i="8"/>
  <c r="I36" i="1" s="1"/>
  <c r="H44" i="8"/>
  <c r="H36" i="1" s="1"/>
  <c r="G44" i="8"/>
  <c r="G36" i="1" s="1"/>
  <c r="F44" i="8"/>
  <c r="F36" i="1" s="1"/>
  <c r="E44" i="8"/>
  <c r="E36" i="1" s="1"/>
  <c r="J43" i="8"/>
  <c r="J35" i="1" s="1"/>
  <c r="I43" i="8"/>
  <c r="I35" i="1" s="1"/>
  <c r="H43" i="8"/>
  <c r="H35" i="1" s="1"/>
  <c r="G43" i="8"/>
  <c r="G35" i="1" s="1"/>
  <c r="F43" i="8"/>
  <c r="F35" i="1" s="1"/>
  <c r="E43" i="8"/>
  <c r="E35" i="1" s="1"/>
  <c r="J39" i="8"/>
  <c r="J31" i="1" s="1"/>
  <c r="I39" i="8"/>
  <c r="I31" i="1" s="1"/>
  <c r="H39" i="8"/>
  <c r="H31" i="1" s="1"/>
  <c r="G39" i="8"/>
  <c r="G31" i="1" s="1"/>
  <c r="F39" i="8"/>
  <c r="F31" i="1" s="1"/>
  <c r="E39" i="8"/>
  <c r="J38" i="8"/>
  <c r="J30" i="1" s="1"/>
  <c r="I38" i="8"/>
  <c r="I30" i="1" s="1"/>
  <c r="H38" i="8"/>
  <c r="H30" i="1" s="1"/>
  <c r="G38" i="8"/>
  <c r="G30" i="1" s="1"/>
  <c r="F38" i="8"/>
  <c r="F30" i="1" s="1"/>
  <c r="E38" i="8"/>
  <c r="E30" i="1" s="1"/>
  <c r="J37" i="8"/>
  <c r="J29" i="1" s="1"/>
  <c r="I37" i="8"/>
  <c r="I29" i="1" s="1"/>
  <c r="H37" i="8"/>
  <c r="H29" i="1" s="1"/>
  <c r="G37" i="8"/>
  <c r="G29" i="1" s="1"/>
  <c r="F37" i="8"/>
  <c r="F29" i="1" s="1"/>
  <c r="E37" i="8"/>
  <c r="E29" i="1" s="1"/>
  <c r="J36" i="8"/>
  <c r="J28" i="1" s="1"/>
  <c r="I36" i="8"/>
  <c r="I28" i="1" s="1"/>
  <c r="H36" i="8"/>
  <c r="H28" i="1" s="1"/>
  <c r="G36" i="8"/>
  <c r="G28" i="1" s="1"/>
  <c r="F36" i="8"/>
  <c r="F28" i="1" s="1"/>
  <c r="E36" i="8"/>
  <c r="E28" i="1" s="1"/>
  <c r="J33" i="8"/>
  <c r="J25" i="1" s="1"/>
  <c r="I33" i="8"/>
  <c r="I25" i="1" s="1"/>
  <c r="H33" i="8"/>
  <c r="H25" i="1" s="1"/>
  <c r="G33" i="8"/>
  <c r="G25" i="1" s="1"/>
  <c r="F33" i="8"/>
  <c r="F25" i="1" s="1"/>
  <c r="E33" i="8"/>
  <c r="E25" i="1" s="1"/>
  <c r="J32" i="8"/>
  <c r="J24" i="1" s="1"/>
  <c r="I32" i="8"/>
  <c r="I24" i="1" s="1"/>
  <c r="H32" i="8"/>
  <c r="H24" i="1" s="1"/>
  <c r="G32" i="8"/>
  <c r="G24" i="1" s="1"/>
  <c r="F32" i="8"/>
  <c r="F24" i="1" s="1"/>
  <c r="E32" i="8"/>
  <c r="E24" i="1" s="1"/>
  <c r="J31" i="8"/>
  <c r="J23" i="1" s="1"/>
  <c r="I31" i="8"/>
  <c r="I23" i="1" s="1"/>
  <c r="H31" i="8"/>
  <c r="H23" i="1" s="1"/>
  <c r="G31" i="8"/>
  <c r="G23" i="1" s="1"/>
  <c r="F31" i="8"/>
  <c r="F23" i="1" s="1"/>
  <c r="E31" i="8"/>
  <c r="E23" i="1" s="1"/>
  <c r="J30" i="8"/>
  <c r="J22" i="1" s="1"/>
  <c r="I30" i="8"/>
  <c r="I22" i="1" s="1"/>
  <c r="H30" i="8"/>
  <c r="H22" i="1" s="1"/>
  <c r="G30" i="8"/>
  <c r="G22" i="1" s="1"/>
  <c r="F30" i="8"/>
  <c r="F22" i="1" s="1"/>
  <c r="E30" i="8"/>
  <c r="E22" i="1" s="1"/>
  <c r="J29" i="8"/>
  <c r="J21" i="1" s="1"/>
  <c r="I29" i="8"/>
  <c r="I21" i="1" s="1"/>
  <c r="H29" i="8"/>
  <c r="H21" i="1" s="1"/>
  <c r="G29" i="8"/>
  <c r="G21" i="1" s="1"/>
  <c r="F29" i="8"/>
  <c r="F21" i="1" s="1"/>
  <c r="E29" i="8"/>
  <c r="E21" i="1" s="1"/>
  <c r="J28" i="8"/>
  <c r="J20" i="1" s="1"/>
  <c r="I28" i="8"/>
  <c r="I20" i="1" s="1"/>
  <c r="H28" i="8"/>
  <c r="H20" i="1" s="1"/>
  <c r="G28" i="8"/>
  <c r="G20" i="1" s="1"/>
  <c r="F28" i="8"/>
  <c r="F20" i="1" s="1"/>
  <c r="E28" i="8"/>
  <c r="E20" i="1" s="1"/>
  <c r="J25" i="8"/>
  <c r="J17" i="1" s="1"/>
  <c r="I25" i="8"/>
  <c r="I17" i="1" s="1"/>
  <c r="H25" i="8"/>
  <c r="H17" i="1" s="1"/>
  <c r="G25" i="8"/>
  <c r="G17" i="1" s="1"/>
  <c r="F25" i="8"/>
  <c r="F17" i="1" s="1"/>
  <c r="E25" i="8"/>
  <c r="E17" i="1" s="1"/>
  <c r="J24" i="8"/>
  <c r="J16" i="1" s="1"/>
  <c r="I24" i="8"/>
  <c r="I16" i="1" s="1"/>
  <c r="H24" i="8"/>
  <c r="H16" i="1" s="1"/>
  <c r="G24" i="8"/>
  <c r="G16" i="1" s="1"/>
  <c r="F24" i="8"/>
  <c r="F16" i="1" s="1"/>
  <c r="E24" i="8"/>
  <c r="E16" i="1" s="1"/>
  <c r="J23" i="8"/>
  <c r="J15" i="1" s="1"/>
  <c r="I23" i="8"/>
  <c r="I15" i="1" s="1"/>
  <c r="H23" i="8"/>
  <c r="H15" i="1" s="1"/>
  <c r="G23" i="8"/>
  <c r="G15" i="1" s="1"/>
  <c r="F23" i="8"/>
  <c r="F15" i="1" s="1"/>
  <c r="E23" i="8"/>
  <c r="E15" i="1" s="1"/>
  <c r="J22" i="8"/>
  <c r="J14" i="1" s="1"/>
  <c r="I22" i="8"/>
  <c r="H22" i="8"/>
  <c r="H14" i="1" s="1"/>
  <c r="G22" i="8"/>
  <c r="G14" i="1" s="1"/>
  <c r="F22" i="8"/>
  <c r="F14" i="1" s="1"/>
  <c r="E22" i="8"/>
  <c r="E14" i="1" s="1"/>
  <c r="J21" i="8"/>
  <c r="J13" i="1" s="1"/>
  <c r="I21" i="8"/>
  <c r="I13" i="1" s="1"/>
  <c r="H21" i="8"/>
  <c r="H13" i="1" s="1"/>
  <c r="G21" i="8"/>
  <c r="G13" i="1" s="1"/>
  <c r="F21" i="8"/>
  <c r="F13" i="1" s="1"/>
  <c r="E21" i="8"/>
  <c r="E13" i="1" s="1"/>
  <c r="J20" i="8"/>
  <c r="J12" i="1" s="1"/>
  <c r="I20" i="8"/>
  <c r="I12" i="1" s="1"/>
  <c r="H20" i="8"/>
  <c r="H12" i="1" s="1"/>
  <c r="G20" i="8"/>
  <c r="G12" i="1" s="1"/>
  <c r="F20" i="8"/>
  <c r="F12" i="1" s="1"/>
  <c r="E20" i="8"/>
  <c r="E12" i="1" s="1"/>
  <c r="E82" i="8"/>
  <c r="F82" i="8"/>
  <c r="G82" i="8"/>
  <c r="H82" i="8"/>
  <c r="I82" i="8"/>
  <c r="J82" i="8"/>
  <c r="B9" i="8"/>
  <c r="C8" i="8"/>
  <c r="C7" i="8"/>
  <c r="D7" i="8" s="1"/>
  <c r="E7" i="8" s="1"/>
  <c r="F7" i="8" s="1"/>
  <c r="G7" i="8" s="1"/>
  <c r="H7" i="8" s="1"/>
  <c r="I7" i="8" s="1"/>
  <c r="J7" i="8" s="1"/>
  <c r="C3" i="8"/>
  <c r="D3" i="8" s="1"/>
  <c r="E3" i="8" s="1"/>
  <c r="F3" i="8" s="1"/>
  <c r="G3" i="8" s="1"/>
  <c r="H3" i="8" s="1"/>
  <c r="I3" i="8" s="1"/>
  <c r="J3" i="8" s="1"/>
  <c r="C9" i="8" l="1"/>
  <c r="D8" i="8"/>
  <c r="E8" i="8" l="1"/>
  <c r="D9" i="8"/>
  <c r="F8" i="8" l="1"/>
  <c r="E9" i="8"/>
  <c r="G8" i="8" l="1"/>
  <c r="F9" i="8"/>
  <c r="H8" i="8" l="1"/>
  <c r="G9" i="8"/>
  <c r="H9" i="8" l="1"/>
  <c r="I8" i="8"/>
  <c r="I9" i="8" l="1"/>
  <c r="J8" i="8"/>
  <c r="J9" i="8" l="1"/>
  <c r="F60" i="4" l="1"/>
  <c r="M267" i="1" l="1"/>
  <c r="N267" i="1" s="1"/>
  <c r="O267" i="1" s="1"/>
  <c r="J269" i="1"/>
  <c r="J270" i="1" s="1"/>
  <c r="J271" i="1" s="1"/>
  <c r="J272" i="1" s="1"/>
  <c r="B269" i="1"/>
  <c r="B270" i="1" s="1"/>
  <c r="B271" i="1" s="1"/>
  <c r="B272" i="1" s="1"/>
  <c r="E267" i="1"/>
  <c r="F267" i="1" s="1"/>
  <c r="G267" i="1" s="1"/>
  <c r="E255" i="1" l="1"/>
  <c r="E252" i="1"/>
  <c r="E244" i="1"/>
  <c r="C232" i="1" l="1"/>
  <c r="D232" i="1"/>
  <c r="B232" i="1"/>
  <c r="C225" i="1"/>
  <c r="D225" i="1"/>
  <c r="C226" i="1"/>
  <c r="D226" i="1"/>
  <c r="C227" i="1"/>
  <c r="D227" i="1"/>
  <c r="C229" i="1"/>
  <c r="D229" i="1"/>
  <c r="B229" i="1"/>
  <c r="B227" i="1"/>
  <c r="B226" i="1"/>
  <c r="B225" i="1"/>
  <c r="C218" i="1" l="1"/>
  <c r="D218" i="1"/>
  <c r="B218" i="1"/>
  <c r="C215" i="1"/>
  <c r="D215" i="1"/>
  <c r="B215" i="1"/>
  <c r="C211" i="1"/>
  <c r="D211" i="1"/>
  <c r="B211" i="1"/>
  <c r="C209" i="1"/>
  <c r="C228" i="1" s="1"/>
  <c r="D209" i="1"/>
  <c r="D228" i="1" s="1"/>
  <c r="B209" i="1"/>
  <c r="B228" i="1" s="1"/>
  <c r="F162" i="1" l="1"/>
  <c r="G162" i="1"/>
  <c r="H162" i="1"/>
  <c r="I162" i="1"/>
  <c r="J162" i="1"/>
  <c r="E162" i="1"/>
  <c r="F143" i="1"/>
  <c r="F227" i="1" s="1"/>
  <c r="G143" i="1"/>
  <c r="G227" i="1" s="1"/>
  <c r="H143" i="1"/>
  <c r="H227" i="1" s="1"/>
  <c r="I143" i="1"/>
  <c r="I227" i="1" s="1"/>
  <c r="J143" i="1"/>
  <c r="J227" i="1" s="1"/>
  <c r="E143" i="1"/>
  <c r="E227" i="1" s="1"/>
  <c r="E128" i="1"/>
  <c r="F128" i="1" s="1"/>
  <c r="G128" i="1" s="1"/>
  <c r="H128" i="1" s="1"/>
  <c r="I128" i="1" s="1"/>
  <c r="J128" i="1" s="1"/>
  <c r="E97" i="1"/>
  <c r="E96" i="1"/>
  <c r="F96" i="1" s="1"/>
  <c r="G96" i="1" s="1"/>
  <c r="H96" i="1" s="1"/>
  <c r="I96" i="1" s="1"/>
  <c r="J96" i="1" s="1"/>
  <c r="F187" i="1"/>
  <c r="G187" i="1"/>
  <c r="H187" i="1"/>
  <c r="I187" i="1"/>
  <c r="J187" i="1"/>
  <c r="F194" i="1"/>
  <c r="G194" i="1"/>
  <c r="H194" i="1"/>
  <c r="I194" i="1"/>
  <c r="J194" i="1"/>
  <c r="F97" i="1" l="1"/>
  <c r="F255" i="1"/>
  <c r="E194" i="1"/>
  <c r="E187" i="1"/>
  <c r="D178" i="1"/>
  <c r="C178" i="1"/>
  <c r="K9" i="2"/>
  <c r="J9" i="2"/>
  <c r="I9" i="2"/>
  <c r="H9" i="2"/>
  <c r="G9" i="2"/>
  <c r="F9" i="2"/>
  <c r="E9" i="2"/>
  <c r="D9" i="2"/>
  <c r="C9" i="2"/>
  <c r="D26" i="2"/>
  <c r="E26" i="2"/>
  <c r="D27" i="2"/>
  <c r="E27" i="2"/>
  <c r="C26" i="2"/>
  <c r="C27" i="2"/>
  <c r="C36" i="2" s="1"/>
  <c r="D20" i="2"/>
  <c r="E20" i="2"/>
  <c r="D22" i="2"/>
  <c r="D24" i="2" s="1"/>
  <c r="E22" i="2"/>
  <c r="E24" i="2" s="1"/>
  <c r="C22" i="2"/>
  <c r="C24" i="2" s="1"/>
  <c r="C20" i="2"/>
  <c r="C17" i="1"/>
  <c r="C16" i="1"/>
  <c r="C15" i="1"/>
  <c r="C14" i="1"/>
  <c r="C13" i="1"/>
  <c r="D12" i="1"/>
  <c r="D5" i="2"/>
  <c r="E5" i="2" s="1"/>
  <c r="F5" i="2" s="1"/>
  <c r="G5" i="2" s="1"/>
  <c r="H5" i="2" s="1"/>
  <c r="I5" i="2" s="1"/>
  <c r="J5" i="2" s="1"/>
  <c r="K5" i="2" s="1"/>
  <c r="C35" i="2" l="1"/>
  <c r="L9" i="2"/>
  <c r="D35" i="2"/>
  <c r="D30" i="2"/>
  <c r="E36" i="2"/>
  <c r="E29" i="2"/>
  <c r="D36" i="2"/>
  <c r="D29" i="2"/>
  <c r="E30" i="2"/>
  <c r="E35" i="2"/>
  <c r="J15" i="2"/>
  <c r="F15" i="2"/>
  <c r="G15" i="2"/>
  <c r="K15" i="2"/>
  <c r="H15" i="2"/>
  <c r="I15" i="2"/>
  <c r="D15" i="2"/>
  <c r="E15" i="2"/>
  <c r="E25" i="2"/>
  <c r="G97" i="1"/>
  <c r="G255" i="1"/>
  <c r="C25" i="2"/>
  <c r="C34" i="2" s="1"/>
  <c r="D25" i="2"/>
  <c r="E34" i="2" l="1"/>
  <c r="E28" i="2"/>
  <c r="D34" i="2"/>
  <c r="D28" i="2"/>
  <c r="H97" i="1"/>
  <c r="H255" i="1"/>
  <c r="C48" i="1"/>
  <c r="C198" i="1"/>
  <c r="D198" i="1"/>
  <c r="B198" i="1"/>
  <c r="B200" i="1" s="1"/>
  <c r="I97" i="1" l="1"/>
  <c r="I255" i="1"/>
  <c r="C197" i="1"/>
  <c r="J97" i="1" l="1"/>
  <c r="K255" i="1" s="1"/>
  <c r="J255" i="1"/>
  <c r="C200" i="1"/>
  <c r="D197" i="1" s="1"/>
  <c r="D200" i="1" s="1"/>
  <c r="E197" i="1" s="1"/>
  <c r="D48" i="1"/>
  <c r="C193" i="1"/>
  <c r="D193" i="1"/>
  <c r="B193" i="1"/>
  <c r="D190" i="1"/>
  <c r="C190" i="1"/>
  <c r="B190" i="1"/>
  <c r="B188" i="1" s="1"/>
  <c r="D176" i="1"/>
  <c r="D177" i="1"/>
  <c r="C177" i="1"/>
  <c r="C176" i="1"/>
  <c r="C186" i="1" l="1"/>
  <c r="C188" i="1" s="1"/>
  <c r="C194" i="1" s="1"/>
  <c r="E198" i="1"/>
  <c r="E163" i="1" s="1"/>
  <c r="E165" i="1" s="1"/>
  <c r="D182" i="1"/>
  <c r="C182" i="1"/>
  <c r="B182" i="1"/>
  <c r="B180" i="1" s="1"/>
  <c r="C175" i="1" s="1"/>
  <c r="D186" i="1" l="1"/>
  <c r="D188" i="1" s="1"/>
  <c r="D194" i="1" s="1"/>
  <c r="C47" i="1"/>
  <c r="C180" i="1"/>
  <c r="E26" i="1"/>
  <c r="F26" i="1"/>
  <c r="G26" i="1"/>
  <c r="H26" i="1"/>
  <c r="I26" i="1"/>
  <c r="J26" i="1"/>
  <c r="E186" i="1" l="1"/>
  <c r="E188" i="1" s="1"/>
  <c r="E193" i="1" s="1"/>
  <c r="E86" i="1" s="1"/>
  <c r="D175" i="1"/>
  <c r="E110" i="1"/>
  <c r="E108" i="1"/>
  <c r="E103" i="1"/>
  <c r="C89" i="1"/>
  <c r="D31" i="1"/>
  <c r="C31" i="1"/>
  <c r="B30" i="1"/>
  <c r="D39" i="1"/>
  <c r="D37" i="1"/>
  <c r="E120" i="1" l="1"/>
  <c r="F186" i="1"/>
  <c r="F188" i="1" s="1"/>
  <c r="F120" i="1" s="1"/>
  <c r="F103" i="1"/>
  <c r="F156" i="1" s="1"/>
  <c r="E156" i="1"/>
  <c r="F110" i="1"/>
  <c r="E157" i="1"/>
  <c r="D47" i="1"/>
  <c r="D180" i="1"/>
  <c r="E190" i="1"/>
  <c r="F193" i="1"/>
  <c r="F86" i="1" s="1"/>
  <c r="F108" i="1"/>
  <c r="G108" i="1" s="1"/>
  <c r="H108" i="1" s="1"/>
  <c r="I108" i="1" s="1"/>
  <c r="J108" i="1" s="1"/>
  <c r="G186" i="1" l="1"/>
  <c r="G188" i="1" s="1"/>
  <c r="G103" i="1"/>
  <c r="G156" i="1" s="1"/>
  <c r="G110" i="1"/>
  <c r="F157" i="1"/>
  <c r="G120" i="1"/>
  <c r="H186" i="1"/>
  <c r="H188" i="1" s="1"/>
  <c r="E175" i="1"/>
  <c r="E176" i="1" s="1"/>
  <c r="E140" i="1" s="1"/>
  <c r="G193" i="1"/>
  <c r="G86" i="1" s="1"/>
  <c r="F190" i="1"/>
  <c r="E61" i="4"/>
  <c r="E60" i="4"/>
  <c r="F61" i="4"/>
  <c r="H103" i="1" l="1"/>
  <c r="H156" i="1" s="1"/>
  <c r="E215" i="1"/>
  <c r="E225" i="1"/>
  <c r="H110" i="1"/>
  <c r="G157" i="1"/>
  <c r="H120" i="1"/>
  <c r="I186" i="1"/>
  <c r="I188" i="1" s="1"/>
  <c r="H193" i="1"/>
  <c r="H86" i="1" s="1"/>
  <c r="G190" i="1"/>
  <c r="C52" i="1"/>
  <c r="B52" i="1"/>
  <c r="E127" i="1"/>
  <c r="J124" i="1"/>
  <c r="I124" i="1"/>
  <c r="H124" i="1"/>
  <c r="G124" i="1"/>
  <c r="F124" i="1"/>
  <c r="E124" i="1"/>
  <c r="E125" i="1"/>
  <c r="F125" i="1" s="1"/>
  <c r="G125" i="1" s="1"/>
  <c r="H125" i="1" s="1"/>
  <c r="I125" i="1" s="1"/>
  <c r="J125" i="1" s="1"/>
  <c r="C51" i="1"/>
  <c r="D51" i="1"/>
  <c r="N43" i="4"/>
  <c r="M43" i="4"/>
  <c r="L43" i="4"/>
  <c r="N42" i="4"/>
  <c r="M42" i="4"/>
  <c r="L42" i="4"/>
  <c r="N33" i="4"/>
  <c r="M33" i="4"/>
  <c r="L33" i="4"/>
  <c r="N32" i="4"/>
  <c r="M32" i="4"/>
  <c r="L32" i="4"/>
  <c r="N41" i="4"/>
  <c r="M41" i="4"/>
  <c r="L41" i="4"/>
  <c r="N31" i="4"/>
  <c r="M31" i="4"/>
  <c r="L31" i="4"/>
  <c r="N23" i="4"/>
  <c r="M23" i="4"/>
  <c r="L23" i="4"/>
  <c r="N22" i="4"/>
  <c r="M22" i="4"/>
  <c r="L22" i="4"/>
  <c r="N21" i="4"/>
  <c r="M21" i="4"/>
  <c r="L21" i="4"/>
  <c r="L25" i="4" s="1"/>
  <c r="N13" i="4"/>
  <c r="M13" i="4"/>
  <c r="L13" i="4"/>
  <c r="N12" i="4"/>
  <c r="M12" i="4"/>
  <c r="L12" i="4"/>
  <c r="N11" i="4"/>
  <c r="M11" i="4"/>
  <c r="L11" i="4"/>
  <c r="N10" i="4"/>
  <c r="M10" i="4"/>
  <c r="L10" i="4"/>
  <c r="N9" i="4"/>
  <c r="M9" i="4"/>
  <c r="L9" i="4"/>
  <c r="K46" i="4"/>
  <c r="J46" i="4"/>
  <c r="I46" i="4"/>
  <c r="H46" i="4"/>
  <c r="K45" i="4"/>
  <c r="J45" i="4"/>
  <c r="I45" i="4"/>
  <c r="H45" i="4"/>
  <c r="K35" i="4"/>
  <c r="J35" i="4"/>
  <c r="I35" i="4"/>
  <c r="H35" i="4"/>
  <c r="K34" i="4"/>
  <c r="J34" i="4"/>
  <c r="I34" i="4"/>
  <c r="H34" i="4"/>
  <c r="N25" i="4"/>
  <c r="K25" i="4"/>
  <c r="J25" i="4"/>
  <c r="I25" i="4"/>
  <c r="H25" i="4"/>
  <c r="K24" i="4"/>
  <c r="J24" i="4"/>
  <c r="I24" i="4"/>
  <c r="H24" i="4"/>
  <c r="K15" i="4"/>
  <c r="J15" i="4"/>
  <c r="I15" i="4"/>
  <c r="H15" i="4"/>
  <c r="K14" i="4"/>
  <c r="J14" i="4"/>
  <c r="I14" i="4"/>
  <c r="H14" i="4"/>
  <c r="G43" i="4"/>
  <c r="R43" i="4" s="1"/>
  <c r="G42" i="4"/>
  <c r="R42" i="4" s="1"/>
  <c r="G41" i="4"/>
  <c r="P41" i="4" s="1"/>
  <c r="F46" i="4"/>
  <c r="E46" i="4"/>
  <c r="D46" i="4"/>
  <c r="F45" i="4"/>
  <c r="E45" i="4"/>
  <c r="D45" i="4"/>
  <c r="D35" i="4"/>
  <c r="D34" i="4"/>
  <c r="D25" i="4"/>
  <c r="D24" i="4"/>
  <c r="F35" i="4"/>
  <c r="F34" i="4"/>
  <c r="G33" i="4"/>
  <c r="R33" i="4" s="1"/>
  <c r="G32" i="4"/>
  <c r="R32" i="4" s="1"/>
  <c r="G31" i="4"/>
  <c r="R31" i="4" s="1"/>
  <c r="G23" i="4"/>
  <c r="G22" i="4"/>
  <c r="R22" i="4" s="1"/>
  <c r="G21" i="4"/>
  <c r="P21" i="4" s="1"/>
  <c r="F25" i="4"/>
  <c r="F24" i="4"/>
  <c r="F15" i="4"/>
  <c r="F14" i="4"/>
  <c r="G10" i="4"/>
  <c r="R10" i="4" s="1"/>
  <c r="G11" i="4"/>
  <c r="R11" i="4" s="1"/>
  <c r="G12" i="4"/>
  <c r="P12" i="4" s="1"/>
  <c r="G13" i="4"/>
  <c r="P13" i="4" s="1"/>
  <c r="G9" i="4"/>
  <c r="E35" i="4"/>
  <c r="E34" i="4"/>
  <c r="E25" i="4"/>
  <c r="E24" i="4"/>
  <c r="E15" i="4"/>
  <c r="E14" i="4"/>
  <c r="D14" i="4"/>
  <c r="D15" i="4"/>
  <c r="N24" i="4" l="1"/>
  <c r="L46" i="4"/>
  <c r="M25" i="4"/>
  <c r="L35" i="4"/>
  <c r="P9" i="4"/>
  <c r="R9" i="4"/>
  <c r="I103" i="1"/>
  <c r="I156" i="1" s="1"/>
  <c r="Q21" i="4"/>
  <c r="N45" i="4"/>
  <c r="G25" i="4"/>
  <c r="N15" i="4"/>
  <c r="D52" i="1"/>
  <c r="F127" i="1"/>
  <c r="G127" i="1" s="1"/>
  <c r="H127" i="1" s="1"/>
  <c r="I127" i="1" s="1"/>
  <c r="J127" i="1" s="1"/>
  <c r="I110" i="1"/>
  <c r="H157" i="1"/>
  <c r="I120" i="1"/>
  <c r="J186" i="1"/>
  <c r="J188" i="1" s="1"/>
  <c r="J120" i="1" s="1"/>
  <c r="I193" i="1"/>
  <c r="I86" i="1" s="1"/>
  <c r="H190" i="1"/>
  <c r="R34" i="4"/>
  <c r="Q9" i="4"/>
  <c r="R12" i="4"/>
  <c r="P11" i="4"/>
  <c r="O23" i="4"/>
  <c r="P31" i="4"/>
  <c r="Q41" i="4"/>
  <c r="O43" i="4"/>
  <c r="G46" i="4"/>
  <c r="O32" i="4"/>
  <c r="P10" i="4"/>
  <c r="R13" i="4"/>
  <c r="R21" i="4"/>
  <c r="P23" i="4"/>
  <c r="Q31" i="4"/>
  <c r="R41" i="4"/>
  <c r="P32" i="4"/>
  <c r="P43" i="4"/>
  <c r="Q32" i="4"/>
  <c r="Q43" i="4"/>
  <c r="O13" i="4"/>
  <c r="Q13" i="4"/>
  <c r="Q23" i="4"/>
  <c r="O12" i="4"/>
  <c r="Q12" i="4"/>
  <c r="R23" i="4"/>
  <c r="O11" i="4"/>
  <c r="Q11" i="4"/>
  <c r="N14" i="4"/>
  <c r="O22" i="4"/>
  <c r="O33" i="4"/>
  <c r="O42" i="4"/>
  <c r="O10" i="4"/>
  <c r="Q10" i="4"/>
  <c r="O21" i="4"/>
  <c r="P22" i="4"/>
  <c r="P33" i="4"/>
  <c r="P42" i="4"/>
  <c r="G35" i="4"/>
  <c r="O9" i="4"/>
  <c r="Q22" i="4"/>
  <c r="O41" i="4"/>
  <c r="Q33" i="4"/>
  <c r="Q42" i="4"/>
  <c r="M24" i="4"/>
  <c r="O31" i="4"/>
  <c r="M45" i="4"/>
  <c r="N46" i="4"/>
  <c r="L45" i="4"/>
  <c r="M35" i="4"/>
  <c r="L34" i="4"/>
  <c r="N34" i="4"/>
  <c r="M46" i="4"/>
  <c r="N35" i="4"/>
  <c r="M34" i="4"/>
  <c r="R35" i="4"/>
  <c r="L24" i="4"/>
  <c r="L14" i="4"/>
  <c r="M14" i="4"/>
  <c r="M15" i="4"/>
  <c r="L15" i="4"/>
  <c r="G45" i="4"/>
  <c r="G14" i="4"/>
  <c r="G24" i="4"/>
  <c r="G15" i="4"/>
  <c r="G34" i="4"/>
  <c r="E71" i="1"/>
  <c r="E70" i="1"/>
  <c r="E69" i="1"/>
  <c r="E68" i="1"/>
  <c r="E67" i="1"/>
  <c r="E66" i="1"/>
  <c r="P15" i="4" l="1"/>
  <c r="R46" i="4"/>
  <c r="P14" i="4"/>
  <c r="P24" i="4"/>
  <c r="F20" i="2"/>
  <c r="F26" i="2"/>
  <c r="F27" i="2"/>
  <c r="F70" i="1"/>
  <c r="Q35" i="4"/>
  <c r="O15" i="4"/>
  <c r="O35" i="4"/>
  <c r="J103" i="1"/>
  <c r="J156" i="1" s="1"/>
  <c r="Q25" i="4"/>
  <c r="R25" i="4"/>
  <c r="Q34" i="4"/>
  <c r="P34" i="4"/>
  <c r="Q15" i="4"/>
  <c r="J110" i="1"/>
  <c r="J157" i="1" s="1"/>
  <c r="I157" i="1"/>
  <c r="J193" i="1"/>
  <c r="J86" i="1" s="1"/>
  <c r="E75" i="1"/>
  <c r="F22" i="2"/>
  <c r="F24" i="2" s="1"/>
  <c r="I190" i="1"/>
  <c r="J190" i="1"/>
  <c r="P35" i="4"/>
  <c r="O45" i="4"/>
  <c r="R14" i="4"/>
  <c r="O46" i="4"/>
  <c r="O25" i="4"/>
  <c r="R15" i="4"/>
  <c r="Q24" i="4"/>
  <c r="R45" i="4"/>
  <c r="H16" i="4"/>
  <c r="E74" i="1"/>
  <c r="E72" i="1"/>
  <c r="O14" i="4"/>
  <c r="Q45" i="4"/>
  <c r="R24" i="4"/>
  <c r="F71" i="1"/>
  <c r="H36" i="4"/>
  <c r="Q46" i="4"/>
  <c r="P45" i="4"/>
  <c r="F66" i="1"/>
  <c r="O24" i="4"/>
  <c r="O34" i="4"/>
  <c r="F67" i="1"/>
  <c r="H26" i="4"/>
  <c r="P46" i="4"/>
  <c r="F68" i="1"/>
  <c r="H47" i="4"/>
  <c r="F69" i="1"/>
  <c r="H53" i="4"/>
  <c r="Q14" i="4"/>
  <c r="P25" i="4"/>
  <c r="D331" i="1" l="1"/>
  <c r="D334" i="1"/>
  <c r="D332" i="1"/>
  <c r="D330" i="1"/>
  <c r="D335" i="1"/>
  <c r="D333" i="1"/>
  <c r="L66" i="1"/>
  <c r="G27" i="2"/>
  <c r="G70" i="1"/>
  <c r="G26" i="2"/>
  <c r="F36" i="2"/>
  <c r="E17" i="10" s="1"/>
  <c r="F29" i="2"/>
  <c r="G20" i="2"/>
  <c r="F35" i="2"/>
  <c r="E16" i="10" s="1"/>
  <c r="F30" i="2"/>
  <c r="G22" i="2"/>
  <c r="G24" i="2" s="1"/>
  <c r="F25" i="2"/>
  <c r="L68" i="1"/>
  <c r="L67" i="1"/>
  <c r="L70" i="1"/>
  <c r="L69" i="1"/>
  <c r="E76" i="1"/>
  <c r="E199" i="1"/>
  <c r="E177" i="1"/>
  <c r="E154" i="1" s="1"/>
  <c r="E302" i="1" s="1"/>
  <c r="H56" i="4"/>
  <c r="F74" i="1"/>
  <c r="E116" i="1"/>
  <c r="E148" i="1" s="1"/>
  <c r="E115" i="1"/>
  <c r="E147" i="1" s="1"/>
  <c r="F75" i="1"/>
  <c r="G68" i="1"/>
  <c r="I47" i="4"/>
  <c r="G71" i="1"/>
  <c r="I36" i="4"/>
  <c r="G36" i="4" s="1"/>
  <c r="G67" i="1"/>
  <c r="I26" i="4"/>
  <c r="G66" i="1"/>
  <c r="I16" i="4"/>
  <c r="G16" i="4" s="1"/>
  <c r="F72" i="1"/>
  <c r="G69" i="1"/>
  <c r="I53" i="4"/>
  <c r="G53" i="4" s="1"/>
  <c r="D56" i="1"/>
  <c r="C56" i="1"/>
  <c r="D55" i="1"/>
  <c r="C55" i="1"/>
  <c r="D53" i="1"/>
  <c r="C53" i="1"/>
  <c r="B53" i="1"/>
  <c r="E331" i="1" l="1"/>
  <c r="E335" i="1"/>
  <c r="E330" i="1"/>
  <c r="E332" i="1"/>
  <c r="E333" i="1"/>
  <c r="E334" i="1"/>
  <c r="E82" i="1"/>
  <c r="G25" i="2"/>
  <c r="G34" i="2" s="1"/>
  <c r="F15" i="10" s="1"/>
  <c r="H70" i="1"/>
  <c r="G36" i="2"/>
  <c r="F17" i="10" s="1"/>
  <c r="G29" i="2"/>
  <c r="H69" i="1"/>
  <c r="H20" i="2"/>
  <c r="G35" i="2"/>
  <c r="F16" i="10" s="1"/>
  <c r="G30" i="2"/>
  <c r="H22" i="2"/>
  <c r="H24" i="2" s="1"/>
  <c r="F34" i="2"/>
  <c r="E15" i="10" s="1"/>
  <c r="F28" i="2"/>
  <c r="E80" i="1"/>
  <c r="E83" i="1"/>
  <c r="E81" i="1"/>
  <c r="E142" i="1"/>
  <c r="E19" i="10"/>
  <c r="E30" i="10" s="1"/>
  <c r="E78" i="1"/>
  <c r="E283" i="1" s="1"/>
  <c r="E79" i="1"/>
  <c r="E211" i="1"/>
  <c r="E232" i="1"/>
  <c r="E158" i="1"/>
  <c r="E209" i="1"/>
  <c r="E228" i="1" s="1"/>
  <c r="F199" i="1"/>
  <c r="F232" i="1" s="1"/>
  <c r="F177" i="1"/>
  <c r="F154" i="1" s="1"/>
  <c r="F302" i="1" s="1"/>
  <c r="H71" i="1"/>
  <c r="H26" i="2"/>
  <c r="H68" i="1"/>
  <c r="H27" i="2"/>
  <c r="E178" i="1"/>
  <c r="E180" i="1" s="1"/>
  <c r="E200" i="1"/>
  <c r="F252" i="1" s="1"/>
  <c r="F18" i="1"/>
  <c r="F116" i="1"/>
  <c r="F148" i="1" s="1"/>
  <c r="F115" i="1"/>
  <c r="F147" i="1" s="1"/>
  <c r="F76" i="1"/>
  <c r="G74" i="1"/>
  <c r="H67" i="1"/>
  <c r="G75" i="1"/>
  <c r="G17" i="4"/>
  <c r="I56" i="4"/>
  <c r="G18" i="4"/>
  <c r="H66" i="1"/>
  <c r="G72" i="1"/>
  <c r="G26" i="4"/>
  <c r="G28" i="4"/>
  <c r="G27" i="4"/>
  <c r="G37" i="4"/>
  <c r="G38" i="4"/>
  <c r="G49" i="4"/>
  <c r="G48" i="4"/>
  <c r="G47" i="4"/>
  <c r="B50" i="1"/>
  <c r="D50" i="1"/>
  <c r="C50" i="1"/>
  <c r="C37" i="1"/>
  <c r="C39" i="1"/>
  <c r="D38" i="1"/>
  <c r="C38" i="1"/>
  <c r="D17" i="1"/>
  <c r="D16" i="1"/>
  <c r="D15" i="1"/>
  <c r="D14" i="1"/>
  <c r="D13" i="1"/>
  <c r="C12" i="1"/>
  <c r="D72" i="1"/>
  <c r="C72" i="1"/>
  <c r="B72" i="1"/>
  <c r="B9" i="1"/>
  <c r="B41" i="1" s="1"/>
  <c r="C8" i="1"/>
  <c r="D8" i="1" s="1"/>
  <c r="C7" i="1"/>
  <c r="D7" i="1" s="1"/>
  <c r="E7" i="1" s="1"/>
  <c r="F7" i="1" s="1"/>
  <c r="G7" i="1" s="1"/>
  <c r="H7" i="1" s="1"/>
  <c r="I7" i="1" s="1"/>
  <c r="J7" i="1" s="1"/>
  <c r="C302" i="1" l="1"/>
  <c r="D302" i="1"/>
  <c r="B302" i="1"/>
  <c r="F330" i="1"/>
  <c r="A333" i="1"/>
  <c r="A330" i="1"/>
  <c r="A334" i="1"/>
  <c r="A332" i="1"/>
  <c r="A331" i="1"/>
  <c r="A335" i="1"/>
  <c r="B333" i="1"/>
  <c r="B334" i="1"/>
  <c r="B335" i="1"/>
  <c r="B332" i="1"/>
  <c r="B330" i="1"/>
  <c r="B331" i="1"/>
  <c r="C332" i="1"/>
  <c r="C333" i="1"/>
  <c r="C330" i="1"/>
  <c r="C331" i="1"/>
  <c r="C334" i="1"/>
  <c r="C335" i="1"/>
  <c r="F332" i="1"/>
  <c r="F334" i="1"/>
  <c r="F331" i="1"/>
  <c r="F333" i="1"/>
  <c r="F335" i="1"/>
  <c r="G28" i="2"/>
  <c r="H25" i="2"/>
  <c r="H34" i="2" s="1"/>
  <c r="G15" i="10" s="1"/>
  <c r="H35" i="2"/>
  <c r="G16" i="10" s="1"/>
  <c r="H30" i="2"/>
  <c r="C46" i="1"/>
  <c r="O36" i="4"/>
  <c r="P36" i="4"/>
  <c r="P16" i="4"/>
  <c r="O16" i="4"/>
  <c r="I70" i="1"/>
  <c r="P47" i="4"/>
  <c r="O47" i="4"/>
  <c r="P26" i="4"/>
  <c r="O26" i="4"/>
  <c r="I22" i="2"/>
  <c r="I24" i="2" s="1"/>
  <c r="H36" i="2"/>
  <c r="G17" i="10" s="1"/>
  <c r="H29" i="2"/>
  <c r="I69" i="1"/>
  <c r="F142" i="1"/>
  <c r="F226" i="1" s="1"/>
  <c r="F19" i="10"/>
  <c r="F30" i="10" s="1"/>
  <c r="E126" i="1"/>
  <c r="E218" i="1"/>
  <c r="E226" i="1"/>
  <c r="E84" i="1"/>
  <c r="F178" i="1"/>
  <c r="F211" i="1"/>
  <c r="F158" i="1"/>
  <c r="F209" i="1"/>
  <c r="F228" i="1" s="1"/>
  <c r="F197" i="1"/>
  <c r="F198" i="1" s="1"/>
  <c r="E121" i="1"/>
  <c r="F175" i="1"/>
  <c r="F176" i="1" s="1"/>
  <c r="E107" i="1"/>
  <c r="I68" i="1"/>
  <c r="I27" i="2"/>
  <c r="I71" i="1"/>
  <c r="I26" i="2"/>
  <c r="G199" i="1"/>
  <c r="G232" i="1" s="1"/>
  <c r="G177" i="1"/>
  <c r="G154" i="1" s="1"/>
  <c r="G302" i="1" s="1"/>
  <c r="B28" i="1"/>
  <c r="B42" i="1"/>
  <c r="D28" i="1"/>
  <c r="D46" i="1"/>
  <c r="H74" i="1"/>
  <c r="I20" i="2"/>
  <c r="G76" i="1"/>
  <c r="F80" i="1"/>
  <c r="F79" i="1"/>
  <c r="F83" i="1"/>
  <c r="F82" i="1"/>
  <c r="F78" i="1"/>
  <c r="F283" i="1" s="1"/>
  <c r="F81" i="1"/>
  <c r="G18" i="1"/>
  <c r="G116" i="1"/>
  <c r="G148" i="1" s="1"/>
  <c r="G115" i="1"/>
  <c r="G147" i="1" s="1"/>
  <c r="I67" i="1"/>
  <c r="H75" i="1"/>
  <c r="G61" i="4"/>
  <c r="D61" i="4" s="1"/>
  <c r="C61" i="4" s="1"/>
  <c r="G56" i="4"/>
  <c r="G60" i="4"/>
  <c r="D60" i="4" s="1"/>
  <c r="C60" i="4" s="1"/>
  <c r="D42" i="1"/>
  <c r="E18" i="1"/>
  <c r="I66" i="1"/>
  <c r="H72" i="1"/>
  <c r="C43" i="1"/>
  <c r="C28" i="1"/>
  <c r="B45" i="1"/>
  <c r="C45" i="1"/>
  <c r="D45" i="1"/>
  <c r="D18" i="1"/>
  <c r="B43" i="1"/>
  <c r="D43" i="1"/>
  <c r="C18" i="1"/>
  <c r="C42" i="1"/>
  <c r="C9" i="1"/>
  <c r="B36" i="1"/>
  <c r="B35" i="1"/>
  <c r="E8" i="1"/>
  <c r="F244" i="1" s="1"/>
  <c r="D9" i="1"/>
  <c r="F1" i="8" l="1"/>
  <c r="F1" i="1"/>
  <c r="G332" i="1"/>
  <c r="G331" i="1"/>
  <c r="G334" i="1"/>
  <c r="G335" i="1"/>
  <c r="G333" i="1"/>
  <c r="G330" i="1"/>
  <c r="G19" i="10"/>
  <c r="G30" i="10" s="1"/>
  <c r="E85" i="1"/>
  <c r="H28" i="2"/>
  <c r="I25" i="2"/>
  <c r="I34" i="2" s="1"/>
  <c r="H15" i="10" s="1"/>
  <c r="I36" i="2"/>
  <c r="H17" i="10" s="1"/>
  <c r="I29" i="2"/>
  <c r="J70" i="1"/>
  <c r="J22" i="2"/>
  <c r="J24" i="2" s="1"/>
  <c r="J69" i="1"/>
  <c r="I35" i="2"/>
  <c r="H16" i="10" s="1"/>
  <c r="I30" i="2"/>
  <c r="F126" i="1"/>
  <c r="F218" i="1"/>
  <c r="F245" i="1"/>
  <c r="H76" i="1"/>
  <c r="G178" i="1"/>
  <c r="G211" i="1"/>
  <c r="G158" i="1"/>
  <c r="G209" i="1"/>
  <c r="G228" i="1" s="1"/>
  <c r="G83" i="1"/>
  <c r="G142" i="1"/>
  <c r="F180" i="1"/>
  <c r="G175" i="1" s="1"/>
  <c r="G176" i="1" s="1"/>
  <c r="F140" i="1"/>
  <c r="F200" i="1"/>
  <c r="G252" i="1" s="1"/>
  <c r="F163" i="1"/>
  <c r="F165" i="1" s="1"/>
  <c r="G82" i="1"/>
  <c r="J68" i="1"/>
  <c r="J27" i="2"/>
  <c r="J71" i="1"/>
  <c r="L71" i="1" s="1"/>
  <c r="J26" i="2"/>
  <c r="G81" i="1"/>
  <c r="G79" i="1"/>
  <c r="G80" i="1"/>
  <c r="E182" i="1"/>
  <c r="E111" i="1"/>
  <c r="H199" i="1"/>
  <c r="H232" i="1" s="1"/>
  <c r="H177" i="1"/>
  <c r="H154" i="1" s="1"/>
  <c r="H302" i="1" s="1"/>
  <c r="I74" i="1"/>
  <c r="J20" i="2"/>
  <c r="G78" i="1"/>
  <c r="G283" i="1" s="1"/>
  <c r="F84" i="1"/>
  <c r="H18" i="1"/>
  <c r="H115" i="1"/>
  <c r="H147" i="1" s="1"/>
  <c r="H116" i="1"/>
  <c r="H148" i="1" s="1"/>
  <c r="D56" i="4"/>
  <c r="D58" i="4" s="1"/>
  <c r="J67" i="1"/>
  <c r="I75" i="1"/>
  <c r="J66" i="1"/>
  <c r="I72" i="1"/>
  <c r="D35" i="1"/>
  <c r="D41" i="1"/>
  <c r="D36" i="1"/>
  <c r="C35" i="1"/>
  <c r="C36" i="1"/>
  <c r="C41" i="1"/>
  <c r="F8" i="1"/>
  <c r="G244" i="1" s="1"/>
  <c r="E9" i="1"/>
  <c r="K73" i="1" l="1"/>
  <c r="E222" i="1"/>
  <c r="E223" i="1" s="1"/>
  <c r="E224" i="1" s="1"/>
  <c r="E284" i="1"/>
  <c r="K74" i="1"/>
  <c r="H333" i="1"/>
  <c r="H330" i="1"/>
  <c r="H332" i="1"/>
  <c r="H335" i="1"/>
  <c r="H331" i="1"/>
  <c r="H334" i="1"/>
  <c r="J16" i="4"/>
  <c r="Q16" i="4" s="1"/>
  <c r="E214" i="1"/>
  <c r="E216" i="1" s="1"/>
  <c r="E219" i="1" s="1"/>
  <c r="E20" i="10" s="1"/>
  <c r="E31" i="10" s="1"/>
  <c r="H78" i="1"/>
  <c r="H283" i="1" s="1"/>
  <c r="F85" i="1"/>
  <c r="J25" i="2"/>
  <c r="J28" i="2" s="1"/>
  <c r="I28" i="2"/>
  <c r="K27" i="2"/>
  <c r="L27" i="2" s="1"/>
  <c r="J36" i="2"/>
  <c r="I17" i="10" s="1"/>
  <c r="J29" i="2"/>
  <c r="K20" i="2"/>
  <c r="J35" i="2"/>
  <c r="I16" i="10" s="1"/>
  <c r="J30" i="2"/>
  <c r="K26" i="2"/>
  <c r="L26" i="2" s="1"/>
  <c r="Y7" i="10"/>
  <c r="Y11" i="10" s="1"/>
  <c r="H142" i="1"/>
  <c r="H226" i="1" s="1"/>
  <c r="H19" i="10"/>
  <c r="H30" i="10" s="1"/>
  <c r="H81" i="1"/>
  <c r="H79" i="1"/>
  <c r="H82" i="1"/>
  <c r="H83" i="1"/>
  <c r="H80" i="1"/>
  <c r="G245" i="1"/>
  <c r="G126" i="1"/>
  <c r="G226" i="1"/>
  <c r="G218" i="1"/>
  <c r="F215" i="1"/>
  <c r="F225" i="1"/>
  <c r="H178" i="1"/>
  <c r="H211" i="1"/>
  <c r="H158" i="1"/>
  <c r="H209" i="1"/>
  <c r="H228" i="1" s="1"/>
  <c r="F107" i="1"/>
  <c r="F111" i="1" s="1"/>
  <c r="G180" i="1"/>
  <c r="G107" i="1" s="1"/>
  <c r="G140" i="1"/>
  <c r="G197" i="1"/>
  <c r="F121" i="1"/>
  <c r="I76" i="1"/>
  <c r="G84" i="1"/>
  <c r="J75" i="1"/>
  <c r="K22" i="2"/>
  <c r="K24" i="2" s="1"/>
  <c r="I199" i="1"/>
  <c r="I232" i="1" s="1"/>
  <c r="I177" i="1"/>
  <c r="I154" i="1" s="1"/>
  <c r="I302" i="1" s="1"/>
  <c r="I18" i="1"/>
  <c r="I115" i="1"/>
  <c r="I147" i="1" s="1"/>
  <c r="I116" i="1"/>
  <c r="I148" i="1" s="1"/>
  <c r="E104" i="1"/>
  <c r="E146" i="1" s="1"/>
  <c r="E114" i="1"/>
  <c r="E105" i="1"/>
  <c r="J72" i="1"/>
  <c r="J74" i="1"/>
  <c r="G8" i="1"/>
  <c r="H244" i="1" s="1"/>
  <c r="F9" i="1"/>
  <c r="F222" i="1" l="1"/>
  <c r="F223" i="1" s="1"/>
  <c r="F224" i="1" s="1"/>
  <c r="F284" i="1"/>
  <c r="I330" i="1"/>
  <c r="K72" i="1"/>
  <c r="I335" i="1"/>
  <c r="I334" i="1"/>
  <c r="I333" i="1"/>
  <c r="I331" i="1"/>
  <c r="I332" i="1"/>
  <c r="F214" i="1"/>
  <c r="F216" i="1" s="1"/>
  <c r="F219" i="1" s="1"/>
  <c r="F20" i="10" s="1"/>
  <c r="F31" i="10" s="1"/>
  <c r="J26" i="4"/>
  <c r="J36" i="4" s="1"/>
  <c r="G85" i="1"/>
  <c r="K16" i="4"/>
  <c r="J34" i="2"/>
  <c r="I15" i="10" s="1"/>
  <c r="K25" i="2"/>
  <c r="K35" i="2"/>
  <c r="J16" i="10" s="1"/>
  <c r="K30" i="2"/>
  <c r="K36" i="2"/>
  <c r="J17" i="10" s="1"/>
  <c r="K29" i="2"/>
  <c r="H126" i="1"/>
  <c r="H218" i="1"/>
  <c r="I142" i="1"/>
  <c r="I226" i="1" s="1"/>
  <c r="I19" i="10"/>
  <c r="I30" i="10" s="1"/>
  <c r="H84" i="1"/>
  <c r="H245" i="1"/>
  <c r="G215" i="1"/>
  <c r="G225" i="1"/>
  <c r="I81" i="1"/>
  <c r="I178" i="1"/>
  <c r="I211" i="1"/>
  <c r="F182" i="1"/>
  <c r="I83" i="1"/>
  <c r="I80" i="1"/>
  <c r="I158" i="1"/>
  <c r="I209" i="1"/>
  <c r="I228" i="1" s="1"/>
  <c r="H175" i="1"/>
  <c r="H176" i="1" s="1"/>
  <c r="H140" i="1" s="1"/>
  <c r="I78" i="1"/>
  <c r="I283" i="1" s="1"/>
  <c r="I82" i="1"/>
  <c r="I79" i="1"/>
  <c r="G198" i="1"/>
  <c r="G163" i="1" s="1"/>
  <c r="G165" i="1" s="1"/>
  <c r="E144" i="1"/>
  <c r="E117" i="1"/>
  <c r="E122" i="1" s="1"/>
  <c r="E145" i="1"/>
  <c r="J76" i="1"/>
  <c r="J199" i="1"/>
  <c r="J232" i="1" s="1"/>
  <c r="J177" i="1"/>
  <c r="J154" i="1" s="1"/>
  <c r="J302" i="1" s="1"/>
  <c r="G182" i="1"/>
  <c r="G111" i="1"/>
  <c r="F104" i="1"/>
  <c r="F146" i="1" s="1"/>
  <c r="F114" i="1"/>
  <c r="F117" i="1" s="1"/>
  <c r="F122" i="1" s="1"/>
  <c r="F105" i="1"/>
  <c r="F144" i="1" s="1"/>
  <c r="J18" i="1"/>
  <c r="J115" i="1"/>
  <c r="J147" i="1" s="1"/>
  <c r="J116" i="1"/>
  <c r="J148" i="1" s="1"/>
  <c r="H8" i="1"/>
  <c r="I244" i="1" s="1"/>
  <c r="G9" i="1"/>
  <c r="G214" i="1" l="1"/>
  <c r="G216" i="1" s="1"/>
  <c r="G219" i="1" s="1"/>
  <c r="G20" i="10" s="1"/>
  <c r="G31" i="10" s="1"/>
  <c r="G284" i="1"/>
  <c r="K34" i="2"/>
  <c r="J15" i="10" s="1"/>
  <c r="L25" i="2"/>
  <c r="Q26" i="4"/>
  <c r="K28" i="2"/>
  <c r="G222" i="1"/>
  <c r="G223" i="1" s="1"/>
  <c r="G224" i="1" s="1"/>
  <c r="H85" i="1"/>
  <c r="R16" i="4"/>
  <c r="K26" i="4"/>
  <c r="J47" i="4"/>
  <c r="Q47" i="4" s="1"/>
  <c r="Q36" i="4"/>
  <c r="I218" i="1"/>
  <c r="I126" i="1"/>
  <c r="J142" i="1"/>
  <c r="J226" i="1" s="1"/>
  <c r="J19" i="10"/>
  <c r="J30" i="10" s="1"/>
  <c r="J80" i="1"/>
  <c r="G200" i="1"/>
  <c r="H252" i="1" s="1"/>
  <c r="I245" i="1"/>
  <c r="H215" i="1"/>
  <c r="H225" i="1"/>
  <c r="I84" i="1"/>
  <c r="E229" i="1"/>
  <c r="E230" i="1" s="1"/>
  <c r="J79" i="1"/>
  <c r="H180" i="1"/>
  <c r="H107" i="1" s="1"/>
  <c r="H111" i="1" s="1"/>
  <c r="J78" i="1"/>
  <c r="J283" i="1" s="1"/>
  <c r="J82" i="1"/>
  <c r="J81" i="1"/>
  <c r="J178" i="1"/>
  <c r="J211" i="1"/>
  <c r="J158" i="1"/>
  <c r="J209" i="1"/>
  <c r="J228" i="1" s="1"/>
  <c r="J83" i="1"/>
  <c r="F145" i="1"/>
  <c r="F229" i="1" s="1"/>
  <c r="F230" i="1" s="1"/>
  <c r="F24" i="10" s="1"/>
  <c r="G104" i="1"/>
  <c r="G146" i="1" s="1"/>
  <c r="G105" i="1"/>
  <c r="G144" i="1" s="1"/>
  <c r="G114" i="1"/>
  <c r="I8" i="1"/>
  <c r="J244" i="1" s="1"/>
  <c r="H9" i="1"/>
  <c r="H222" i="1" l="1"/>
  <c r="H223" i="1" s="1"/>
  <c r="H224" i="1" s="1"/>
  <c r="H284" i="1"/>
  <c r="E24" i="10"/>
  <c r="F247" i="1"/>
  <c r="K36" i="4"/>
  <c r="R26" i="4"/>
  <c r="H214" i="1"/>
  <c r="H216" i="1" s="1"/>
  <c r="H219" i="1" s="1"/>
  <c r="H20" i="10" s="1"/>
  <c r="H31" i="10" s="1"/>
  <c r="I85" i="1"/>
  <c r="J218" i="1"/>
  <c r="J126" i="1"/>
  <c r="G121" i="1"/>
  <c r="H197" i="1"/>
  <c r="H198" i="1" s="1"/>
  <c r="H163" i="1" s="1"/>
  <c r="H165" i="1" s="1"/>
  <c r="J245" i="1"/>
  <c r="E233" i="1"/>
  <c r="F233" i="1"/>
  <c r="G247" i="1"/>
  <c r="J84" i="1"/>
  <c r="I175" i="1"/>
  <c r="I176" i="1" s="1"/>
  <c r="I140" i="1" s="1"/>
  <c r="H182" i="1"/>
  <c r="G117" i="1"/>
  <c r="G145" i="1"/>
  <c r="G229" i="1" s="1"/>
  <c r="G230" i="1" s="1"/>
  <c r="G24" i="10" s="1"/>
  <c r="H104" i="1"/>
  <c r="H146" i="1" s="1"/>
  <c r="H114" i="1"/>
  <c r="H105" i="1"/>
  <c r="H144" i="1" s="1"/>
  <c r="J8" i="1"/>
  <c r="I9" i="1"/>
  <c r="I214" i="1" l="1"/>
  <c r="I284" i="1"/>
  <c r="I222" i="1"/>
  <c r="I223" i="1" s="1"/>
  <c r="I224" i="1" s="1"/>
  <c r="R36" i="4"/>
  <c r="K47" i="4"/>
  <c r="R47" i="4" s="1"/>
  <c r="J85" i="1"/>
  <c r="G122" i="1"/>
  <c r="H200" i="1"/>
  <c r="I252" i="1" s="1"/>
  <c r="G233" i="1"/>
  <c r="H247" i="1"/>
  <c r="I215" i="1"/>
  <c r="I225" i="1"/>
  <c r="J9" i="1"/>
  <c r="J104" i="1" s="1"/>
  <c r="K244" i="1"/>
  <c r="I180" i="1"/>
  <c r="H117" i="1"/>
  <c r="H145" i="1"/>
  <c r="H229" i="1" s="1"/>
  <c r="H230" i="1" s="1"/>
  <c r="H24" i="10" s="1"/>
  <c r="I104" i="1"/>
  <c r="I146" i="1" s="1"/>
  <c r="I105" i="1"/>
  <c r="I144" i="1" s="1"/>
  <c r="I114" i="1"/>
  <c r="D165" i="1"/>
  <c r="C165" i="1"/>
  <c r="B165" i="1"/>
  <c r="D158" i="1"/>
  <c r="C158" i="1"/>
  <c r="B158" i="1"/>
  <c r="D130" i="1"/>
  <c r="D297" i="1" s="1"/>
  <c r="C130" i="1"/>
  <c r="C297" i="1" s="1"/>
  <c r="B130" i="1"/>
  <c r="B297" i="1" s="1"/>
  <c r="D117" i="1"/>
  <c r="C117" i="1"/>
  <c r="B117" i="1"/>
  <c r="D111" i="1"/>
  <c r="C111" i="1"/>
  <c r="B111" i="1"/>
  <c r="D106" i="1"/>
  <c r="C106" i="1"/>
  <c r="B106" i="1"/>
  <c r="C3" i="1"/>
  <c r="D292" i="1" l="1"/>
  <c r="B292" i="1"/>
  <c r="C292" i="1"/>
  <c r="I216" i="1"/>
  <c r="I219" i="1" s="1"/>
  <c r="I20" i="10" s="1"/>
  <c r="I31" i="10" s="1"/>
  <c r="D122" i="1"/>
  <c r="D296" i="1" s="1"/>
  <c r="D293" i="1"/>
  <c r="D294" i="1"/>
  <c r="B329" i="1"/>
  <c r="C281" i="1"/>
  <c r="B122" i="1"/>
  <c r="B296" i="1" s="1"/>
  <c r="B293" i="1"/>
  <c r="B294" i="1"/>
  <c r="C122" i="1"/>
  <c r="C296" i="1" s="1"/>
  <c r="C293" i="1"/>
  <c r="C294" i="1"/>
  <c r="J222" i="1"/>
  <c r="J223" i="1" s="1"/>
  <c r="J224" i="1" s="1"/>
  <c r="J284" i="1"/>
  <c r="J214" i="1"/>
  <c r="D3" i="1"/>
  <c r="J146" i="1"/>
  <c r="I197" i="1"/>
  <c r="I198" i="1" s="1"/>
  <c r="I163" i="1" s="1"/>
  <c r="I165" i="1" s="1"/>
  <c r="H121" i="1"/>
  <c r="H122" i="1" s="1"/>
  <c r="L244" i="1"/>
  <c r="K245" i="1"/>
  <c r="J105" i="1"/>
  <c r="J144" i="1" s="1"/>
  <c r="H233" i="1"/>
  <c r="I247" i="1"/>
  <c r="J114" i="1"/>
  <c r="J117" i="1" s="1"/>
  <c r="J175" i="1"/>
  <c r="I107" i="1"/>
  <c r="I117" i="1"/>
  <c r="I145" i="1"/>
  <c r="I229" i="1" s="1"/>
  <c r="I230" i="1" s="1"/>
  <c r="I24" i="10" s="1"/>
  <c r="C112" i="1"/>
  <c r="C288" i="1" s="1"/>
  <c r="B112" i="1"/>
  <c r="B288" i="1" s="1"/>
  <c r="D112" i="1"/>
  <c r="D288" i="1" s="1"/>
  <c r="D131" i="1" l="1"/>
  <c r="C131" i="1"/>
  <c r="C132" i="1" s="1"/>
  <c r="B131" i="1"/>
  <c r="B132" i="1" s="1"/>
  <c r="C329" i="1"/>
  <c r="D281" i="1"/>
  <c r="E3" i="1"/>
  <c r="I200" i="1"/>
  <c r="J252" i="1" s="1"/>
  <c r="J145" i="1"/>
  <c r="J229" i="1" s="1"/>
  <c r="I233" i="1"/>
  <c r="J247" i="1"/>
  <c r="I182" i="1"/>
  <c r="I111" i="1"/>
  <c r="J176" i="1"/>
  <c r="J140" i="1" s="1"/>
  <c r="D132" i="1"/>
  <c r="D89" i="1"/>
  <c r="B89" i="1"/>
  <c r="D84" i="1"/>
  <c r="C84" i="1"/>
  <c r="B84" i="1"/>
  <c r="C76" i="1"/>
  <c r="C283" i="1" s="1"/>
  <c r="D76" i="1"/>
  <c r="D283" i="1" s="1"/>
  <c r="B76" i="1"/>
  <c r="B283" i="1" s="1"/>
  <c r="D329" i="1" l="1"/>
  <c r="E281" i="1"/>
  <c r="F3" i="1"/>
  <c r="E13" i="10"/>
  <c r="J197" i="1"/>
  <c r="J198" i="1" s="1"/>
  <c r="J163" i="1" s="1"/>
  <c r="J165" i="1" s="1"/>
  <c r="I121" i="1"/>
  <c r="I122" i="1" s="1"/>
  <c r="J180" i="1"/>
  <c r="J107" i="1" s="1"/>
  <c r="J182" i="1" s="1"/>
  <c r="J215" i="1"/>
  <c r="J216" i="1" s="1"/>
  <c r="J219" i="1" s="1"/>
  <c r="C238" i="1" s="1"/>
  <c r="J225" i="1"/>
  <c r="J230" i="1" s="1"/>
  <c r="J24" i="10" s="1"/>
  <c r="B24" i="1"/>
  <c r="B21" i="1"/>
  <c r="B22" i="1"/>
  <c r="B23" i="1"/>
  <c r="B20" i="1"/>
  <c r="B25" i="1"/>
  <c r="C85" i="1"/>
  <c r="C284" i="1" s="1"/>
  <c r="C22" i="1"/>
  <c r="C24" i="1"/>
  <c r="C21" i="1"/>
  <c r="C23" i="1"/>
  <c r="C20" i="1"/>
  <c r="C25" i="1"/>
  <c r="D85" i="1"/>
  <c r="D284" i="1" s="1"/>
  <c r="D23" i="1"/>
  <c r="D20" i="1"/>
  <c r="D24" i="1"/>
  <c r="D25" i="1"/>
  <c r="D22" i="1"/>
  <c r="D21" i="1"/>
  <c r="B85" i="1"/>
  <c r="B284" i="1" s="1"/>
  <c r="E329" i="1" l="1"/>
  <c r="F281" i="1"/>
  <c r="D222" i="1"/>
  <c r="B222" i="1"/>
  <c r="C222" i="1"/>
  <c r="G3" i="1"/>
  <c r="F13" i="10"/>
  <c r="J20" i="10"/>
  <c r="J31" i="10" s="1"/>
  <c r="J111" i="1"/>
  <c r="J233" i="1"/>
  <c r="K247" i="1"/>
  <c r="J200" i="1"/>
  <c r="B91" i="1"/>
  <c r="B214" i="1"/>
  <c r="B216" i="1" s="1"/>
  <c r="B219" i="1" s="1"/>
  <c r="D91" i="1"/>
  <c r="D285" i="1" s="1"/>
  <c r="D214" i="1"/>
  <c r="D216" i="1" s="1"/>
  <c r="D219" i="1" s="1"/>
  <c r="C91" i="1"/>
  <c r="C285" i="1" s="1"/>
  <c r="C214" i="1"/>
  <c r="C216" i="1" s="1"/>
  <c r="C219" i="1" s="1"/>
  <c r="B26" i="1"/>
  <c r="D26" i="1"/>
  <c r="C26" i="1"/>
  <c r="F329" i="1" l="1"/>
  <c r="G281" i="1"/>
  <c r="B93" i="1"/>
  <c r="B95" i="1" s="1"/>
  <c r="B285" i="1"/>
  <c r="D29" i="1"/>
  <c r="D223" i="1" s="1"/>
  <c r="D224" i="1" s="1"/>
  <c r="D230" i="1" s="1"/>
  <c r="D233" i="1" s="1"/>
  <c r="C93" i="1"/>
  <c r="H3" i="1"/>
  <c r="G13" i="10"/>
  <c r="J121" i="1"/>
  <c r="J122" i="1" s="1"/>
  <c r="K252" i="1"/>
  <c r="B29" i="1"/>
  <c r="B223" i="1" s="1"/>
  <c r="B224" i="1" s="1"/>
  <c r="B230" i="1" s="1"/>
  <c r="B233" i="1" s="1"/>
  <c r="D238" i="1"/>
  <c r="B238" i="1" s="1"/>
  <c r="C29" i="1"/>
  <c r="C223" i="1" s="1"/>
  <c r="C224" i="1" s="1"/>
  <c r="C230" i="1" s="1"/>
  <c r="C233" i="1" s="1"/>
  <c r="D93" i="1"/>
  <c r="G329" i="1" l="1"/>
  <c r="H281" i="1"/>
  <c r="C94" i="1"/>
  <c r="C289" i="1"/>
  <c r="C290" i="1"/>
  <c r="C286" i="1"/>
  <c r="C287" i="1"/>
  <c r="D287" i="1"/>
  <c r="D290" i="1"/>
  <c r="D286" i="1"/>
  <c r="D289" i="1"/>
  <c r="B287" i="1"/>
  <c r="B289" i="1"/>
  <c r="B290" i="1"/>
  <c r="B286" i="1"/>
  <c r="B94" i="1"/>
  <c r="C95" i="1"/>
  <c r="D139" i="1"/>
  <c r="D150" i="1" s="1"/>
  <c r="C139" i="1"/>
  <c r="C150" i="1" s="1"/>
  <c r="B139" i="1"/>
  <c r="B150" i="1" s="1"/>
  <c r="H13" i="10"/>
  <c r="I3" i="1"/>
  <c r="L247" i="1"/>
  <c r="E249" i="1" s="1"/>
  <c r="D95" i="1"/>
  <c r="D94" i="1"/>
  <c r="H329" i="1" l="1"/>
  <c r="I281" i="1"/>
  <c r="B208" i="1"/>
  <c r="B210" i="1" s="1"/>
  <c r="B212" i="1" s="1"/>
  <c r="B300" i="1"/>
  <c r="B299" i="1"/>
  <c r="B303" i="1"/>
  <c r="C167" i="1"/>
  <c r="C303" i="1"/>
  <c r="C299" i="1"/>
  <c r="C300" i="1"/>
  <c r="D167" i="1"/>
  <c r="D299" i="1"/>
  <c r="D303" i="1"/>
  <c r="D300" i="1"/>
  <c r="D208" i="1"/>
  <c r="D210" i="1" s="1"/>
  <c r="D212" i="1" s="1"/>
  <c r="E253" i="1"/>
  <c r="E256" i="1" s="1"/>
  <c r="C208" i="1"/>
  <c r="C210" i="1" s="1"/>
  <c r="C212" i="1" s="1"/>
  <c r="B167" i="1"/>
  <c r="B168" i="1" s="1"/>
  <c r="C136" i="1" s="1"/>
  <c r="C30" i="1" s="1"/>
  <c r="J3" i="1"/>
  <c r="I13" i="10"/>
  <c r="H249" i="1"/>
  <c r="G249" i="1"/>
  <c r="I249" i="1"/>
  <c r="K249" i="1"/>
  <c r="J249" i="1"/>
  <c r="F249" i="1"/>
  <c r="I329" i="1" l="1"/>
  <c r="J281" i="1"/>
  <c r="C168" i="1"/>
  <c r="D136" i="1" s="1"/>
  <c r="D168" i="1" s="1"/>
  <c r="E136" i="1" s="1"/>
  <c r="E87" i="1" s="1"/>
  <c r="J13" i="10"/>
  <c r="E28" i="10" l="1"/>
  <c r="B267" i="1"/>
  <c r="I15" i="8"/>
  <c r="X7" i="10"/>
  <c r="X11" i="10" s="1"/>
  <c r="E9" i="10"/>
  <c r="E10" i="10" s="1"/>
  <c r="E89" i="1"/>
  <c r="E91" i="1" s="1"/>
  <c r="E285" i="1" s="1"/>
  <c r="D30" i="1"/>
  <c r="M3" i="10" l="1"/>
  <c r="E90" i="1"/>
  <c r="E93" i="1" l="1"/>
  <c r="E286" i="1" l="1"/>
  <c r="E287" i="1"/>
  <c r="R71" i="1"/>
  <c r="S66" i="1"/>
  <c r="N66" i="1"/>
  <c r="P67" i="1"/>
  <c r="O68" i="1"/>
  <c r="N70" i="1"/>
  <c r="O66" i="1"/>
  <c r="Q66" i="1"/>
  <c r="Q69" i="1"/>
  <c r="S67" i="1"/>
  <c r="S70" i="1"/>
  <c r="E139" i="1"/>
  <c r="E150" i="1" s="1"/>
  <c r="O69" i="1"/>
  <c r="E21" i="10"/>
  <c r="E22" i="10" s="1"/>
  <c r="P68" i="1"/>
  <c r="S71" i="1"/>
  <c r="R68" i="1"/>
  <c r="R66" i="1"/>
  <c r="E94" i="1"/>
  <c r="R67" i="1"/>
  <c r="Q68" i="1"/>
  <c r="R70" i="1"/>
  <c r="P71" i="1"/>
  <c r="Q67" i="1"/>
  <c r="N67" i="1"/>
  <c r="O70" i="1"/>
  <c r="Q70" i="1"/>
  <c r="Q71" i="1"/>
  <c r="R69" i="1"/>
  <c r="N71" i="1"/>
  <c r="N68" i="1"/>
  <c r="P69" i="1"/>
  <c r="S68" i="1"/>
  <c r="E95" i="1"/>
  <c r="E25" i="10" s="1"/>
  <c r="E129" i="1"/>
  <c r="P66" i="1"/>
  <c r="O67" i="1"/>
  <c r="N69" i="1"/>
  <c r="S69" i="1"/>
  <c r="P70" i="1"/>
  <c r="O71" i="1"/>
  <c r="E303" i="1" l="1"/>
  <c r="E300" i="1"/>
  <c r="E299" i="1"/>
  <c r="E130" i="1"/>
  <c r="E26" i="10"/>
  <c r="E208" i="1"/>
  <c r="E210" i="1" s="1"/>
  <c r="E212" i="1" s="1"/>
  <c r="E167" i="1"/>
  <c r="E168" i="1" s="1"/>
  <c r="E131" i="1" l="1"/>
  <c r="E296" i="1"/>
  <c r="E290" i="1"/>
  <c r="F136" i="1"/>
  <c r="F87" i="1" s="1"/>
  <c r="E102" i="1"/>
  <c r="F251" i="1" l="1"/>
  <c r="F253" i="1" s="1"/>
  <c r="F256" i="1" s="1"/>
  <c r="E297" i="1"/>
  <c r="E294" i="1"/>
  <c r="E293" i="1"/>
  <c r="F89" i="1"/>
  <c r="F28" i="10" l="1"/>
  <c r="F91" i="1"/>
  <c r="F285" i="1" s="1"/>
  <c r="F90" i="1" l="1"/>
  <c r="F93" i="1" l="1"/>
  <c r="F286" i="1" l="1"/>
  <c r="F287" i="1"/>
  <c r="F21" i="10"/>
  <c r="F22" i="10" s="1"/>
  <c r="F95" i="1"/>
  <c r="F25" i="10" s="1"/>
  <c r="F139" i="1"/>
  <c r="F150" i="1" s="1"/>
  <c r="F94" i="1"/>
  <c r="F129" i="1"/>
  <c r="F303" i="1" l="1"/>
  <c r="F300" i="1"/>
  <c r="F299" i="1"/>
  <c r="F130" i="1"/>
  <c r="F26" i="10"/>
  <c r="F167" i="1"/>
  <c r="F168" i="1" s="1"/>
  <c r="F208" i="1"/>
  <c r="F210" i="1" s="1"/>
  <c r="F212" i="1" s="1"/>
  <c r="F131" i="1" l="1"/>
  <c r="F296" i="1"/>
  <c r="F290" i="1"/>
  <c r="G136" i="1"/>
  <c r="G87" i="1" s="1"/>
  <c r="F102" i="1"/>
  <c r="E106" i="1"/>
  <c r="F297" i="1" l="1"/>
  <c r="F294" i="1"/>
  <c r="F293" i="1"/>
  <c r="E112" i="1"/>
  <c r="E292" i="1"/>
  <c r="G251" i="1"/>
  <c r="F106" i="1"/>
  <c r="G89" i="1"/>
  <c r="F112" i="1" l="1"/>
  <c r="F292" i="1"/>
  <c r="E132" i="1"/>
  <c r="E288" i="1"/>
  <c r="E289" i="1"/>
  <c r="G253" i="1"/>
  <c r="G256" i="1" s="1"/>
  <c r="G91" i="1"/>
  <c r="G285" i="1" s="1"/>
  <c r="G28" i="10" l="1"/>
  <c r="F132" i="1"/>
  <c r="F288" i="1"/>
  <c r="F289" i="1"/>
  <c r="G90" i="1"/>
  <c r="G93" i="1" l="1"/>
  <c r="G286" i="1" l="1"/>
  <c r="G287" i="1"/>
  <c r="G21" i="10"/>
  <c r="G22" i="10" s="1"/>
  <c r="G139" i="1"/>
  <c r="G150" i="1" s="1"/>
  <c r="G95" i="1"/>
  <c r="G25" i="10" s="1"/>
  <c r="G94" i="1"/>
  <c r="G129" i="1"/>
  <c r="G303" i="1" l="1"/>
  <c r="G300" i="1"/>
  <c r="G299" i="1"/>
  <c r="G130" i="1"/>
  <c r="G26" i="10"/>
  <c r="G167" i="1"/>
  <c r="G168" i="1" s="1"/>
  <c r="G208" i="1"/>
  <c r="G210" i="1" s="1"/>
  <c r="G212" i="1" s="1"/>
  <c r="G131" i="1" l="1"/>
  <c r="G296" i="1"/>
  <c r="G290" i="1"/>
  <c r="G102" i="1"/>
  <c r="H136" i="1"/>
  <c r="H87" i="1" s="1"/>
  <c r="G294" i="1" l="1"/>
  <c r="G297" i="1"/>
  <c r="G293" i="1"/>
  <c r="H89" i="1"/>
  <c r="G106" i="1"/>
  <c r="H251" i="1"/>
  <c r="H253" i="1" s="1"/>
  <c r="H256" i="1" s="1"/>
  <c r="H28" i="10" l="1"/>
  <c r="G112" i="1"/>
  <c r="G292" i="1"/>
  <c r="H91" i="1"/>
  <c r="H285" i="1" s="1"/>
  <c r="G132" i="1" l="1"/>
  <c r="G288" i="1"/>
  <c r="G289" i="1"/>
  <c r="H90" i="1"/>
  <c r="H93" i="1" l="1"/>
  <c r="H286" i="1" l="1"/>
  <c r="H287" i="1"/>
  <c r="H94" i="1"/>
  <c r="H95" i="1"/>
  <c r="H25" i="10" s="1"/>
  <c r="H21" i="10"/>
  <c r="H22" i="10" s="1"/>
  <c r="H139" i="1"/>
  <c r="H150" i="1" s="1"/>
  <c r="H129" i="1"/>
  <c r="H303" i="1" l="1"/>
  <c r="H300" i="1"/>
  <c r="H299" i="1"/>
  <c r="H130" i="1"/>
  <c r="H208" i="1"/>
  <c r="H210" i="1" s="1"/>
  <c r="H212" i="1" s="1"/>
  <c r="H167" i="1"/>
  <c r="H168" i="1" s="1"/>
  <c r="H26" i="10"/>
  <c r="H131" i="1" l="1"/>
  <c r="H296" i="1"/>
  <c r="H290" i="1"/>
  <c r="I136" i="1"/>
  <c r="I87" i="1" s="1"/>
  <c r="H102" i="1"/>
  <c r="H293" i="1" l="1"/>
  <c r="H297" i="1"/>
  <c r="H294" i="1"/>
  <c r="I251" i="1"/>
  <c r="I253" i="1" s="1"/>
  <c r="I256" i="1" s="1"/>
  <c r="H106" i="1"/>
  <c r="I89" i="1"/>
  <c r="I28" i="10" l="1"/>
  <c r="H112" i="1"/>
  <c r="H292" i="1"/>
  <c r="I91" i="1"/>
  <c r="I285" i="1" s="1"/>
  <c r="H132" i="1" l="1"/>
  <c r="H288" i="1"/>
  <c r="H289" i="1"/>
  <c r="I90" i="1"/>
  <c r="I93" i="1" l="1"/>
  <c r="I286" i="1" l="1"/>
  <c r="I287" i="1"/>
  <c r="I94" i="1"/>
  <c r="I95" i="1"/>
  <c r="I25" i="10" s="1"/>
  <c r="I21" i="10"/>
  <c r="I22" i="10" s="1"/>
  <c r="I139" i="1"/>
  <c r="I150" i="1" s="1"/>
  <c r="I129" i="1"/>
  <c r="I303" i="1" l="1"/>
  <c r="I300" i="1"/>
  <c r="I299" i="1"/>
  <c r="I26" i="10"/>
  <c r="I167" i="1"/>
  <c r="I168" i="1" s="1"/>
  <c r="I208" i="1"/>
  <c r="I210" i="1" s="1"/>
  <c r="I212" i="1" s="1"/>
  <c r="I130" i="1"/>
  <c r="I131" i="1" l="1"/>
  <c r="I296" i="1"/>
  <c r="I290" i="1"/>
  <c r="J136" i="1"/>
  <c r="I102" i="1"/>
  <c r="I293" i="1" l="1"/>
  <c r="I297" i="1"/>
  <c r="I294" i="1"/>
  <c r="J87" i="1"/>
  <c r="J89" i="1" s="1"/>
  <c r="K136" i="1"/>
  <c r="I106" i="1"/>
  <c r="J251" i="1"/>
  <c r="J253" i="1" s="1"/>
  <c r="J256" i="1" s="1"/>
  <c r="J28" i="10" l="1"/>
  <c r="I112" i="1"/>
  <c r="I292" i="1"/>
  <c r="J91" i="1"/>
  <c r="J285" i="1" s="1"/>
  <c r="I132" i="1" l="1"/>
  <c r="I288" i="1"/>
  <c r="I289" i="1"/>
  <c r="J90" i="1"/>
  <c r="J93" i="1" l="1"/>
  <c r="K93" i="1" l="1"/>
  <c r="J287" i="1"/>
  <c r="J286" i="1"/>
  <c r="J21" i="10"/>
  <c r="J22" i="10" s="1"/>
  <c r="J94" i="1"/>
  <c r="J139" i="1"/>
  <c r="J150" i="1" s="1"/>
  <c r="J95" i="1"/>
  <c r="J25" i="10" s="1"/>
  <c r="J129" i="1"/>
  <c r="J130" i="1" s="1"/>
  <c r="J303" i="1" l="1"/>
  <c r="J300" i="1"/>
  <c r="J131" i="1"/>
  <c r="J296" i="1"/>
  <c r="J299" i="1"/>
  <c r="J290" i="1"/>
  <c r="J26" i="10"/>
  <c r="J208" i="1"/>
  <c r="J210" i="1" s="1"/>
  <c r="J212" i="1" s="1"/>
  <c r="J167" i="1"/>
  <c r="J168" i="1" s="1"/>
  <c r="J102" i="1" s="1"/>
  <c r="J293" i="1" l="1"/>
  <c r="J297" i="1"/>
  <c r="J294" i="1"/>
  <c r="K251" i="1"/>
  <c r="K253" i="1" s="1"/>
  <c r="K256" i="1" s="1"/>
  <c r="J106" i="1"/>
  <c r="K259" i="1" l="1"/>
  <c r="E260" i="1" s="1"/>
  <c r="J112" i="1"/>
  <c r="J132" i="1" s="1"/>
  <c r="J292" i="1"/>
  <c r="K112" i="1" l="1"/>
  <c r="J267" i="1"/>
  <c r="J288" i="1"/>
  <c r="J289" i="1"/>
  <c r="E11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Odufuwa, Suky I (PG/T - Surrey Business Schl)</author>
  </authors>
  <commentList>
    <comment ref="B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E-COMMMERECE REVENUE FROM STATISTA</t>
        </r>
      </text>
    </comment>
    <comment ref="H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This Information is provided by Zenith upto 2022 with an average growth is about 4.4% so I used that go project the future revenue growth</t>
        </r>
      </text>
    </comment>
    <comment ref="B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Bloomberg Intelligence 
under revenue for cloud companies
</t>
        </r>
      </text>
    </comment>
    <comment ref="B2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Only Income from online
as we are measuring ecommerce physical would not be appropriate.
This is from the 1p Revenue on the financial analysis sheet</t>
        </r>
      </text>
    </comment>
    <comment ref="B2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This is from the 3p revenue from the financial analysis sheet
</t>
        </r>
      </text>
    </comment>
    <comment ref="B2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Amazon standard 15% commission
</t>
        </r>
      </text>
    </comment>
    <comment ref="B2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Advertisng revneue from financial analysis sheet</t>
        </r>
      </text>
    </comment>
    <comment ref="B27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Same revenue break down as above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Odufuwa, Suky I (PG/T - Surrey Business Schl)</author>
    <author>Odufuwa, Suky Odufuwa (PG/T - Surrey Business Schl)</author>
    <author>sunkanmi odufuwa</author>
  </authors>
  <commentList>
    <comment ref="E1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This section is all bloomberg assumptions</t>
        </r>
      </text>
    </comment>
    <comment ref="J20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The forecast of COGS wasn’t provided but gross profit margin was provided so I just used 1-gross profit margin to get the COGS %
</t>
        </r>
      </text>
    </comment>
    <comment ref="E30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bloomberg assumption
MODL</t>
        </r>
      </text>
    </comment>
    <comment ref="E31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Forecast assumptions from bloomberg MODL</t>
        </r>
      </text>
    </comment>
    <comment ref="E35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Estimate
</t>
        </r>
      </text>
    </comment>
    <comment ref="E36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Estimate 27 + 26 /2
</t>
        </r>
      </text>
    </comment>
    <comment ref="E38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This calculation is from the assumption consensus which is (other non-cuurent assets in 2021/O.N.C.A in 2020)-1</t>
        </r>
      </text>
    </comment>
    <comment ref="E39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Change in Marketabel security is (current year/ pervious year)-1
Figures used are from the balance sheet and the assumptions concensus
</t>
        </r>
      </text>
    </comment>
    <comment ref="E45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Bloomberg</t>
        </r>
      </text>
    </comment>
    <comment ref="E46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Average of the last two years</t>
        </r>
      </text>
    </comment>
    <comment ref="E47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Assumed on straight line method, this is in line with amazon treatment of depreciation</t>
        </r>
      </text>
    </comment>
    <comment ref="E48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Lower brand of the pervious averages</t>
        </r>
      </text>
    </comment>
    <comment ref="J55" authorId="1" shapeId="0" xr:uid="{00000000-0006-0000-0200-00000D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USED THE LOWER BAND OF THE AVERAGE 
</t>
        </r>
      </text>
    </comment>
    <comment ref="E88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No information to give any reason to model
</t>
        </r>
      </text>
    </comment>
    <comment ref="E92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No Information to give any reason to model.</t>
        </r>
      </text>
    </comment>
    <comment ref="A143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Forecaste period is change in good will</t>
        </r>
      </text>
    </comment>
    <comment ref="E156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Used the change in marketable securities as the basis for the calculation for both the the proceeds from and the purchase of marketable securities.</t>
        </r>
      </text>
    </comment>
    <comment ref="E162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Used the line as change in long term debt</t>
        </r>
      </text>
    </comment>
    <comment ref="E164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Not enough information to model this line item
</t>
        </r>
      </text>
    </comment>
    <comment ref="E166" authorId="1" shapeId="0" xr:uid="{00000000-0006-0000-0200-000014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Estimated FX losses due to covid impact on USD
OR Could be looked at as a 160 variance on the balance sheet</t>
        </r>
      </text>
    </comment>
    <comment ref="E176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ppe opening balance * Depreciation assumption
</t>
        </r>
      </text>
    </comment>
    <comment ref="E177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Net Sales * cash capex
</t>
        </r>
      </text>
    </comment>
    <comment ref="D200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these figures where gotten from the closing capital leases balance on bloomberg</t>
        </r>
      </text>
    </comment>
    <comment ref="A212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This represents free cash flow if there were no capital leases and everything thing was financed with cash</t>
        </r>
      </text>
    </comment>
    <comment ref="A228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Purchases of CAPEX paid with cash</t>
        </r>
      </text>
    </comment>
    <comment ref="A233" authorId="0" shapeId="0" xr:uid="{00000000-0006-0000-0200-00001A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if amazon fund capex with capital lease obligations
</t>
        </r>
      </text>
    </comment>
    <comment ref="C237" authorId="2" shapeId="0" xr:uid="{00000000-0006-0000-0200-00001B000000}">
      <text>
        <r>
          <rPr>
            <b/>
            <sz val="9"/>
            <color indexed="81"/>
            <rFont val="Tahoma"/>
            <family val="2"/>
          </rPr>
          <t>sunkanmi odufuwa:</t>
        </r>
        <r>
          <rPr>
            <sz val="9"/>
            <color indexed="81"/>
            <rFont val="Tahoma"/>
            <family val="2"/>
          </rPr>
          <t xml:space="preserve">
SOTP Assumptions
</t>
        </r>
      </text>
    </comment>
    <comment ref="D237" authorId="2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sunkanmi odufuwa:
4.7% is the current year over year growth rate of the consumer discreationary industry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9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WACC Calculations using data from Capital IQ
</t>
        </r>
      </text>
    </comment>
    <comment ref="B241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Most Recent Dilutive Shares</t>
        </r>
      </text>
    </comment>
    <comment ref="E251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LTM Cash and Markatable securities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Odufuwa, Suky I (PG/T - Surrey Business Schl)</author>
    <author>Odufuwa, Suky Odufuwa (PG/T - Surrey Business Schl)</author>
  </authors>
  <commentList>
    <comment ref="E6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This section is all bloomberg assumptions</t>
        </r>
      </text>
    </comment>
    <comment ref="J76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The forecast of COGS wasn’t provided but gross profit margin was provided so I just used 1-gross profit margin to get the COGS %
</t>
        </r>
      </text>
    </comment>
    <comment ref="E86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bloomberg assumption
</t>
        </r>
      </text>
    </comment>
    <comment ref="E87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Forecast assumptions from bloomberg
</t>
        </r>
      </text>
    </comment>
    <comment ref="E91" authorId="1" shapeId="0" xr:uid="{00000000-0006-0000-0300-000005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Estimate
</t>
        </r>
      </text>
    </comment>
    <comment ref="E92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Estimate 27 + 26 /2
</t>
        </r>
      </text>
    </comment>
    <comment ref="E94" authorId="1" shapeId="0" xr:uid="{00000000-0006-0000-0300-000007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This calculation is from the assumption consensus which is (other non-cuurent assets in 2021/O.N.C.A in 2020)-1</t>
        </r>
      </text>
    </comment>
    <comment ref="E95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Change in Marketabel security is (current year/ pervious year)-1
Figures used are from the balance sheet and the assumptions concensus
</t>
        </r>
      </text>
    </comment>
    <comment ref="E10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Bloomberg</t>
        </r>
      </text>
    </comment>
    <comment ref="E102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Average of the last two years</t>
        </r>
      </text>
    </comment>
    <comment ref="E103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Assumed on straight line method, this is in line with amazon treatment of depreciation</t>
        </r>
      </text>
    </comment>
    <comment ref="E104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Odufuwa, Suky I (PG/T - Surrey Business Schl):</t>
        </r>
        <r>
          <rPr>
            <sz val="9"/>
            <color indexed="81"/>
            <rFont val="Tahoma"/>
            <family val="2"/>
          </rPr>
          <t xml:space="preserve">
Lower brand of the pervious averages</t>
        </r>
      </text>
    </comment>
    <comment ref="J111" authorId="1" shapeId="0" xr:uid="{00000000-0006-0000-0300-00000D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USED THE LOWER BAND OF THE AVERAGE 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Odufuwa, Suky Odufuwa (PG/T - Surrey Business Schl)</author>
    <author>sunkanmi odufuwa</author>
  </authors>
  <commentList>
    <comment ref="G1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Odufuwa, Suky Odufuwa (PG/T - Surrey Business Schl):
Using the EV/REVNUE is in line with equity research analyst and their valuation work on amazon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Odufuwa, Suky Odufuwa (PG/T - Surrey Business Schl):</t>
        </r>
        <r>
          <rPr>
            <sz val="9"/>
            <color indexed="81"/>
            <rFont val="Tahoma"/>
            <family val="2"/>
          </rPr>
          <t xml:space="preserve">
JP Morgan SOTP EV/REVENUE ASSUMPTION
subcription revenue is highly valued and could be valued on a stand alone basis.
</t>
        </r>
      </text>
    </comment>
    <comment ref="E56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sunkanmi odufuwa:</t>
        </r>
        <r>
          <rPr>
            <sz val="9"/>
            <color indexed="81"/>
            <rFont val="Tahoma"/>
            <family val="2"/>
          </rPr>
          <t xml:space="preserve">
Copied directly from bloomberg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Kiel LaFrance</author>
    <author>CapIQ</author>
  </authors>
  <commentList>
    <comment ref="H8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SPCIQ:
</t>
        </r>
        <r>
          <rPr>
            <sz val="9"/>
            <color indexed="81"/>
            <rFont val="Tahoma"/>
            <family val="2"/>
          </rPr>
          <t xml:space="preserve">Average of Effective Tax Rate for Last 5 Fiscal Years.
</t>
        </r>
      </text>
    </comment>
    <comment ref="H10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SPCIQ:
</t>
        </r>
        <r>
          <rPr>
            <sz val="9"/>
            <color indexed="81"/>
            <rFont val="Tahoma"/>
            <family val="2"/>
          </rPr>
          <t xml:space="preserve">Average of Last 10 Years of Yearly Price Returns for the Index in Cell Z1.  Please adjust as you see fit.
</t>
        </r>
      </text>
    </comment>
    <comment ref="H1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SPCIQ:</t>
        </r>
        <r>
          <rPr>
            <sz val="9"/>
            <color indexed="81"/>
            <rFont val="Tahoma"/>
            <family val="2"/>
          </rPr>
          <t xml:space="preserve">
Average of Coupons of 5 Most Recent Issued Bonds.  Please adjust as you see fit.</t>
        </r>
      </text>
    </comment>
    <comment ref="H18" authorId="1" shapeId="0" xr:uid="{00000000-0006-0000-0600-000004000000}">
      <text>
        <r>
          <rPr>
            <b/>
            <sz val="9"/>
            <color indexed="81"/>
            <rFont val="Tahoma"/>
            <family val="2"/>
          </rPr>
          <t xml:space="preserve">SPCIQ:
</t>
        </r>
        <r>
          <rPr>
            <sz val="9"/>
            <color indexed="81"/>
            <rFont val="Tahoma"/>
            <family val="2"/>
          </rPr>
          <t>Average of Coupons of all Preferred Fixed Income instruments.  Please adjust as you see fit.</t>
        </r>
      </text>
    </comment>
  </commentList>
</comments>
</file>

<file path=xl/sharedStrings.xml><?xml version="1.0" encoding="utf-8"?>
<sst xmlns="http://schemas.openxmlformats.org/spreadsheetml/2006/main" count="1298" uniqueCount="934">
  <si>
    <t>Product Revenue</t>
  </si>
  <si>
    <t>Service Revenue</t>
  </si>
  <si>
    <t>Total Revenue</t>
  </si>
  <si>
    <t xml:space="preserve">  Operating Expenses</t>
  </si>
  <si>
    <t>Cost of Goods Sold</t>
  </si>
  <si>
    <t>R &amp; D Expenditures</t>
  </si>
  <si>
    <t>Sales/Marketing/Advertising Expenses</t>
  </si>
  <si>
    <t>General and Administrative Expenses</t>
  </si>
  <si>
    <t>Operating Income</t>
  </si>
  <si>
    <t>Other Operating (Income)/Expense - Net</t>
  </si>
  <si>
    <t>Interest Expense</t>
  </si>
  <si>
    <t>Interest Income - Net</t>
  </si>
  <si>
    <t>Income Before Income Taxes</t>
  </si>
  <si>
    <t>Other Non-Operating (Income)/Expense - Net</t>
  </si>
  <si>
    <t>AT (Income) Loss Affiliates and Others</t>
  </si>
  <si>
    <t>Basic EPS</t>
  </si>
  <si>
    <t>Weighted Avg. Shares - Basic</t>
  </si>
  <si>
    <t>Diluted EPS</t>
  </si>
  <si>
    <t>Weighted Avg. Shares - Diluted</t>
  </si>
  <si>
    <t>Net Income</t>
  </si>
  <si>
    <t>Income Statement</t>
  </si>
  <si>
    <t>Total Operating Expenses</t>
  </si>
  <si>
    <t xml:space="preserve">  Current Assets</t>
  </si>
  <si>
    <t>Cash and Equivalents</t>
  </si>
  <si>
    <t>Marketable Securities</t>
  </si>
  <si>
    <t>Accounts Receivable - Trade</t>
  </si>
  <si>
    <t>Inventories</t>
  </si>
  <si>
    <t>Total Current Assets</t>
  </si>
  <si>
    <t>Property Plant &amp; Equipment - Net</t>
  </si>
  <si>
    <t>Goodwill</t>
  </si>
  <si>
    <t>Other Noncurrent Assets</t>
  </si>
  <si>
    <t>Total Assets</t>
  </si>
  <si>
    <t xml:space="preserve">  Current Liabilities</t>
  </si>
  <si>
    <t>Accounts Payable - Trade</t>
  </si>
  <si>
    <t>Accrued Expenses and Other</t>
  </si>
  <si>
    <t>Deferred/Unearned Revenue (Short-Term)</t>
  </si>
  <si>
    <t>Total Current Liabilities</t>
  </si>
  <si>
    <t xml:space="preserve">  Non Current Liabilities</t>
  </si>
  <si>
    <t>Long Term Capital Lease Obligations</t>
  </si>
  <si>
    <t>Long Term Debt</t>
  </si>
  <si>
    <t>Other Noncurrent Liabilities</t>
  </si>
  <si>
    <t xml:space="preserve">  Stockholder Equity</t>
  </si>
  <si>
    <t>Preferred Stock</t>
  </si>
  <si>
    <t>Common Stock</t>
  </si>
  <si>
    <t>Additional Paid In Capital</t>
  </si>
  <si>
    <t>Treasury Stock (Amount)</t>
  </si>
  <si>
    <t>Accumulated Other Comprehensive Income</t>
  </si>
  <si>
    <t>Retained Earnings (Accumulated Deficit)</t>
  </si>
  <si>
    <t>Total Shareholders Equity</t>
  </si>
  <si>
    <t>Total Liabilities and Shareholders Equity</t>
  </si>
  <si>
    <t>Cash Flow</t>
  </si>
  <si>
    <t xml:space="preserve">  Cash From Operating Activities</t>
  </si>
  <si>
    <t>Net Income - CF</t>
  </si>
  <si>
    <t>Deferred Income Taxes - CF</t>
  </si>
  <si>
    <t>Stock Based Compensation</t>
  </si>
  <si>
    <t>Other Non-Cash Items</t>
  </si>
  <si>
    <t>Change in Inventories</t>
  </si>
  <si>
    <t>Change in Accounts Payable</t>
  </si>
  <si>
    <t>Change in Accounts Receivable</t>
  </si>
  <si>
    <t>Change in Accrued Expenses</t>
  </si>
  <si>
    <t>Change in Deferred/Unearned Revenue -ST</t>
  </si>
  <si>
    <t>Tax Benefit From Exercise of Stock Option-Oper</t>
  </si>
  <si>
    <t xml:space="preserve">  Cash From Investing Activities</t>
  </si>
  <si>
    <t>Disposal of Fixed Assets</t>
  </si>
  <si>
    <t>Capital Expenditures</t>
  </si>
  <si>
    <t>Proceeds From Investments</t>
  </si>
  <si>
    <t>Purchases of Investments</t>
  </si>
  <si>
    <t>Acquisition of Business</t>
  </si>
  <si>
    <t>Total Cash Flows From Investing</t>
  </si>
  <si>
    <t xml:space="preserve">  Cash from Financing Activities</t>
  </si>
  <si>
    <t>Increase In Long-Term Borrowings</t>
  </si>
  <si>
    <t>Decrease In Long-Term Borrowings</t>
  </si>
  <si>
    <t>Effect of Exchange Rates On Cash</t>
  </si>
  <si>
    <t>Other Financing Activities</t>
  </si>
  <si>
    <t>Net Change In Cash</t>
  </si>
  <si>
    <t>Repayment Of Finance Leases</t>
  </si>
  <si>
    <t>`</t>
  </si>
  <si>
    <t>Total Non-Operating Income</t>
  </si>
  <si>
    <t>Income Tax Expense</t>
  </si>
  <si>
    <t>Total Non-Current Assets</t>
  </si>
  <si>
    <t>Operating Leases</t>
  </si>
  <si>
    <t>Total Liabilities</t>
  </si>
  <si>
    <t>Depreciation and Amortization of PP&amp;E and Capitalized Content cost</t>
  </si>
  <si>
    <t>CASH AND CASH EQUIVALENTS, BEGINNING OF PERIOD</t>
  </si>
  <si>
    <t>Net Cash Provided by Operating Activities</t>
  </si>
  <si>
    <t>Net cash provided(used) by Financing activities</t>
  </si>
  <si>
    <t>CASH AND CASH EQUIVALENT CHANGE IN THE PERIOD</t>
  </si>
  <si>
    <t>Balance Sheet</t>
  </si>
  <si>
    <t>Supporting Schedules</t>
  </si>
  <si>
    <t>HISTORICAL ANALYSIS</t>
  </si>
  <si>
    <t>1P Comps</t>
  </si>
  <si>
    <t>(In Millions, except per share data)</t>
  </si>
  <si>
    <t>Company Name</t>
  </si>
  <si>
    <t xml:space="preserve">  Symbol</t>
  </si>
  <si>
    <t>Net Debt</t>
  </si>
  <si>
    <t>Minority Interest</t>
  </si>
  <si>
    <t>Enterprise Value</t>
  </si>
  <si>
    <t>Global Segment Market Size</t>
  </si>
  <si>
    <t>E-Commerce</t>
  </si>
  <si>
    <t xml:space="preserve">Advertising </t>
  </si>
  <si>
    <t>Cloud</t>
  </si>
  <si>
    <t>Global Segment Growth Rate</t>
  </si>
  <si>
    <t>Amazon 1P</t>
  </si>
  <si>
    <t>Amazon 3P</t>
  </si>
  <si>
    <t>Revenue</t>
  </si>
  <si>
    <t>Commison</t>
  </si>
  <si>
    <t>Total E-commerce GMV</t>
  </si>
  <si>
    <t>Advertising</t>
  </si>
  <si>
    <t>(In Millions $, EXPECT PER SHARE DATA)</t>
  </si>
  <si>
    <t>Historical Analysis</t>
  </si>
  <si>
    <t>Time Periods</t>
  </si>
  <si>
    <t>BOP</t>
  </si>
  <si>
    <t>EOP</t>
  </si>
  <si>
    <t>DAYS</t>
  </si>
  <si>
    <t>Online Stores</t>
  </si>
  <si>
    <t>Physical Stores</t>
  </si>
  <si>
    <t>Amazon Web Services</t>
  </si>
  <si>
    <t>Segmented Revenue</t>
  </si>
  <si>
    <t>Third-Party Seller Services</t>
  </si>
  <si>
    <t>Subscription Services</t>
  </si>
  <si>
    <t>Others</t>
  </si>
  <si>
    <t>N/A</t>
  </si>
  <si>
    <t>Total Revenues</t>
  </si>
  <si>
    <t>Operating Expenses</t>
  </si>
  <si>
    <t>Inventory Days</t>
  </si>
  <si>
    <t>Accounts Receivable Days</t>
  </si>
  <si>
    <t>Change in Marketable Securities</t>
  </si>
  <si>
    <t>Accounts Payable Days</t>
  </si>
  <si>
    <t>Cash Capex % of revenue</t>
  </si>
  <si>
    <t>Depreciation % of PPE (Opening Balance)</t>
  </si>
  <si>
    <t>Repayment of Capital Leases (Opening Balance)</t>
  </si>
  <si>
    <t>Change in Long-Term Debt</t>
  </si>
  <si>
    <t>Change in Common Shares</t>
  </si>
  <si>
    <t>Change in Treasury Stock</t>
  </si>
  <si>
    <t>Change in Additional Paid-in Capital</t>
  </si>
  <si>
    <t>Change in Basic Shares Outstanding</t>
  </si>
  <si>
    <t>Change in Diluted Shares Outstanding</t>
  </si>
  <si>
    <t>Change in Goodwill $</t>
  </si>
  <si>
    <t>Unearned Revenue(% OF Revenue)</t>
  </si>
  <si>
    <t>Accrued Expenses(% OF Revenue)</t>
  </si>
  <si>
    <t>Other Operating Expenses(Fulfillments)</t>
  </si>
  <si>
    <t>R &amp; D Expenditures(Technology Content)</t>
  </si>
  <si>
    <t>Stock-Based Compensation(SBC) (% of Revenue)</t>
  </si>
  <si>
    <t xml:space="preserve">Market Data </t>
  </si>
  <si>
    <t>Comps Analysis</t>
  </si>
  <si>
    <t>2020 EBITDA</t>
  </si>
  <si>
    <t>EV/REVENUE</t>
  </si>
  <si>
    <t>EV/EBITDA</t>
  </si>
  <si>
    <t>Financial Data</t>
  </si>
  <si>
    <t>Subscriptions</t>
  </si>
  <si>
    <t>Clouds Comps</t>
  </si>
  <si>
    <t>Advertising Comps</t>
  </si>
  <si>
    <t>3P Comps</t>
  </si>
  <si>
    <t>Tax Rate</t>
  </si>
  <si>
    <t>JD.COM Inc</t>
  </si>
  <si>
    <t>Lowe's Cos Inc</t>
  </si>
  <si>
    <t>Walmart Inc</t>
  </si>
  <si>
    <t>Home Depot Inc</t>
  </si>
  <si>
    <t>Costco Wholesale Corp</t>
  </si>
  <si>
    <t>Amazon 1P (min)</t>
  </si>
  <si>
    <t>Amazon 1P (max)</t>
  </si>
  <si>
    <t>Alibaba</t>
  </si>
  <si>
    <t>Etsy</t>
  </si>
  <si>
    <t>Market Cap</t>
  </si>
  <si>
    <t>WMT</t>
  </si>
  <si>
    <t>HD</t>
  </si>
  <si>
    <t>COST</t>
  </si>
  <si>
    <t>JD</t>
  </si>
  <si>
    <t>LOW</t>
  </si>
  <si>
    <t>Mean</t>
  </si>
  <si>
    <t>Median</t>
  </si>
  <si>
    <t>Ebay</t>
  </si>
  <si>
    <t>EBAY</t>
  </si>
  <si>
    <t>Alphabet</t>
  </si>
  <si>
    <t>Facebook Inc</t>
  </si>
  <si>
    <t>Twitter Inc</t>
  </si>
  <si>
    <t>Oracle</t>
  </si>
  <si>
    <t>SAP</t>
  </si>
  <si>
    <t>Salesforce.com</t>
  </si>
  <si>
    <t>Vmware Inc</t>
  </si>
  <si>
    <t>ORCL</t>
  </si>
  <si>
    <t>CRM</t>
  </si>
  <si>
    <t>VMW</t>
  </si>
  <si>
    <t>ETSY</t>
  </si>
  <si>
    <t>BABA</t>
  </si>
  <si>
    <t>Intrinsic Value</t>
  </si>
  <si>
    <t>Amazon Prime</t>
  </si>
  <si>
    <t>AMZN Total(2020E Revenue)</t>
  </si>
  <si>
    <t>AMZN Target Price</t>
  </si>
  <si>
    <t>AMZN Target Price(Max)</t>
  </si>
  <si>
    <t>AMZN Target Price(Min)</t>
  </si>
  <si>
    <t>TWTR</t>
  </si>
  <si>
    <t>FB</t>
  </si>
  <si>
    <t>GOOG</t>
  </si>
  <si>
    <t>2021E EBITDA</t>
  </si>
  <si>
    <t>2021E</t>
  </si>
  <si>
    <t>2020 EBITDA Margin</t>
  </si>
  <si>
    <t>Amazon Advertising</t>
  </si>
  <si>
    <t>Amazon AWS</t>
  </si>
  <si>
    <t>EV:</t>
  </si>
  <si>
    <t>52-Wk Hi/Lo</t>
  </si>
  <si>
    <t>High</t>
  </si>
  <si>
    <t>Low</t>
  </si>
  <si>
    <t>Share Pricing</t>
  </si>
  <si>
    <t>Stock Price Chart</t>
  </si>
  <si>
    <t>Amazon.com,Inc. (NasdaqGS:AMZN)</t>
  </si>
  <si>
    <t>Change in Non-Other Assets</t>
  </si>
  <si>
    <t>Interest Income Rate</t>
  </si>
  <si>
    <t>Total Operating Expenses</t>
    <phoneticPr fontId="10" type="noConversion"/>
  </si>
  <si>
    <t>Opening Balance</t>
    <phoneticPr fontId="10" type="noConversion"/>
  </si>
  <si>
    <t>Less:Depreciation</t>
    <phoneticPr fontId="10" type="noConversion"/>
  </si>
  <si>
    <t>Plus:Capex</t>
    <phoneticPr fontId="10" type="noConversion"/>
  </si>
  <si>
    <t>Plus:PP&amp;E Acquired Under Capital/Financing Leases</t>
    <phoneticPr fontId="10" type="noConversion"/>
  </si>
  <si>
    <t>Closing Balance</t>
    <phoneticPr fontId="10" type="noConversion"/>
  </si>
  <si>
    <t>PP&amp; E on Balance Sheet</t>
    <phoneticPr fontId="10" type="noConversion"/>
  </si>
  <si>
    <t>Debt Schedule</t>
    <phoneticPr fontId="10" type="noConversion"/>
  </si>
  <si>
    <t>Opening Balance</t>
    <phoneticPr fontId="10" type="noConversion"/>
  </si>
  <si>
    <t>Plus:Additions(repayment),Net</t>
    <phoneticPr fontId="10" type="noConversion"/>
  </si>
  <si>
    <t>Closing Balance</t>
    <phoneticPr fontId="10" type="noConversion"/>
  </si>
  <si>
    <t>Long Term Debt on Balance Sheet</t>
    <phoneticPr fontId="10" type="noConversion"/>
  </si>
  <si>
    <t>Interest Expense</t>
    <phoneticPr fontId="10" type="noConversion"/>
  </si>
  <si>
    <t>Interest Rate</t>
    <phoneticPr fontId="10" type="noConversion"/>
  </si>
  <si>
    <t>Capital Leases Schedule</t>
    <phoneticPr fontId="10" type="noConversion"/>
  </si>
  <si>
    <t>Opening Balance(Total)</t>
    <phoneticPr fontId="10" type="noConversion"/>
  </si>
  <si>
    <t>Less: Principal Repayments</t>
    <phoneticPr fontId="10" type="noConversion"/>
  </si>
  <si>
    <t>Plus: Net Additions</t>
    <phoneticPr fontId="10" type="noConversion"/>
  </si>
  <si>
    <t>Closing Balance(Total)</t>
    <phoneticPr fontId="10" type="noConversion"/>
  </si>
  <si>
    <t>Interest Expense Rate ( Average Debt)</t>
    <phoneticPr fontId="10" type="noConversion"/>
  </si>
  <si>
    <t>2020 Total Revenue</t>
    <phoneticPr fontId="10" type="noConversion"/>
  </si>
  <si>
    <t>Plus:Other Net Additions/Disposal</t>
    <phoneticPr fontId="10" type="noConversion"/>
  </si>
  <si>
    <t>PP&amp;E Acquired under Capital Leases(% of Revenue)</t>
    <phoneticPr fontId="10" type="noConversion"/>
  </si>
  <si>
    <t>Amazon Segment Information</t>
    <phoneticPr fontId="10" type="noConversion"/>
  </si>
  <si>
    <t>Ecommerce</t>
    <phoneticPr fontId="10" type="noConversion"/>
  </si>
  <si>
    <t>Advertising</t>
    <phoneticPr fontId="10" type="noConversion"/>
  </si>
  <si>
    <t>Cloud Computing</t>
    <phoneticPr fontId="10" type="noConversion"/>
  </si>
  <si>
    <t>Convert Millions to Billion</t>
    <phoneticPr fontId="10" type="noConversion"/>
  </si>
  <si>
    <t>3P GMV(Gross Mechandise value)</t>
    <phoneticPr fontId="10" type="noConversion"/>
  </si>
  <si>
    <t>check</t>
    <phoneticPr fontId="10" type="noConversion"/>
  </si>
  <si>
    <t>Free Cash Flow (FCF) From Operations</t>
  </si>
  <si>
    <t>Net Cash Provided by (used in) Operating Activities</t>
  </si>
  <si>
    <t>Free Cash Flow</t>
  </si>
  <si>
    <t>Property and Equipment Acquired Under Capital Leases</t>
  </si>
  <si>
    <t>Free Cash Flow Less Capital Leases</t>
  </si>
  <si>
    <t>EBIT</t>
  </si>
  <si>
    <t>D&amp;A</t>
  </si>
  <si>
    <t>EBITDA (Including SBC)</t>
  </si>
  <si>
    <t>Stock-Based Compensation (SBC)</t>
  </si>
  <si>
    <t>EBITDA (Excluding SBC)</t>
  </si>
  <si>
    <t>Free Cash Flow to Firm (FCFF)</t>
  </si>
  <si>
    <t>Operating Profit</t>
  </si>
  <si>
    <t>Less: Unlevered Taxes</t>
  </si>
  <si>
    <t>Net Operating Profit After Tax (NOPAT)</t>
  </si>
  <si>
    <t>Plus: Depreciation &amp; Amortization</t>
  </si>
  <si>
    <t>Plus: Stock-Based Compensation</t>
  </si>
  <si>
    <t>Plus: Other Non-Cash Expenses</t>
  </si>
  <si>
    <t>Less: Cash Capex</t>
  </si>
  <si>
    <t>Plus: Changes in Net Working Capital</t>
  </si>
  <si>
    <t>Less: Capital Lease Additions</t>
  </si>
  <si>
    <t>Free Cash Flow to Firm (FCFF) If All Cash Capex</t>
  </si>
  <si>
    <t>Discounted Cash Flow (DCF) Analysis</t>
  </si>
  <si>
    <t>Model</t>
  </si>
  <si>
    <t>Exit Multiple</t>
  </si>
  <si>
    <t>Growth Rate</t>
  </si>
  <si>
    <t>Terminal Value (Choose Option --&gt;)</t>
  </si>
  <si>
    <t>Terminal Value in Model</t>
  </si>
  <si>
    <t>Discount Rate</t>
  </si>
  <si>
    <t>Valuation Date</t>
  </si>
  <si>
    <t># Shares Outstanding as of Valuation Date (millions)</t>
  </si>
  <si>
    <t>Market Price as of Valuation Date</t>
  </si>
  <si>
    <t>Valuation Timeline</t>
  </si>
  <si>
    <t>Rolling Enterprise Value (NPV)</t>
  </si>
  <si>
    <t>Equity Value</t>
  </si>
  <si>
    <t>Fully Diluted Shares Outstanding</t>
  </si>
  <si>
    <t>Rolling AMZN Value per Share</t>
  </si>
  <si>
    <t>Investor IRR</t>
  </si>
  <si>
    <t>Equity Investor Return (After SBC dilution)</t>
  </si>
  <si>
    <t>Equity Investor IRR (After SBC dilution)</t>
  </si>
  <si>
    <t>Terminal Value</t>
    <phoneticPr fontId="10" type="noConversion"/>
  </si>
  <si>
    <t>Purchases of Property and Equipment net</t>
    <phoneticPr fontId="10" type="noConversion"/>
  </si>
  <si>
    <t>Year Frac</t>
    <phoneticPr fontId="10" type="noConversion"/>
  </si>
  <si>
    <t>Plus: Cash + Marketable Securities</t>
    <phoneticPr fontId="10" type="noConversion"/>
  </si>
  <si>
    <t>Less: Debt + Capital &amp; Finance Lease</t>
    <phoneticPr fontId="10" type="noConversion"/>
  </si>
  <si>
    <t>Purchase Price (per share)</t>
  </si>
  <si>
    <t>Internal Rate of Return (IRR)</t>
  </si>
  <si>
    <t>BEAR CASE</t>
    <phoneticPr fontId="10" type="noConversion"/>
  </si>
  <si>
    <t>Scenarios</t>
    <phoneticPr fontId="10" type="noConversion"/>
  </si>
  <si>
    <t>Name</t>
    <phoneticPr fontId="10" type="noConversion"/>
  </si>
  <si>
    <t>Consensus</t>
    <phoneticPr fontId="10" type="noConversion"/>
  </si>
  <si>
    <t>Bull</t>
    <phoneticPr fontId="10" type="noConversion"/>
  </si>
  <si>
    <t>Bear</t>
    <phoneticPr fontId="10" type="noConversion"/>
  </si>
  <si>
    <t>Case Selection</t>
    <phoneticPr fontId="10" type="noConversion"/>
  </si>
  <si>
    <t>Description</t>
    <phoneticPr fontId="10" type="noConversion"/>
  </si>
  <si>
    <t>Number</t>
    <phoneticPr fontId="10" type="noConversion"/>
  </si>
  <si>
    <t>live case</t>
    <phoneticPr fontId="10" type="noConversion"/>
  </si>
  <si>
    <t>npv$/share</t>
    <phoneticPr fontId="10" type="noConversion"/>
  </si>
  <si>
    <t>Live Case</t>
    <phoneticPr fontId="10" type="noConversion"/>
  </si>
  <si>
    <t>Consenus Case</t>
    <phoneticPr fontId="10" type="noConversion"/>
  </si>
  <si>
    <t>Market Size</t>
  </si>
  <si>
    <t>(in USD billions)</t>
  </si>
  <si>
    <t>Amazon's Market Share</t>
    <phoneticPr fontId="10" type="noConversion"/>
  </si>
  <si>
    <t>Amazon.com, Inc.</t>
  </si>
  <si>
    <t>Recommendation:</t>
  </si>
  <si>
    <t>Target:</t>
  </si>
  <si>
    <t>Live Scenario:</t>
  </si>
  <si>
    <t>Date:</t>
  </si>
  <si>
    <t>Company Overview</t>
  </si>
  <si>
    <t>Price</t>
  </si>
  <si>
    <t>Key Stats</t>
  </si>
  <si>
    <t>Market Data</t>
  </si>
  <si>
    <t>Valuation</t>
  </si>
  <si>
    <t>Market</t>
  </si>
  <si>
    <t>DCF</t>
  </si>
  <si>
    <t>Comps</t>
  </si>
  <si>
    <t>Ticker</t>
  </si>
  <si>
    <t>NASDAQ: AMZN</t>
  </si>
  <si>
    <t>Employees</t>
  </si>
  <si>
    <t>Shares O/S (million)</t>
  </si>
  <si>
    <t>Share Price</t>
  </si>
  <si>
    <t>Current Price</t>
  </si>
  <si>
    <t>Founded</t>
  </si>
  <si>
    <t>Market Cap (million)</t>
  </si>
  <si>
    <t>Target Price</t>
  </si>
  <si>
    <t>CEO</t>
  </si>
  <si>
    <t>Jeffrey P. Bezos</t>
  </si>
  <si>
    <t>Dividend</t>
  </si>
  <si>
    <t>Net Debt (million)</t>
  </si>
  <si>
    <t>Headquarter</t>
  </si>
  <si>
    <t>Seattle, WA</t>
  </si>
  <si>
    <t>52-Week Hi/Lo</t>
  </si>
  <si>
    <t>IRR</t>
  </si>
  <si>
    <t>Primary Industry</t>
  </si>
  <si>
    <t>Internet and Direct Marketing Retail</t>
  </si>
  <si>
    <t>Fiscal Year End</t>
  </si>
  <si>
    <t>Key Financials</t>
  </si>
  <si>
    <t>Football Field Chart</t>
  </si>
  <si>
    <t>lo (bar)</t>
  </si>
  <si>
    <t>lo  (label)</t>
  </si>
  <si>
    <t>hi (bar)</t>
  </si>
  <si>
    <t>hi (label)</t>
  </si>
  <si>
    <t>DCF - Consensus Case</t>
  </si>
  <si>
    <t>Ecommerce Market</t>
  </si>
  <si>
    <t>DCF - Bull Case</t>
  </si>
  <si>
    <t>Advertising Market</t>
  </si>
  <si>
    <t>DCF - Bear Case</t>
  </si>
  <si>
    <t>Cloud Market</t>
  </si>
  <si>
    <t>EBITDA (excl. SBC)</t>
  </si>
  <si>
    <t>Share Price Chart - Historical and Forecast</t>
  </si>
  <si>
    <t>Net Profit Margin</t>
  </si>
  <si>
    <t>EPS (Diluted)</t>
  </si>
  <si>
    <t>EV/Revenue</t>
  </si>
  <si>
    <t>Revenue vs EV/Revenue</t>
  </si>
  <si>
    <t>EBITDA vs EV/EBITDA</t>
  </si>
  <si>
    <t>Valuation Summary - Equity Value per Share ($)</t>
  </si>
  <si>
    <t>Buy</t>
  </si>
  <si>
    <t>Target Price Upside</t>
    <phoneticPr fontId="10" type="noConversion"/>
  </si>
  <si>
    <t>3-Yr Share Price:</t>
    <phoneticPr fontId="10" type="noConversion"/>
  </si>
  <si>
    <t>Dates</t>
    <phoneticPr fontId="10" type="noConversion"/>
  </si>
  <si>
    <t>Amazon's Global Market Share</t>
    <phoneticPr fontId="10" type="noConversion"/>
  </si>
  <si>
    <t>Cash Flow Per Share (Diluted)</t>
    <phoneticPr fontId="10" type="noConversion"/>
  </si>
  <si>
    <t>Consensus</t>
    <phoneticPr fontId="10" type="noConversion"/>
  </si>
  <si>
    <t>Bull</t>
    <phoneticPr fontId="10" type="noConversion"/>
  </si>
  <si>
    <t>Bear</t>
    <phoneticPr fontId="10" type="noConversion"/>
  </si>
  <si>
    <t>11-20-2020</t>
    <phoneticPr fontId="10" type="noConversion"/>
  </si>
  <si>
    <t>1P</t>
  </si>
  <si>
    <t>3P</t>
  </si>
  <si>
    <t>AWS</t>
  </si>
  <si>
    <t>SUBS</t>
  </si>
  <si>
    <t>AdVERTISING</t>
  </si>
  <si>
    <t>Revenue %</t>
  </si>
  <si>
    <t>Net Profit Margin</t>
    <phoneticPr fontId="10" type="noConversion"/>
  </si>
  <si>
    <t>AMZN Sum-Of-The-Parts(SOTP) Valuation</t>
    <phoneticPr fontId="10" type="noConversion"/>
  </si>
  <si>
    <t>Ownership Structure</t>
  </si>
  <si>
    <t>Investment Advisors</t>
  </si>
  <si>
    <t>Jeffrey P Bezos</t>
  </si>
  <si>
    <t>Other Institutions</t>
  </si>
  <si>
    <t>Amazon 2019 Geographical Revenue</t>
  </si>
  <si>
    <t>North America</t>
  </si>
  <si>
    <t xml:space="preserve">International </t>
  </si>
  <si>
    <t>Amazon 3P (min)</t>
  </si>
  <si>
    <t>Amazon 3P (max)</t>
  </si>
  <si>
    <t>Amazon Advertising (min)</t>
  </si>
  <si>
    <t>Amazon Advertising (max)</t>
  </si>
  <si>
    <t>Amazon AWS (min)</t>
  </si>
  <si>
    <t>Amazon AWS(max)</t>
  </si>
  <si>
    <t>Netflix</t>
  </si>
  <si>
    <t>Apple Plus</t>
  </si>
  <si>
    <t>Apple Music</t>
  </si>
  <si>
    <t>HBO</t>
  </si>
  <si>
    <t>Disney</t>
  </si>
  <si>
    <t>Cost</t>
  </si>
  <si>
    <t xml:space="preserve">Businesses </t>
  </si>
  <si>
    <t>Name</t>
  </si>
  <si>
    <t>Title</t>
  </si>
  <si>
    <t>Age</t>
  </si>
  <si>
    <t>Tenure</t>
  </si>
  <si>
    <t>Chief Executive Officer</t>
  </si>
  <si>
    <t>Brian T Olsavsky</t>
  </si>
  <si>
    <t>Chief Financial Officer</t>
  </si>
  <si>
    <t>Shelley L Reynold</t>
  </si>
  <si>
    <t>Chief Accounting Officer</t>
  </si>
  <si>
    <t>Dr Werner Vogels</t>
  </si>
  <si>
    <t>Chief Technology Officer</t>
  </si>
  <si>
    <t>Senior Vice President</t>
  </si>
  <si>
    <t>James Carney</t>
  </si>
  <si>
    <t>James M Blackburn</t>
  </si>
  <si>
    <t>David Zapolsky</t>
  </si>
  <si>
    <t>Vice President</t>
  </si>
  <si>
    <t>% TRA</t>
  </si>
  <si>
    <t>Peer % TRA</t>
  </si>
  <si>
    <t>2021E Revenue Growth</t>
  </si>
  <si>
    <t>2021E EBITDA Growth</t>
  </si>
  <si>
    <t>Nasdaq:AMZN</t>
  </si>
  <si>
    <t>Currency</t>
  </si>
  <si>
    <t>USD</t>
  </si>
  <si>
    <t>Date</t>
  </si>
  <si>
    <t>Conversion</t>
  </si>
  <si>
    <t>Current</t>
  </si>
  <si>
    <t>Index</t>
  </si>
  <si>
    <t>^SPX</t>
  </si>
  <si>
    <t>Filing</t>
  </si>
  <si>
    <t>Latest</t>
  </si>
  <si>
    <t>WACC ANALYSIS</t>
  </si>
  <si>
    <t>Capital IQ Data</t>
  </si>
  <si>
    <t>AMZN</t>
  </si>
  <si>
    <t>ASSUMPTIONS</t>
  </si>
  <si>
    <t>BETA CALCULATION</t>
  </si>
  <si>
    <t>5Yr Avg</t>
  </si>
  <si>
    <t>Levered</t>
  </si>
  <si>
    <t>Total</t>
  </si>
  <si>
    <t>Mkt. Val.</t>
  </si>
  <si>
    <t>Pref</t>
  </si>
  <si>
    <t>Debt/</t>
  </si>
  <si>
    <t>Pref/</t>
  </si>
  <si>
    <t>Unlevered</t>
  </si>
  <si>
    <t>Total Debt</t>
  </si>
  <si>
    <t>Tax Rate (5 Year Average)</t>
  </si>
  <si>
    <t>Beta</t>
  </si>
  <si>
    <t>Debt</t>
  </si>
  <si>
    <t>Equity</t>
  </si>
  <si>
    <t>Beta(2)</t>
  </si>
  <si>
    <t>Total Preferred</t>
  </si>
  <si>
    <t>Risk-Free Rate of Return (Rf)(1)</t>
  </si>
  <si>
    <t>NasdaqGS:GOOG.L</t>
  </si>
  <si>
    <t>Alphabet Inc.</t>
  </si>
  <si>
    <t>Bonds</t>
  </si>
  <si>
    <t>Issue Date</t>
  </si>
  <si>
    <t>Coupon</t>
  </si>
  <si>
    <t>Fixed Income</t>
  </si>
  <si>
    <t>Preferred</t>
  </si>
  <si>
    <t>NasdaqGS:FB</t>
  </si>
  <si>
    <t>Facebook, Inc.</t>
  </si>
  <si>
    <t>EBT</t>
  </si>
  <si>
    <t>Country</t>
  </si>
  <si>
    <t>CIQ ID</t>
  </si>
  <si>
    <t>Gov.Bond Id</t>
  </si>
  <si>
    <t>Size Premium</t>
  </si>
  <si>
    <t>NasdaqGS:EBAY</t>
  </si>
  <si>
    <t>eBay Inc.</t>
  </si>
  <si>
    <t>Taxes</t>
  </si>
  <si>
    <t>Australia</t>
  </si>
  <si>
    <t>AU</t>
  </si>
  <si>
    <t>IQ25104817</t>
  </si>
  <si>
    <t>IQ50027528</t>
  </si>
  <si>
    <t>Australia Government Debt - 2 Year</t>
  </si>
  <si>
    <t>NasdaqGS:EXPE</t>
  </si>
  <si>
    <t>Expedia Group, Inc.</t>
  </si>
  <si>
    <t>Latest FYE</t>
  </si>
  <si>
    <t>12/31/19</t>
  </si>
  <si>
    <t>Canada</t>
  </si>
  <si>
    <t>CA</t>
  </si>
  <si>
    <t>IQ4080736</t>
  </si>
  <si>
    <t>IQ100893239</t>
  </si>
  <si>
    <t>Australia Government Debt - 3 Year</t>
  </si>
  <si>
    <t>NYSE:WMT</t>
  </si>
  <si>
    <t>Walmart Inc.</t>
  </si>
  <si>
    <t>Latest FQE</t>
  </si>
  <si>
    <t>China</t>
  </si>
  <si>
    <t>CN</t>
  </si>
  <si>
    <t>IQ28461984</t>
  </si>
  <si>
    <t>IQ50027529</t>
  </si>
  <si>
    <t>Australia Government Debt - 5 Year</t>
  </si>
  <si>
    <t>NasdaqGS:BKNG</t>
  </si>
  <si>
    <t>Booking Holdings Inc.</t>
  </si>
  <si>
    <t>Today</t>
  </si>
  <si>
    <t>Denmark</t>
  </si>
  <si>
    <t>DK</t>
  </si>
  <si>
    <t>IQ35414816</t>
  </si>
  <si>
    <t>IQ100893231</t>
  </si>
  <si>
    <t>Australia Government Debt - 7 Year</t>
  </si>
  <si>
    <t>Choice for Cost of Debt</t>
  </si>
  <si>
    <t>Company</t>
  </si>
  <si>
    <t>France</t>
  </si>
  <si>
    <t>FR</t>
  </si>
  <si>
    <t>IQ3474783</t>
  </si>
  <si>
    <t>IQ50027527</t>
  </si>
  <si>
    <t>Australia Government Debt - 10 Year</t>
  </si>
  <si>
    <t>Average</t>
  </si>
  <si>
    <t>Germany</t>
  </si>
  <si>
    <t>DE</t>
  </si>
  <si>
    <t>IQ8201718</t>
  </si>
  <si>
    <t>IQ100893243</t>
  </si>
  <si>
    <t>Australia Government Debt - 15 Year</t>
  </si>
  <si>
    <t>Comparable Corporate Yield Curve Rate</t>
  </si>
  <si>
    <t>Beta Selection</t>
  </si>
  <si>
    <t>Hong Kong</t>
  </si>
  <si>
    <t>HK</t>
  </si>
  <si>
    <t>IQ22453044</t>
  </si>
  <si>
    <t>IQ50027538</t>
  </si>
  <si>
    <t>Canada Government Debt - 2 Year</t>
  </si>
  <si>
    <t>Average Unlevered Beta for Comps</t>
  </si>
  <si>
    <t>1 = Bottom-Up Beta</t>
  </si>
  <si>
    <t>Italy</t>
  </si>
  <si>
    <t>IT</t>
  </si>
  <si>
    <t>IQ3534701</t>
  </si>
  <si>
    <t>IQ100893055</t>
  </si>
  <si>
    <t>Canada Government Debt - 3 Year</t>
  </si>
  <si>
    <t>2 = Regression Beta</t>
  </si>
  <si>
    <t>Japan</t>
  </si>
  <si>
    <t>JP</t>
  </si>
  <si>
    <t>IQ27482154</t>
  </si>
  <si>
    <t>IQ100893051</t>
  </si>
  <si>
    <t>Canada Government Debt - 5 Year</t>
  </si>
  <si>
    <t>Risk Free Rate</t>
  </si>
  <si>
    <t>Netherlands</t>
  </si>
  <si>
    <t>NL</t>
  </si>
  <si>
    <t>IQ26971957</t>
  </si>
  <si>
    <t>IQ100893047</t>
  </si>
  <si>
    <t>Canada Government Debt - 7 Year</t>
  </si>
  <si>
    <t>Choose</t>
  </si>
  <si>
    <t>United States</t>
  </si>
  <si>
    <t>Portugal</t>
  </si>
  <si>
    <t>PT</t>
  </si>
  <si>
    <t>IQ20528442</t>
  </si>
  <si>
    <t>IQ50027537</t>
  </si>
  <si>
    <t>Canada Government Debt - 10 Year</t>
  </si>
  <si>
    <t>Then</t>
  </si>
  <si>
    <t>United States Treasury Constant Maturity - 10 Year</t>
  </si>
  <si>
    <t>Singapore</t>
  </si>
  <si>
    <t>SG</t>
  </si>
  <si>
    <t>IQ31250052</t>
  </si>
  <si>
    <t>IQ136585888</t>
  </si>
  <si>
    <t>China Government Debt - 3 Year</t>
  </si>
  <si>
    <t>Historical</t>
  </si>
  <si>
    <t>South Africa</t>
  </si>
  <si>
    <t>ZA</t>
  </si>
  <si>
    <t>IQ3590743</t>
  </si>
  <si>
    <t>IQ136585884</t>
  </si>
  <si>
    <t>China Government Debt - 5 Year</t>
  </si>
  <si>
    <t>Corporate Yield Curves</t>
  </si>
  <si>
    <t>AllCorp</t>
  </si>
  <si>
    <t>IG</t>
  </si>
  <si>
    <t>1M</t>
  </si>
  <si>
    <t>South Korea</t>
  </si>
  <si>
    <t>KR</t>
  </si>
  <si>
    <t>IQ12721923</t>
  </si>
  <si>
    <t>IQ136585880</t>
  </si>
  <si>
    <t>China Government Debt - 7 Year</t>
  </si>
  <si>
    <t>Sector</t>
  </si>
  <si>
    <t>Rating</t>
  </si>
  <si>
    <t>Tenor</t>
  </si>
  <si>
    <t>WACC SENSITIVITY ANALYSIS</t>
  </si>
  <si>
    <t>WACC Sensitivity Inputs</t>
  </si>
  <si>
    <t>EUR</t>
  </si>
  <si>
    <t>Consumer Discretionary</t>
  </si>
  <si>
    <t>ConsumerDiscretionary</t>
  </si>
  <si>
    <t>AAA</t>
  </si>
  <si>
    <t>3M</t>
  </si>
  <si>
    <t>Spain</t>
  </si>
  <si>
    <t>ES</t>
  </si>
  <si>
    <t>IQ3600380</t>
  </si>
  <si>
    <t>IQ136585892</t>
  </si>
  <si>
    <t>China Government Debt - 10 Year</t>
  </si>
  <si>
    <t>AA</t>
  </si>
  <si>
    <t>10Y</t>
  </si>
  <si>
    <t>Pre-Tax Cost of Debt Step</t>
  </si>
  <si>
    <t>GBP</t>
  </si>
  <si>
    <t>Consumer Staples</t>
  </si>
  <si>
    <t>ConsumerStaples</t>
  </si>
  <si>
    <t>6M</t>
  </si>
  <si>
    <t>Sweden</t>
  </si>
  <si>
    <t>SE</t>
  </si>
  <si>
    <t>IQ20531158</t>
  </si>
  <si>
    <t>IQ136585872</t>
  </si>
  <si>
    <t>Denmark Government Debt - 2 Year</t>
  </si>
  <si>
    <t>D/(D+P+E)</t>
  </si>
  <si>
    <t>Pre-Tax Cost of Debt</t>
  </si>
  <si>
    <t>D/(D+P+E) Step</t>
  </si>
  <si>
    <t>AUD</t>
  </si>
  <si>
    <t>Energy</t>
  </si>
  <si>
    <t>A</t>
  </si>
  <si>
    <t>9M</t>
  </si>
  <si>
    <t>L</t>
  </si>
  <si>
    <t>Switzerland</t>
  </si>
  <si>
    <t>CH</t>
  </si>
  <si>
    <t>IQ29618341</t>
  </si>
  <si>
    <t>IQ136585868</t>
  </si>
  <si>
    <t>Denmark Government Debt - 5 Year</t>
  </si>
  <si>
    <t>WACC</t>
  </si>
  <si>
    <t>Cost of Equity Step</t>
  </si>
  <si>
    <t>Financials</t>
  </si>
  <si>
    <t>BBB</t>
  </si>
  <si>
    <t>1Y</t>
  </si>
  <si>
    <t>Original</t>
  </si>
  <si>
    <t>O</t>
  </si>
  <si>
    <t>United Kingdom</t>
  </si>
  <si>
    <t>GB</t>
  </si>
  <si>
    <t>IQ25809472</t>
  </si>
  <si>
    <t>IQ136585876</t>
  </si>
  <si>
    <t>Denmark Government Debt - 10 Year</t>
  </si>
  <si>
    <t>E/(D+P+E) Step</t>
  </si>
  <si>
    <t>Healthcare</t>
  </si>
  <si>
    <t>HY</t>
  </si>
  <si>
    <t>2Y</t>
  </si>
  <si>
    <t>Preliminary</t>
  </si>
  <si>
    <t>P</t>
  </si>
  <si>
    <t>US</t>
  </si>
  <si>
    <t>IQ12425677</t>
  </si>
  <si>
    <t>IQ100891311</t>
  </si>
  <si>
    <t>France Government Debt - 1 Year</t>
  </si>
  <si>
    <t>Market Risk Premium (Rm - Rf)</t>
  </si>
  <si>
    <t>Industrials</t>
  </si>
  <si>
    <t>BB</t>
  </si>
  <si>
    <t>3Y</t>
  </si>
  <si>
    <t>Latest Fully Reported</t>
  </si>
  <si>
    <t>LFR</t>
  </si>
  <si>
    <t>IQ50027546</t>
  </si>
  <si>
    <t>France Government Debt - 2 Year</t>
  </si>
  <si>
    <t>Information Technology</t>
  </si>
  <si>
    <t>InformationTechnology</t>
  </si>
  <si>
    <t>B</t>
  </si>
  <si>
    <t>4Y</t>
  </si>
  <si>
    <t>IQ100891303</t>
  </si>
  <si>
    <t>France Government Debt - 3 Year</t>
  </si>
  <si>
    <t>Adjusted Market Risk Premium</t>
  </si>
  <si>
    <t>Materials</t>
  </si>
  <si>
    <t>CCC</t>
  </si>
  <si>
    <t>5Y</t>
  </si>
  <si>
    <t>IQ50027547</t>
  </si>
  <si>
    <t>France Government Debt - 5 Year</t>
  </si>
  <si>
    <t>Real Estate</t>
  </si>
  <si>
    <t>RealEstate</t>
  </si>
  <si>
    <t>6Y</t>
  </si>
  <si>
    <t>Index Returns</t>
  </si>
  <si>
    <t>IQ100891299</t>
  </si>
  <si>
    <t>France Government Debt - 7 Year</t>
  </si>
  <si>
    <t>Add: Size Premium</t>
  </si>
  <si>
    <t>Communication Services</t>
  </si>
  <si>
    <t>TelecommunicationServices</t>
  </si>
  <si>
    <t>7Y</t>
  </si>
  <si>
    <t>IQ50027544</t>
  </si>
  <si>
    <t>France Government Debt - 10 Year</t>
  </si>
  <si>
    <t>Cost of Equity</t>
  </si>
  <si>
    <t>Utilities</t>
  </si>
  <si>
    <t>8Y</t>
  </si>
  <si>
    <t>IQ100891307</t>
  </si>
  <si>
    <t>France Government Debt - 15 Year</t>
  </si>
  <si>
    <t>NonFin</t>
  </si>
  <si>
    <t>9Y</t>
  </si>
  <si>
    <t>IQ50027545</t>
  </si>
  <si>
    <t>France Government Debt - 30 Year</t>
  </si>
  <si>
    <t>Cost of Equity Portion</t>
  </si>
  <si>
    <t>IQ100891295</t>
  </si>
  <si>
    <t>Germany Government Debt - 1 Year</t>
  </si>
  <si>
    <t>11Y</t>
  </si>
  <si>
    <t>IQ50027536</t>
  </si>
  <si>
    <t>Germany Government Debt - 2 Year</t>
  </si>
  <si>
    <t>12Y</t>
  </si>
  <si>
    <t>IQ100891287</t>
  </si>
  <si>
    <t>Germany Government Debt - 3 Year</t>
  </si>
  <si>
    <t>E/(D+P+E)</t>
  </si>
  <si>
    <t>13Y</t>
  </si>
  <si>
    <t>IQ50027533</t>
  </si>
  <si>
    <t>Germany Government Debt - 5 Year</t>
  </si>
  <si>
    <t>After-Tax Cost of Debt</t>
  </si>
  <si>
    <t>14Y</t>
  </si>
  <si>
    <t>IQ100891283</t>
  </si>
  <si>
    <t>Germany Government Debt - 7 Year</t>
  </si>
  <si>
    <t>15Y</t>
  </si>
  <si>
    <t>IQ50027534</t>
  </si>
  <si>
    <t>Germany Government Debt - 10 Year</t>
  </si>
  <si>
    <t>Cost of Debt Portion</t>
  </si>
  <si>
    <t>16Y</t>
  </si>
  <si>
    <t>IQ100891291</t>
  </si>
  <si>
    <t>Germany Government Debt - 15 Year</t>
  </si>
  <si>
    <t>17Y</t>
  </si>
  <si>
    <t>IQ50027535</t>
  </si>
  <si>
    <t>Germany Government Debt - 30 Year</t>
  </si>
  <si>
    <t>18Y</t>
  </si>
  <si>
    <t>IQ136585844</t>
  </si>
  <si>
    <t>Hong Kong Government Debt - 2 Year</t>
  </si>
  <si>
    <t>19Y</t>
  </si>
  <si>
    <t>IQ136585840</t>
  </si>
  <si>
    <t>Hong Kong Government Debt - 5 Year</t>
  </si>
  <si>
    <t>Cost of Preferred Portion</t>
  </si>
  <si>
    <t>20Y</t>
  </si>
  <si>
    <t>IQ136585836</t>
  </si>
  <si>
    <t>Hong Kong Government Debt - 7 Year</t>
  </si>
  <si>
    <t>21Y</t>
  </si>
  <si>
    <t>IQ136585848</t>
  </si>
  <si>
    <t>Hong Kong Government Debt - 10 Year</t>
  </si>
  <si>
    <t>22Y</t>
  </si>
  <si>
    <t>IQ100890971</t>
  </si>
  <si>
    <t>Italy Government Debt - 1 Year</t>
  </si>
  <si>
    <t>23Y</t>
  </si>
  <si>
    <t>IQ50027549</t>
  </si>
  <si>
    <t>Italy Government Debt - 2 Year</t>
  </si>
  <si>
    <t>Notes:</t>
  </si>
  <si>
    <t>24Y</t>
  </si>
  <si>
    <t>IQ100890963</t>
  </si>
  <si>
    <t>Italy Government Debt - 3 Year</t>
  </si>
  <si>
    <t>25Y</t>
  </si>
  <si>
    <t>IQ50027553</t>
  </si>
  <si>
    <t>Italy Government Debt - 5 Year</t>
  </si>
  <si>
    <t>(2) Unlevered Beta = Levered Beta / ( 1 + ((D/E) * (1 - T)) + P/E)</t>
  </si>
  <si>
    <t>26Y</t>
  </si>
  <si>
    <t>IQ100890959</t>
  </si>
  <si>
    <t>Italy Government Debt - 7 Year</t>
  </si>
  <si>
    <t>(3) Levered Beta = Unlevered Beta * ( 1 + ((D/E) * (1 - T)) + P/E)</t>
  </si>
  <si>
    <t>27Y</t>
  </si>
  <si>
    <t>IQ50027548</t>
  </si>
  <si>
    <t>Italy Government Debt - 10 Year</t>
  </si>
  <si>
    <t>Source: S&amp;P Capital IQ</t>
  </si>
  <si>
    <t>28Y</t>
  </si>
  <si>
    <t>IQ100890967</t>
  </si>
  <si>
    <t>Italy Government Debt - 15 Year</t>
  </si>
  <si>
    <t>29Y</t>
  </si>
  <si>
    <t>IQ50027552</t>
  </si>
  <si>
    <t>Italy Government Debt - 30 Year</t>
  </si>
  <si>
    <t>30Y</t>
  </si>
  <si>
    <t>IQ100890955</t>
  </si>
  <si>
    <t>Japan Government Debt - 1 Year</t>
  </si>
  <si>
    <t>IQ50027557</t>
  </si>
  <si>
    <t>Japan Government Debt - 2 Year</t>
  </si>
  <si>
    <t>IQ100890947</t>
  </si>
  <si>
    <t>Japan Government Debt - 3 Year</t>
  </si>
  <si>
    <t>IQ50027554</t>
  </si>
  <si>
    <t>Japan Government Debt - 5 Year</t>
  </si>
  <si>
    <t>IQ100890943</t>
  </si>
  <si>
    <t>Japan Government Debt - 7 Year</t>
  </si>
  <si>
    <t>IQ50027555</t>
  </si>
  <si>
    <t>Japan Government Debt - 10 Year</t>
  </si>
  <si>
    <t>IQ100890951</t>
  </si>
  <si>
    <t>Japan Government Debt - 15 Year</t>
  </si>
  <si>
    <t>IQ50027556</t>
  </si>
  <si>
    <t>Japan Government Debt - 30 Year</t>
  </si>
  <si>
    <t>IQ50027562</t>
  </si>
  <si>
    <t>Netherlands Government Debt - 2 Year</t>
  </si>
  <si>
    <t>IQ50027564</t>
  </si>
  <si>
    <t>Netherlands Government Debt - 5 Year</t>
  </si>
  <si>
    <t>IQ100890811</t>
  </si>
  <si>
    <t>Netherlands Government Debt - 7 Year</t>
  </si>
  <si>
    <t>IQ50027561</t>
  </si>
  <si>
    <t>Netherlands Government Debt - 10 Year</t>
  </si>
  <si>
    <t>IQ100890819</t>
  </si>
  <si>
    <t>Netherlands Government Debt - 15 Year</t>
  </si>
  <si>
    <t>IQ50027563</t>
  </si>
  <si>
    <t>Netherlands Government Debt - 30 Year</t>
  </si>
  <si>
    <t>IQ184536260</t>
  </si>
  <si>
    <t>Portugal Government Debt - 3 Year</t>
  </si>
  <si>
    <t>IQ184536258</t>
  </si>
  <si>
    <t>Portugal Government Debt - 5 Year</t>
  </si>
  <si>
    <t>IQ184536256</t>
  </si>
  <si>
    <t>Portugal Government Debt - 7 Year</t>
  </si>
  <si>
    <t>IQ184536262</t>
  </si>
  <si>
    <t>Portugal Government Debt - 10 Year</t>
  </si>
  <si>
    <t>IQ136585824</t>
  </si>
  <si>
    <t>Singapore Government Debt - 2 Year</t>
  </si>
  <si>
    <t>IQ136585820</t>
  </si>
  <si>
    <t>Singapore Government Debt - 5 Year</t>
  </si>
  <si>
    <t>IQ136585832</t>
  </si>
  <si>
    <t>Singapore Government Debt - 10 Year</t>
  </si>
  <si>
    <t>IQ136585828</t>
  </si>
  <si>
    <t>Singapore Government Debt - 15 Year</t>
  </si>
  <si>
    <t>IQ136585808</t>
  </si>
  <si>
    <t>South Africa Government Debt - 2 Year</t>
  </si>
  <si>
    <t>IQ136585800</t>
  </si>
  <si>
    <t>South Africa Government Debt - 5 Year</t>
  </si>
  <si>
    <t>IQ136585816</t>
  </si>
  <si>
    <t>South Africa Government Debt - 10 Year</t>
  </si>
  <si>
    <t>IQ136585812</t>
  </si>
  <si>
    <t>South Africa Government Debt - 15 Year</t>
  </si>
  <si>
    <t>IQ136585804</t>
  </si>
  <si>
    <t>South Africa Government Debt - 30 Year</t>
  </si>
  <si>
    <t>IQ136585792</t>
  </si>
  <si>
    <t>South Korea Government Debt - 2 Year</t>
  </si>
  <si>
    <t>IQ136585788</t>
  </si>
  <si>
    <t>South Korea Government Debt - 3 Year</t>
  </si>
  <si>
    <t>IQ136585784</t>
  </si>
  <si>
    <t>South Korea Government Debt - 5 Year</t>
  </si>
  <si>
    <t>IQ136585796</t>
  </si>
  <si>
    <t>South Korea Government Debt - 10 Year</t>
  </si>
  <si>
    <t>IQ50027569</t>
  </si>
  <si>
    <t>Spain Government Debt - 2 Year</t>
  </si>
  <si>
    <t>IQ50027571</t>
  </si>
  <si>
    <t>Spain Government Debt - 5 Year</t>
  </si>
  <si>
    <t>IQ100890539</t>
  </si>
  <si>
    <t>Spain Government Debt - 7 Year</t>
  </si>
  <si>
    <t>IQ50027568</t>
  </si>
  <si>
    <t>Spain Government Debt - 10 Year</t>
  </si>
  <si>
    <t>IQ50027570</t>
  </si>
  <si>
    <t>Spain Government Debt - 30 Year</t>
  </si>
  <si>
    <t>IQ50027573</t>
  </si>
  <si>
    <t>Sweden Government Debt - 2 Year</t>
  </si>
  <si>
    <t>IQ50027575</t>
  </si>
  <si>
    <t>Sweden Government Debt - 5 Year</t>
  </si>
  <si>
    <t>IQ136585780</t>
  </si>
  <si>
    <t>Sweden Government Debt - 7 Year</t>
  </si>
  <si>
    <t>IQ50027572</t>
  </si>
  <si>
    <t>Sweden Government Debt - 10 Year</t>
  </si>
  <si>
    <t>IQ50027577</t>
  </si>
  <si>
    <t>Switzerland Government Debt - 2 Year</t>
  </si>
  <si>
    <t>IQ100889991</t>
  </si>
  <si>
    <t>Switzerland Government Debt - 3 Year</t>
  </si>
  <si>
    <t>IQ50027579</t>
  </si>
  <si>
    <t>Switzerland Government Debt - 5 Year</t>
  </si>
  <si>
    <t>IQ100889987</t>
  </si>
  <si>
    <t>Switzerland Government Debt - 7 Year</t>
  </si>
  <si>
    <t>IQ50027576</t>
  </si>
  <si>
    <t>Switzerland Government Debt - 10 Year</t>
  </si>
  <si>
    <t>IQ100889995</t>
  </si>
  <si>
    <t>Switzerland Government Debt - 15 Year</t>
  </si>
  <si>
    <t>IQ50027578</t>
  </si>
  <si>
    <t>Switzerland Government Debt - 30 Year</t>
  </si>
  <si>
    <t>IQ100889951</t>
  </si>
  <si>
    <t>United Kingdom Government Debt - 1 Year</t>
  </si>
  <si>
    <t>IQ50027581</t>
  </si>
  <si>
    <t>United Kingdom Government Debt - 2 Year</t>
  </si>
  <si>
    <t>IQ100889943</t>
  </si>
  <si>
    <t>United Kingdom Government Debt - 3 Year</t>
  </si>
  <si>
    <t>IQ50027583</t>
  </si>
  <si>
    <t>United Kingdom Government Debt - 5 Year</t>
  </si>
  <si>
    <t>IQ100889939</t>
  </si>
  <si>
    <t>United Kingdom Government Debt - 7 Year</t>
  </si>
  <si>
    <t>IQ50027580</t>
  </si>
  <si>
    <t>United Kingdom Government Debt - 10 Year</t>
  </si>
  <si>
    <t>IQ100889947</t>
  </si>
  <si>
    <t>United Kingdom Government Debt - 15 Year</t>
  </si>
  <si>
    <t>IQ50027582</t>
  </si>
  <si>
    <t>United Kingdom Government Debt - 30 Year</t>
  </si>
  <si>
    <t>IQT36183815</t>
  </si>
  <si>
    <t>United States Treasury Constant Maturity - 1 Month</t>
  </si>
  <si>
    <t>IQT36183818</t>
  </si>
  <si>
    <t>United States Treasury Constant Maturity - 3 Month</t>
  </si>
  <si>
    <t>IQT36183821</t>
  </si>
  <si>
    <t>United States Treasury Constant Maturity - 6 Month</t>
  </si>
  <si>
    <t>IQT36183824</t>
  </si>
  <si>
    <t>United States Treasury Constant Maturity - 1 Year</t>
  </si>
  <si>
    <t>IQT36183827</t>
  </si>
  <si>
    <t>United States Treasury Constant Maturity - 2 Year</t>
  </si>
  <si>
    <t>IQT36183830</t>
  </si>
  <si>
    <t>United States Treasury Constant Maturity - 3 Year</t>
  </si>
  <si>
    <t>IQT36183833</t>
  </si>
  <si>
    <t>United States Treasury Constant Maturity - 5 Year</t>
  </si>
  <si>
    <t>IQT36183836</t>
  </si>
  <si>
    <t>United States Treasury Constant Maturity - 7 Year</t>
  </si>
  <si>
    <t>IQT36183839</t>
  </si>
  <si>
    <t>IQT36183842</t>
  </si>
  <si>
    <t>United States Treasury Constant Maturity - 20 Year</t>
  </si>
  <si>
    <t>IQT36183845</t>
  </si>
  <si>
    <t>United States Treasury Constant Maturity - 30 Year</t>
  </si>
  <si>
    <t>Amzn Inputs</t>
  </si>
  <si>
    <r>
      <t>Add: Risk-Free Rate of Return (Rf)</t>
    </r>
    <r>
      <rPr>
        <vertAlign val="superscript"/>
        <sz val="12"/>
        <rFont val="Arial"/>
        <family val="2"/>
      </rPr>
      <t>(1)</t>
    </r>
  </si>
  <si>
    <t>Ratios</t>
    <phoneticPr fontId="10" type="noConversion"/>
  </si>
  <si>
    <t>Company</t>
    <phoneticPr fontId="10" type="noConversion"/>
  </si>
  <si>
    <t>EV/FCF</t>
    <phoneticPr fontId="10" type="noConversion"/>
  </si>
  <si>
    <t>EV/EBITDA</t>
    <phoneticPr fontId="10" type="noConversion"/>
  </si>
  <si>
    <t>P/SALES</t>
    <phoneticPr fontId="10" type="noConversion"/>
  </si>
  <si>
    <t>WMT US</t>
    <phoneticPr fontId="10" type="noConversion"/>
  </si>
  <si>
    <t>BABA</t>
    <phoneticPr fontId="10" type="noConversion"/>
  </si>
  <si>
    <t>HD US</t>
    <phoneticPr fontId="10" type="noConversion"/>
  </si>
  <si>
    <t>JD.COM</t>
    <phoneticPr fontId="10" type="noConversion"/>
  </si>
  <si>
    <t>eBay</t>
    <phoneticPr fontId="10" type="noConversion"/>
  </si>
  <si>
    <t>ETSY</t>
    <phoneticPr fontId="10" type="noConversion"/>
  </si>
  <si>
    <t>COSTCO</t>
    <phoneticPr fontId="10" type="noConversion"/>
  </si>
  <si>
    <t>FB</t>
    <phoneticPr fontId="10" type="noConversion"/>
  </si>
  <si>
    <t>CRM</t>
    <phoneticPr fontId="10" type="noConversion"/>
  </si>
  <si>
    <t>ORCL</t>
    <phoneticPr fontId="10" type="noConversion"/>
  </si>
  <si>
    <t>LOW</t>
    <phoneticPr fontId="10" type="noConversion"/>
  </si>
  <si>
    <t>TWTR</t>
    <phoneticPr fontId="10" type="noConversion"/>
  </si>
  <si>
    <t>Mean</t>
    <phoneticPr fontId="10" type="noConversion"/>
  </si>
  <si>
    <t>Median</t>
    <phoneticPr fontId="10" type="noConversion"/>
  </si>
  <si>
    <t>Amzn</t>
    <phoneticPr fontId="10" type="noConversion"/>
  </si>
  <si>
    <t>PP&amp;E Schedule</t>
  </si>
  <si>
    <t>source bloomberg</t>
    <phoneticPr fontId="10" type="noConversion"/>
  </si>
  <si>
    <t>2020-2025</t>
    <phoneticPr fontId="10" type="noConversion"/>
  </si>
  <si>
    <t>CAGR</t>
    <phoneticPr fontId="10" type="noConversion"/>
  </si>
  <si>
    <t>NPV($/share)</t>
    <phoneticPr fontId="10" type="noConversion"/>
  </si>
  <si>
    <t>2021E Total Revenue</t>
    <phoneticPr fontId="10" type="noConversion"/>
  </si>
  <si>
    <t>DuPont Analysis</t>
    <phoneticPr fontId="10" type="noConversion"/>
  </si>
  <si>
    <t>Gross Margin (%)</t>
    <phoneticPr fontId="10" type="noConversion"/>
  </si>
  <si>
    <t>Operating Margin (%)</t>
    <phoneticPr fontId="10" type="noConversion"/>
  </si>
  <si>
    <t>Interest Burden (%)</t>
    <phoneticPr fontId="10" type="noConversion"/>
  </si>
  <si>
    <t>Tax Burden (%)</t>
    <phoneticPr fontId="10" type="noConversion"/>
  </si>
  <si>
    <t>Net Margin (%)</t>
    <phoneticPr fontId="10" type="noConversion"/>
  </si>
  <si>
    <t>Asset Turnover (x)</t>
    <phoneticPr fontId="10" type="noConversion"/>
  </si>
  <si>
    <t>Return on Assets (%)</t>
    <phoneticPr fontId="10" type="noConversion"/>
  </si>
  <si>
    <t>Return on Equity (%)</t>
    <phoneticPr fontId="10" type="noConversion"/>
  </si>
  <si>
    <t>Key Financial Ratios</t>
    <phoneticPr fontId="10" type="noConversion"/>
  </si>
  <si>
    <t>Liquidity Ratio</t>
    <phoneticPr fontId="10" type="noConversion"/>
  </si>
  <si>
    <t>Current Ratio (x)</t>
    <phoneticPr fontId="10" type="noConversion"/>
  </si>
  <si>
    <t>Quick Ratio (x)</t>
    <phoneticPr fontId="10" type="noConversion"/>
  </si>
  <si>
    <t>Leverage Ratio</t>
    <phoneticPr fontId="10" type="noConversion"/>
  </si>
  <si>
    <t>Debt/Equity (x)</t>
    <phoneticPr fontId="10" type="noConversion"/>
  </si>
  <si>
    <t>Net Debt/Equity (x)</t>
    <phoneticPr fontId="10" type="noConversion"/>
  </si>
  <si>
    <t>Cash Flow Ratios</t>
    <phoneticPr fontId="10" type="noConversion"/>
  </si>
  <si>
    <t>OCF/Sales</t>
    <phoneticPr fontId="10" type="noConversion"/>
  </si>
  <si>
    <t>OCF/Earnings</t>
    <phoneticPr fontId="10" type="noConversion"/>
  </si>
  <si>
    <r>
      <t>Cap</t>
    </r>
    <r>
      <rPr>
        <b/>
        <sz val="11"/>
        <color theme="1"/>
        <rFont val="Calibri"/>
        <family val="2"/>
        <scheme val="minor"/>
      </rPr>
      <t>ex</t>
    </r>
    <phoneticPr fontId="10" type="noConversion"/>
  </si>
  <si>
    <t>Cash Ratio</t>
  </si>
  <si>
    <t>Capex/Sales</t>
  </si>
  <si>
    <t>Capex/OCF</t>
  </si>
  <si>
    <t>CAGR</t>
  </si>
  <si>
    <t>Ecommerce CAGR</t>
  </si>
  <si>
    <t>AWS CAGR</t>
  </si>
  <si>
    <t>Net Income CAGR</t>
  </si>
  <si>
    <t>Revenue CAGR</t>
  </si>
  <si>
    <t xml:space="preserve"> Total Assets CAGR</t>
  </si>
  <si>
    <t>Cash CAGR</t>
  </si>
  <si>
    <t>BULL CASE</t>
  </si>
  <si>
    <t>Threat of New Entrants</t>
  </si>
  <si>
    <t>Amazon</t>
  </si>
  <si>
    <t>Bargaining power of buyers</t>
  </si>
  <si>
    <t>Bargaining power of suppliers</t>
  </si>
  <si>
    <t>Threats of product substitution</t>
  </si>
  <si>
    <t>Intensity of rivalry</t>
  </si>
  <si>
    <t>Carbon Footprint</t>
  </si>
  <si>
    <t>Pollution Prevention</t>
  </si>
  <si>
    <t>Water Consersation</t>
  </si>
  <si>
    <t>Data Privacy</t>
  </si>
  <si>
    <t>Consumer health &amp; Safety</t>
  </si>
  <si>
    <t>Employee satisfaction</t>
  </si>
  <si>
    <t>workplace safety</t>
  </si>
  <si>
    <t>Corporate Integrity</t>
  </si>
  <si>
    <t>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</si>
</sst>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\ &quot;A&quot;"/>
    <numFmt numFmtId="165" formatCode="0\ &quot;E&quot;"/>
    <numFmt numFmtId="166" formatCode="0.0%"/>
    <numFmt numFmtId="167" formatCode="&quot;$&quot;#,##0_);\(&quot;$&quot;#,##0\)"/>
    <numFmt numFmtId="168" formatCode="0.00\x"/>
    <numFmt numFmtId="169" formatCode="_(* #,##0_);_(* \(#,##0\);_(* &quot;-&quot;??_);_(@_)"/>
    <numFmt numFmtId="170" formatCode="0_ "/>
    <numFmt numFmtId="171" formatCode="#,##0_ "/>
    <numFmt numFmtId="172" formatCode="#,##0_);\(#,##0\)"/>
    <numFmt numFmtId="173" formatCode="0.0\x"/>
    <numFmt numFmtId="174" formatCode="dd/mm/yyyy;@"/>
    <numFmt numFmtId="175" formatCode="yyyy\-mm\-dd;@"/>
    <numFmt numFmtId="176" formatCode="_(* #,##0.00_);_(* \(#,##0.00\);_(* &quot;-&quot;??_);_(@_)"/>
    <numFmt numFmtId="177" formatCode="_(* #,##0_);_(* \(#,##0\);_(* &quot;-&quot;??_);_(@_)\ &quot;/&quot;"/>
    <numFmt numFmtId="178" formatCode="&quot;/&quot;_(* #,##0_);_(* \(#,##0\);_(* &quot;-&quot;??_);_(@_)"/>
    <numFmt numFmtId="179" formatCode="[$-809]dd\ mmmm\ yyyy;@"/>
    <numFmt numFmtId="180" formatCode="0.000%"/>
    <numFmt numFmtId="181" formatCode="[$$-409]#,##0"/>
    <numFmt numFmtId="182" formatCode="General_)"/>
    <numFmt numFmtId="183" formatCode="&quot;&quot;"/>
    <numFmt numFmtId="184" formatCode="#,##0.0"/>
    <numFmt numFmtId="185" formatCode="0.0%_);\(0.0%\);0.0%_);@_)"/>
    <numFmt numFmtId="186" formatCode="0.000"/>
    <numFmt numFmtId="187" formatCode="#,##0.0_);\(#,##0.0\)"/>
    <numFmt numFmtId="188" formatCode="#,##0;\(#,##0\)"/>
    <numFmt numFmtId="189" formatCode="0\ &quot;F&quot;"/>
    <numFmt numFmtId="190" formatCode="0.00_ "/>
  </numFmts>
  <fonts count="6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theme="0" tint="-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color rgb="FF0000FF"/>
      <name val="Arial Narrow"/>
      <family val="2"/>
    </font>
    <font>
      <b/>
      <sz val="11"/>
      <color rgb="FF0000FF"/>
      <name val="Arial Narrow"/>
      <family val="2"/>
    </font>
    <font>
      <sz val="11"/>
      <color rgb="FF00B050"/>
      <name val="Arial Narrow"/>
      <family val="2"/>
    </font>
    <font>
      <sz val="11"/>
      <color theme="0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499984740745262"/>
      <name val="Arial Narrow"/>
      <family val="2"/>
    </font>
    <font>
      <sz val="11"/>
      <color theme="1" tint="0.499984740745262"/>
      <name val="Arial Narrow"/>
      <family val="2"/>
    </font>
    <font>
      <sz val="11"/>
      <color rgb="FFFF0000"/>
      <name val="Arial Narrow"/>
      <family val="2"/>
    </font>
    <font>
      <b/>
      <sz val="10"/>
      <color theme="0"/>
      <name val="Arial"/>
      <family val="2"/>
    </font>
    <font>
      <sz val="10"/>
      <name val="Times New Roman"/>
      <family val="1"/>
    </font>
    <font>
      <sz val="12"/>
      <name val="tms rmn"/>
    </font>
    <font>
      <sz val="10"/>
      <name val="MS Sans Serif"/>
      <family val="2"/>
    </font>
    <font>
      <b/>
      <sz val="12"/>
      <name val="Arial Narrow"/>
      <family val="2"/>
    </font>
    <font>
      <b/>
      <sz val="12"/>
      <color indexed="12"/>
      <name val="Arial Narrow"/>
      <family val="2"/>
    </font>
    <font>
      <sz val="12"/>
      <name val="Arial Narrow"/>
      <family val="2"/>
    </font>
    <font>
      <b/>
      <sz val="12"/>
      <color rgb="FF0000FF"/>
      <name val="Arial Narrow"/>
      <family val="2"/>
    </font>
    <font>
      <b/>
      <sz val="12"/>
      <color indexed="8"/>
      <name val="Arial Narrow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FFFFFF"/>
      <name val="Arial"/>
      <family val="2"/>
    </font>
    <font>
      <sz val="12"/>
      <color indexed="8"/>
      <name val="Arial Narrow"/>
      <family val="2"/>
    </font>
    <font>
      <sz val="12"/>
      <name val="Arial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i/>
      <sz val="12"/>
      <color theme="0"/>
      <name val="Arial Narrow"/>
      <family val="2"/>
    </font>
    <font>
      <b/>
      <sz val="12"/>
      <color indexed="9"/>
      <name val="Arial Narrow"/>
      <family val="2"/>
    </font>
    <font>
      <sz val="12"/>
      <color indexed="9"/>
      <name val="Arial Narrow"/>
      <family val="2"/>
    </font>
    <font>
      <sz val="12"/>
      <color indexed="17"/>
      <name val="Arial Narrow"/>
      <family val="2"/>
    </font>
    <font>
      <sz val="12"/>
      <color rgb="FF0000FF"/>
      <name val="Arial Narrow"/>
      <family val="2"/>
    </font>
    <font>
      <sz val="12"/>
      <name val="Times New Roman"/>
      <family val="1"/>
    </font>
    <font>
      <sz val="12"/>
      <color indexed="12"/>
      <name val="Arial Narrow"/>
      <family val="2"/>
    </font>
    <font>
      <b/>
      <sz val="12"/>
      <color theme="1"/>
      <name val="Arial Narrow"/>
      <family val="2"/>
    </font>
    <font>
      <vertAlign val="superscript"/>
      <sz val="12"/>
      <name val="Arial Narrow"/>
      <family val="2"/>
    </font>
    <font>
      <sz val="12"/>
      <color theme="1"/>
      <name val="Arial Narrow"/>
      <family val="2"/>
    </font>
    <font>
      <sz val="12"/>
      <color rgb="FFFFFFFF"/>
      <name val="Arial Narrow"/>
      <family val="2"/>
    </font>
    <font>
      <vertAlign val="superscript"/>
      <sz val="12"/>
      <name val="Arial"/>
      <family val="2"/>
    </font>
    <font>
      <b/>
      <sz val="12"/>
      <color rgb="FF000000"/>
      <name val="Arial Narrow"/>
      <family val="2"/>
    </font>
    <font>
      <i/>
      <sz val="12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621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1E8496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2"/>
      </left>
      <right/>
      <top style="thick">
        <color theme="2"/>
      </top>
      <bottom/>
      <diagonal/>
    </border>
    <border>
      <left/>
      <right/>
      <top style="thick">
        <color theme="2"/>
      </top>
      <bottom/>
      <diagonal/>
    </border>
    <border>
      <left/>
      <right style="thick">
        <color theme="2"/>
      </right>
      <top style="thick">
        <color theme="2"/>
      </top>
      <bottom/>
      <diagonal/>
    </border>
    <border>
      <left style="thick">
        <color theme="2"/>
      </left>
      <right/>
      <top/>
      <bottom/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/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/>
      <right style="thick">
        <color theme="2"/>
      </right>
      <top/>
      <bottom style="thick">
        <color theme="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ashed">
        <color theme="1" tint="0.499984740745262"/>
      </left>
      <right/>
      <top style="dashed">
        <color theme="1" tint="0.499984740745262"/>
      </top>
      <bottom style="dashed">
        <color theme="1" tint="0.499984740745262"/>
      </bottom>
      <diagonal/>
    </border>
    <border>
      <left/>
      <right/>
      <top style="dashed">
        <color theme="1" tint="0.499984740745262"/>
      </top>
      <bottom style="dashed">
        <color theme="1" tint="0.499984740745262"/>
      </bottom>
      <diagonal/>
    </border>
    <border>
      <left/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/>
      <top style="dashed">
        <color theme="1" tint="0.499984740745262"/>
      </top>
      <bottom/>
      <diagonal/>
    </border>
    <border>
      <left/>
      <right style="dashed">
        <color theme="1" tint="0.499984740745262"/>
      </right>
      <top style="dashed">
        <color theme="1" tint="0.499984740745262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8">
    <xf numFmtId="0" fontId="0" fillId="0" borderId="0"/>
    <xf numFmtId="3" fontId="2" fillId="2" borderId="1">
      <alignment horizontal="right"/>
    </xf>
    <xf numFmtId="0" fontId="11" fillId="0" borderId="0"/>
    <xf numFmtId="43" fontId="16" fillId="0" borderId="0" applyFont="0" applyFill="0" applyBorder="0" applyAlignment="0" applyProtection="0"/>
    <xf numFmtId="0" fontId="20" fillId="0" borderId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0" borderId="0"/>
    <xf numFmtId="17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7" fillId="0" borderId="0"/>
    <xf numFmtId="182" fontId="38" fillId="0" borderId="0"/>
    <xf numFmtId="0" fontId="39" fillId="0" borderId="0"/>
    <xf numFmtId="9" fontId="37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20" fillId="0" borderId="0"/>
    <xf numFmtId="0" fontId="37" fillId="0" borderId="0"/>
    <xf numFmtId="0" fontId="20" fillId="0" borderId="0"/>
  </cellStyleXfs>
  <cellXfs count="661">
    <xf numFmtId="0" fontId="0" fillId="0" borderId="0" xfId="0"/>
    <xf numFmtId="0" fontId="1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left" indent="1"/>
    </xf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/>
    <xf numFmtId="0" fontId="0" fillId="0" borderId="3" xfId="0" applyBorder="1" applyAlignment="1">
      <alignment horizontal="left" indent="1"/>
    </xf>
    <xf numFmtId="0" fontId="0" fillId="3" borderId="3" xfId="0" applyFill="1" applyBorder="1"/>
    <xf numFmtId="0" fontId="0" fillId="3" borderId="0" xfId="0" applyFill="1" applyBorder="1"/>
    <xf numFmtId="164" fontId="3" fillId="3" borderId="0" xfId="0" applyNumberFormat="1" applyFont="1" applyFill="1"/>
    <xf numFmtId="165" fontId="3" fillId="3" borderId="0" xfId="0" applyNumberFormat="1" applyFont="1" applyFill="1"/>
    <xf numFmtId="165" fontId="3" fillId="3" borderId="0" xfId="0" applyNumberFormat="1" applyFont="1" applyFill="1" applyBorder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ont="1" applyFill="1"/>
    <xf numFmtId="14" fontId="7" fillId="0" borderId="0" xfId="0" applyNumberFormat="1" applyFont="1"/>
    <xf numFmtId="0" fontId="1" fillId="0" borderId="2" xfId="0" applyFont="1" applyFill="1" applyBorder="1"/>
    <xf numFmtId="0" fontId="1" fillId="0" borderId="0" xfId="0" applyFont="1" applyFill="1" applyBorder="1"/>
    <xf numFmtId="0" fontId="3" fillId="3" borderId="0" xfId="0" applyFont="1" applyFill="1"/>
    <xf numFmtId="2" fontId="0" fillId="3" borderId="0" xfId="0" applyNumberFormat="1" applyFill="1" applyProtection="1">
      <protection locked="0"/>
    </xf>
    <xf numFmtId="2" fontId="0" fillId="0" borderId="0" xfId="0" applyNumberFormat="1" applyProtection="1">
      <protection locked="0"/>
    </xf>
    <xf numFmtId="2" fontId="0" fillId="3" borderId="0" xfId="0" applyNumberFormat="1" applyFill="1" applyAlignment="1" applyProtection="1">
      <protection locked="0"/>
    </xf>
    <xf numFmtId="2" fontId="0" fillId="3" borderId="4" xfId="0" applyNumberFormat="1" applyFill="1" applyBorder="1" applyProtection="1">
      <protection locked="0"/>
    </xf>
    <xf numFmtId="2" fontId="1" fillId="3" borderId="4" xfId="0" applyNumberFormat="1" applyFont="1" applyFill="1" applyBorder="1" applyAlignment="1" applyProtection="1">
      <alignment horizontal="centerContinuous" vertical="center"/>
      <protection locked="0"/>
    </xf>
    <xf numFmtId="2" fontId="1" fillId="3" borderId="4" xfId="0" applyNumberFormat="1" applyFont="1" applyFill="1" applyBorder="1" applyProtection="1">
      <protection locked="0"/>
    </xf>
    <xf numFmtId="2" fontId="1" fillId="3" borderId="0" xfId="0" applyNumberFormat="1" applyFont="1" applyFill="1" applyProtection="1">
      <protection locked="0"/>
    </xf>
    <xf numFmtId="2" fontId="1" fillId="4" borderId="0" xfId="0" applyNumberFormat="1" applyFont="1" applyFill="1" applyProtection="1">
      <protection locked="0"/>
    </xf>
    <xf numFmtId="2" fontId="15" fillId="4" borderId="0" xfId="0" applyNumberFormat="1" applyFont="1" applyFill="1" applyProtection="1">
      <protection locked="0"/>
    </xf>
    <xf numFmtId="2" fontId="12" fillId="0" borderId="0" xfId="2" applyNumberFormat="1" applyFont="1" applyBorder="1" applyAlignment="1" applyProtection="1">
      <alignment horizontal="left" vertical="top"/>
      <protection locked="0"/>
    </xf>
    <xf numFmtId="3" fontId="0" fillId="0" borderId="0" xfId="0" applyNumberFormat="1" applyProtection="1">
      <protection locked="0"/>
    </xf>
    <xf numFmtId="2" fontId="1" fillId="0" borderId="0" xfId="3" applyNumberFormat="1" applyFont="1" applyAlignment="1" applyProtection="1">
      <alignment horizontal="center" vertical="center"/>
      <protection locked="0"/>
    </xf>
    <xf numFmtId="2" fontId="1" fillId="0" borderId="0" xfId="0" applyNumberFormat="1" applyFont="1" applyProtection="1">
      <protection locked="0"/>
    </xf>
    <xf numFmtId="2" fontId="0" fillId="0" borderId="5" xfId="0" applyNumberFormat="1" applyBorder="1" applyProtection="1">
      <protection locked="0"/>
    </xf>
    <xf numFmtId="2" fontId="0" fillId="0" borderId="6" xfId="0" applyNumberFormat="1" applyBorder="1" applyProtection="1">
      <protection locked="0"/>
    </xf>
    <xf numFmtId="2" fontId="0" fillId="0" borderId="4" xfId="0" applyNumberFormat="1" applyBorder="1" applyProtection="1">
      <protection locked="0"/>
    </xf>
    <xf numFmtId="2" fontId="0" fillId="0" borderId="8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167" fontId="9" fillId="0" borderId="0" xfId="0" applyNumberFormat="1" applyFont="1"/>
    <xf numFmtId="167" fontId="9" fillId="0" borderId="0" xfId="0" applyNumberFormat="1" applyFont="1" applyProtection="1">
      <protection locked="0"/>
    </xf>
    <xf numFmtId="167" fontId="5" fillId="0" borderId="0" xfId="0" applyNumberFormat="1" applyFont="1"/>
    <xf numFmtId="167" fontId="7" fillId="0" borderId="0" xfId="0" applyNumberFormat="1" applyFont="1"/>
    <xf numFmtId="167" fontId="0" fillId="0" borderId="0" xfId="0" applyNumberFormat="1"/>
    <xf numFmtId="167" fontId="0" fillId="0" borderId="0" xfId="0" applyNumberFormat="1" applyBorder="1"/>
    <xf numFmtId="167" fontId="1" fillId="0" borderId="2" xfId="0" applyNumberFormat="1" applyFont="1" applyBorder="1"/>
    <xf numFmtId="167" fontId="1" fillId="0" borderId="0" xfId="0" applyNumberFormat="1" applyFont="1"/>
    <xf numFmtId="167" fontId="1" fillId="0" borderId="0" xfId="0" applyNumberFormat="1" applyFont="1" applyBorder="1"/>
    <xf numFmtId="167" fontId="8" fillId="0" borderId="0" xfId="0" applyNumberFormat="1" applyFont="1"/>
    <xf numFmtId="167" fontId="5" fillId="4" borderId="0" xfId="0" applyNumberFormat="1" applyFont="1" applyFill="1" applyProtection="1"/>
    <xf numFmtId="166" fontId="5" fillId="0" borderId="0" xfId="0" applyNumberFormat="1" applyFont="1" applyProtection="1"/>
    <xf numFmtId="168" fontId="5" fillId="0" borderId="0" xfId="0" applyNumberFormat="1" applyFont="1" applyProtection="1"/>
    <xf numFmtId="167" fontId="5" fillId="0" borderId="0" xfId="0" applyNumberFormat="1" applyFont="1" applyProtection="1"/>
    <xf numFmtId="166" fontId="5" fillId="4" borderId="0" xfId="0" applyNumberFormat="1" applyFont="1" applyFill="1" applyProtection="1"/>
    <xf numFmtId="168" fontId="5" fillId="4" borderId="0" xfId="0" applyNumberFormat="1" applyFont="1" applyFill="1" applyProtection="1"/>
    <xf numFmtId="167" fontId="5" fillId="0" borderId="0" xfId="0" applyNumberFormat="1" applyFont="1" applyFill="1" applyProtection="1"/>
    <xf numFmtId="167" fontId="6" fillId="0" borderId="0" xfId="0" applyNumberFormat="1" applyFont="1" applyFill="1" applyProtection="1"/>
    <xf numFmtId="168" fontId="9" fillId="0" borderId="5" xfId="0" applyNumberFormat="1" applyFont="1" applyFill="1" applyBorder="1" applyProtection="1"/>
    <xf numFmtId="0" fontId="6" fillId="0" borderId="0" xfId="0" applyFont="1"/>
    <xf numFmtId="0" fontId="20" fillId="0" borderId="0" xfId="4">
      <alignment vertical="center"/>
    </xf>
    <xf numFmtId="10" fontId="7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9" fillId="0" borderId="0" xfId="0" applyNumberFormat="1" applyFont="1" applyAlignment="1">
      <alignment horizontal="center"/>
    </xf>
    <xf numFmtId="10" fontId="9" fillId="0" borderId="0" xfId="0" applyNumberFormat="1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7" fontId="0" fillId="0" borderId="0" xfId="0" applyNumberFormat="1" applyAlignment="1">
      <alignment horizontal="center"/>
    </xf>
    <xf numFmtId="10" fontId="7" fillId="0" borderId="0" xfId="0" applyNumberFormat="1" applyFont="1" applyAlignment="1"/>
    <xf numFmtId="10" fontId="0" fillId="0" borderId="0" xfId="0" applyNumberFormat="1" applyBorder="1" applyAlignment="1"/>
    <xf numFmtId="10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167" fontId="0" fillId="0" borderId="0" xfId="0" applyNumberFormat="1" applyFont="1" applyFill="1" applyAlignment="1">
      <alignment horizontal="center"/>
    </xf>
    <xf numFmtId="167" fontId="1" fillId="0" borderId="2" xfId="0" applyNumberFormat="1" applyFont="1" applyFill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7" fontId="0" fillId="0" borderId="0" xfId="0" applyNumberFormat="1" applyFont="1"/>
    <xf numFmtId="0" fontId="21" fillId="0" borderId="0" xfId="0" applyFont="1"/>
    <xf numFmtId="0" fontId="0" fillId="0" borderId="3" xfId="0" applyBorder="1"/>
    <xf numFmtId="10" fontId="7" fillId="0" borderId="0" xfId="0" applyNumberFormat="1" applyFont="1" applyBorder="1" applyAlignment="1"/>
    <xf numFmtId="0" fontId="7" fillId="0" borderId="0" xfId="0" applyFont="1" applyAlignment="1"/>
    <xf numFmtId="10" fontId="7" fillId="0" borderId="0" xfId="0" applyNumberFormat="1" applyFont="1" applyFill="1" applyAlignment="1"/>
    <xf numFmtId="9" fontId="7" fillId="0" borderId="0" xfId="0" applyNumberFormat="1" applyFont="1" applyAlignment="1"/>
    <xf numFmtId="0" fontId="0" fillId="0" borderId="0" xfId="0" applyFill="1" applyBorder="1" applyAlignment="1">
      <alignment horizontal="left" indent="1"/>
    </xf>
    <xf numFmtId="2" fontId="12" fillId="0" borderId="0" xfId="2" applyNumberFormat="1" applyFont="1" applyAlignment="1" applyProtection="1">
      <alignment horizontal="left" vertical="top"/>
      <protection locked="0"/>
    </xf>
    <xf numFmtId="2" fontId="22" fillId="0" borderId="0" xfId="2" applyNumberFormat="1" applyFont="1" applyAlignment="1" applyProtection="1">
      <alignment horizontal="left" vertical="top"/>
      <protection locked="0"/>
    </xf>
    <xf numFmtId="2" fontId="7" fillId="0" borderId="0" xfId="0" applyNumberFormat="1" applyFont="1" applyAlignment="1">
      <alignment horizontal="center"/>
    </xf>
    <xf numFmtId="170" fontId="7" fillId="0" borderId="0" xfId="0" applyNumberFormat="1" applyFont="1" applyAlignment="1"/>
    <xf numFmtId="171" fontId="0" fillId="0" borderId="0" xfId="0" applyNumberFormat="1" applyAlignment="1">
      <alignment horizontal="center"/>
    </xf>
    <xf numFmtId="0" fontId="3" fillId="0" borderId="0" xfId="0" applyFont="1" applyFill="1"/>
    <xf numFmtId="167" fontId="0" fillId="5" borderId="0" xfId="0" applyNumberFormat="1" applyFill="1"/>
    <xf numFmtId="167" fontId="0" fillId="4" borderId="0" xfId="0" applyNumberFormat="1" applyFill="1"/>
    <xf numFmtId="167" fontId="0" fillId="4" borderId="0" xfId="0" applyNumberFormat="1" applyFill="1" applyBorder="1"/>
    <xf numFmtId="0" fontId="4" fillId="7" borderId="0" xfId="0" applyFont="1" applyFill="1"/>
    <xf numFmtId="0" fontId="0" fillId="7" borderId="0" xfId="0" applyFill="1"/>
    <xf numFmtId="0" fontId="0" fillId="7" borderId="0" xfId="0" applyFill="1" applyBorder="1"/>
    <xf numFmtId="167" fontId="7" fillId="0" borderId="0" xfId="0" applyNumberFormat="1" applyFont="1" applyFill="1" applyAlignment="1">
      <alignment horizontal="center"/>
    </xf>
    <xf numFmtId="167" fontId="7" fillId="0" borderId="0" xfId="0" applyNumberFormat="1" applyFont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0" fillId="7" borderId="0" xfId="0" applyFill="1" applyAlignment="1">
      <alignment horizontal="left"/>
    </xf>
    <xf numFmtId="1" fontId="7" fillId="0" borderId="0" xfId="0" applyNumberFormat="1" applyFont="1" applyAlignment="1"/>
    <xf numFmtId="166" fontId="7" fillId="0" borderId="0" xfId="0" applyNumberFormat="1" applyFont="1" applyAlignment="1"/>
    <xf numFmtId="166" fontId="7" fillId="0" borderId="0" xfId="0" applyNumberFormat="1" applyFont="1" applyFill="1" applyAlignment="1"/>
    <xf numFmtId="0" fontId="7" fillId="0" borderId="0" xfId="0" applyFont="1" applyBorder="1" applyAlignment="1"/>
    <xf numFmtId="166" fontId="7" fillId="0" borderId="0" xfId="0" applyNumberFormat="1" applyFont="1" applyBorder="1" applyAlignment="1"/>
    <xf numFmtId="14" fontId="0" fillId="0" borderId="0" xfId="0" applyNumberFormat="1" applyFont="1"/>
    <xf numFmtId="10" fontId="0" fillId="0" borderId="0" xfId="0" applyNumberFormat="1" applyFont="1" applyAlignment="1">
      <alignment horizontal="center"/>
    </xf>
    <xf numFmtId="10" fontId="0" fillId="0" borderId="0" xfId="0" applyNumberFormat="1" applyFont="1" applyAlignment="1"/>
    <xf numFmtId="10" fontId="0" fillId="0" borderId="0" xfId="0" applyNumberFormat="1" applyFont="1" applyFill="1" applyAlignment="1"/>
    <xf numFmtId="37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0" fontId="0" fillId="0" borderId="0" xfId="0" applyNumberFormat="1" applyFont="1" applyFill="1" applyAlignment="1">
      <alignment horizontal="center"/>
    </xf>
    <xf numFmtId="3" fontId="0" fillId="0" borderId="0" xfId="0" applyNumberFormat="1" applyFont="1" applyAlignment="1">
      <alignment horizontal="center"/>
    </xf>
    <xf numFmtId="169" fontId="0" fillId="0" borderId="0" xfId="0" applyNumberFormat="1" applyFont="1" applyAlignment="1">
      <alignment horizontal="center"/>
    </xf>
    <xf numFmtId="167" fontId="0" fillId="0" borderId="2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4" fontId="0" fillId="0" borderId="0" xfId="0" applyNumberFormat="1" applyFont="1" applyAlignment="1">
      <alignment horizontal="center"/>
    </xf>
    <xf numFmtId="172" fontId="0" fillId="0" borderId="0" xfId="0" applyNumberFormat="1" applyFont="1"/>
    <xf numFmtId="167" fontId="1" fillId="0" borderId="3" xfId="0" applyNumberFormat="1" applyFont="1" applyBorder="1"/>
    <xf numFmtId="167" fontId="0" fillId="0" borderId="3" xfId="0" applyNumberFormat="1" applyFont="1" applyBorder="1"/>
    <xf numFmtId="10" fontId="0" fillId="0" borderId="0" xfId="0" applyNumberFormat="1" applyFont="1"/>
    <xf numFmtId="167" fontId="9" fillId="4" borderId="0" xfId="0" applyNumberFormat="1" applyFont="1" applyFill="1"/>
    <xf numFmtId="0" fontId="12" fillId="0" borderId="0" xfId="0" applyFont="1"/>
    <xf numFmtId="37" fontId="0" fillId="0" borderId="0" xfId="0" applyNumberFormat="1"/>
    <xf numFmtId="0" fontId="12" fillId="0" borderId="3" xfId="0" applyFont="1" applyBorder="1"/>
    <xf numFmtId="37" fontId="12" fillId="0" borderId="3" xfId="0" applyNumberFormat="1" applyFont="1" applyBorder="1"/>
    <xf numFmtId="0" fontId="12" fillId="0" borderId="3" xfId="0" applyFont="1" applyBorder="1" applyAlignment="1">
      <alignment horizontal="left"/>
    </xf>
    <xf numFmtId="0" fontId="12" fillId="0" borderId="0" xfId="0" applyFont="1" applyAlignment="1">
      <alignment horizontal="left"/>
    </xf>
    <xf numFmtId="37" fontId="0" fillId="0" borderId="3" xfId="0" applyNumberFormat="1" applyBorder="1" applyAlignment="1">
      <alignment horizontal="right"/>
    </xf>
    <xf numFmtId="166" fontId="23" fillId="6" borderId="11" xfId="6" applyNumberFormat="1" applyFont="1" applyFill="1" applyBorder="1" applyAlignment="1">
      <alignment horizontal="right"/>
    </xf>
    <xf numFmtId="173" fontId="23" fillId="0" borderId="3" xfId="6" applyNumberFormat="1" applyFont="1" applyBorder="1" applyAlignment="1"/>
    <xf numFmtId="0" fontId="12" fillId="0" borderId="5" xfId="0" applyFont="1" applyBorder="1" applyAlignment="1">
      <alignment horizontal="right"/>
    </xf>
    <xf numFmtId="0" fontId="12" fillId="8" borderId="0" xfId="0" applyFont="1" applyFill="1"/>
    <xf numFmtId="0" fontId="0" fillId="8" borderId="0" xfId="0" applyFill="1"/>
    <xf numFmtId="0" fontId="12" fillId="6" borderId="13" xfId="0" applyFont="1" applyFill="1" applyBorder="1"/>
    <xf numFmtId="0" fontId="12" fillId="6" borderId="8" xfId="0" applyFont="1" applyFill="1" applyBorder="1"/>
    <xf numFmtId="37" fontId="12" fillId="6" borderId="8" xfId="0" applyNumberFormat="1" applyFont="1" applyFill="1" applyBorder="1"/>
    <xf numFmtId="166" fontId="0" fillId="0" borderId="0" xfId="0" applyNumberFormat="1"/>
    <xf numFmtId="166" fontId="12" fillId="0" borderId="3" xfId="0" applyNumberFormat="1" applyFont="1" applyBorder="1"/>
    <xf numFmtId="166" fontId="12" fillId="6" borderId="8" xfId="0" applyNumberFormat="1" applyFont="1" applyFill="1" applyBorder="1"/>
    <xf numFmtId="0" fontId="12" fillId="0" borderId="0" xfId="0" applyFont="1" applyFill="1" applyBorder="1"/>
    <xf numFmtId="37" fontId="12" fillId="0" borderId="0" xfId="0" applyNumberFormat="1" applyFont="1" applyFill="1" applyBorder="1"/>
    <xf numFmtId="167" fontId="21" fillId="0" borderId="3" xfId="0" applyNumberFormat="1" applyFont="1" applyBorder="1" applyAlignment="1">
      <alignment horizontal="center"/>
    </xf>
    <xf numFmtId="0" fontId="0" fillId="0" borderId="4" xfId="0" applyBorder="1"/>
    <xf numFmtId="166" fontId="0" fillId="0" borderId="4" xfId="0" applyNumberFormat="1" applyBorder="1"/>
    <xf numFmtId="37" fontId="0" fillId="0" borderId="4" xfId="0" applyNumberFormat="1" applyBorder="1" applyAlignment="1">
      <alignment horizontal="center"/>
    </xf>
    <xf numFmtId="37" fontId="0" fillId="0" borderId="4" xfId="0" applyNumberFormat="1" applyBorder="1"/>
    <xf numFmtId="37" fontId="25" fillId="0" borderId="4" xfId="0" applyNumberFormat="1" applyFont="1" applyBorder="1" applyAlignment="1">
      <alignment horizontal="center"/>
    </xf>
    <xf numFmtId="167" fontId="0" fillId="6" borderId="8" xfId="0" applyNumberFormat="1" applyFont="1" applyFill="1" applyBorder="1" applyAlignment="1">
      <alignment horizontal="center"/>
    </xf>
    <xf numFmtId="10" fontId="12" fillId="6" borderId="8" xfId="0" applyNumberFormat="1" applyFont="1" applyFill="1" applyBorder="1" applyAlignment="1">
      <alignment horizontal="center"/>
    </xf>
    <xf numFmtId="173" fontId="24" fillId="0" borderId="12" xfId="0" applyNumberFormat="1" applyFont="1" applyBorder="1"/>
    <xf numFmtId="173" fontId="22" fillId="0" borderId="12" xfId="0" applyNumberFormat="1" applyFont="1" applyBorder="1"/>
    <xf numFmtId="167" fontId="0" fillId="5" borderId="0" xfId="0" applyNumberFormat="1" applyFill="1" applyAlignment="1">
      <alignment horizontal="center"/>
    </xf>
    <xf numFmtId="167" fontId="0" fillId="5" borderId="0" xfId="0" applyNumberFormat="1" applyFill="1" applyBorder="1"/>
    <xf numFmtId="167" fontId="9" fillId="0" borderId="0" xfId="0" applyNumberFormat="1" applyFont="1" applyAlignment="1" applyProtection="1">
      <alignment horizontal="center"/>
    </xf>
    <xf numFmtId="166" fontId="5" fillId="0" borderId="0" xfId="0" applyNumberFormat="1" applyFont="1" applyAlignment="1" applyProtection="1">
      <alignment horizontal="center"/>
    </xf>
    <xf numFmtId="168" fontId="5" fillId="0" borderId="0" xfId="0" applyNumberFormat="1" applyFont="1" applyAlignment="1" applyProtection="1">
      <alignment horizontal="center"/>
    </xf>
    <xf numFmtId="2" fontId="0" fillId="0" borderId="0" xfId="0" applyNumberFormat="1" applyAlignment="1" applyProtection="1">
      <alignment horizontal="center"/>
      <protection locked="0"/>
    </xf>
    <xf numFmtId="3" fontId="5" fillId="4" borderId="0" xfId="0" applyNumberFormat="1" applyFont="1" applyFill="1" applyAlignment="1" applyProtection="1">
      <alignment horizontal="center"/>
    </xf>
    <xf numFmtId="166" fontId="5" fillId="4" borderId="0" xfId="0" applyNumberFormat="1" applyFont="1" applyFill="1" applyAlignment="1" applyProtection="1">
      <alignment horizontal="center"/>
    </xf>
    <xf numFmtId="168" fontId="5" fillId="4" borderId="0" xfId="0" applyNumberFormat="1" applyFont="1" applyFill="1" applyAlignment="1" applyProtection="1">
      <alignment horizontal="center"/>
    </xf>
    <xf numFmtId="167" fontId="6" fillId="0" borderId="0" xfId="0" applyNumberFormat="1" applyFont="1" applyFill="1" applyAlignment="1" applyProtection="1">
      <alignment horizontal="center"/>
    </xf>
    <xf numFmtId="0" fontId="3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17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37" fontId="0" fillId="0" borderId="0" xfId="0" applyNumberFormat="1" applyAlignment="1">
      <alignment horizontal="center"/>
    </xf>
    <xf numFmtId="166" fontId="0" fillId="0" borderId="0" xfId="6" applyNumberFormat="1" applyFont="1" applyAlignment="1">
      <alignment horizontal="center"/>
    </xf>
    <xf numFmtId="37" fontId="12" fillId="6" borderId="8" xfId="0" applyNumberFormat="1" applyFont="1" applyFill="1" applyBorder="1" applyAlignment="1">
      <alignment horizontal="center"/>
    </xf>
    <xf numFmtId="167" fontId="12" fillId="6" borderId="8" xfId="0" applyNumberFormat="1" applyFont="1" applyFill="1" applyBorder="1" applyAlignment="1">
      <alignment horizontal="center"/>
    </xf>
    <xf numFmtId="10" fontId="12" fillId="6" borderId="7" xfId="6" applyNumberFormat="1" applyFont="1" applyFill="1" applyBorder="1" applyAlignment="1">
      <alignment horizontal="center"/>
    </xf>
    <xf numFmtId="167" fontId="12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28" fillId="0" borderId="3" xfId="0" applyFont="1" applyBorder="1"/>
    <xf numFmtId="10" fontId="1" fillId="0" borderId="3" xfId="0" applyNumberFormat="1" applyFont="1" applyBorder="1" applyAlignment="1">
      <alignment horizontal="center"/>
    </xf>
    <xf numFmtId="10" fontId="1" fillId="0" borderId="3" xfId="0" applyNumberFormat="1" applyFont="1" applyBorder="1" applyAlignment="1"/>
    <xf numFmtId="0" fontId="28" fillId="0" borderId="2" xfId="0" applyFont="1" applyFill="1" applyBorder="1"/>
    <xf numFmtId="10" fontId="8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/>
    <xf numFmtId="10" fontId="0" fillId="0" borderId="0" xfId="0" applyNumberFormat="1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170" fontId="0" fillId="0" borderId="0" xfId="0" applyNumberFormat="1" applyFont="1" applyAlignment="1"/>
    <xf numFmtId="1" fontId="0" fillId="0" borderId="0" xfId="0" applyNumberFormat="1" applyFont="1" applyAlignment="1"/>
    <xf numFmtId="9" fontId="0" fillId="0" borderId="0" xfId="0" applyNumberFormat="1" applyFont="1" applyAlignment="1"/>
    <xf numFmtId="166" fontId="0" fillId="0" borderId="0" xfId="0" applyNumberFormat="1" applyFont="1" applyAlignment="1"/>
    <xf numFmtId="166" fontId="0" fillId="0" borderId="0" xfId="0" applyNumberFormat="1" applyFont="1" applyFill="1" applyAlignment="1"/>
    <xf numFmtId="166" fontId="0" fillId="0" borderId="0" xfId="0" applyNumberFormat="1" applyFont="1" applyBorder="1" applyAlignment="1"/>
    <xf numFmtId="0" fontId="28" fillId="0" borderId="2" xfId="0" applyFont="1" applyBorder="1"/>
    <xf numFmtId="166" fontId="29" fillId="0" borderId="0" xfId="6" applyNumberFormat="1" applyFont="1" applyFill="1" applyAlignment="1"/>
    <xf numFmtId="166" fontId="7" fillId="0" borderId="0" xfId="0" applyNumberFormat="1" applyFont="1"/>
    <xf numFmtId="166" fontId="7" fillId="0" borderId="0" xfId="0" applyNumberFormat="1" applyFont="1" applyFill="1" applyBorder="1"/>
    <xf numFmtId="0" fontId="7" fillId="0" borderId="0" xfId="0" applyFont="1"/>
    <xf numFmtId="0" fontId="7" fillId="0" borderId="0" xfId="0" applyFont="1" applyBorder="1"/>
    <xf numFmtId="9" fontId="7" fillId="0" borderId="0" xfId="0" applyNumberFormat="1" applyFont="1"/>
    <xf numFmtId="10" fontId="7" fillId="0" borderId="0" xfId="0" applyNumberFormat="1" applyFont="1"/>
    <xf numFmtId="0" fontId="30" fillId="3" borderId="0" xfId="0" applyFont="1" applyFill="1"/>
    <xf numFmtId="0" fontId="4" fillId="3" borderId="0" xfId="0" applyFont="1" applyFill="1" applyBorder="1"/>
    <xf numFmtId="0" fontId="31" fillId="0" borderId="0" xfId="0" applyFont="1"/>
    <xf numFmtId="0" fontId="0" fillId="0" borderId="0" xfId="0" applyFont="1" applyBorder="1"/>
    <xf numFmtId="10" fontId="32" fillId="0" borderId="0" xfId="0" applyNumberFormat="1" applyFont="1" applyAlignment="1">
      <alignment horizontal="center"/>
    </xf>
    <xf numFmtId="10" fontId="32" fillId="0" borderId="0" xfId="0" applyNumberFormat="1" applyFont="1" applyBorder="1" applyAlignment="1">
      <alignment horizontal="center"/>
    </xf>
    <xf numFmtId="0" fontId="32" fillId="0" borderId="0" xfId="0" applyFont="1" applyAlignment="1">
      <alignment horizontal="center"/>
    </xf>
    <xf numFmtId="170" fontId="32" fillId="0" borderId="0" xfId="0" applyNumberFormat="1" applyFont="1" applyAlignment="1">
      <alignment horizontal="center"/>
    </xf>
    <xf numFmtId="10" fontId="32" fillId="0" borderId="0" xfId="0" applyNumberFormat="1" applyFont="1" applyFill="1" applyAlignment="1">
      <alignment horizontal="center"/>
    </xf>
    <xf numFmtId="1" fontId="32" fillId="0" borderId="0" xfId="0" applyNumberFormat="1" applyFont="1" applyAlignment="1">
      <alignment horizontal="center"/>
    </xf>
    <xf numFmtId="9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32" fillId="0" borderId="0" xfId="0" applyNumberFormat="1" applyFont="1" applyFill="1" applyAlignment="1">
      <alignment horizontal="center"/>
    </xf>
    <xf numFmtId="0" fontId="32" fillId="0" borderId="0" xfId="0" applyFont="1" applyBorder="1" applyAlignment="1">
      <alignment horizontal="center"/>
    </xf>
    <xf numFmtId="166" fontId="32" fillId="0" borderId="0" xfId="0" applyNumberFormat="1" applyFont="1" applyBorder="1" applyAlignment="1">
      <alignment horizontal="center"/>
    </xf>
    <xf numFmtId="171" fontId="0" fillId="0" borderId="0" xfId="0" applyNumberFormat="1"/>
    <xf numFmtId="10" fontId="0" fillId="0" borderId="0" xfId="0" applyNumberFormat="1" applyFill="1" applyAlignment="1">
      <alignment horizontal="center"/>
    </xf>
    <xf numFmtId="0" fontId="13" fillId="0" borderId="0" xfId="7"/>
    <xf numFmtId="0" fontId="13" fillId="0" borderId="15" xfId="7" applyBorder="1"/>
    <xf numFmtId="0" fontId="13" fillId="0" borderId="16" xfId="7" applyBorder="1"/>
    <xf numFmtId="0" fontId="13" fillId="0" borderId="17" xfId="7" applyBorder="1"/>
    <xf numFmtId="0" fontId="13" fillId="0" borderId="18" xfId="7" applyBorder="1"/>
    <xf numFmtId="0" fontId="12" fillId="0" borderId="0" xfId="7" applyFont="1"/>
    <xf numFmtId="167" fontId="13" fillId="0" borderId="0" xfId="7" applyNumberFormat="1"/>
    <xf numFmtId="0" fontId="13" fillId="0" borderId="0" xfId="7" applyAlignment="1">
      <alignment horizontal="center"/>
    </xf>
    <xf numFmtId="14" fontId="13" fillId="0" borderId="0" xfId="7" applyNumberFormat="1" applyAlignment="1">
      <alignment horizontal="right"/>
    </xf>
    <xf numFmtId="0" fontId="13" fillId="0" borderId="19" xfId="7" applyBorder="1"/>
    <xf numFmtId="0" fontId="13" fillId="0" borderId="3" xfId="7" applyBorder="1"/>
    <xf numFmtId="3" fontId="13" fillId="0" borderId="3" xfId="7" applyNumberFormat="1" applyBorder="1" applyAlignment="1">
      <alignment horizontal="left"/>
    </xf>
    <xf numFmtId="169" fontId="0" fillId="0" borderId="3" xfId="8" applyNumberFormat="1" applyFont="1" applyBorder="1"/>
    <xf numFmtId="0" fontId="13" fillId="0" borderId="0" xfId="7" applyAlignment="1">
      <alignment horizontal="left"/>
    </xf>
    <xf numFmtId="169" fontId="0" fillId="0" borderId="0" xfId="8" applyNumberFormat="1" applyFont="1" applyAlignment="1">
      <alignment horizontal="right"/>
    </xf>
    <xf numFmtId="169" fontId="0" fillId="0" borderId="0" xfId="8" applyNumberFormat="1" applyFont="1"/>
    <xf numFmtId="2" fontId="13" fillId="0" borderId="0" xfId="7" applyNumberFormat="1"/>
    <xf numFmtId="16" fontId="13" fillId="0" borderId="0" xfId="7" applyNumberFormat="1" applyAlignment="1">
      <alignment horizontal="right"/>
    </xf>
    <xf numFmtId="37" fontId="13" fillId="0" borderId="0" xfId="7" applyNumberFormat="1"/>
    <xf numFmtId="0" fontId="33" fillId="0" borderId="0" xfId="7" applyFont="1"/>
    <xf numFmtId="0" fontId="33" fillId="0" borderId="0" xfId="7" applyFont="1" applyAlignment="1">
      <alignment horizontal="right"/>
    </xf>
    <xf numFmtId="169" fontId="33" fillId="0" borderId="0" xfId="8" applyNumberFormat="1" applyFont="1"/>
    <xf numFmtId="169" fontId="34" fillId="0" borderId="0" xfId="7" applyNumberFormat="1" applyFont="1"/>
    <xf numFmtId="169" fontId="13" fillId="0" borderId="0" xfId="7" applyNumberFormat="1"/>
    <xf numFmtId="166" fontId="13" fillId="0" borderId="0" xfId="7" applyNumberFormat="1" applyAlignment="1">
      <alignment horizontal="right"/>
    </xf>
    <xf numFmtId="0" fontId="12" fillId="0" borderId="0" xfId="7" applyFont="1" applyAlignment="1">
      <alignment horizontal="centerContinuous"/>
    </xf>
    <xf numFmtId="0" fontId="13" fillId="0" borderId="0" xfId="7" applyAlignment="1">
      <alignment horizontal="centerContinuous"/>
    </xf>
    <xf numFmtId="166" fontId="0" fillId="0" borderId="0" xfId="9" applyNumberFormat="1" applyFont="1"/>
    <xf numFmtId="168" fontId="13" fillId="0" borderId="0" xfId="7" applyNumberFormat="1"/>
    <xf numFmtId="0" fontId="13" fillId="0" borderId="20" xfId="7" applyBorder="1"/>
    <xf numFmtId="0" fontId="13" fillId="0" borderId="21" xfId="7" applyBorder="1"/>
    <xf numFmtId="0" fontId="13" fillId="0" borderId="22" xfId="7" applyBorder="1"/>
    <xf numFmtId="171" fontId="3" fillId="3" borderId="0" xfId="0" applyNumberFormat="1" applyFont="1" applyFill="1"/>
    <xf numFmtId="171" fontId="3" fillId="3" borderId="0" xfId="0" applyNumberFormat="1" applyFont="1" applyFill="1" applyAlignment="1">
      <alignment horizontal="center"/>
    </xf>
    <xf numFmtId="179" fontId="0" fillId="3" borderId="0" xfId="0" applyNumberFormat="1" applyFill="1" applyAlignment="1"/>
    <xf numFmtId="179" fontId="19" fillId="3" borderId="0" xfId="0" applyNumberFormat="1" applyFont="1" applyFill="1" applyAlignment="1"/>
    <xf numFmtId="179" fontId="0" fillId="0" borderId="0" xfId="0" applyNumberFormat="1" applyAlignment="1"/>
    <xf numFmtId="179" fontId="3" fillId="3" borderId="0" xfId="0" applyNumberFormat="1" applyFont="1" applyFill="1" applyAlignment="1">
      <alignment wrapText="1"/>
    </xf>
    <xf numFmtId="179" fontId="3" fillId="3" borderId="0" xfId="0" applyNumberFormat="1" applyFont="1" applyFill="1" applyAlignment="1"/>
    <xf numFmtId="171" fontId="0" fillId="3" borderId="0" xfId="0" applyNumberFormat="1" applyFill="1" applyAlignment="1">
      <alignment horizontal="center"/>
    </xf>
    <xf numFmtId="0" fontId="30" fillId="3" borderId="0" xfId="0" applyFont="1" applyFill="1" applyAlignment="1">
      <alignment horizontal="center"/>
    </xf>
    <xf numFmtId="0" fontId="27" fillId="0" borderId="0" xfId="7" applyFont="1" applyFill="1"/>
    <xf numFmtId="0" fontId="26" fillId="0" borderId="0" xfId="7" applyFont="1" applyFill="1"/>
    <xf numFmtId="170" fontId="0" fillId="0" borderId="0" xfId="0" applyNumberFormat="1"/>
    <xf numFmtId="0" fontId="27" fillId="3" borderId="0" xfId="7" applyFont="1" applyFill="1"/>
    <xf numFmtId="0" fontId="26" fillId="3" borderId="0" xfId="7" applyFont="1" applyFill="1"/>
    <xf numFmtId="0" fontId="27" fillId="3" borderId="0" xfId="7" applyFont="1" applyFill="1" applyAlignment="1">
      <alignment horizontal="left"/>
    </xf>
    <xf numFmtId="0" fontId="27" fillId="3" borderId="0" xfId="7" applyFont="1" applyFill="1" applyAlignment="1">
      <alignment horizontal="center" vertical="center"/>
    </xf>
    <xf numFmtId="0" fontId="27" fillId="3" borderId="0" xfId="7" applyFont="1" applyFill="1" applyAlignment="1">
      <alignment horizontal="centerContinuous"/>
    </xf>
    <xf numFmtId="0" fontId="13" fillId="3" borderId="0" xfId="7" applyFill="1" applyAlignment="1">
      <alignment horizontal="centerContinuous"/>
    </xf>
    <xf numFmtId="0" fontId="36" fillId="3" borderId="0" xfId="4" applyFont="1" applyFill="1">
      <alignment vertical="center"/>
    </xf>
    <xf numFmtId="169" fontId="36" fillId="3" borderId="0" xfId="4" applyNumberFormat="1" applyFont="1" applyFill="1">
      <alignment vertical="center"/>
    </xf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5" fillId="14" borderId="0" xfId="0" applyFont="1" applyFill="1"/>
    <xf numFmtId="167" fontId="7" fillId="4" borderId="0" xfId="0" applyNumberFormat="1" applyFont="1" applyFill="1" applyBorder="1"/>
    <xf numFmtId="10" fontId="0" fillId="0" borderId="0" xfId="0" applyNumberFormat="1"/>
    <xf numFmtId="9" fontId="1" fillId="0" borderId="0" xfId="0" applyNumberFormat="1" applyFont="1" applyFill="1" applyBorder="1" applyAlignment="1">
      <alignment horizontal="center"/>
    </xf>
    <xf numFmtId="180" fontId="1" fillId="0" borderId="0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7" applyFont="1"/>
    <xf numFmtId="0" fontId="0" fillId="0" borderId="0" xfId="7" applyFont="1"/>
    <xf numFmtId="2" fontId="0" fillId="0" borderId="0" xfId="0" applyNumberFormat="1" applyAlignment="1" applyProtection="1">
      <alignment horizontal="center"/>
    </xf>
    <xf numFmtId="166" fontId="14" fillId="0" borderId="9" xfId="6" applyNumberFormat="1" applyFont="1" applyBorder="1" applyAlignment="1">
      <alignment horizontal="center"/>
    </xf>
    <xf numFmtId="167" fontId="14" fillId="0" borderId="9" xfId="0" applyNumberFormat="1" applyFont="1" applyBorder="1" applyAlignment="1">
      <alignment horizontal="center"/>
    </xf>
    <xf numFmtId="167" fontId="14" fillId="0" borderId="3" xfId="0" applyNumberFormat="1" applyFont="1" applyBorder="1" applyAlignment="1">
      <alignment horizontal="center"/>
    </xf>
    <xf numFmtId="167" fontId="24" fillId="0" borderId="14" xfId="0" applyNumberFormat="1" applyFont="1" applyBorder="1" applyAlignment="1">
      <alignment horizontal="center"/>
    </xf>
    <xf numFmtId="167" fontId="12" fillId="0" borderId="14" xfId="0" applyNumberFormat="1" applyFont="1" applyBorder="1" applyAlignment="1">
      <alignment horizontal="center"/>
    </xf>
    <xf numFmtId="166" fontId="24" fillId="0" borderId="14" xfId="6" applyNumberFormat="1" applyFont="1" applyBorder="1" applyAlignment="1">
      <alignment horizontal="center"/>
    </xf>
    <xf numFmtId="166" fontId="12" fillId="0" borderId="14" xfId="6" applyNumberFormat="1" applyFont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168" fontId="5" fillId="15" borderId="0" xfId="0" applyNumberFormat="1" applyFont="1" applyFill="1" applyProtection="1"/>
    <xf numFmtId="0" fontId="1" fillId="3" borderId="4" xfId="0" applyFont="1" applyFill="1" applyBorder="1" applyAlignment="1">
      <alignment horizontal="center"/>
    </xf>
    <xf numFmtId="9" fontId="0" fillId="0" borderId="0" xfId="0" applyNumberFormat="1"/>
    <xf numFmtId="14" fontId="7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2" fillId="0" borderId="3" xfId="0" applyFont="1" applyFill="1" applyBorder="1"/>
    <xf numFmtId="37" fontId="12" fillId="0" borderId="3" xfId="0" applyNumberFormat="1" applyFont="1" applyFill="1" applyBorder="1"/>
    <xf numFmtId="0" fontId="12" fillId="7" borderId="23" xfId="0" applyFont="1" applyFill="1" applyBorder="1"/>
    <xf numFmtId="0" fontId="0" fillId="7" borderId="24" xfId="0" applyFill="1" applyBorder="1"/>
    <xf numFmtId="37" fontId="0" fillId="7" borderId="24" xfId="0" applyNumberFormat="1" applyFill="1" applyBorder="1"/>
    <xf numFmtId="37" fontId="0" fillId="7" borderId="25" xfId="0" applyNumberFormat="1" applyFill="1" applyBorder="1"/>
    <xf numFmtId="0" fontId="0" fillId="7" borderId="26" xfId="0" applyFill="1" applyBorder="1"/>
    <xf numFmtId="37" fontId="0" fillId="7" borderId="0" xfId="0" applyNumberFormat="1" applyFill="1" applyBorder="1"/>
    <xf numFmtId="37" fontId="0" fillId="7" borderId="6" xfId="0" applyNumberFormat="1" applyFill="1" applyBorder="1"/>
    <xf numFmtId="167" fontId="0" fillId="7" borderId="0" xfId="0" applyNumberFormat="1" applyFont="1" applyFill="1" applyBorder="1"/>
    <xf numFmtId="167" fontId="0" fillId="7" borderId="6" xfId="0" applyNumberFormat="1" applyFont="1" applyFill="1" applyBorder="1"/>
    <xf numFmtId="0" fontId="12" fillId="7" borderId="27" xfId="0" applyFont="1" applyFill="1" applyBorder="1"/>
    <xf numFmtId="37" fontId="12" fillId="7" borderId="3" xfId="0" applyNumberFormat="1" applyFont="1" applyFill="1" applyBorder="1"/>
    <xf numFmtId="37" fontId="12" fillId="7" borderId="28" xfId="0" applyNumberFormat="1" applyFont="1" applyFill="1" applyBorder="1"/>
    <xf numFmtId="0" fontId="12" fillId="7" borderId="29" xfId="0" applyFont="1" applyFill="1" applyBorder="1"/>
    <xf numFmtId="37" fontId="12" fillId="7" borderId="30" xfId="0" applyNumberFormat="1" applyFont="1" applyFill="1" applyBorder="1"/>
    <xf numFmtId="37" fontId="12" fillId="7" borderId="31" xfId="0" applyNumberFormat="1" applyFont="1" applyFill="1" applyBorder="1"/>
    <xf numFmtId="3" fontId="0" fillId="0" borderId="2" xfId="0" applyNumberFormat="1" applyFont="1" applyBorder="1" applyAlignment="1">
      <alignment horizontal="center"/>
    </xf>
    <xf numFmtId="171" fontId="1" fillId="0" borderId="3" xfId="0" applyNumberFormat="1" applyFont="1" applyBorder="1" applyAlignment="1">
      <alignment horizontal="center"/>
    </xf>
    <xf numFmtId="0" fontId="13" fillId="0" borderId="0" xfId="7" applyBorder="1"/>
    <xf numFmtId="169" fontId="0" fillId="0" borderId="0" xfId="8" applyNumberFormat="1" applyFont="1" applyBorder="1"/>
    <xf numFmtId="169" fontId="14" fillId="0" borderId="0" xfId="8" applyNumberFormat="1" applyFont="1" applyBorder="1"/>
    <xf numFmtId="0" fontId="12" fillId="3" borderId="3" xfId="0" applyFont="1" applyFill="1" applyBorder="1"/>
    <xf numFmtId="37" fontId="12" fillId="3" borderId="3" xfId="0" applyNumberFormat="1" applyFont="1" applyFill="1" applyBorder="1"/>
    <xf numFmtId="37" fontId="12" fillId="0" borderId="0" xfId="0" applyNumberFormat="1" applyFont="1" applyAlignment="1">
      <alignment horizontal="center"/>
    </xf>
    <xf numFmtId="2" fontId="0" fillId="0" borderId="13" xfId="0" applyNumberFormat="1" applyBorder="1" applyProtection="1">
      <protection locked="0"/>
    </xf>
    <xf numFmtId="2" fontId="0" fillId="0" borderId="7" xfId="0" applyNumberFormat="1" applyBorder="1" applyProtection="1"/>
    <xf numFmtId="0" fontId="40" fillId="0" borderId="0" xfId="10" applyFont="1"/>
    <xf numFmtId="1" fontId="41" fillId="6" borderId="34" xfId="10" applyNumberFormat="1" applyFont="1" applyFill="1" applyBorder="1" applyAlignment="1">
      <alignment horizontal="center"/>
    </xf>
    <xf numFmtId="0" fontId="40" fillId="0" borderId="0" xfId="10" applyFont="1" applyAlignment="1">
      <alignment horizontal="right"/>
    </xf>
    <xf numFmtId="0" fontId="42" fillId="0" borderId="0" xfId="10" applyFont="1"/>
    <xf numFmtId="14" fontId="43" fillId="6" borderId="35" xfId="10" applyNumberFormat="1" applyFont="1" applyFill="1" applyBorder="1" applyAlignment="1">
      <alignment horizontal="center"/>
    </xf>
    <xf numFmtId="0" fontId="44" fillId="0" borderId="0" xfId="10" applyFont="1"/>
    <xf numFmtId="0" fontId="45" fillId="0" borderId="0" xfId="10" applyFont="1"/>
    <xf numFmtId="0" fontId="46" fillId="0" borderId="0" xfId="10" applyFont="1"/>
    <xf numFmtId="183" fontId="47" fillId="0" borderId="0" xfId="11" applyNumberFormat="1" applyFont="1"/>
    <xf numFmtId="0" fontId="48" fillId="0" borderId="0" xfId="10" applyFont="1"/>
    <xf numFmtId="0" fontId="49" fillId="0" borderId="0" xfId="10" applyFont="1"/>
    <xf numFmtId="0" fontId="53" fillId="3" borderId="0" xfId="10" applyFont="1" applyFill="1" applyAlignment="1">
      <alignment vertical="center"/>
    </xf>
    <xf numFmtId="0" fontId="53" fillId="3" borderId="0" xfId="10" applyFont="1" applyFill="1"/>
    <xf numFmtId="0" fontId="54" fillId="3" borderId="0" xfId="10" applyFont="1" applyFill="1"/>
    <xf numFmtId="0" fontId="50" fillId="3" borderId="0" xfId="10" applyFont="1" applyFill="1"/>
    <xf numFmtId="0" fontId="51" fillId="3" borderId="0" xfId="10" applyFont="1" applyFill="1"/>
    <xf numFmtId="0" fontId="55" fillId="0" borderId="0" xfId="10" applyFont="1"/>
    <xf numFmtId="184" fontId="56" fillId="0" borderId="0" xfId="10" applyNumberFormat="1" applyFont="1"/>
    <xf numFmtId="37" fontId="49" fillId="0" borderId="0" xfId="10" applyNumberFormat="1" applyFont="1"/>
    <xf numFmtId="180" fontId="49" fillId="0" borderId="0" xfId="13" applyNumberFormat="1" applyFont="1"/>
    <xf numFmtId="166" fontId="43" fillId="0" borderId="0" xfId="10" applyNumberFormat="1" applyFont="1" applyAlignment="1">
      <alignment horizontal="right"/>
    </xf>
    <xf numFmtId="0" fontId="40" fillId="0" borderId="5" xfId="10" applyFont="1" applyBorder="1" applyAlignment="1">
      <alignment horizontal="left"/>
    </xf>
    <xf numFmtId="0" fontId="40" fillId="0" borderId="5" xfId="10" applyFont="1" applyBorder="1"/>
    <xf numFmtId="0" fontId="40" fillId="0" borderId="5" xfId="10" applyFont="1" applyBorder="1" applyAlignment="1">
      <alignment horizontal="right"/>
    </xf>
    <xf numFmtId="166" fontId="49" fillId="0" borderId="0" xfId="10" applyNumberFormat="1" applyFont="1"/>
    <xf numFmtId="166" fontId="56" fillId="0" borderId="0" xfId="10" applyNumberFormat="1" applyFont="1" applyAlignment="1">
      <alignment horizontal="right"/>
    </xf>
    <xf numFmtId="0" fontId="42" fillId="0" borderId="0" xfId="14" applyNumberFormat="1" applyFont="1"/>
    <xf numFmtId="0" fontId="42" fillId="0" borderId="0" xfId="10" applyFont="1" applyAlignment="1">
      <alignment horizontal="left"/>
    </xf>
    <xf numFmtId="185" fontId="56" fillId="0" borderId="0" xfId="10" applyNumberFormat="1" applyFont="1" applyAlignment="1">
      <alignment horizontal="right"/>
    </xf>
    <xf numFmtId="186" fontId="56" fillId="0" borderId="0" xfId="10" applyNumberFormat="1" applyFont="1" applyAlignment="1">
      <alignment horizontal="right"/>
    </xf>
    <xf numFmtId="187" fontId="56" fillId="0" borderId="0" xfId="10" applyNumberFormat="1" applyFont="1" applyAlignment="1">
      <alignment horizontal="right"/>
    </xf>
    <xf numFmtId="166" fontId="42" fillId="0" borderId="0" xfId="13" applyNumberFormat="1" applyFont="1" applyAlignment="1">
      <alignment horizontal="right"/>
    </xf>
    <xf numFmtId="186" fontId="42" fillId="0" borderId="0" xfId="10" applyNumberFormat="1" applyFont="1" applyAlignment="1">
      <alignment horizontal="right"/>
    </xf>
    <xf numFmtId="0" fontId="54" fillId="0" borderId="0" xfId="10" applyFont="1" applyAlignment="1">
      <alignment horizontal="left"/>
    </xf>
    <xf numFmtId="0" fontId="45" fillId="0" borderId="0" xfId="10" applyFont="1" applyAlignment="1">
      <alignment horizontal="right"/>
    </xf>
    <xf numFmtId="14" fontId="49" fillId="0" borderId="0" xfId="10" applyNumberFormat="1" applyFont="1" applyAlignment="1">
      <alignment horizontal="right"/>
    </xf>
    <xf numFmtId="0" fontId="49" fillId="0" borderId="0" xfId="10" applyFont="1" applyAlignment="1">
      <alignment horizontal="right"/>
    </xf>
    <xf numFmtId="14" fontId="49" fillId="0" borderId="0" xfId="10" applyNumberFormat="1" applyFont="1"/>
    <xf numFmtId="0" fontId="49" fillId="0" borderId="0" xfId="10" applyFont="1" applyAlignment="1">
      <alignment horizontal="left"/>
    </xf>
    <xf numFmtId="166" fontId="49" fillId="0" borderId="0" xfId="10" applyNumberFormat="1" applyFont="1" applyAlignment="1">
      <alignment horizontal="right"/>
    </xf>
    <xf numFmtId="166" fontId="42" fillId="0" borderId="0" xfId="10" applyNumberFormat="1" applyFont="1" applyAlignment="1">
      <alignment horizontal="right"/>
    </xf>
    <xf numFmtId="14" fontId="56" fillId="0" borderId="0" xfId="10" applyNumberFormat="1" applyFont="1" applyAlignment="1">
      <alignment horizontal="right"/>
    </xf>
    <xf numFmtId="14" fontId="56" fillId="0" borderId="0" xfId="10" applyNumberFormat="1" applyFont="1"/>
    <xf numFmtId="0" fontId="49" fillId="0" borderId="0" xfId="15" applyFont="1" applyAlignment="1">
      <alignment horizontal="center"/>
    </xf>
    <xf numFmtId="0" fontId="57" fillId="0" borderId="0" xfId="10" applyFont="1"/>
    <xf numFmtId="166" fontId="40" fillId="6" borderId="34" xfId="10" applyNumberFormat="1" applyFont="1" applyFill="1" applyBorder="1" applyAlignment="1">
      <alignment horizontal="right"/>
    </xf>
    <xf numFmtId="169" fontId="41" fillId="0" borderId="0" xfId="14" applyNumberFormat="1" applyFont="1"/>
    <xf numFmtId="186" fontId="55" fillId="0" borderId="0" xfId="10" applyNumberFormat="1" applyFont="1"/>
    <xf numFmtId="187" fontId="55" fillId="0" borderId="0" xfId="10" applyNumberFormat="1" applyFont="1"/>
    <xf numFmtId="166" fontId="42" fillId="0" borderId="0" xfId="13" applyNumberFormat="1" applyFont="1"/>
    <xf numFmtId="186" fontId="42" fillId="0" borderId="0" xfId="10" applyNumberFormat="1" applyFont="1"/>
    <xf numFmtId="188" fontId="42" fillId="0" borderId="0" xfId="10" applyNumberFormat="1" applyFont="1"/>
    <xf numFmtId="0" fontId="42" fillId="0" borderId="0" xfId="10" applyFont="1" applyAlignment="1">
      <alignment horizontal="left" indent="1"/>
    </xf>
    <xf numFmtId="0" fontId="40" fillId="0" borderId="3" xfId="10" applyFont="1" applyBorder="1"/>
    <xf numFmtId="0" fontId="42" fillId="0" borderId="3" xfId="10" applyFont="1" applyBorder="1"/>
    <xf numFmtId="186" fontId="40" fillId="0" borderId="3" xfId="16" applyNumberFormat="1" applyFont="1" applyBorder="1"/>
    <xf numFmtId="166" fontId="40" fillId="0" borderId="3" xfId="13" applyNumberFormat="1" applyFont="1" applyBorder="1"/>
    <xf numFmtId="186" fontId="40" fillId="0" borderId="3" xfId="10" applyNumberFormat="1" applyFont="1" applyBorder="1"/>
    <xf numFmtId="0" fontId="58" fillId="0" borderId="0" xfId="10" applyFont="1" applyAlignment="1">
      <alignment horizontal="center"/>
    </xf>
    <xf numFmtId="1" fontId="50" fillId="16" borderId="34" xfId="10" applyNumberFormat="1" applyFont="1" applyFill="1" applyBorder="1" applyAlignment="1">
      <alignment horizontal="center"/>
    </xf>
    <xf numFmtId="0" fontId="42" fillId="0" borderId="5" xfId="10" applyFont="1" applyBorder="1"/>
    <xf numFmtId="166" fontId="43" fillId="0" borderId="5" xfId="10" applyNumberFormat="1" applyFont="1" applyBorder="1" applyAlignment="1">
      <alignment horizontal="right"/>
    </xf>
    <xf numFmtId="166" fontId="42" fillId="0" borderId="0" xfId="10" applyNumberFormat="1" applyFont="1"/>
    <xf numFmtId="186" fontId="56" fillId="0" borderId="0" xfId="10" applyNumberFormat="1" applyFont="1"/>
    <xf numFmtId="0" fontId="48" fillId="0" borderId="0" xfId="10" applyFont="1" applyAlignment="1">
      <alignment horizontal="left"/>
    </xf>
    <xf numFmtId="37" fontId="60" fillId="0" borderId="3" xfId="10" applyNumberFormat="1" applyFont="1" applyBorder="1" applyAlignment="1">
      <alignment horizontal="left"/>
    </xf>
    <xf numFmtId="180" fontId="49" fillId="0" borderId="0" xfId="13" applyNumberFormat="1" applyFont="1" applyAlignment="1">
      <alignment horizontal="left"/>
    </xf>
    <xf numFmtId="180" fontId="49" fillId="0" borderId="0" xfId="13" applyNumberFormat="1" applyFont="1" applyAlignment="1">
      <alignment horizontal="right"/>
    </xf>
    <xf numFmtId="0" fontId="42" fillId="0" borderId="0" xfId="10" applyFont="1" applyAlignment="1">
      <alignment horizontal="right"/>
    </xf>
    <xf numFmtId="166" fontId="40" fillId="6" borderId="34" xfId="10" applyNumberFormat="1" applyFont="1" applyFill="1" applyBorder="1" applyAlignment="1">
      <alignment horizontal="left"/>
    </xf>
    <xf numFmtId="0" fontId="56" fillId="0" borderId="0" xfId="10" applyFont="1"/>
    <xf numFmtId="10" fontId="58" fillId="0" borderId="0" xfId="10" applyNumberFormat="1" applyFont="1" applyAlignment="1">
      <alignment horizontal="center"/>
    </xf>
    <xf numFmtId="0" fontId="40" fillId="0" borderId="0" xfId="10" applyFont="1" applyAlignment="1">
      <alignment horizontal="center"/>
    </xf>
    <xf numFmtId="0" fontId="40" fillId="0" borderId="0" xfId="10" applyFont="1" applyAlignment="1">
      <alignment horizontal="centerContinuous"/>
    </xf>
    <xf numFmtId="0" fontId="42" fillId="0" borderId="0" xfId="10" applyFont="1" applyAlignment="1">
      <alignment horizontal="centerContinuous"/>
    </xf>
    <xf numFmtId="166" fontId="62" fillId="0" borderId="0" xfId="10" applyNumberFormat="1" applyFont="1" applyAlignment="1">
      <alignment horizontal="right"/>
    </xf>
    <xf numFmtId="10" fontId="41" fillId="0" borderId="14" xfId="10" applyNumberFormat="1" applyFont="1" applyBorder="1" applyAlignment="1">
      <alignment horizontal="center"/>
    </xf>
    <xf numFmtId="10" fontId="40" fillId="0" borderId="14" xfId="10" applyNumberFormat="1" applyFont="1" applyBorder="1" applyAlignment="1">
      <alignment horizontal="center"/>
    </xf>
    <xf numFmtId="166" fontId="40" fillId="0" borderId="0" xfId="10" applyNumberFormat="1" applyFont="1" applyAlignment="1">
      <alignment horizontal="right"/>
    </xf>
    <xf numFmtId="166" fontId="42" fillId="0" borderId="9" xfId="10" applyNumberFormat="1" applyFont="1" applyBorder="1" applyAlignment="1">
      <alignment horizontal="center"/>
    </xf>
    <xf numFmtId="166" fontId="42" fillId="0" borderId="3" xfId="10" applyNumberFormat="1" applyFont="1" applyBorder="1" applyAlignment="1">
      <alignment horizontal="center"/>
    </xf>
    <xf numFmtId="166" fontId="42" fillId="0" borderId="10" xfId="10" applyNumberFormat="1" applyFont="1" applyBorder="1" applyAlignment="1">
      <alignment horizontal="center"/>
    </xf>
    <xf numFmtId="166" fontId="42" fillId="0" borderId="0" xfId="10" applyNumberFormat="1" applyFont="1" applyAlignment="1">
      <alignment horizontal="center"/>
    </xf>
    <xf numFmtId="0" fontId="45" fillId="0" borderId="0" xfId="10" applyFont="1" applyAlignment="1">
      <alignment horizontal="centerContinuous"/>
    </xf>
    <xf numFmtId="0" fontId="49" fillId="0" borderId="0" xfId="10" applyFont="1" applyAlignment="1">
      <alignment horizontal="center"/>
    </xf>
    <xf numFmtId="166" fontId="49" fillId="0" borderId="0" xfId="10" applyNumberFormat="1" applyFont="1" applyAlignment="1">
      <alignment horizontal="center"/>
    </xf>
    <xf numFmtId="176" fontId="42" fillId="0" borderId="0" xfId="14" applyFont="1"/>
    <xf numFmtId="10" fontId="64" fillId="0" borderId="3" xfId="10" applyNumberFormat="1" applyFont="1" applyBorder="1" applyAlignment="1">
      <alignment horizontal="centerContinuous"/>
    </xf>
    <xf numFmtId="10" fontId="40" fillId="0" borderId="3" xfId="10" applyNumberFormat="1" applyFont="1" applyBorder="1" applyAlignment="1">
      <alignment horizontal="centerContinuous"/>
    </xf>
    <xf numFmtId="10" fontId="43" fillId="0" borderId="3" xfId="10" applyNumberFormat="1" applyFont="1" applyBorder="1" applyAlignment="1">
      <alignment horizontal="centerContinuous"/>
    </xf>
    <xf numFmtId="166" fontId="42" fillId="0" borderId="9" xfId="10" applyNumberFormat="1" applyFont="1" applyBorder="1" applyAlignment="1">
      <alignment horizontal="centerContinuous"/>
    </xf>
    <xf numFmtId="166" fontId="42" fillId="0" borderId="3" xfId="10" applyNumberFormat="1" applyFont="1" applyBorder="1" applyAlignment="1">
      <alignment horizontal="centerContinuous"/>
    </xf>
    <xf numFmtId="166" fontId="42" fillId="0" borderId="10" xfId="10" applyNumberFormat="1" applyFont="1" applyBorder="1" applyAlignment="1">
      <alignment horizontal="centerContinuous"/>
    </xf>
    <xf numFmtId="166" fontId="42" fillId="0" borderId="0" xfId="10" applyNumberFormat="1" applyFont="1" applyAlignment="1">
      <alignment horizontal="centerContinuous"/>
    </xf>
    <xf numFmtId="0" fontId="61" fillId="0" borderId="0" xfId="7" applyFont="1"/>
    <xf numFmtId="0" fontId="42" fillId="0" borderId="0" xfId="17" applyFont="1"/>
    <xf numFmtId="0" fontId="65" fillId="0" borderId="0" xfId="17" applyFont="1"/>
    <xf numFmtId="0" fontId="4" fillId="7" borderId="0" xfId="0" applyFont="1" applyFill="1" applyAlignment="1">
      <alignment horizontal="center"/>
    </xf>
    <xf numFmtId="10" fontId="4" fillId="7" borderId="0" xfId="0" applyNumberFormat="1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165" fontId="4" fillId="7" borderId="0" xfId="0" applyNumberFormat="1" applyFont="1" applyFill="1" applyAlignment="1">
      <alignment horizontal="center"/>
    </xf>
    <xf numFmtId="0" fontId="50" fillId="3" borderId="0" xfId="12" applyFont="1" applyFill="1"/>
    <xf numFmtId="0" fontId="52" fillId="3" borderId="0" xfId="10" applyFont="1" applyFill="1"/>
    <xf numFmtId="0" fontId="1" fillId="0" borderId="30" xfId="0" applyFont="1" applyBorder="1" applyAlignment="1">
      <alignment horizontal="center"/>
    </xf>
    <xf numFmtId="0" fontId="12" fillId="0" borderId="23" xfId="0" applyFont="1" applyBorder="1"/>
    <xf numFmtId="37" fontId="0" fillId="0" borderId="24" xfId="0" applyNumberFormat="1" applyBorder="1"/>
    <xf numFmtId="37" fontId="0" fillId="0" borderId="25" xfId="0" applyNumberFormat="1" applyBorder="1"/>
    <xf numFmtId="0" fontId="0" fillId="0" borderId="27" xfId="0" applyBorder="1"/>
    <xf numFmtId="37" fontId="0" fillId="0" borderId="28" xfId="0" applyNumberFormat="1" applyBorder="1" applyAlignment="1">
      <alignment horizontal="right"/>
    </xf>
    <xf numFmtId="0" fontId="0" fillId="0" borderId="26" xfId="0" applyBorder="1"/>
    <xf numFmtId="166" fontId="23" fillId="0" borderId="28" xfId="6" applyNumberFormat="1" applyFont="1" applyBorder="1" applyAlignment="1"/>
    <xf numFmtId="37" fontId="0" fillId="0" borderId="0" xfId="0" applyNumberFormat="1" applyBorder="1"/>
    <xf numFmtId="37" fontId="0" fillId="0" borderId="6" xfId="0" applyNumberFormat="1" applyBorder="1"/>
    <xf numFmtId="166" fontId="23" fillId="0" borderId="0" xfId="6" applyNumberFormat="1" applyFont="1" applyBorder="1" applyAlignment="1"/>
    <xf numFmtId="175" fontId="23" fillId="0" borderId="0" xfId="6" applyNumberFormat="1" applyFont="1" applyBorder="1" applyAlignment="1">
      <alignment horizontal="right"/>
    </xf>
    <xf numFmtId="14" fontId="0" fillId="0" borderId="26" xfId="0" applyNumberFormat="1" applyBorder="1"/>
    <xf numFmtId="169" fontId="23" fillId="0" borderId="0" xfId="3" applyNumberFormat="1" applyFont="1" applyBorder="1"/>
    <xf numFmtId="0" fontId="0" fillId="0" borderId="32" xfId="0" applyBorder="1"/>
    <xf numFmtId="167" fontId="23" fillId="0" borderId="4" xfId="5" applyNumberFormat="1" applyFont="1" applyBorder="1" applyAlignment="1"/>
    <xf numFmtId="37" fontId="0" fillId="0" borderId="33" xfId="0" applyNumberFormat="1" applyBorder="1"/>
    <xf numFmtId="168" fontId="0" fillId="0" borderId="0" xfId="0" applyNumberFormat="1"/>
    <xf numFmtId="0" fontId="53" fillId="3" borderId="23" xfId="10" applyFont="1" applyFill="1" applyBorder="1" applyAlignment="1">
      <alignment vertical="center"/>
    </xf>
    <xf numFmtId="0" fontId="53" fillId="3" borderId="24" xfId="10" applyFont="1" applyFill="1" applyBorder="1"/>
    <xf numFmtId="0" fontId="54" fillId="3" borderId="24" xfId="10" applyFont="1" applyFill="1" applyBorder="1"/>
    <xf numFmtId="0" fontId="54" fillId="3" borderId="25" xfId="10" applyFont="1" applyFill="1" applyBorder="1"/>
    <xf numFmtId="0" fontId="42" fillId="0" borderId="26" xfId="10" applyFont="1" applyBorder="1"/>
    <xf numFmtId="0" fontId="42" fillId="0" borderId="0" xfId="10" applyFont="1" applyBorder="1"/>
    <xf numFmtId="0" fontId="42" fillId="0" borderId="6" xfId="10" applyFont="1" applyBorder="1"/>
    <xf numFmtId="166" fontId="42" fillId="0" borderId="6" xfId="10" applyNumberFormat="1" applyFont="1" applyBorder="1"/>
    <xf numFmtId="186" fontId="42" fillId="0" borderId="41" xfId="10" applyNumberFormat="1" applyFont="1" applyBorder="1"/>
    <xf numFmtId="166" fontId="42" fillId="0" borderId="41" xfId="10" applyNumberFormat="1" applyFont="1" applyBorder="1"/>
    <xf numFmtId="0" fontId="40" fillId="0" borderId="26" xfId="10" applyFont="1" applyBorder="1"/>
    <xf numFmtId="166" fontId="40" fillId="0" borderId="6" xfId="10" applyNumberFormat="1" applyFont="1" applyBorder="1"/>
    <xf numFmtId="166" fontId="42" fillId="0" borderId="0" xfId="10" applyNumberFormat="1" applyFont="1" applyBorder="1"/>
    <xf numFmtId="0" fontId="40" fillId="0" borderId="0" xfId="10" applyFont="1" applyBorder="1"/>
    <xf numFmtId="166" fontId="42" fillId="0" borderId="42" xfId="10" applyNumberFormat="1" applyFont="1" applyBorder="1"/>
    <xf numFmtId="0" fontId="40" fillId="0" borderId="32" xfId="10" applyFont="1" applyBorder="1"/>
    <xf numFmtId="0" fontId="42" fillId="0" borderId="4" xfId="10" applyFont="1" applyBorder="1"/>
    <xf numFmtId="166" fontId="50" fillId="17" borderId="33" xfId="10" applyNumberFormat="1" applyFont="1" applyFill="1" applyBorder="1"/>
    <xf numFmtId="164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89" fontId="3" fillId="3" borderId="0" xfId="0" applyNumberFormat="1" applyFont="1" applyFill="1" applyAlignment="1">
      <alignment horizontal="center"/>
    </xf>
    <xf numFmtId="189" fontId="3" fillId="3" borderId="0" xfId="0" applyNumberFormat="1" applyFont="1" applyFill="1" applyBorder="1" applyAlignment="1">
      <alignment horizontal="center"/>
    </xf>
    <xf numFmtId="167" fontId="1" fillId="14" borderId="8" xfId="0" applyNumberFormat="1" applyFont="1" applyFill="1" applyBorder="1" applyAlignment="1">
      <alignment horizontal="center"/>
    </xf>
    <xf numFmtId="10" fontId="0" fillId="0" borderId="0" xfId="0" applyNumberFormat="1" applyBorder="1"/>
    <xf numFmtId="0" fontId="68" fillId="4" borderId="43" xfId="0" applyFont="1" applyFill="1" applyBorder="1"/>
    <xf numFmtId="0" fontId="0" fillId="4" borderId="44" xfId="0" applyFill="1" applyBorder="1"/>
    <xf numFmtId="0" fontId="68" fillId="4" borderId="44" xfId="0" applyFont="1" applyFill="1" applyBorder="1" applyAlignment="1">
      <alignment horizontal="center"/>
    </xf>
    <xf numFmtId="0" fontId="0" fillId="0" borderId="44" xfId="0" applyFill="1" applyBorder="1"/>
    <xf numFmtId="0" fontId="0" fillId="3" borderId="44" xfId="0" applyFill="1" applyBorder="1"/>
    <xf numFmtId="10" fontId="0" fillId="4" borderId="44" xfId="0" applyNumberFormat="1" applyFill="1" applyBorder="1" applyAlignment="1">
      <alignment horizontal="center"/>
    </xf>
    <xf numFmtId="0" fontId="0" fillId="0" borderId="44" xfId="0" applyBorder="1"/>
    <xf numFmtId="10" fontId="0" fillId="4" borderId="45" xfId="0" applyNumberFormat="1" applyFill="1" applyBorder="1" applyAlignment="1">
      <alignment horizontal="center"/>
    </xf>
    <xf numFmtId="10" fontId="0" fillId="4" borderId="46" xfId="0" applyNumberForma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7" fillId="9" borderId="0" xfId="0" applyFont="1" applyFill="1" applyBorder="1" applyAlignment="1">
      <alignment horizontal="centerContinuous"/>
    </xf>
    <xf numFmtId="0" fontId="27" fillId="9" borderId="0" xfId="0" applyFont="1" applyFill="1" applyBorder="1" applyAlignment="1">
      <alignment horizontal="center"/>
    </xf>
    <xf numFmtId="0" fontId="27" fillId="9" borderId="6" xfId="0" applyFont="1" applyFill="1" applyBorder="1" applyAlignment="1">
      <alignment horizontal="centerContinuous"/>
    </xf>
    <xf numFmtId="0" fontId="12" fillId="0" borderId="0" xfId="0" applyFont="1" applyBorder="1" applyAlignment="1">
      <alignment horizontal="centerContinuous"/>
    </xf>
    <xf numFmtId="0" fontId="12" fillId="0" borderId="6" xfId="0" applyFont="1" applyBorder="1" applyAlignment="1">
      <alignment horizontal="centerContinuous"/>
    </xf>
    <xf numFmtId="166" fontId="12" fillId="0" borderId="42" xfId="6" applyNumberFormat="1" applyFont="1" applyBorder="1" applyAlignment="1">
      <alignment horizontal="center"/>
    </xf>
    <xf numFmtId="0" fontId="12" fillId="0" borderId="47" xfId="0" applyFont="1" applyBorder="1" applyAlignment="1">
      <alignment horizontal="right"/>
    </xf>
    <xf numFmtId="167" fontId="14" fillId="0" borderId="28" xfId="0" applyNumberFormat="1" applyFont="1" applyBorder="1" applyAlignment="1">
      <alignment horizontal="center"/>
    </xf>
    <xf numFmtId="0" fontId="0" fillId="0" borderId="47" xfId="0" applyBorder="1" applyAlignment="1">
      <alignment horizontal="right"/>
    </xf>
    <xf numFmtId="167" fontId="0" fillId="6" borderId="0" xfId="0" applyNumberFormat="1" applyFill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5" borderId="0" xfId="0" applyNumberFormat="1" applyFill="1" applyBorder="1" applyAlignment="1">
      <alignment horizontal="center"/>
    </xf>
    <xf numFmtId="0" fontId="0" fillId="0" borderId="48" xfId="0" applyBorder="1" applyAlignment="1">
      <alignment horizontal="right"/>
    </xf>
    <xf numFmtId="173" fontId="22" fillId="0" borderId="49" xfId="0" applyNumberFormat="1" applyFont="1" applyBorder="1"/>
    <xf numFmtId="167" fontId="0" fillId="0" borderId="4" xfId="0" applyNumberFormat="1" applyBorder="1" applyAlignment="1">
      <alignment horizontal="center"/>
    </xf>
    <xf numFmtId="167" fontId="0" fillId="0" borderId="33" xfId="0" applyNumberFormat="1" applyBorder="1" applyAlignment="1">
      <alignment horizontal="center"/>
    </xf>
    <xf numFmtId="2" fontId="1" fillId="3" borderId="23" xfId="0" applyNumberFormat="1" applyFont="1" applyFill="1" applyBorder="1" applyProtection="1">
      <protection locked="0"/>
    </xf>
    <xf numFmtId="2" fontId="0" fillId="3" borderId="24" xfId="0" applyNumberFormat="1" applyFill="1" applyBorder="1" applyProtection="1">
      <protection locked="0"/>
    </xf>
    <xf numFmtId="0" fontId="1" fillId="3" borderId="24" xfId="0" applyFont="1" applyFill="1" applyBorder="1"/>
    <xf numFmtId="0" fontId="1" fillId="3" borderId="25" xfId="0" applyFont="1" applyFill="1" applyBorder="1"/>
    <xf numFmtId="2" fontId="0" fillId="0" borderId="26" xfId="0" applyNumberFormat="1" applyBorder="1" applyProtection="1">
      <protection locked="0"/>
    </xf>
    <xf numFmtId="167" fontId="6" fillId="0" borderId="0" xfId="0" applyNumberFormat="1" applyFont="1" applyBorder="1" applyProtection="1"/>
    <xf numFmtId="167" fontId="9" fillId="0" borderId="0" xfId="0" applyNumberFormat="1" applyFont="1" applyBorder="1" applyProtection="1">
      <protection locked="0"/>
    </xf>
    <xf numFmtId="167" fontId="6" fillId="0" borderId="0" xfId="0" applyNumberFormat="1" applyFont="1" applyFill="1" applyBorder="1" applyProtection="1"/>
    <xf numFmtId="167" fontId="6" fillId="0" borderId="6" xfId="0" applyNumberFormat="1" applyFont="1" applyFill="1" applyBorder="1" applyProtection="1"/>
    <xf numFmtId="2" fontId="0" fillId="0" borderId="32" xfId="0" applyNumberFormat="1" applyBorder="1" applyProtection="1">
      <protection locked="0"/>
    </xf>
    <xf numFmtId="167" fontId="6" fillId="0" borderId="4" xfId="0" applyNumberFormat="1" applyFont="1" applyFill="1" applyBorder="1" applyProtection="1"/>
    <xf numFmtId="2" fontId="0" fillId="0" borderId="33" xfId="0" applyNumberFormat="1" applyBorder="1" applyProtection="1">
      <protection locked="0"/>
    </xf>
    <xf numFmtId="167" fontId="5" fillId="4" borderId="0" xfId="0" applyNumberFormat="1" applyFont="1" applyFill="1" applyAlignment="1" applyProtection="1">
      <alignment horizontal="center"/>
    </xf>
    <xf numFmtId="2" fontId="0" fillId="7" borderId="0" xfId="0" applyNumberFormat="1" applyFill="1" applyProtection="1">
      <protection locked="0"/>
    </xf>
    <xf numFmtId="2" fontId="0" fillId="0" borderId="3" xfId="0" applyNumberFormat="1" applyBorder="1" applyProtection="1">
      <protection locked="0"/>
    </xf>
    <xf numFmtId="0" fontId="27" fillId="9" borderId="26" xfId="0" applyFont="1" applyFill="1" applyBorder="1" applyAlignment="1">
      <alignment horizontal="centerContinuous"/>
    </xf>
    <xf numFmtId="166" fontId="26" fillId="7" borderId="0" xfId="0" applyNumberFormat="1" applyFont="1" applyFill="1" applyBorder="1"/>
    <xf numFmtId="167" fontId="12" fillId="0" borderId="42" xfId="0" applyNumberFormat="1" applyFont="1" applyBorder="1" applyAlignment="1">
      <alignment horizontal="center"/>
    </xf>
    <xf numFmtId="166" fontId="14" fillId="0" borderId="28" xfId="6" applyNumberFormat="1" applyFont="1" applyBorder="1" applyAlignment="1">
      <alignment horizontal="center"/>
    </xf>
    <xf numFmtId="166" fontId="0" fillId="0" borderId="0" xfId="6" applyNumberFormat="1" applyFont="1" applyBorder="1" applyAlignment="1">
      <alignment horizontal="center"/>
    </xf>
    <xf numFmtId="166" fontId="0" fillId="6" borderId="0" xfId="6" applyNumberFormat="1" applyFont="1" applyFill="1" applyBorder="1" applyAlignment="1">
      <alignment horizontal="center"/>
    </xf>
    <xf numFmtId="166" fontId="0" fillId="0" borderId="6" xfId="6" applyNumberFormat="1" applyFont="1" applyBorder="1" applyAlignment="1">
      <alignment horizontal="center"/>
    </xf>
    <xf numFmtId="166" fontId="0" fillId="5" borderId="0" xfId="6" applyNumberFormat="1" applyFont="1" applyFill="1" applyBorder="1" applyAlignment="1">
      <alignment horizontal="center"/>
    </xf>
    <xf numFmtId="166" fontId="0" fillId="0" borderId="4" xfId="6" applyNumberFormat="1" applyFont="1" applyBorder="1" applyAlignment="1">
      <alignment horizontal="center"/>
    </xf>
    <xf numFmtId="166" fontId="0" fillId="0" borderId="33" xfId="6" applyNumberFormat="1" applyFont="1" applyBorder="1" applyAlignment="1">
      <alignment horizontal="center"/>
    </xf>
    <xf numFmtId="0" fontId="0" fillId="0" borderId="6" xfId="0" applyBorder="1"/>
    <xf numFmtId="2" fontId="66" fillId="3" borderId="23" xfId="0" applyNumberFormat="1" applyFont="1" applyFill="1" applyBorder="1" applyProtection="1">
      <protection locked="0"/>
    </xf>
    <xf numFmtId="2" fontId="0" fillId="3" borderId="25" xfId="0" applyNumberFormat="1" applyFill="1" applyBorder="1" applyProtection="1">
      <protection locked="0"/>
    </xf>
    <xf numFmtId="0" fontId="66" fillId="0" borderId="29" xfId="0" applyFont="1" applyBorder="1"/>
    <xf numFmtId="0" fontId="1" fillId="0" borderId="31" xfId="0" applyFont="1" applyBorder="1" applyAlignment="1">
      <alignment horizontal="center"/>
    </xf>
    <xf numFmtId="0" fontId="67" fillId="0" borderId="26" xfId="0" applyFont="1" applyBorder="1"/>
    <xf numFmtId="0" fontId="0" fillId="0" borderId="6" xfId="0" applyBorder="1" applyAlignment="1">
      <alignment horizontal="center"/>
    </xf>
    <xf numFmtId="0" fontId="66" fillId="5" borderId="26" xfId="0" applyFont="1" applyFill="1" applyBorder="1"/>
    <xf numFmtId="190" fontId="0" fillId="5" borderId="0" xfId="0" applyNumberFormat="1" applyFill="1" applyBorder="1" applyAlignment="1">
      <alignment horizontal="center"/>
    </xf>
    <xf numFmtId="190" fontId="0" fillId="5" borderId="6" xfId="0" applyNumberFormat="1" applyFill="1" applyBorder="1" applyAlignment="1">
      <alignment horizontal="center"/>
    </xf>
    <xf numFmtId="0" fontId="66" fillId="0" borderId="26" xfId="0" applyFont="1" applyBorder="1"/>
    <xf numFmtId="0" fontId="66" fillId="0" borderId="0" xfId="0" applyFont="1" applyBorder="1" applyAlignment="1">
      <alignment horizontal="center"/>
    </xf>
    <xf numFmtId="0" fontId="66" fillId="0" borderId="6" xfId="0" applyFont="1" applyBorder="1" applyAlignment="1">
      <alignment horizontal="center"/>
    </xf>
    <xf numFmtId="0" fontId="68" fillId="0" borderId="32" xfId="0" applyFont="1" applyBorder="1"/>
    <xf numFmtId="0" fontId="0" fillId="0" borderId="33" xfId="0" applyBorder="1"/>
    <xf numFmtId="2" fontId="9" fillId="0" borderId="0" xfId="0" applyNumberFormat="1" applyFont="1"/>
    <xf numFmtId="0" fontId="3" fillId="3" borderId="23" xfId="0" applyFont="1" applyFill="1" applyBorder="1"/>
    <xf numFmtId="164" fontId="3" fillId="3" borderId="24" xfId="0" applyNumberFormat="1" applyFont="1" applyFill="1" applyBorder="1"/>
    <xf numFmtId="165" fontId="3" fillId="3" borderId="24" xfId="0" applyNumberFormat="1" applyFont="1" applyFill="1" applyBorder="1"/>
    <xf numFmtId="189" fontId="3" fillId="3" borderId="24" xfId="0" applyNumberFormat="1" applyFont="1" applyFill="1" applyBorder="1"/>
    <xf numFmtId="189" fontId="3" fillId="3" borderId="25" xfId="0" applyNumberFormat="1" applyFont="1" applyFill="1" applyBorder="1"/>
    <xf numFmtId="0" fontId="68" fillId="4" borderId="26" xfId="0" applyFont="1" applyFill="1" applyBorder="1"/>
    <xf numFmtId="0" fontId="0" fillId="4" borderId="0" xfId="0" applyFill="1" applyBorder="1"/>
    <xf numFmtId="0" fontId="0" fillId="4" borderId="6" xfId="0" applyFill="1" applyBorder="1"/>
    <xf numFmtId="10" fontId="0" fillId="0" borderId="6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68" fillId="4" borderId="0" xfId="0" applyNumberFormat="1" applyFont="1" applyFill="1" applyBorder="1"/>
    <xf numFmtId="2" fontId="68" fillId="4" borderId="6" xfId="0" applyNumberFormat="1" applyFont="1" applyFill="1" applyBorder="1"/>
    <xf numFmtId="2" fontId="0" fillId="0" borderId="4" xfId="0" applyNumberFormat="1" applyBorder="1"/>
    <xf numFmtId="2" fontId="0" fillId="0" borderId="33" xfId="0" applyNumberFormat="1" applyBorder="1"/>
    <xf numFmtId="166" fontId="13" fillId="0" borderId="0" xfId="7" applyNumberFormat="1" applyBorder="1" applyAlignment="1">
      <alignment horizontal="center"/>
    </xf>
    <xf numFmtId="0" fontId="13" fillId="0" borderId="0" xfId="7" applyBorder="1" applyAlignment="1">
      <alignment horizontal="center"/>
    </xf>
    <xf numFmtId="167" fontId="5" fillId="0" borderId="0" xfId="0" applyNumberFormat="1" applyFont="1" applyBorder="1" applyAlignment="1" applyProtection="1">
      <alignment horizontal="center"/>
    </xf>
    <xf numFmtId="10" fontId="13" fillId="0" borderId="0" xfId="7" applyNumberFormat="1" applyBorder="1" applyAlignment="1">
      <alignment horizontal="center"/>
    </xf>
    <xf numFmtId="0" fontId="35" fillId="0" borderId="0" xfId="7" applyFont="1" applyBorder="1"/>
    <xf numFmtId="168" fontId="5" fillId="0" borderId="0" xfId="0" applyNumberFormat="1" applyFont="1" applyBorder="1" applyAlignment="1" applyProtection="1">
      <alignment horizontal="center"/>
    </xf>
    <xf numFmtId="0" fontId="4" fillId="0" borderId="0" xfId="7" applyFont="1"/>
    <xf numFmtId="0" fontId="26" fillId="0" borderId="0" xfId="7" applyFont="1"/>
    <xf numFmtId="10" fontId="26" fillId="0" borderId="0" xfId="7" applyNumberFormat="1" applyFont="1"/>
    <xf numFmtId="181" fontId="26" fillId="0" borderId="0" xfId="7" applyNumberFormat="1" applyFont="1"/>
    <xf numFmtId="0" fontId="1" fillId="0" borderId="0" xfId="0" applyFont="1" applyAlignment="1">
      <alignment horizontal="right"/>
    </xf>
    <xf numFmtId="10" fontId="1" fillId="0" borderId="0" xfId="0" applyNumberFormat="1" applyFont="1" applyBorder="1"/>
    <xf numFmtId="180" fontId="1" fillId="0" borderId="2" xfId="0" applyNumberFormat="1" applyFont="1" applyFill="1" applyBorder="1" applyAlignment="1">
      <alignment horizontal="right"/>
    </xf>
    <xf numFmtId="9" fontId="1" fillId="0" borderId="2" xfId="0" applyNumberFormat="1" applyFont="1" applyFill="1" applyBorder="1" applyAlignment="1">
      <alignment horizontal="right"/>
    </xf>
    <xf numFmtId="0" fontId="3" fillId="3" borderId="0" xfId="0" applyFont="1" applyFill="1" applyBorder="1"/>
    <xf numFmtId="0" fontId="1" fillId="0" borderId="0" xfId="0" applyFont="1" applyFill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9" fontId="1" fillId="0" borderId="50" xfId="0" applyNumberFormat="1" applyFont="1" applyBorder="1" applyAlignment="1">
      <alignment horizontal="right"/>
    </xf>
    <xf numFmtId="0" fontId="1" fillId="0" borderId="50" xfId="0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0" fillId="0" borderId="0" xfId="0" applyNumberFormat="1" applyFont="1" applyFill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166" fontId="14" fillId="0" borderId="0" xfId="6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10" fontId="1" fillId="0" borderId="2" xfId="0" applyNumberFormat="1" applyFont="1" applyBorder="1"/>
    <xf numFmtId="0" fontId="13" fillId="0" borderId="3" xfId="7" applyBorder="1" applyAlignment="1">
      <alignment horizontal="right"/>
    </xf>
    <xf numFmtId="0" fontId="13" fillId="0" borderId="0" xfId="7" applyAlignment="1">
      <alignment horizontal="right"/>
    </xf>
    <xf numFmtId="2" fontId="13" fillId="0" borderId="0" xfId="7" applyNumberFormat="1" applyAlignment="1">
      <alignment horizontal="right"/>
    </xf>
    <xf numFmtId="177" fontId="13" fillId="0" borderId="0" xfId="7" applyNumberFormat="1" applyAlignment="1">
      <alignment horizontal="right"/>
    </xf>
    <xf numFmtId="178" fontId="13" fillId="0" borderId="0" xfId="7" applyNumberFormat="1" applyAlignment="1">
      <alignment horizontal="right"/>
    </xf>
    <xf numFmtId="0" fontId="0" fillId="0" borderId="32" xfId="0" applyFill="1" applyBorder="1"/>
    <xf numFmtId="0" fontId="3" fillId="3" borderId="25" xfId="0" applyFont="1" applyFill="1" applyBorder="1" applyAlignment="1">
      <alignment horizontal="right"/>
    </xf>
    <xf numFmtId="0" fontId="0" fillId="0" borderId="33" xfId="0" applyFill="1" applyBorder="1"/>
    <xf numFmtId="10" fontId="1" fillId="7" borderId="0" xfId="0" applyNumberFormat="1" applyFont="1" applyFill="1" applyAlignment="1">
      <alignment horizontal="right"/>
    </xf>
    <xf numFmtId="0" fontId="12" fillId="0" borderId="0" xfId="7" applyFont="1" applyBorder="1"/>
    <xf numFmtId="0" fontId="27" fillId="3" borderId="0" xfId="7" applyFont="1" applyFill="1" applyBorder="1"/>
    <xf numFmtId="0" fontId="26" fillId="3" borderId="0" xfId="7" applyFont="1" applyFill="1" applyBorder="1"/>
    <xf numFmtId="0" fontId="26" fillId="3" borderId="0" xfId="7" applyFont="1" applyFill="1" applyBorder="1" applyAlignment="1">
      <alignment horizontal="center"/>
    </xf>
    <xf numFmtId="0" fontId="12" fillId="0" borderId="23" xfId="7" applyFont="1" applyBorder="1"/>
    <xf numFmtId="0" fontId="13" fillId="0" borderId="24" xfId="7" applyBorder="1"/>
    <xf numFmtId="0" fontId="12" fillId="0" borderId="24" xfId="7" applyFont="1" applyBorder="1" applyAlignment="1">
      <alignment horizontal="right"/>
    </xf>
    <xf numFmtId="0" fontId="12" fillId="0" borderId="25" xfId="7" applyFont="1" applyBorder="1" applyAlignment="1">
      <alignment horizontal="right"/>
    </xf>
    <xf numFmtId="0" fontId="13" fillId="0" borderId="27" xfId="7" applyBorder="1"/>
    <xf numFmtId="169" fontId="0" fillId="0" borderId="28" xfId="8" applyNumberFormat="1" applyFont="1" applyBorder="1"/>
    <xf numFmtId="0" fontId="13" fillId="0" borderId="26" xfId="7" applyBorder="1"/>
    <xf numFmtId="169" fontId="0" fillId="0" borderId="6" xfId="8" applyNumberFormat="1" applyFont="1" applyBorder="1"/>
    <xf numFmtId="169" fontId="14" fillId="0" borderId="6" xfId="8" applyNumberFormat="1" applyFont="1" applyBorder="1"/>
    <xf numFmtId="0" fontId="13" fillId="0" borderId="32" xfId="7" applyBorder="1"/>
    <xf numFmtId="0" fontId="13" fillId="0" borderId="4" xfId="7" applyBorder="1"/>
    <xf numFmtId="37" fontId="13" fillId="0" borderId="4" xfId="7" applyNumberFormat="1" applyBorder="1"/>
    <xf numFmtId="37" fontId="13" fillId="0" borderId="33" xfId="7" applyNumberFormat="1" applyBorder="1"/>
    <xf numFmtId="0" fontId="13" fillId="0" borderId="25" xfId="7" applyBorder="1"/>
    <xf numFmtId="0" fontId="13" fillId="0" borderId="28" xfId="7" applyBorder="1" applyAlignment="1">
      <alignment horizontal="right"/>
    </xf>
    <xf numFmtId="167" fontId="0" fillId="0" borderId="6" xfId="8" applyNumberFormat="1" applyFont="1" applyBorder="1" applyAlignment="1">
      <alignment horizontal="right"/>
    </xf>
    <xf numFmtId="166" fontId="0" fillId="0" borderId="6" xfId="9" applyNumberFormat="1" applyFont="1" applyBorder="1" applyAlignment="1">
      <alignment horizontal="right"/>
    </xf>
    <xf numFmtId="10" fontId="0" fillId="0" borderId="33" xfId="9" applyNumberFormat="1" applyFont="1" applyBorder="1" applyAlignment="1">
      <alignment horizontal="right"/>
    </xf>
    <xf numFmtId="0" fontId="0" fillId="3" borderId="23" xfId="0" applyFill="1" applyBorder="1"/>
    <xf numFmtId="0" fontId="0" fillId="3" borderId="24" xfId="0" applyFill="1" applyBorder="1"/>
    <xf numFmtId="0" fontId="4" fillId="3" borderId="26" xfId="0" applyFont="1" applyFill="1" applyBorder="1"/>
    <xf numFmtId="164" fontId="3" fillId="3" borderId="0" xfId="0" applyNumberFormat="1" applyFont="1" applyFill="1" applyBorder="1"/>
    <xf numFmtId="171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26" xfId="0" applyFont="1" applyBorder="1"/>
    <xf numFmtId="10" fontId="0" fillId="0" borderId="0" xfId="0" applyNumberFormat="1" applyFill="1" applyBorder="1" applyAlignment="1">
      <alignment horizontal="center"/>
    </xf>
    <xf numFmtId="0" fontId="4" fillId="0" borderId="0" xfId="0" applyFont="1" applyBorder="1"/>
    <xf numFmtId="0" fontId="0" fillId="0" borderId="26" xfId="0" applyBorder="1" applyAlignment="1">
      <alignment horizontal="left" indent="1"/>
    </xf>
    <xf numFmtId="170" fontId="0" fillId="0" borderId="0" xfId="0" applyNumberFormat="1" applyBorder="1" applyAlignment="1">
      <alignment horizontal="center"/>
    </xf>
    <xf numFmtId="9" fontId="7" fillId="0" borderId="0" xfId="0" applyNumberFormat="1" applyFon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6" xfId="0" applyFill="1" applyBorder="1"/>
    <xf numFmtId="165" fontId="3" fillId="0" borderId="0" xfId="0" applyNumberFormat="1" applyFont="1" applyFill="1" applyBorder="1"/>
    <xf numFmtId="0" fontId="4" fillId="0" borderId="26" xfId="0" applyFont="1" applyFill="1" applyBorder="1"/>
    <xf numFmtId="0" fontId="0" fillId="0" borderId="32" xfId="0" applyFont="1" applyBorder="1"/>
    <xf numFmtId="10" fontId="0" fillId="0" borderId="4" xfId="0" applyNumberFormat="1" applyBorder="1" applyAlignment="1">
      <alignment horizontal="center"/>
    </xf>
    <xf numFmtId="0" fontId="0" fillId="0" borderId="24" xfId="0" applyFill="1" applyBorder="1"/>
    <xf numFmtId="0" fontId="0" fillId="0" borderId="26" xfId="0" applyFill="1" applyBorder="1"/>
    <xf numFmtId="166" fontId="24" fillId="0" borderId="0" xfId="6" applyNumberFormat="1" applyFont="1" applyBorder="1" applyAlignment="1">
      <alignment horizontal="center"/>
    </xf>
    <xf numFmtId="166" fontId="12" fillId="0" borderId="0" xfId="6" applyNumberFormat="1" applyFont="1" applyBorder="1" applyAlignment="1">
      <alignment horizontal="center"/>
    </xf>
    <xf numFmtId="173" fontId="24" fillId="0" borderId="0" xfId="0" applyNumberFormat="1" applyFont="1" applyBorder="1"/>
    <xf numFmtId="173" fontId="22" fillId="0" borderId="0" xfId="0" applyNumberFormat="1" applyFont="1" applyBorder="1"/>
    <xf numFmtId="167" fontId="26" fillId="7" borderId="0" xfId="0" applyNumberFormat="1" applyFont="1" applyFill="1" applyBorder="1"/>
    <xf numFmtId="1" fontId="41" fillId="6" borderId="36" xfId="10" applyNumberFormat="1" applyFont="1" applyFill="1" applyBorder="1" applyAlignment="1">
      <alignment horizontal="center"/>
    </xf>
    <xf numFmtId="1" fontId="41" fillId="6" borderId="37" xfId="10" applyNumberFormat="1" applyFont="1" applyFill="1" applyBorder="1" applyAlignment="1">
      <alignment horizontal="center"/>
    </xf>
    <xf numFmtId="1" fontId="41" fillId="6" borderId="38" xfId="10" applyNumberFormat="1" applyFont="1" applyFill="1" applyBorder="1" applyAlignment="1">
      <alignment horizontal="center"/>
    </xf>
    <xf numFmtId="0" fontId="44" fillId="6" borderId="39" xfId="10" applyFont="1" applyFill="1" applyBorder="1" applyAlignment="1">
      <alignment horizontal="right"/>
    </xf>
    <xf numFmtId="0" fontId="59" fillId="6" borderId="40" xfId="7" applyFont="1" applyFill="1" applyBorder="1" applyAlignment="1">
      <alignment horizontal="right"/>
    </xf>
    <xf numFmtId="0" fontId="40" fillId="6" borderId="36" xfId="10" applyFont="1" applyFill="1" applyBorder="1" applyAlignment="1">
      <alignment horizontal="right"/>
    </xf>
    <xf numFmtId="0" fontId="59" fillId="6" borderId="37" xfId="7" applyFont="1" applyFill="1" applyBorder="1" applyAlignment="1">
      <alignment horizontal="right"/>
    </xf>
    <xf numFmtId="0" fontId="59" fillId="6" borderId="38" xfId="7" applyFont="1" applyFill="1" applyBorder="1" applyAlignment="1">
      <alignment horizontal="right"/>
    </xf>
    <xf numFmtId="166" fontId="40" fillId="6" borderId="36" xfId="10" applyNumberFormat="1" applyFont="1" applyFill="1" applyBorder="1"/>
    <xf numFmtId="0" fontId="61" fillId="6" borderId="38" xfId="7" applyFont="1" applyFill="1" applyBorder="1"/>
  </cellXfs>
  <cellStyles count="18">
    <cellStyle name="Comma" xfId="3" builtinId="3"/>
    <cellStyle name="Comma 2" xfId="8" xr:uid="{00000000-0005-0000-0000-000001000000}"/>
    <cellStyle name="Comma 2 2" xfId="14" xr:uid="{00000000-0005-0000-0000-000002000000}"/>
    <cellStyle name="Currency" xfId="5" builtinId="4"/>
    <cellStyle name="fa_data_bold_0_grouped" xfId="1" xr:uid="{00000000-0005-0000-0000-000004000000}"/>
    <cellStyle name="Normal" xfId="0" builtinId="0"/>
    <cellStyle name="Normal 2" xfId="4" xr:uid="{00000000-0005-0000-0000-000006000000}"/>
    <cellStyle name="Normal 3" xfId="2" xr:uid="{00000000-0005-0000-0000-000007000000}"/>
    <cellStyle name="Normal 4" xfId="7" xr:uid="{00000000-0005-0000-0000-000008000000}"/>
    <cellStyle name="Normal 5" xfId="10" xr:uid="{00000000-0005-0000-0000-000009000000}"/>
    <cellStyle name="Normal_Bradford Final" xfId="11" xr:uid="{00000000-0005-0000-0000-00000A000000}"/>
    <cellStyle name="Normal_CIQ Beta Calculator" xfId="15" xr:uid="{00000000-0005-0000-0000-00000B000000}"/>
    <cellStyle name="Normal_eps-stock_9zdq01_" xfId="17" xr:uid="{00000000-0005-0000-0000-00000C000000}"/>
    <cellStyle name="Normal_VF Corp" xfId="12" xr:uid="{00000000-0005-0000-0000-00000D000000}"/>
    <cellStyle name="Normal_WACC Analysis" xfId="16" xr:uid="{00000000-0005-0000-0000-00000E000000}"/>
    <cellStyle name="Percent" xfId="6" builtinId="5"/>
    <cellStyle name="Percent 2" xfId="9" xr:uid="{00000000-0005-0000-0000-000010000000}"/>
    <cellStyle name="Percent 2 2" xfId="13" xr:uid="{00000000-0005-0000-0000-000011000000}"/>
  </cellStyles>
  <dxfs count="0"/>
  <tableStyles count="0" defaultTableStyle="TableStyleMedium2" defaultPivotStyle="PivotStyleLight16"/>
  <colors>
    <mruColors>
      <color rgb="FF0000CC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132572121864742E-2"/>
          <c:y val="0.12672923186537885"/>
          <c:w val="0.88090672726625885"/>
          <c:h val="0.7486736563904357"/>
        </c:manualLayout>
      </c:layout>
      <c:lineChart>
        <c:grouping val="standard"/>
        <c:varyColors val="0"/>
        <c:ser>
          <c:idx val="3"/>
          <c:order val="0"/>
          <c:tx>
            <c:v>Historic</c:v>
          </c:tx>
          <c:spPr>
            <a:ln w="15875" cap="rnd">
              <a:solidFill>
                <a:srgbClr val="132E57"/>
              </a:solidFill>
              <a:round/>
            </a:ln>
            <a:effectLst/>
          </c:spPr>
          <c:marker>
            <c:symbol val="none"/>
          </c:marker>
          <c:cat>
            <c:numRef>
              <c:f>'Share Price'!$A$11:$A$995</c:f>
              <c:numCache>
                <c:formatCode>[$-809]dd\ mmmm\ yyyy;@</c:formatCode>
                <c:ptCount val="985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  <c:pt idx="502">
                  <c:v>43467</c:v>
                </c:pt>
                <c:pt idx="503">
                  <c:v>43468</c:v>
                </c:pt>
                <c:pt idx="504">
                  <c:v>43469</c:v>
                </c:pt>
                <c:pt idx="505">
                  <c:v>43472</c:v>
                </c:pt>
                <c:pt idx="506">
                  <c:v>43473</c:v>
                </c:pt>
                <c:pt idx="507">
                  <c:v>43474</c:v>
                </c:pt>
                <c:pt idx="508">
                  <c:v>43475</c:v>
                </c:pt>
                <c:pt idx="509">
                  <c:v>43476</c:v>
                </c:pt>
                <c:pt idx="510">
                  <c:v>43479</c:v>
                </c:pt>
                <c:pt idx="511">
                  <c:v>43480</c:v>
                </c:pt>
                <c:pt idx="512">
                  <c:v>43481</c:v>
                </c:pt>
                <c:pt idx="513">
                  <c:v>43482</c:v>
                </c:pt>
                <c:pt idx="514">
                  <c:v>43483</c:v>
                </c:pt>
                <c:pt idx="515">
                  <c:v>43487</c:v>
                </c:pt>
                <c:pt idx="516">
                  <c:v>43488</c:v>
                </c:pt>
                <c:pt idx="517">
                  <c:v>43489</c:v>
                </c:pt>
                <c:pt idx="518">
                  <c:v>43490</c:v>
                </c:pt>
                <c:pt idx="519">
                  <c:v>43493</c:v>
                </c:pt>
                <c:pt idx="520">
                  <c:v>43494</c:v>
                </c:pt>
                <c:pt idx="521">
                  <c:v>43495</c:v>
                </c:pt>
                <c:pt idx="522">
                  <c:v>43496</c:v>
                </c:pt>
                <c:pt idx="523">
                  <c:v>43497</c:v>
                </c:pt>
                <c:pt idx="524">
                  <c:v>43500</c:v>
                </c:pt>
                <c:pt idx="525">
                  <c:v>43501</c:v>
                </c:pt>
                <c:pt idx="526">
                  <c:v>43502</c:v>
                </c:pt>
                <c:pt idx="527">
                  <c:v>43503</c:v>
                </c:pt>
                <c:pt idx="528">
                  <c:v>43504</c:v>
                </c:pt>
                <c:pt idx="529">
                  <c:v>43507</c:v>
                </c:pt>
                <c:pt idx="530">
                  <c:v>43508</c:v>
                </c:pt>
                <c:pt idx="531">
                  <c:v>43509</c:v>
                </c:pt>
                <c:pt idx="532">
                  <c:v>43510</c:v>
                </c:pt>
                <c:pt idx="533">
                  <c:v>43511</c:v>
                </c:pt>
                <c:pt idx="534">
                  <c:v>43515</c:v>
                </c:pt>
                <c:pt idx="535">
                  <c:v>43516</c:v>
                </c:pt>
                <c:pt idx="536">
                  <c:v>43517</c:v>
                </c:pt>
                <c:pt idx="537">
                  <c:v>43518</c:v>
                </c:pt>
                <c:pt idx="538">
                  <c:v>43521</c:v>
                </c:pt>
                <c:pt idx="539">
                  <c:v>43522</c:v>
                </c:pt>
                <c:pt idx="540">
                  <c:v>43523</c:v>
                </c:pt>
                <c:pt idx="541">
                  <c:v>43524</c:v>
                </c:pt>
                <c:pt idx="542">
                  <c:v>43525</c:v>
                </c:pt>
                <c:pt idx="543">
                  <c:v>43528</c:v>
                </c:pt>
                <c:pt idx="544">
                  <c:v>43529</c:v>
                </c:pt>
                <c:pt idx="545">
                  <c:v>43530</c:v>
                </c:pt>
                <c:pt idx="546">
                  <c:v>43531</c:v>
                </c:pt>
                <c:pt idx="547">
                  <c:v>43532</c:v>
                </c:pt>
                <c:pt idx="548">
                  <c:v>43535</c:v>
                </c:pt>
                <c:pt idx="549">
                  <c:v>43536</c:v>
                </c:pt>
                <c:pt idx="550">
                  <c:v>43537</c:v>
                </c:pt>
                <c:pt idx="551">
                  <c:v>43538</c:v>
                </c:pt>
                <c:pt idx="552">
                  <c:v>43539</c:v>
                </c:pt>
                <c:pt idx="553">
                  <c:v>43542</c:v>
                </c:pt>
                <c:pt idx="554">
                  <c:v>43543</c:v>
                </c:pt>
                <c:pt idx="555">
                  <c:v>43544</c:v>
                </c:pt>
                <c:pt idx="556">
                  <c:v>43545</c:v>
                </c:pt>
                <c:pt idx="557">
                  <c:v>43546</c:v>
                </c:pt>
                <c:pt idx="558">
                  <c:v>43549</c:v>
                </c:pt>
                <c:pt idx="559">
                  <c:v>43550</c:v>
                </c:pt>
                <c:pt idx="560">
                  <c:v>43551</c:v>
                </c:pt>
                <c:pt idx="561">
                  <c:v>43552</c:v>
                </c:pt>
                <c:pt idx="562">
                  <c:v>43553</c:v>
                </c:pt>
                <c:pt idx="563">
                  <c:v>43556</c:v>
                </c:pt>
                <c:pt idx="564">
                  <c:v>43557</c:v>
                </c:pt>
                <c:pt idx="565">
                  <c:v>43558</c:v>
                </c:pt>
                <c:pt idx="566">
                  <c:v>43559</c:v>
                </c:pt>
                <c:pt idx="567">
                  <c:v>43560</c:v>
                </c:pt>
                <c:pt idx="568">
                  <c:v>43563</c:v>
                </c:pt>
                <c:pt idx="569">
                  <c:v>43564</c:v>
                </c:pt>
                <c:pt idx="570">
                  <c:v>43565</c:v>
                </c:pt>
                <c:pt idx="571">
                  <c:v>43566</c:v>
                </c:pt>
                <c:pt idx="572">
                  <c:v>43567</c:v>
                </c:pt>
                <c:pt idx="573">
                  <c:v>43570</c:v>
                </c:pt>
                <c:pt idx="574">
                  <c:v>43571</c:v>
                </c:pt>
                <c:pt idx="575">
                  <c:v>43572</c:v>
                </c:pt>
                <c:pt idx="576">
                  <c:v>43573</c:v>
                </c:pt>
                <c:pt idx="577">
                  <c:v>43577</c:v>
                </c:pt>
                <c:pt idx="578">
                  <c:v>43578</c:v>
                </c:pt>
                <c:pt idx="579">
                  <c:v>43579</c:v>
                </c:pt>
                <c:pt idx="580">
                  <c:v>43580</c:v>
                </c:pt>
                <c:pt idx="581">
                  <c:v>43581</c:v>
                </c:pt>
                <c:pt idx="582">
                  <c:v>43584</c:v>
                </c:pt>
                <c:pt idx="583">
                  <c:v>43585</c:v>
                </c:pt>
                <c:pt idx="584">
                  <c:v>43586</c:v>
                </c:pt>
                <c:pt idx="585">
                  <c:v>43587</c:v>
                </c:pt>
                <c:pt idx="586">
                  <c:v>43588</c:v>
                </c:pt>
                <c:pt idx="587">
                  <c:v>43591</c:v>
                </c:pt>
                <c:pt idx="588">
                  <c:v>43592</c:v>
                </c:pt>
                <c:pt idx="589">
                  <c:v>43593</c:v>
                </c:pt>
                <c:pt idx="590">
                  <c:v>43594</c:v>
                </c:pt>
                <c:pt idx="591">
                  <c:v>43595</c:v>
                </c:pt>
                <c:pt idx="592">
                  <c:v>43598</c:v>
                </c:pt>
                <c:pt idx="593">
                  <c:v>43599</c:v>
                </c:pt>
                <c:pt idx="594">
                  <c:v>43600</c:v>
                </c:pt>
                <c:pt idx="595">
                  <c:v>43601</c:v>
                </c:pt>
                <c:pt idx="596">
                  <c:v>43602</c:v>
                </c:pt>
                <c:pt idx="597">
                  <c:v>43605</c:v>
                </c:pt>
                <c:pt idx="598">
                  <c:v>43606</c:v>
                </c:pt>
                <c:pt idx="599">
                  <c:v>43607</c:v>
                </c:pt>
                <c:pt idx="600">
                  <c:v>43608</c:v>
                </c:pt>
                <c:pt idx="601">
                  <c:v>43609</c:v>
                </c:pt>
                <c:pt idx="602">
                  <c:v>43613</c:v>
                </c:pt>
                <c:pt idx="603">
                  <c:v>43614</c:v>
                </c:pt>
                <c:pt idx="604">
                  <c:v>43615</c:v>
                </c:pt>
                <c:pt idx="605">
                  <c:v>43616</c:v>
                </c:pt>
                <c:pt idx="606">
                  <c:v>43619</c:v>
                </c:pt>
                <c:pt idx="607">
                  <c:v>43620</c:v>
                </c:pt>
                <c:pt idx="608">
                  <c:v>43621</c:v>
                </c:pt>
                <c:pt idx="609">
                  <c:v>43622</c:v>
                </c:pt>
                <c:pt idx="610">
                  <c:v>43623</c:v>
                </c:pt>
                <c:pt idx="611">
                  <c:v>43626</c:v>
                </c:pt>
                <c:pt idx="612">
                  <c:v>43627</c:v>
                </c:pt>
                <c:pt idx="613">
                  <c:v>43628</c:v>
                </c:pt>
                <c:pt idx="614">
                  <c:v>43629</c:v>
                </c:pt>
                <c:pt idx="615">
                  <c:v>43630</c:v>
                </c:pt>
                <c:pt idx="616">
                  <c:v>43633</c:v>
                </c:pt>
                <c:pt idx="617">
                  <c:v>43634</c:v>
                </c:pt>
                <c:pt idx="618">
                  <c:v>43635</c:v>
                </c:pt>
                <c:pt idx="619">
                  <c:v>43636</c:v>
                </c:pt>
                <c:pt idx="620">
                  <c:v>43637</c:v>
                </c:pt>
                <c:pt idx="621">
                  <c:v>43640</c:v>
                </c:pt>
                <c:pt idx="622">
                  <c:v>43641</c:v>
                </c:pt>
                <c:pt idx="623">
                  <c:v>43642</c:v>
                </c:pt>
                <c:pt idx="624">
                  <c:v>43643</c:v>
                </c:pt>
                <c:pt idx="625">
                  <c:v>43644</c:v>
                </c:pt>
                <c:pt idx="626">
                  <c:v>43647</c:v>
                </c:pt>
                <c:pt idx="627">
                  <c:v>43648</c:v>
                </c:pt>
                <c:pt idx="628">
                  <c:v>43649</c:v>
                </c:pt>
                <c:pt idx="629">
                  <c:v>43651</c:v>
                </c:pt>
                <c:pt idx="630">
                  <c:v>43654</c:v>
                </c:pt>
                <c:pt idx="631">
                  <c:v>43655</c:v>
                </c:pt>
                <c:pt idx="632">
                  <c:v>43656</c:v>
                </c:pt>
                <c:pt idx="633">
                  <c:v>43657</c:v>
                </c:pt>
                <c:pt idx="634">
                  <c:v>43658</c:v>
                </c:pt>
                <c:pt idx="635">
                  <c:v>43661</c:v>
                </c:pt>
                <c:pt idx="636">
                  <c:v>43662</c:v>
                </c:pt>
                <c:pt idx="637">
                  <c:v>43663</c:v>
                </c:pt>
                <c:pt idx="638">
                  <c:v>43664</c:v>
                </c:pt>
                <c:pt idx="639">
                  <c:v>43665</c:v>
                </c:pt>
                <c:pt idx="640">
                  <c:v>43668</c:v>
                </c:pt>
                <c:pt idx="641">
                  <c:v>43669</c:v>
                </c:pt>
                <c:pt idx="642">
                  <c:v>43670</c:v>
                </c:pt>
                <c:pt idx="643">
                  <c:v>43671</c:v>
                </c:pt>
                <c:pt idx="644">
                  <c:v>43672</c:v>
                </c:pt>
                <c:pt idx="645">
                  <c:v>43675</c:v>
                </c:pt>
                <c:pt idx="646">
                  <c:v>43676</c:v>
                </c:pt>
                <c:pt idx="647">
                  <c:v>43677</c:v>
                </c:pt>
                <c:pt idx="648">
                  <c:v>43678</c:v>
                </c:pt>
                <c:pt idx="649">
                  <c:v>43679</c:v>
                </c:pt>
                <c:pt idx="650">
                  <c:v>43682</c:v>
                </c:pt>
                <c:pt idx="651">
                  <c:v>43683</c:v>
                </c:pt>
                <c:pt idx="652">
                  <c:v>43684</c:v>
                </c:pt>
                <c:pt idx="653">
                  <c:v>43685</c:v>
                </c:pt>
                <c:pt idx="654">
                  <c:v>43686</c:v>
                </c:pt>
                <c:pt idx="655">
                  <c:v>43689</c:v>
                </c:pt>
                <c:pt idx="656">
                  <c:v>43690</c:v>
                </c:pt>
                <c:pt idx="657">
                  <c:v>43691</c:v>
                </c:pt>
                <c:pt idx="658">
                  <c:v>43692</c:v>
                </c:pt>
                <c:pt idx="659">
                  <c:v>43693</c:v>
                </c:pt>
                <c:pt idx="660">
                  <c:v>43696</c:v>
                </c:pt>
                <c:pt idx="661">
                  <c:v>43697</c:v>
                </c:pt>
                <c:pt idx="662">
                  <c:v>43698</c:v>
                </c:pt>
                <c:pt idx="663">
                  <c:v>43699</c:v>
                </c:pt>
                <c:pt idx="664">
                  <c:v>43700</c:v>
                </c:pt>
                <c:pt idx="665">
                  <c:v>43703</c:v>
                </c:pt>
                <c:pt idx="666">
                  <c:v>43704</c:v>
                </c:pt>
                <c:pt idx="667">
                  <c:v>43705</c:v>
                </c:pt>
                <c:pt idx="668">
                  <c:v>43706</c:v>
                </c:pt>
                <c:pt idx="669">
                  <c:v>43707</c:v>
                </c:pt>
                <c:pt idx="670">
                  <c:v>43711</c:v>
                </c:pt>
                <c:pt idx="671">
                  <c:v>43712</c:v>
                </c:pt>
                <c:pt idx="672">
                  <c:v>43713</c:v>
                </c:pt>
                <c:pt idx="673">
                  <c:v>43714</c:v>
                </c:pt>
                <c:pt idx="674">
                  <c:v>43717</c:v>
                </c:pt>
                <c:pt idx="675">
                  <c:v>43718</c:v>
                </c:pt>
                <c:pt idx="676">
                  <c:v>43719</c:v>
                </c:pt>
                <c:pt idx="677">
                  <c:v>43720</c:v>
                </c:pt>
                <c:pt idx="678">
                  <c:v>43721</c:v>
                </c:pt>
                <c:pt idx="679">
                  <c:v>43724</c:v>
                </c:pt>
                <c:pt idx="680">
                  <c:v>43725</c:v>
                </c:pt>
                <c:pt idx="681">
                  <c:v>43726</c:v>
                </c:pt>
                <c:pt idx="682">
                  <c:v>43727</c:v>
                </c:pt>
                <c:pt idx="683">
                  <c:v>43728</c:v>
                </c:pt>
                <c:pt idx="684">
                  <c:v>43731</c:v>
                </c:pt>
                <c:pt idx="685">
                  <c:v>43732</c:v>
                </c:pt>
                <c:pt idx="686">
                  <c:v>43733</c:v>
                </c:pt>
                <c:pt idx="687">
                  <c:v>43734</c:v>
                </c:pt>
                <c:pt idx="688">
                  <c:v>43735</c:v>
                </c:pt>
                <c:pt idx="689">
                  <c:v>43738</c:v>
                </c:pt>
                <c:pt idx="690">
                  <c:v>43739</c:v>
                </c:pt>
                <c:pt idx="691">
                  <c:v>43740</c:v>
                </c:pt>
                <c:pt idx="692">
                  <c:v>43741</c:v>
                </c:pt>
                <c:pt idx="693">
                  <c:v>43742</c:v>
                </c:pt>
                <c:pt idx="694">
                  <c:v>43745</c:v>
                </c:pt>
                <c:pt idx="695">
                  <c:v>43746</c:v>
                </c:pt>
                <c:pt idx="696">
                  <c:v>43747</c:v>
                </c:pt>
                <c:pt idx="697">
                  <c:v>43748</c:v>
                </c:pt>
                <c:pt idx="698">
                  <c:v>43749</c:v>
                </c:pt>
                <c:pt idx="699">
                  <c:v>43752</c:v>
                </c:pt>
                <c:pt idx="700">
                  <c:v>43753</c:v>
                </c:pt>
                <c:pt idx="701">
                  <c:v>43754</c:v>
                </c:pt>
                <c:pt idx="702">
                  <c:v>43755</c:v>
                </c:pt>
                <c:pt idx="703">
                  <c:v>43756</c:v>
                </c:pt>
                <c:pt idx="704">
                  <c:v>43759</c:v>
                </c:pt>
                <c:pt idx="705">
                  <c:v>43760</c:v>
                </c:pt>
                <c:pt idx="706">
                  <c:v>43761</c:v>
                </c:pt>
                <c:pt idx="707">
                  <c:v>43762</c:v>
                </c:pt>
                <c:pt idx="708">
                  <c:v>43763</c:v>
                </c:pt>
                <c:pt idx="709">
                  <c:v>43766</c:v>
                </c:pt>
                <c:pt idx="710">
                  <c:v>43767</c:v>
                </c:pt>
                <c:pt idx="711">
                  <c:v>43768</c:v>
                </c:pt>
                <c:pt idx="712">
                  <c:v>43769</c:v>
                </c:pt>
                <c:pt idx="713">
                  <c:v>43770</c:v>
                </c:pt>
                <c:pt idx="714">
                  <c:v>43773</c:v>
                </c:pt>
                <c:pt idx="715">
                  <c:v>43774</c:v>
                </c:pt>
                <c:pt idx="716">
                  <c:v>43775</c:v>
                </c:pt>
                <c:pt idx="717">
                  <c:v>43776</c:v>
                </c:pt>
                <c:pt idx="718">
                  <c:v>43777</c:v>
                </c:pt>
                <c:pt idx="719">
                  <c:v>43780</c:v>
                </c:pt>
                <c:pt idx="720">
                  <c:v>43781</c:v>
                </c:pt>
                <c:pt idx="721">
                  <c:v>43782</c:v>
                </c:pt>
                <c:pt idx="722">
                  <c:v>43783</c:v>
                </c:pt>
                <c:pt idx="723">
                  <c:v>43784</c:v>
                </c:pt>
                <c:pt idx="724">
                  <c:v>43787</c:v>
                </c:pt>
                <c:pt idx="725">
                  <c:v>43788</c:v>
                </c:pt>
                <c:pt idx="726">
                  <c:v>43789</c:v>
                </c:pt>
                <c:pt idx="727">
                  <c:v>43790</c:v>
                </c:pt>
                <c:pt idx="728">
                  <c:v>43791</c:v>
                </c:pt>
                <c:pt idx="729">
                  <c:v>43794</c:v>
                </c:pt>
                <c:pt idx="730">
                  <c:v>43795</c:v>
                </c:pt>
                <c:pt idx="731">
                  <c:v>43796</c:v>
                </c:pt>
                <c:pt idx="732">
                  <c:v>43798</c:v>
                </c:pt>
                <c:pt idx="733">
                  <c:v>43801</c:v>
                </c:pt>
                <c:pt idx="734">
                  <c:v>43802</c:v>
                </c:pt>
                <c:pt idx="735">
                  <c:v>43803</c:v>
                </c:pt>
                <c:pt idx="736">
                  <c:v>43804</c:v>
                </c:pt>
                <c:pt idx="737">
                  <c:v>43805</c:v>
                </c:pt>
                <c:pt idx="738">
                  <c:v>43808</c:v>
                </c:pt>
                <c:pt idx="739">
                  <c:v>43809</c:v>
                </c:pt>
                <c:pt idx="740">
                  <c:v>43810</c:v>
                </c:pt>
                <c:pt idx="741">
                  <c:v>43811</c:v>
                </c:pt>
                <c:pt idx="742">
                  <c:v>43812</c:v>
                </c:pt>
                <c:pt idx="743">
                  <c:v>43815</c:v>
                </c:pt>
                <c:pt idx="744">
                  <c:v>43816</c:v>
                </c:pt>
                <c:pt idx="745">
                  <c:v>43817</c:v>
                </c:pt>
                <c:pt idx="746">
                  <c:v>43818</c:v>
                </c:pt>
                <c:pt idx="747">
                  <c:v>43819</c:v>
                </c:pt>
                <c:pt idx="748">
                  <c:v>43822</c:v>
                </c:pt>
                <c:pt idx="749">
                  <c:v>43823</c:v>
                </c:pt>
                <c:pt idx="750">
                  <c:v>43825</c:v>
                </c:pt>
                <c:pt idx="751">
                  <c:v>43826</c:v>
                </c:pt>
                <c:pt idx="752">
                  <c:v>43829</c:v>
                </c:pt>
                <c:pt idx="753">
                  <c:v>43830</c:v>
                </c:pt>
                <c:pt idx="754">
                  <c:v>43832</c:v>
                </c:pt>
                <c:pt idx="755">
                  <c:v>43833</c:v>
                </c:pt>
                <c:pt idx="756">
                  <c:v>43836</c:v>
                </c:pt>
                <c:pt idx="757">
                  <c:v>43837</c:v>
                </c:pt>
                <c:pt idx="758">
                  <c:v>43838</c:v>
                </c:pt>
                <c:pt idx="759">
                  <c:v>43839</c:v>
                </c:pt>
                <c:pt idx="760">
                  <c:v>43840</c:v>
                </c:pt>
                <c:pt idx="761">
                  <c:v>43843</c:v>
                </c:pt>
                <c:pt idx="762">
                  <c:v>43844</c:v>
                </c:pt>
                <c:pt idx="763">
                  <c:v>43845</c:v>
                </c:pt>
                <c:pt idx="764">
                  <c:v>43846</c:v>
                </c:pt>
                <c:pt idx="765">
                  <c:v>43847</c:v>
                </c:pt>
                <c:pt idx="766">
                  <c:v>43851</c:v>
                </c:pt>
                <c:pt idx="767">
                  <c:v>43852</c:v>
                </c:pt>
                <c:pt idx="768">
                  <c:v>43853</c:v>
                </c:pt>
                <c:pt idx="769">
                  <c:v>43854</c:v>
                </c:pt>
                <c:pt idx="770">
                  <c:v>43857</c:v>
                </c:pt>
                <c:pt idx="771">
                  <c:v>43858</c:v>
                </c:pt>
                <c:pt idx="772">
                  <c:v>43859</c:v>
                </c:pt>
                <c:pt idx="773">
                  <c:v>43860</c:v>
                </c:pt>
                <c:pt idx="774">
                  <c:v>43861</c:v>
                </c:pt>
                <c:pt idx="775">
                  <c:v>43864</c:v>
                </c:pt>
                <c:pt idx="776">
                  <c:v>43865</c:v>
                </c:pt>
                <c:pt idx="777">
                  <c:v>43866</c:v>
                </c:pt>
                <c:pt idx="778">
                  <c:v>43867</c:v>
                </c:pt>
                <c:pt idx="779">
                  <c:v>43868</c:v>
                </c:pt>
                <c:pt idx="780">
                  <c:v>43871</c:v>
                </c:pt>
                <c:pt idx="781">
                  <c:v>43872</c:v>
                </c:pt>
                <c:pt idx="782">
                  <c:v>43873</c:v>
                </c:pt>
                <c:pt idx="783">
                  <c:v>43874</c:v>
                </c:pt>
                <c:pt idx="784">
                  <c:v>43875</c:v>
                </c:pt>
                <c:pt idx="785">
                  <c:v>43879</c:v>
                </c:pt>
                <c:pt idx="786">
                  <c:v>43880</c:v>
                </c:pt>
                <c:pt idx="787">
                  <c:v>43881</c:v>
                </c:pt>
                <c:pt idx="788">
                  <c:v>43882</c:v>
                </c:pt>
                <c:pt idx="789">
                  <c:v>43885</c:v>
                </c:pt>
                <c:pt idx="790">
                  <c:v>43886</c:v>
                </c:pt>
                <c:pt idx="791">
                  <c:v>43887</c:v>
                </c:pt>
                <c:pt idx="792">
                  <c:v>43888</c:v>
                </c:pt>
                <c:pt idx="793">
                  <c:v>43889</c:v>
                </c:pt>
                <c:pt idx="794">
                  <c:v>43892</c:v>
                </c:pt>
                <c:pt idx="795">
                  <c:v>43893</c:v>
                </c:pt>
                <c:pt idx="796">
                  <c:v>43894</c:v>
                </c:pt>
                <c:pt idx="797">
                  <c:v>43895</c:v>
                </c:pt>
                <c:pt idx="798">
                  <c:v>43896</c:v>
                </c:pt>
                <c:pt idx="799">
                  <c:v>43899</c:v>
                </c:pt>
                <c:pt idx="800">
                  <c:v>43900</c:v>
                </c:pt>
                <c:pt idx="801">
                  <c:v>43901</c:v>
                </c:pt>
                <c:pt idx="802">
                  <c:v>43902</c:v>
                </c:pt>
                <c:pt idx="803">
                  <c:v>43903</c:v>
                </c:pt>
                <c:pt idx="804">
                  <c:v>43906</c:v>
                </c:pt>
                <c:pt idx="805">
                  <c:v>43907</c:v>
                </c:pt>
                <c:pt idx="806">
                  <c:v>43908</c:v>
                </c:pt>
                <c:pt idx="807">
                  <c:v>43909</c:v>
                </c:pt>
                <c:pt idx="808">
                  <c:v>43910</c:v>
                </c:pt>
                <c:pt idx="809">
                  <c:v>43913</c:v>
                </c:pt>
                <c:pt idx="810">
                  <c:v>43914</c:v>
                </c:pt>
                <c:pt idx="811">
                  <c:v>43915</c:v>
                </c:pt>
                <c:pt idx="812">
                  <c:v>43916</c:v>
                </c:pt>
                <c:pt idx="813">
                  <c:v>43917</c:v>
                </c:pt>
                <c:pt idx="814">
                  <c:v>43920</c:v>
                </c:pt>
                <c:pt idx="815">
                  <c:v>43921</c:v>
                </c:pt>
                <c:pt idx="816">
                  <c:v>43922</c:v>
                </c:pt>
                <c:pt idx="817">
                  <c:v>43923</c:v>
                </c:pt>
                <c:pt idx="818">
                  <c:v>43924</c:v>
                </c:pt>
                <c:pt idx="819">
                  <c:v>43927</c:v>
                </c:pt>
                <c:pt idx="820">
                  <c:v>43928</c:v>
                </c:pt>
                <c:pt idx="821">
                  <c:v>43929</c:v>
                </c:pt>
                <c:pt idx="822">
                  <c:v>43930</c:v>
                </c:pt>
                <c:pt idx="823">
                  <c:v>43934</c:v>
                </c:pt>
                <c:pt idx="824">
                  <c:v>43935</c:v>
                </c:pt>
                <c:pt idx="825">
                  <c:v>43936</c:v>
                </c:pt>
                <c:pt idx="826">
                  <c:v>43937</c:v>
                </c:pt>
                <c:pt idx="827">
                  <c:v>43938</c:v>
                </c:pt>
                <c:pt idx="828">
                  <c:v>43941</c:v>
                </c:pt>
                <c:pt idx="829">
                  <c:v>43942</c:v>
                </c:pt>
                <c:pt idx="830">
                  <c:v>43943</c:v>
                </c:pt>
                <c:pt idx="831">
                  <c:v>43944</c:v>
                </c:pt>
                <c:pt idx="832">
                  <c:v>43945</c:v>
                </c:pt>
                <c:pt idx="833">
                  <c:v>43948</c:v>
                </c:pt>
                <c:pt idx="834">
                  <c:v>43949</c:v>
                </c:pt>
                <c:pt idx="835">
                  <c:v>43950</c:v>
                </c:pt>
                <c:pt idx="836">
                  <c:v>43951</c:v>
                </c:pt>
                <c:pt idx="837">
                  <c:v>43952</c:v>
                </c:pt>
                <c:pt idx="838">
                  <c:v>43955</c:v>
                </c:pt>
                <c:pt idx="839">
                  <c:v>43956</c:v>
                </c:pt>
                <c:pt idx="840">
                  <c:v>43957</c:v>
                </c:pt>
                <c:pt idx="841">
                  <c:v>43958</c:v>
                </c:pt>
                <c:pt idx="842">
                  <c:v>43959</c:v>
                </c:pt>
                <c:pt idx="843">
                  <c:v>43962</c:v>
                </c:pt>
                <c:pt idx="844">
                  <c:v>43963</c:v>
                </c:pt>
                <c:pt idx="845">
                  <c:v>43964</c:v>
                </c:pt>
                <c:pt idx="846">
                  <c:v>43965</c:v>
                </c:pt>
                <c:pt idx="847">
                  <c:v>43966</c:v>
                </c:pt>
                <c:pt idx="848">
                  <c:v>43969</c:v>
                </c:pt>
                <c:pt idx="849">
                  <c:v>43970</c:v>
                </c:pt>
                <c:pt idx="850">
                  <c:v>43971</c:v>
                </c:pt>
                <c:pt idx="851">
                  <c:v>43972</c:v>
                </c:pt>
                <c:pt idx="852">
                  <c:v>43973</c:v>
                </c:pt>
                <c:pt idx="853">
                  <c:v>43977</c:v>
                </c:pt>
                <c:pt idx="854">
                  <c:v>43978</c:v>
                </c:pt>
                <c:pt idx="855">
                  <c:v>43979</c:v>
                </c:pt>
                <c:pt idx="856">
                  <c:v>43980</c:v>
                </c:pt>
                <c:pt idx="857">
                  <c:v>43983</c:v>
                </c:pt>
                <c:pt idx="858">
                  <c:v>43984</c:v>
                </c:pt>
                <c:pt idx="859">
                  <c:v>43985</c:v>
                </c:pt>
                <c:pt idx="860">
                  <c:v>43986</c:v>
                </c:pt>
                <c:pt idx="861">
                  <c:v>43987</c:v>
                </c:pt>
                <c:pt idx="862">
                  <c:v>43990</c:v>
                </c:pt>
                <c:pt idx="863">
                  <c:v>43991</c:v>
                </c:pt>
                <c:pt idx="864">
                  <c:v>43992</c:v>
                </c:pt>
                <c:pt idx="865">
                  <c:v>43993</c:v>
                </c:pt>
                <c:pt idx="866">
                  <c:v>43994</c:v>
                </c:pt>
                <c:pt idx="867">
                  <c:v>43997</c:v>
                </c:pt>
                <c:pt idx="868">
                  <c:v>43998</c:v>
                </c:pt>
                <c:pt idx="869">
                  <c:v>43999</c:v>
                </c:pt>
                <c:pt idx="870">
                  <c:v>44000</c:v>
                </c:pt>
                <c:pt idx="871">
                  <c:v>44001</c:v>
                </c:pt>
                <c:pt idx="872">
                  <c:v>44004</c:v>
                </c:pt>
                <c:pt idx="873">
                  <c:v>44005</c:v>
                </c:pt>
                <c:pt idx="874">
                  <c:v>44006</c:v>
                </c:pt>
                <c:pt idx="875">
                  <c:v>44007</c:v>
                </c:pt>
                <c:pt idx="876">
                  <c:v>44008</c:v>
                </c:pt>
                <c:pt idx="877">
                  <c:v>44011</c:v>
                </c:pt>
                <c:pt idx="878">
                  <c:v>44012</c:v>
                </c:pt>
                <c:pt idx="879">
                  <c:v>44013</c:v>
                </c:pt>
                <c:pt idx="880">
                  <c:v>44014</c:v>
                </c:pt>
                <c:pt idx="881">
                  <c:v>44018</c:v>
                </c:pt>
                <c:pt idx="882">
                  <c:v>44019</c:v>
                </c:pt>
                <c:pt idx="883">
                  <c:v>44020</c:v>
                </c:pt>
                <c:pt idx="884">
                  <c:v>44021</c:v>
                </c:pt>
                <c:pt idx="885">
                  <c:v>44022</c:v>
                </c:pt>
                <c:pt idx="886">
                  <c:v>44025</c:v>
                </c:pt>
                <c:pt idx="887">
                  <c:v>44026</c:v>
                </c:pt>
                <c:pt idx="888">
                  <c:v>44027</c:v>
                </c:pt>
                <c:pt idx="889">
                  <c:v>44028</c:v>
                </c:pt>
                <c:pt idx="890">
                  <c:v>44029</c:v>
                </c:pt>
                <c:pt idx="891">
                  <c:v>44032</c:v>
                </c:pt>
                <c:pt idx="892">
                  <c:v>44033</c:v>
                </c:pt>
                <c:pt idx="893">
                  <c:v>44034</c:v>
                </c:pt>
                <c:pt idx="894">
                  <c:v>44035</c:v>
                </c:pt>
                <c:pt idx="895">
                  <c:v>44036</c:v>
                </c:pt>
                <c:pt idx="896">
                  <c:v>44039</c:v>
                </c:pt>
                <c:pt idx="897">
                  <c:v>44040</c:v>
                </c:pt>
                <c:pt idx="898">
                  <c:v>44041</c:v>
                </c:pt>
                <c:pt idx="899">
                  <c:v>44042</c:v>
                </c:pt>
                <c:pt idx="900">
                  <c:v>44043</c:v>
                </c:pt>
                <c:pt idx="901">
                  <c:v>44046</c:v>
                </c:pt>
                <c:pt idx="902">
                  <c:v>44047</c:v>
                </c:pt>
                <c:pt idx="903">
                  <c:v>44048</c:v>
                </c:pt>
                <c:pt idx="904">
                  <c:v>44049</c:v>
                </c:pt>
                <c:pt idx="905">
                  <c:v>44050</c:v>
                </c:pt>
                <c:pt idx="906">
                  <c:v>44053</c:v>
                </c:pt>
                <c:pt idx="907">
                  <c:v>44054</c:v>
                </c:pt>
                <c:pt idx="908">
                  <c:v>44055</c:v>
                </c:pt>
                <c:pt idx="909">
                  <c:v>44056</c:v>
                </c:pt>
                <c:pt idx="910">
                  <c:v>44057</c:v>
                </c:pt>
                <c:pt idx="911">
                  <c:v>44060</c:v>
                </c:pt>
                <c:pt idx="912">
                  <c:v>44061</c:v>
                </c:pt>
                <c:pt idx="913">
                  <c:v>44062</c:v>
                </c:pt>
                <c:pt idx="914">
                  <c:v>44063</c:v>
                </c:pt>
                <c:pt idx="915">
                  <c:v>44064</c:v>
                </c:pt>
                <c:pt idx="916">
                  <c:v>44067</c:v>
                </c:pt>
                <c:pt idx="917">
                  <c:v>44068</c:v>
                </c:pt>
                <c:pt idx="918">
                  <c:v>44069</c:v>
                </c:pt>
                <c:pt idx="919">
                  <c:v>44070</c:v>
                </c:pt>
                <c:pt idx="920">
                  <c:v>44071</c:v>
                </c:pt>
                <c:pt idx="921">
                  <c:v>44074</c:v>
                </c:pt>
                <c:pt idx="922">
                  <c:v>44075</c:v>
                </c:pt>
                <c:pt idx="923">
                  <c:v>44076</c:v>
                </c:pt>
                <c:pt idx="924">
                  <c:v>44077</c:v>
                </c:pt>
                <c:pt idx="925">
                  <c:v>44078</c:v>
                </c:pt>
                <c:pt idx="926">
                  <c:v>44082</c:v>
                </c:pt>
                <c:pt idx="927">
                  <c:v>44083</c:v>
                </c:pt>
                <c:pt idx="928">
                  <c:v>44084</c:v>
                </c:pt>
                <c:pt idx="929">
                  <c:v>44085</c:v>
                </c:pt>
                <c:pt idx="930">
                  <c:v>44088</c:v>
                </c:pt>
                <c:pt idx="931">
                  <c:v>44089</c:v>
                </c:pt>
                <c:pt idx="932">
                  <c:v>44090</c:v>
                </c:pt>
                <c:pt idx="933">
                  <c:v>44091</c:v>
                </c:pt>
                <c:pt idx="934">
                  <c:v>44092</c:v>
                </c:pt>
                <c:pt idx="935">
                  <c:v>44095</c:v>
                </c:pt>
                <c:pt idx="936">
                  <c:v>44096</c:v>
                </c:pt>
                <c:pt idx="937">
                  <c:v>44097</c:v>
                </c:pt>
                <c:pt idx="938">
                  <c:v>44098</c:v>
                </c:pt>
                <c:pt idx="939">
                  <c:v>44099</c:v>
                </c:pt>
                <c:pt idx="940">
                  <c:v>44102</c:v>
                </c:pt>
                <c:pt idx="941">
                  <c:v>44103</c:v>
                </c:pt>
                <c:pt idx="942">
                  <c:v>44104</c:v>
                </c:pt>
                <c:pt idx="943">
                  <c:v>44105</c:v>
                </c:pt>
                <c:pt idx="944">
                  <c:v>44106</c:v>
                </c:pt>
                <c:pt idx="945">
                  <c:v>44109</c:v>
                </c:pt>
                <c:pt idx="946">
                  <c:v>44110</c:v>
                </c:pt>
                <c:pt idx="947">
                  <c:v>44111</c:v>
                </c:pt>
                <c:pt idx="948">
                  <c:v>44112</c:v>
                </c:pt>
                <c:pt idx="949">
                  <c:v>44113</c:v>
                </c:pt>
                <c:pt idx="950">
                  <c:v>44116</c:v>
                </c:pt>
                <c:pt idx="951">
                  <c:v>44117</c:v>
                </c:pt>
                <c:pt idx="952">
                  <c:v>44118</c:v>
                </c:pt>
                <c:pt idx="953">
                  <c:v>44119</c:v>
                </c:pt>
                <c:pt idx="954">
                  <c:v>44120</c:v>
                </c:pt>
                <c:pt idx="955">
                  <c:v>44123</c:v>
                </c:pt>
                <c:pt idx="956">
                  <c:v>44124</c:v>
                </c:pt>
                <c:pt idx="957">
                  <c:v>44125</c:v>
                </c:pt>
                <c:pt idx="958">
                  <c:v>44126</c:v>
                </c:pt>
                <c:pt idx="959">
                  <c:v>44127</c:v>
                </c:pt>
                <c:pt idx="960">
                  <c:v>44130</c:v>
                </c:pt>
                <c:pt idx="961">
                  <c:v>44131</c:v>
                </c:pt>
                <c:pt idx="962">
                  <c:v>44132</c:v>
                </c:pt>
                <c:pt idx="963">
                  <c:v>44133</c:v>
                </c:pt>
                <c:pt idx="964">
                  <c:v>44134</c:v>
                </c:pt>
                <c:pt idx="965">
                  <c:v>44137</c:v>
                </c:pt>
                <c:pt idx="966">
                  <c:v>44138</c:v>
                </c:pt>
                <c:pt idx="967">
                  <c:v>44139</c:v>
                </c:pt>
                <c:pt idx="968">
                  <c:v>44140</c:v>
                </c:pt>
                <c:pt idx="969">
                  <c:v>44141</c:v>
                </c:pt>
                <c:pt idx="970">
                  <c:v>44144</c:v>
                </c:pt>
                <c:pt idx="971">
                  <c:v>44145</c:v>
                </c:pt>
                <c:pt idx="972">
                  <c:v>44146</c:v>
                </c:pt>
                <c:pt idx="973">
                  <c:v>44147</c:v>
                </c:pt>
                <c:pt idx="974">
                  <c:v>44148</c:v>
                </c:pt>
                <c:pt idx="975">
                  <c:v>44151</c:v>
                </c:pt>
                <c:pt idx="976">
                  <c:v>44152</c:v>
                </c:pt>
                <c:pt idx="977">
                  <c:v>44153</c:v>
                </c:pt>
                <c:pt idx="978">
                  <c:v>44154</c:v>
                </c:pt>
                <c:pt idx="979">
                  <c:v>44196</c:v>
                </c:pt>
                <c:pt idx="980">
                  <c:v>44561</c:v>
                </c:pt>
                <c:pt idx="981">
                  <c:v>44926</c:v>
                </c:pt>
                <c:pt idx="982">
                  <c:v>45291</c:v>
                </c:pt>
                <c:pt idx="983">
                  <c:v>45657</c:v>
                </c:pt>
                <c:pt idx="984">
                  <c:v>46022</c:v>
                </c:pt>
              </c:numCache>
            </c:numRef>
          </c:cat>
          <c:val>
            <c:numRef>
              <c:f>'Share Price'!$B$11:$B$995</c:f>
              <c:numCache>
                <c:formatCode>#,##0_ </c:formatCode>
                <c:ptCount val="985"/>
                <c:pt idx="0">
                  <c:v>753.669983</c:v>
                </c:pt>
                <c:pt idx="1">
                  <c:v>757.17999299999997</c:v>
                </c:pt>
                <c:pt idx="2">
                  <c:v>780.45001200000002</c:v>
                </c:pt>
                <c:pt idx="3">
                  <c:v>795.98999000000003</c:v>
                </c:pt>
                <c:pt idx="4">
                  <c:v>796.919983</c:v>
                </c:pt>
                <c:pt idx="5">
                  <c:v>795.90002400000003</c:v>
                </c:pt>
                <c:pt idx="6">
                  <c:v>799.02002000000005</c:v>
                </c:pt>
                <c:pt idx="7">
                  <c:v>813.64001499999995</c:v>
                </c:pt>
                <c:pt idx="8">
                  <c:v>817.14001499999995</c:v>
                </c:pt>
                <c:pt idx="9">
                  <c:v>809.71997099999999</c:v>
                </c:pt>
                <c:pt idx="10">
                  <c:v>807.47997999999995</c:v>
                </c:pt>
                <c:pt idx="11">
                  <c:v>809.03997800000002</c:v>
                </c:pt>
                <c:pt idx="12">
                  <c:v>808.330017</c:v>
                </c:pt>
                <c:pt idx="13">
                  <c:v>817.88000499999998</c:v>
                </c:pt>
                <c:pt idx="14">
                  <c:v>822.44000200000005</c:v>
                </c:pt>
                <c:pt idx="15">
                  <c:v>836.52002000000005</c:v>
                </c:pt>
                <c:pt idx="16">
                  <c:v>839.15002400000003</c:v>
                </c:pt>
                <c:pt idx="17">
                  <c:v>835.77002000000005</c:v>
                </c:pt>
                <c:pt idx="18">
                  <c:v>830.38000499999998</c:v>
                </c:pt>
                <c:pt idx="19">
                  <c:v>823.47997999999995</c:v>
                </c:pt>
                <c:pt idx="20">
                  <c:v>832.34997599999997</c:v>
                </c:pt>
                <c:pt idx="21">
                  <c:v>839.95001200000002</c:v>
                </c:pt>
                <c:pt idx="22">
                  <c:v>810.20001200000002</c:v>
                </c:pt>
                <c:pt idx="23">
                  <c:v>807.64001499999995</c:v>
                </c:pt>
                <c:pt idx="24">
                  <c:v>812.5</c:v>
                </c:pt>
                <c:pt idx="25">
                  <c:v>819.71002199999998</c:v>
                </c:pt>
                <c:pt idx="26">
                  <c:v>821.35998500000005</c:v>
                </c:pt>
                <c:pt idx="27">
                  <c:v>827.46002199999998</c:v>
                </c:pt>
                <c:pt idx="28">
                  <c:v>836.53002900000001</c:v>
                </c:pt>
                <c:pt idx="29">
                  <c:v>836.39001499999995</c:v>
                </c:pt>
                <c:pt idx="30">
                  <c:v>842.70001200000002</c:v>
                </c:pt>
                <c:pt idx="31">
                  <c:v>844.14001499999995</c:v>
                </c:pt>
                <c:pt idx="32">
                  <c:v>845.07000700000003</c:v>
                </c:pt>
                <c:pt idx="33">
                  <c:v>856.44000200000005</c:v>
                </c:pt>
                <c:pt idx="34">
                  <c:v>855.60998500000005</c:v>
                </c:pt>
                <c:pt idx="35">
                  <c:v>852.19000200000005</c:v>
                </c:pt>
                <c:pt idx="36">
                  <c:v>845.23999000000003</c:v>
                </c:pt>
                <c:pt idx="37">
                  <c:v>848.64001499999995</c:v>
                </c:pt>
                <c:pt idx="38">
                  <c:v>845.03997800000002</c:v>
                </c:pt>
                <c:pt idx="39">
                  <c:v>853.080017</c:v>
                </c:pt>
                <c:pt idx="40">
                  <c:v>848.90997300000004</c:v>
                </c:pt>
                <c:pt idx="41">
                  <c:v>849.88000499999998</c:v>
                </c:pt>
                <c:pt idx="42">
                  <c:v>846.60998500000005</c:v>
                </c:pt>
                <c:pt idx="43">
                  <c:v>846.02002000000005</c:v>
                </c:pt>
                <c:pt idx="44">
                  <c:v>850.5</c:v>
                </c:pt>
                <c:pt idx="45">
                  <c:v>853</c:v>
                </c:pt>
                <c:pt idx="46">
                  <c:v>852.46002199999998</c:v>
                </c:pt>
                <c:pt idx="47">
                  <c:v>854.59002699999996</c:v>
                </c:pt>
                <c:pt idx="48">
                  <c:v>852.53002900000001</c:v>
                </c:pt>
                <c:pt idx="49">
                  <c:v>852.96997099999999</c:v>
                </c:pt>
                <c:pt idx="50">
                  <c:v>853.419983</c:v>
                </c:pt>
                <c:pt idx="51">
                  <c:v>852.30999799999995</c:v>
                </c:pt>
                <c:pt idx="52">
                  <c:v>856.96997099999999</c:v>
                </c:pt>
                <c:pt idx="53">
                  <c:v>843.20001200000002</c:v>
                </c:pt>
                <c:pt idx="54">
                  <c:v>848.05999799999995</c:v>
                </c:pt>
                <c:pt idx="55">
                  <c:v>847.38000499999998</c:v>
                </c:pt>
                <c:pt idx="56">
                  <c:v>845.60998500000005</c:v>
                </c:pt>
                <c:pt idx="57">
                  <c:v>846.82000700000003</c:v>
                </c:pt>
                <c:pt idx="58">
                  <c:v>856</c:v>
                </c:pt>
                <c:pt idx="59">
                  <c:v>874.32000700000003</c:v>
                </c:pt>
                <c:pt idx="60">
                  <c:v>876.34002699999996</c:v>
                </c:pt>
                <c:pt idx="61">
                  <c:v>886.53997800000002</c:v>
                </c:pt>
                <c:pt idx="62">
                  <c:v>891.51000999999997</c:v>
                </c:pt>
                <c:pt idx="63">
                  <c:v>906.830017</c:v>
                </c:pt>
                <c:pt idx="64">
                  <c:v>909.28002900000001</c:v>
                </c:pt>
                <c:pt idx="65">
                  <c:v>898.28002900000001</c:v>
                </c:pt>
                <c:pt idx="66">
                  <c:v>894.88000499999998</c:v>
                </c:pt>
                <c:pt idx="67">
                  <c:v>907.03997800000002</c:v>
                </c:pt>
                <c:pt idx="68">
                  <c:v>902.35998500000005</c:v>
                </c:pt>
                <c:pt idx="69">
                  <c:v>896.22997999999995</c:v>
                </c:pt>
                <c:pt idx="70">
                  <c:v>884.669983</c:v>
                </c:pt>
                <c:pt idx="71">
                  <c:v>901.98999000000003</c:v>
                </c:pt>
                <c:pt idx="72">
                  <c:v>903.78002900000001</c:v>
                </c:pt>
                <c:pt idx="73">
                  <c:v>899.20001200000002</c:v>
                </c:pt>
                <c:pt idx="74">
                  <c:v>902.05999799999995</c:v>
                </c:pt>
                <c:pt idx="75">
                  <c:v>898.53002900000001</c:v>
                </c:pt>
                <c:pt idx="76">
                  <c:v>907.40997300000004</c:v>
                </c:pt>
                <c:pt idx="77">
                  <c:v>907.61999500000002</c:v>
                </c:pt>
                <c:pt idx="78">
                  <c:v>909.28997800000002</c:v>
                </c:pt>
                <c:pt idx="79">
                  <c:v>918.38000499999998</c:v>
                </c:pt>
                <c:pt idx="80">
                  <c:v>924.98999000000003</c:v>
                </c:pt>
                <c:pt idx="81">
                  <c:v>948.22997999999995</c:v>
                </c:pt>
                <c:pt idx="82">
                  <c:v>946.94000200000005</c:v>
                </c:pt>
                <c:pt idx="83">
                  <c:v>941.03002900000001</c:v>
                </c:pt>
                <c:pt idx="84">
                  <c:v>937.53002900000001</c:v>
                </c:pt>
                <c:pt idx="85">
                  <c:v>934.15002400000003</c:v>
                </c:pt>
                <c:pt idx="86">
                  <c:v>949.03997800000002</c:v>
                </c:pt>
                <c:pt idx="87">
                  <c:v>952.82000700000003</c:v>
                </c:pt>
                <c:pt idx="88">
                  <c:v>948.95001200000002</c:v>
                </c:pt>
                <c:pt idx="89">
                  <c:v>947.61999500000002</c:v>
                </c:pt>
                <c:pt idx="90">
                  <c:v>961.34997599999997</c:v>
                </c:pt>
                <c:pt idx="91">
                  <c:v>957.96997099999999</c:v>
                </c:pt>
                <c:pt idx="92">
                  <c:v>966.07000700000003</c:v>
                </c:pt>
                <c:pt idx="93">
                  <c:v>944.76000999999997</c:v>
                </c:pt>
                <c:pt idx="94">
                  <c:v>958.48999000000003</c:v>
                </c:pt>
                <c:pt idx="95">
                  <c:v>959.84002699999996</c:v>
                </c:pt>
                <c:pt idx="96">
                  <c:v>970.669983</c:v>
                </c:pt>
                <c:pt idx="97">
                  <c:v>971.53997800000002</c:v>
                </c:pt>
                <c:pt idx="98">
                  <c:v>980.34997599999997</c:v>
                </c:pt>
                <c:pt idx="99">
                  <c:v>993.38000499999998</c:v>
                </c:pt>
                <c:pt idx="100">
                  <c:v>995.78002900000001</c:v>
                </c:pt>
                <c:pt idx="101">
                  <c:v>996.70001200000002</c:v>
                </c:pt>
                <c:pt idx="102">
                  <c:v>994.61999500000002</c:v>
                </c:pt>
                <c:pt idx="103">
                  <c:v>995.95001200000002</c:v>
                </c:pt>
                <c:pt idx="104">
                  <c:v>1006.72998</c:v>
                </c:pt>
                <c:pt idx="105">
                  <c:v>1011.340027</c:v>
                </c:pt>
                <c:pt idx="106">
                  <c:v>1003</c:v>
                </c:pt>
                <c:pt idx="107">
                  <c:v>1010.070007</c:v>
                </c:pt>
                <c:pt idx="108">
                  <c:v>1010.27002</c:v>
                </c:pt>
                <c:pt idx="109">
                  <c:v>978.30999799999995</c:v>
                </c:pt>
                <c:pt idx="110">
                  <c:v>964.90997300000004</c:v>
                </c:pt>
                <c:pt idx="111">
                  <c:v>980.78997800000002</c:v>
                </c:pt>
                <c:pt idx="112">
                  <c:v>976.46997099999999</c:v>
                </c:pt>
                <c:pt idx="113">
                  <c:v>964.169983</c:v>
                </c:pt>
                <c:pt idx="114">
                  <c:v>987.71002199999998</c:v>
                </c:pt>
                <c:pt idx="115">
                  <c:v>995.169983</c:v>
                </c:pt>
                <c:pt idx="116">
                  <c:v>992.59002699999996</c:v>
                </c:pt>
                <c:pt idx="117">
                  <c:v>1002.22998</c:v>
                </c:pt>
                <c:pt idx="118">
                  <c:v>1001.299988</c:v>
                </c:pt>
                <c:pt idx="119">
                  <c:v>1003.73999</c:v>
                </c:pt>
                <c:pt idx="120">
                  <c:v>993.97997999999995</c:v>
                </c:pt>
                <c:pt idx="121">
                  <c:v>976.78002900000001</c:v>
                </c:pt>
                <c:pt idx="122">
                  <c:v>990.330017</c:v>
                </c:pt>
                <c:pt idx="123">
                  <c:v>975.92999299999997</c:v>
                </c:pt>
                <c:pt idx="124">
                  <c:v>968</c:v>
                </c:pt>
                <c:pt idx="125">
                  <c:v>953.65997300000004</c:v>
                </c:pt>
                <c:pt idx="126">
                  <c:v>971.40002400000003</c:v>
                </c:pt>
                <c:pt idx="127">
                  <c:v>965.14001499999995</c:v>
                </c:pt>
                <c:pt idx="128">
                  <c:v>978.76000999999997</c:v>
                </c:pt>
                <c:pt idx="129">
                  <c:v>996.46997099999999</c:v>
                </c:pt>
                <c:pt idx="130">
                  <c:v>994.13000499999998</c:v>
                </c:pt>
                <c:pt idx="131">
                  <c:v>1006.51001</c:v>
                </c:pt>
                <c:pt idx="132">
                  <c:v>1000.630005</c:v>
                </c:pt>
                <c:pt idx="133">
                  <c:v>1001.809998</c:v>
                </c:pt>
                <c:pt idx="134">
                  <c:v>1010.039978</c:v>
                </c:pt>
                <c:pt idx="135">
                  <c:v>1024.4499510000001</c:v>
                </c:pt>
                <c:pt idx="136">
                  <c:v>1026.869995</c:v>
                </c:pt>
                <c:pt idx="137">
                  <c:v>1028.6999510000001</c:v>
                </c:pt>
                <c:pt idx="138">
                  <c:v>1025.670044</c:v>
                </c:pt>
                <c:pt idx="139">
                  <c:v>1038.9499510000001</c:v>
                </c:pt>
                <c:pt idx="140">
                  <c:v>1039.869995</c:v>
                </c:pt>
                <c:pt idx="141">
                  <c:v>1052.8000489999999</c:v>
                </c:pt>
                <c:pt idx="142">
                  <c:v>1046</c:v>
                </c:pt>
                <c:pt idx="143">
                  <c:v>1020.039978</c:v>
                </c:pt>
                <c:pt idx="144">
                  <c:v>987.78002900000001</c:v>
                </c:pt>
                <c:pt idx="145">
                  <c:v>996.19000200000005</c:v>
                </c:pt>
                <c:pt idx="146">
                  <c:v>995.89001499999995</c:v>
                </c:pt>
                <c:pt idx="147">
                  <c:v>986.919983</c:v>
                </c:pt>
                <c:pt idx="148">
                  <c:v>987.580017</c:v>
                </c:pt>
                <c:pt idx="149">
                  <c:v>992.27002000000005</c:v>
                </c:pt>
                <c:pt idx="150">
                  <c:v>989.84002699999996</c:v>
                </c:pt>
                <c:pt idx="151">
                  <c:v>982.01000999999997</c:v>
                </c:pt>
                <c:pt idx="152">
                  <c:v>956.919983</c:v>
                </c:pt>
                <c:pt idx="153">
                  <c:v>967.98999000000003</c:v>
                </c:pt>
                <c:pt idx="154">
                  <c:v>983.29998799999998</c:v>
                </c:pt>
                <c:pt idx="155">
                  <c:v>982.73999000000003</c:v>
                </c:pt>
                <c:pt idx="156">
                  <c:v>978.17999299999997</c:v>
                </c:pt>
                <c:pt idx="157">
                  <c:v>960.57000700000003</c:v>
                </c:pt>
                <c:pt idx="158">
                  <c:v>958.46997099999999</c:v>
                </c:pt>
                <c:pt idx="159">
                  <c:v>953.28997800000002</c:v>
                </c:pt>
                <c:pt idx="160">
                  <c:v>966.90002400000003</c:v>
                </c:pt>
                <c:pt idx="161">
                  <c:v>958</c:v>
                </c:pt>
                <c:pt idx="162">
                  <c:v>952.45001200000002</c:v>
                </c:pt>
                <c:pt idx="163">
                  <c:v>945.26000999999997</c:v>
                </c:pt>
                <c:pt idx="164">
                  <c:v>946.02002000000005</c:v>
                </c:pt>
                <c:pt idx="165">
                  <c:v>954.05999799999995</c:v>
                </c:pt>
                <c:pt idx="166">
                  <c:v>967.59002699999996</c:v>
                </c:pt>
                <c:pt idx="167">
                  <c:v>980.59997599999997</c:v>
                </c:pt>
                <c:pt idx="168">
                  <c:v>978.25</c:v>
                </c:pt>
                <c:pt idx="169">
                  <c:v>965.27002000000005</c:v>
                </c:pt>
                <c:pt idx="170">
                  <c:v>967.79998799999998</c:v>
                </c:pt>
                <c:pt idx="171">
                  <c:v>979.46997099999999</c:v>
                </c:pt>
                <c:pt idx="172">
                  <c:v>965.90002400000003</c:v>
                </c:pt>
                <c:pt idx="173">
                  <c:v>977.96002199999998</c:v>
                </c:pt>
                <c:pt idx="174">
                  <c:v>982.580017</c:v>
                </c:pt>
                <c:pt idx="175">
                  <c:v>999.59997599999997</c:v>
                </c:pt>
                <c:pt idx="176">
                  <c:v>992.21002199999998</c:v>
                </c:pt>
                <c:pt idx="177">
                  <c:v>986.78997800000002</c:v>
                </c:pt>
                <c:pt idx="178">
                  <c:v>974.19000200000005</c:v>
                </c:pt>
                <c:pt idx="179">
                  <c:v>969.85998500000005</c:v>
                </c:pt>
                <c:pt idx="180">
                  <c:v>973.21002199999998</c:v>
                </c:pt>
                <c:pt idx="181">
                  <c:v>964.65002400000003</c:v>
                </c:pt>
                <c:pt idx="182">
                  <c:v>955.09997599999997</c:v>
                </c:pt>
                <c:pt idx="183">
                  <c:v>939.78997800000002</c:v>
                </c:pt>
                <c:pt idx="184">
                  <c:v>938.59997599999997</c:v>
                </c:pt>
                <c:pt idx="185">
                  <c:v>950.86999500000002</c:v>
                </c:pt>
                <c:pt idx="186">
                  <c:v>956.40002400000003</c:v>
                </c:pt>
                <c:pt idx="187">
                  <c:v>961.34997599999997</c:v>
                </c:pt>
                <c:pt idx="188">
                  <c:v>959.19000200000005</c:v>
                </c:pt>
                <c:pt idx="189">
                  <c:v>957.09997599999997</c:v>
                </c:pt>
                <c:pt idx="190">
                  <c:v>965.45001200000002</c:v>
                </c:pt>
                <c:pt idx="191">
                  <c:v>980.84997599999997</c:v>
                </c:pt>
                <c:pt idx="192">
                  <c:v>989.580017</c:v>
                </c:pt>
                <c:pt idx="193">
                  <c:v>990.98999000000003</c:v>
                </c:pt>
                <c:pt idx="194">
                  <c:v>987.20001200000002</c:v>
                </c:pt>
                <c:pt idx="195">
                  <c:v>995</c:v>
                </c:pt>
                <c:pt idx="196">
                  <c:v>1000.929993</c:v>
                </c:pt>
                <c:pt idx="197">
                  <c:v>1002.940002</c:v>
                </c:pt>
                <c:pt idx="198">
                  <c:v>1006.340027</c:v>
                </c:pt>
                <c:pt idx="199">
                  <c:v>1009.130005</c:v>
                </c:pt>
                <c:pt idx="200">
                  <c:v>997</c:v>
                </c:pt>
                <c:pt idx="201">
                  <c:v>986.60998500000005</c:v>
                </c:pt>
                <c:pt idx="202">
                  <c:v>982.90997300000004</c:v>
                </c:pt>
                <c:pt idx="203">
                  <c:v>966.29998799999998</c:v>
                </c:pt>
                <c:pt idx="204">
                  <c:v>975.90002400000003</c:v>
                </c:pt>
                <c:pt idx="205">
                  <c:v>972.90997300000004</c:v>
                </c:pt>
                <c:pt idx="206">
                  <c:v>972.42999299999997</c:v>
                </c:pt>
                <c:pt idx="207">
                  <c:v>1100.9499510000001</c:v>
                </c:pt>
                <c:pt idx="208">
                  <c:v>1110.849976</c:v>
                </c:pt>
                <c:pt idx="209">
                  <c:v>1105.280029</c:v>
                </c:pt>
                <c:pt idx="210">
                  <c:v>1103.6800539999999</c:v>
                </c:pt>
                <c:pt idx="211">
                  <c:v>1094.219971</c:v>
                </c:pt>
                <c:pt idx="212">
                  <c:v>1111.599976</c:v>
                </c:pt>
                <c:pt idx="213">
                  <c:v>1120.660034</c:v>
                </c:pt>
                <c:pt idx="214">
                  <c:v>1123.170044</c:v>
                </c:pt>
                <c:pt idx="215">
                  <c:v>1132.880005</c:v>
                </c:pt>
                <c:pt idx="216">
                  <c:v>1129.130005</c:v>
                </c:pt>
                <c:pt idx="217">
                  <c:v>1125.349976</c:v>
                </c:pt>
                <c:pt idx="218">
                  <c:v>1129.170044</c:v>
                </c:pt>
                <c:pt idx="219">
                  <c:v>1136.839966</c:v>
                </c:pt>
                <c:pt idx="220">
                  <c:v>1126.6899410000001</c:v>
                </c:pt>
                <c:pt idx="221">
                  <c:v>1137.290039</c:v>
                </c:pt>
                <c:pt idx="222">
                  <c:v>1129.880005</c:v>
                </c:pt>
                <c:pt idx="223">
                  <c:v>1126.3100589999999</c:v>
                </c:pt>
                <c:pt idx="224">
                  <c:v>1139.48999</c:v>
                </c:pt>
                <c:pt idx="225">
                  <c:v>1156.160034</c:v>
                </c:pt>
                <c:pt idx="226">
                  <c:v>1186</c:v>
                </c:pt>
                <c:pt idx="227">
                  <c:v>1195.829956</c:v>
                </c:pt>
                <c:pt idx="228">
                  <c:v>1193.599976</c:v>
                </c:pt>
                <c:pt idx="229">
                  <c:v>1161.2700199999999</c:v>
                </c:pt>
                <c:pt idx="230">
                  <c:v>1176.75</c:v>
                </c:pt>
                <c:pt idx="231">
                  <c:v>1162.349976</c:v>
                </c:pt>
                <c:pt idx="232">
                  <c:v>1133.9499510000001</c:v>
                </c:pt>
                <c:pt idx="233">
                  <c:v>1141.5699460000001</c:v>
                </c:pt>
                <c:pt idx="234">
                  <c:v>1152.349976</c:v>
                </c:pt>
                <c:pt idx="235">
                  <c:v>1159.790039</c:v>
                </c:pt>
                <c:pt idx="236">
                  <c:v>1162</c:v>
                </c:pt>
                <c:pt idx="237">
                  <c:v>1168.920044</c:v>
                </c:pt>
                <c:pt idx="238">
                  <c:v>1165.079956</c:v>
                </c:pt>
                <c:pt idx="239">
                  <c:v>1164.130005</c:v>
                </c:pt>
                <c:pt idx="240">
                  <c:v>1174.26001</c:v>
                </c:pt>
                <c:pt idx="241">
                  <c:v>1179.1400149999999</c:v>
                </c:pt>
                <c:pt idx="242">
                  <c:v>1190.579956</c:v>
                </c:pt>
                <c:pt idx="243">
                  <c:v>1187.380005</c:v>
                </c:pt>
                <c:pt idx="244">
                  <c:v>1177.619995</c:v>
                </c:pt>
                <c:pt idx="245">
                  <c:v>1174.76001</c:v>
                </c:pt>
                <c:pt idx="246">
                  <c:v>1168.3599850000001</c:v>
                </c:pt>
                <c:pt idx="247">
                  <c:v>1176.76001</c:v>
                </c:pt>
                <c:pt idx="248">
                  <c:v>1182.26001</c:v>
                </c:pt>
                <c:pt idx="249">
                  <c:v>1186.099976</c:v>
                </c:pt>
                <c:pt idx="250">
                  <c:v>1169.469971</c:v>
                </c:pt>
                <c:pt idx="251">
                  <c:v>1189.01001</c:v>
                </c:pt>
                <c:pt idx="252">
                  <c:v>1204.1999510000001</c:v>
                </c:pt>
                <c:pt idx="253">
                  <c:v>1209.589966</c:v>
                </c:pt>
                <c:pt idx="254">
                  <c:v>1229.1400149999999</c:v>
                </c:pt>
                <c:pt idx="255">
                  <c:v>1246.869995</c:v>
                </c:pt>
                <c:pt idx="256">
                  <c:v>1252.6999510000001</c:v>
                </c:pt>
                <c:pt idx="257">
                  <c:v>1254.329956</c:v>
                </c:pt>
                <c:pt idx="258">
                  <c:v>1276.6800539999999</c:v>
                </c:pt>
                <c:pt idx="259">
                  <c:v>1305.1999510000001</c:v>
                </c:pt>
                <c:pt idx="260">
                  <c:v>1304.8599850000001</c:v>
                </c:pt>
                <c:pt idx="261">
                  <c:v>1295</c:v>
                </c:pt>
                <c:pt idx="262">
                  <c:v>1293.3199460000001</c:v>
                </c:pt>
                <c:pt idx="263">
                  <c:v>1294.579956</c:v>
                </c:pt>
                <c:pt idx="264">
                  <c:v>1327.3100589999999</c:v>
                </c:pt>
                <c:pt idx="265">
                  <c:v>1362.540039</c:v>
                </c:pt>
                <c:pt idx="266">
                  <c:v>1357.51001</c:v>
                </c:pt>
                <c:pt idx="267">
                  <c:v>1377.9499510000001</c:v>
                </c:pt>
                <c:pt idx="268">
                  <c:v>1402.0500489999999</c:v>
                </c:pt>
                <c:pt idx="269">
                  <c:v>1417.6800539999999</c:v>
                </c:pt>
                <c:pt idx="270">
                  <c:v>1437.8199460000001</c:v>
                </c:pt>
                <c:pt idx="271">
                  <c:v>1450.8900149999999</c:v>
                </c:pt>
                <c:pt idx="272">
                  <c:v>1390</c:v>
                </c:pt>
                <c:pt idx="273">
                  <c:v>1429.9499510000001</c:v>
                </c:pt>
                <c:pt idx="274">
                  <c:v>1390</c:v>
                </c:pt>
                <c:pt idx="275">
                  <c:v>1442.839966</c:v>
                </c:pt>
                <c:pt idx="276">
                  <c:v>1416.780029</c:v>
                </c:pt>
                <c:pt idx="277">
                  <c:v>1350.5</c:v>
                </c:pt>
                <c:pt idx="278">
                  <c:v>1339.599976</c:v>
                </c:pt>
                <c:pt idx="279">
                  <c:v>1386.2299800000001</c:v>
                </c:pt>
                <c:pt idx="280">
                  <c:v>1414.51001</c:v>
                </c:pt>
                <c:pt idx="281">
                  <c:v>1451.0500489999999</c:v>
                </c:pt>
                <c:pt idx="282">
                  <c:v>1461.76001</c:v>
                </c:pt>
                <c:pt idx="283">
                  <c:v>1448.6899410000001</c:v>
                </c:pt>
                <c:pt idx="284">
                  <c:v>1468.349976</c:v>
                </c:pt>
                <c:pt idx="285">
                  <c:v>1482.920044</c:v>
                </c:pt>
                <c:pt idx="286">
                  <c:v>1485.339966</c:v>
                </c:pt>
                <c:pt idx="287">
                  <c:v>1500</c:v>
                </c:pt>
                <c:pt idx="288">
                  <c:v>1521.9499510000001</c:v>
                </c:pt>
                <c:pt idx="289">
                  <c:v>1511.9799800000001</c:v>
                </c:pt>
                <c:pt idx="290">
                  <c:v>1512.4499510000001</c:v>
                </c:pt>
                <c:pt idx="291">
                  <c:v>1493.4499510000001</c:v>
                </c:pt>
                <c:pt idx="292">
                  <c:v>1500.25</c:v>
                </c:pt>
                <c:pt idx="293">
                  <c:v>1523.6099850000001</c:v>
                </c:pt>
                <c:pt idx="294">
                  <c:v>1537.6400149999999</c:v>
                </c:pt>
                <c:pt idx="295">
                  <c:v>1545</c:v>
                </c:pt>
                <c:pt idx="296">
                  <c:v>1551.8599850000001</c:v>
                </c:pt>
                <c:pt idx="297">
                  <c:v>1578.8900149999999</c:v>
                </c:pt>
                <c:pt idx="298">
                  <c:v>1598.3900149999999</c:v>
                </c:pt>
                <c:pt idx="299">
                  <c:v>1588.1800539999999</c:v>
                </c:pt>
                <c:pt idx="300">
                  <c:v>1591</c:v>
                </c:pt>
                <c:pt idx="301">
                  <c:v>1582.3199460000001</c:v>
                </c:pt>
                <c:pt idx="302">
                  <c:v>1571.6800539999999</c:v>
                </c:pt>
                <c:pt idx="303">
                  <c:v>1544.9300539999999</c:v>
                </c:pt>
                <c:pt idx="304">
                  <c:v>1586.51001</c:v>
                </c:pt>
                <c:pt idx="305">
                  <c:v>1581.8599850000001</c:v>
                </c:pt>
                <c:pt idx="306">
                  <c:v>1544.920044</c:v>
                </c:pt>
                <c:pt idx="307">
                  <c:v>1495.5600589999999</c:v>
                </c:pt>
                <c:pt idx="308">
                  <c:v>1555.8599850000001</c:v>
                </c:pt>
                <c:pt idx="309">
                  <c:v>1497.0500489999999</c:v>
                </c:pt>
                <c:pt idx="310">
                  <c:v>1431.420044</c:v>
                </c:pt>
                <c:pt idx="311">
                  <c:v>1447.339966</c:v>
                </c:pt>
                <c:pt idx="312">
                  <c:v>1371.98999</c:v>
                </c:pt>
                <c:pt idx="313">
                  <c:v>1392.0500489999999</c:v>
                </c:pt>
                <c:pt idx="314">
                  <c:v>1410.5699460000001</c:v>
                </c:pt>
                <c:pt idx="315">
                  <c:v>1451.75</c:v>
                </c:pt>
                <c:pt idx="316">
                  <c:v>1405.2299800000001</c:v>
                </c:pt>
                <c:pt idx="317">
                  <c:v>1406.079956</c:v>
                </c:pt>
                <c:pt idx="318">
                  <c:v>1436.219971</c:v>
                </c:pt>
                <c:pt idx="319">
                  <c:v>1427.0500489999999</c:v>
                </c:pt>
                <c:pt idx="320">
                  <c:v>1448.5</c:v>
                </c:pt>
                <c:pt idx="321">
                  <c:v>1430.790039</c:v>
                </c:pt>
                <c:pt idx="322">
                  <c:v>1441.5</c:v>
                </c:pt>
                <c:pt idx="323">
                  <c:v>1503.829956</c:v>
                </c:pt>
                <c:pt idx="324">
                  <c:v>1527.839966</c:v>
                </c:pt>
                <c:pt idx="325">
                  <c:v>1556.910034</c:v>
                </c:pt>
                <c:pt idx="326">
                  <c:v>1527.48999</c:v>
                </c:pt>
                <c:pt idx="327">
                  <c:v>1517.8599850000001</c:v>
                </c:pt>
                <c:pt idx="328">
                  <c:v>1460.089966</c:v>
                </c:pt>
                <c:pt idx="329">
                  <c:v>1460.170044</c:v>
                </c:pt>
                <c:pt idx="330">
                  <c:v>1517.959961</c:v>
                </c:pt>
                <c:pt idx="331">
                  <c:v>1572.619995</c:v>
                </c:pt>
                <c:pt idx="332">
                  <c:v>1566.130005</c:v>
                </c:pt>
                <c:pt idx="333">
                  <c:v>1582.26001</c:v>
                </c:pt>
                <c:pt idx="334">
                  <c:v>1569.6800539999999</c:v>
                </c:pt>
                <c:pt idx="335">
                  <c:v>1572.079956</c:v>
                </c:pt>
                <c:pt idx="336">
                  <c:v>1580.9499510000001</c:v>
                </c:pt>
                <c:pt idx="337">
                  <c:v>1600.1400149999999</c:v>
                </c:pt>
                <c:pt idx="338">
                  <c:v>1592.3900149999999</c:v>
                </c:pt>
                <c:pt idx="339">
                  <c:v>1608</c:v>
                </c:pt>
                <c:pt idx="340">
                  <c:v>1609.079956</c:v>
                </c:pt>
                <c:pt idx="341">
                  <c:v>1602.910034</c:v>
                </c:pt>
                <c:pt idx="342">
                  <c:v>1601.540039</c:v>
                </c:pt>
                <c:pt idx="343">
                  <c:v>1576.119995</c:v>
                </c:pt>
                <c:pt idx="344">
                  <c:v>1587.280029</c:v>
                </c:pt>
                <c:pt idx="345">
                  <c:v>1581.76001</c:v>
                </c:pt>
                <c:pt idx="346">
                  <c:v>1574.369995</c:v>
                </c:pt>
                <c:pt idx="347">
                  <c:v>1585.459961</c:v>
                </c:pt>
                <c:pt idx="348">
                  <c:v>1581.400024</c:v>
                </c:pt>
                <c:pt idx="349">
                  <c:v>1601.8599850000001</c:v>
                </c:pt>
                <c:pt idx="350">
                  <c:v>1603.0699460000001</c:v>
                </c:pt>
                <c:pt idx="351">
                  <c:v>1610.150024</c:v>
                </c:pt>
                <c:pt idx="352">
                  <c:v>1612.869995</c:v>
                </c:pt>
                <c:pt idx="353">
                  <c:v>1624.8900149999999</c:v>
                </c:pt>
                <c:pt idx="354">
                  <c:v>1629.619995</c:v>
                </c:pt>
                <c:pt idx="355">
                  <c:v>1641.540039</c:v>
                </c:pt>
                <c:pt idx="356">
                  <c:v>1665.2700199999999</c:v>
                </c:pt>
                <c:pt idx="357">
                  <c:v>1696.349976</c:v>
                </c:pt>
                <c:pt idx="358">
                  <c:v>1695.75</c:v>
                </c:pt>
                <c:pt idx="359">
                  <c:v>1689.3000489999999</c:v>
                </c:pt>
                <c:pt idx="360">
                  <c:v>1683.98999</c:v>
                </c:pt>
                <c:pt idx="361">
                  <c:v>1689.119995</c:v>
                </c:pt>
                <c:pt idx="362">
                  <c:v>1698.75</c:v>
                </c:pt>
                <c:pt idx="363">
                  <c:v>1704.8599850000001</c:v>
                </c:pt>
                <c:pt idx="364">
                  <c:v>1723.8599850000001</c:v>
                </c:pt>
                <c:pt idx="365">
                  <c:v>1715.969971</c:v>
                </c:pt>
                <c:pt idx="366">
                  <c:v>1723.790039</c:v>
                </c:pt>
                <c:pt idx="367">
                  <c:v>1734.780029</c:v>
                </c:pt>
                <c:pt idx="368">
                  <c:v>1750.079956</c:v>
                </c:pt>
                <c:pt idx="369">
                  <c:v>1730.219971</c:v>
                </c:pt>
                <c:pt idx="370">
                  <c:v>1715.670044</c:v>
                </c:pt>
                <c:pt idx="371">
                  <c:v>1663.150024</c:v>
                </c:pt>
                <c:pt idx="372">
                  <c:v>1691.089966</c:v>
                </c:pt>
                <c:pt idx="373">
                  <c:v>1660.51001</c:v>
                </c:pt>
                <c:pt idx="374">
                  <c:v>1701.4499510000001</c:v>
                </c:pt>
                <c:pt idx="375">
                  <c:v>1699.8000489999999</c:v>
                </c:pt>
                <c:pt idx="376">
                  <c:v>1713.780029</c:v>
                </c:pt>
                <c:pt idx="377">
                  <c:v>1693.959961</c:v>
                </c:pt>
                <c:pt idx="378">
                  <c:v>1699.7299800000001</c:v>
                </c:pt>
                <c:pt idx="379">
                  <c:v>1710.630005</c:v>
                </c:pt>
                <c:pt idx="380">
                  <c:v>1739.0200199999999</c:v>
                </c:pt>
                <c:pt idx="381">
                  <c:v>1743.0699460000001</c:v>
                </c:pt>
                <c:pt idx="382">
                  <c:v>1755</c:v>
                </c:pt>
                <c:pt idx="383">
                  <c:v>1796.619995</c:v>
                </c:pt>
                <c:pt idx="384">
                  <c:v>1813.030029</c:v>
                </c:pt>
                <c:pt idx="385">
                  <c:v>1822.48999</c:v>
                </c:pt>
                <c:pt idx="386">
                  <c:v>1843.9300539999999</c:v>
                </c:pt>
                <c:pt idx="387">
                  <c:v>1842.920044</c:v>
                </c:pt>
                <c:pt idx="388">
                  <c:v>1812.969971</c:v>
                </c:pt>
                <c:pt idx="389">
                  <c:v>1813.6999510000001</c:v>
                </c:pt>
                <c:pt idx="390">
                  <c:v>1802</c:v>
                </c:pt>
                <c:pt idx="391">
                  <c:v>1829.23999</c:v>
                </c:pt>
                <c:pt idx="392">
                  <c:v>1863.6099850000001</c:v>
                </c:pt>
                <c:pt idx="393">
                  <c:v>1808</c:v>
                </c:pt>
                <c:pt idx="394">
                  <c:v>1817.2700199999999</c:v>
                </c:pt>
                <c:pt idx="395">
                  <c:v>1779.219971</c:v>
                </c:pt>
                <c:pt idx="396">
                  <c:v>1777.4399410000001</c:v>
                </c:pt>
                <c:pt idx="397">
                  <c:v>1797.170044</c:v>
                </c:pt>
                <c:pt idx="398">
                  <c:v>1834.329956</c:v>
                </c:pt>
                <c:pt idx="399">
                  <c:v>1823.290039</c:v>
                </c:pt>
                <c:pt idx="400">
                  <c:v>1847.75</c:v>
                </c:pt>
                <c:pt idx="401">
                  <c:v>1862.4799800000001</c:v>
                </c:pt>
                <c:pt idx="402">
                  <c:v>1886.5200199999999</c:v>
                </c:pt>
                <c:pt idx="403">
                  <c:v>1898.5200199999999</c:v>
                </c:pt>
                <c:pt idx="404">
                  <c:v>1886.3000489999999</c:v>
                </c:pt>
                <c:pt idx="405">
                  <c:v>1896.1999510000001</c:v>
                </c:pt>
                <c:pt idx="406">
                  <c:v>1919.650024</c:v>
                </c:pt>
                <c:pt idx="407">
                  <c:v>1882.619995</c:v>
                </c:pt>
                <c:pt idx="408">
                  <c:v>1886.5200199999999</c:v>
                </c:pt>
                <c:pt idx="409">
                  <c:v>1882.219971</c:v>
                </c:pt>
                <c:pt idx="410">
                  <c:v>1876.709961</c:v>
                </c:pt>
                <c:pt idx="411">
                  <c:v>1883.420044</c:v>
                </c:pt>
                <c:pt idx="412">
                  <c:v>1904.900024</c:v>
                </c:pt>
                <c:pt idx="413">
                  <c:v>1902.900024</c:v>
                </c:pt>
                <c:pt idx="414">
                  <c:v>1905.3900149999999</c:v>
                </c:pt>
                <c:pt idx="415">
                  <c:v>1927.6800539999999</c:v>
                </c:pt>
                <c:pt idx="416">
                  <c:v>1932.8199460000001</c:v>
                </c:pt>
                <c:pt idx="417">
                  <c:v>1998.099976</c:v>
                </c:pt>
                <c:pt idx="418">
                  <c:v>2002.380005</c:v>
                </c:pt>
                <c:pt idx="419">
                  <c:v>2012.709961</c:v>
                </c:pt>
                <c:pt idx="420">
                  <c:v>2039.51001</c:v>
                </c:pt>
                <c:pt idx="421">
                  <c:v>1994.8199460000001</c:v>
                </c:pt>
                <c:pt idx="422">
                  <c:v>1958.3100589999999</c:v>
                </c:pt>
                <c:pt idx="423">
                  <c:v>1952.0699460000001</c:v>
                </c:pt>
                <c:pt idx="424">
                  <c:v>1939.01001</c:v>
                </c:pt>
                <c:pt idx="425">
                  <c:v>1987.150024</c:v>
                </c:pt>
                <c:pt idx="426">
                  <c:v>1990</c:v>
                </c:pt>
                <c:pt idx="427">
                  <c:v>1989.869995</c:v>
                </c:pt>
                <c:pt idx="428">
                  <c:v>1970.1899410000001</c:v>
                </c:pt>
                <c:pt idx="429">
                  <c:v>1908.030029</c:v>
                </c:pt>
                <c:pt idx="430">
                  <c:v>1941.0500489999999</c:v>
                </c:pt>
                <c:pt idx="431">
                  <c:v>1926.420044</c:v>
                </c:pt>
                <c:pt idx="432">
                  <c:v>1944.3000489999999</c:v>
                </c:pt>
                <c:pt idx="433">
                  <c:v>1915.01001</c:v>
                </c:pt>
                <c:pt idx="434">
                  <c:v>1934.3599850000001</c:v>
                </c:pt>
                <c:pt idx="435">
                  <c:v>1974.5500489999999</c:v>
                </c:pt>
                <c:pt idx="436">
                  <c:v>1974.849976</c:v>
                </c:pt>
                <c:pt idx="437">
                  <c:v>2012.9799800000001</c:v>
                </c:pt>
                <c:pt idx="438">
                  <c:v>2003</c:v>
                </c:pt>
                <c:pt idx="439">
                  <c:v>2004.3599850000001</c:v>
                </c:pt>
                <c:pt idx="440">
                  <c:v>1971.3100589999999</c:v>
                </c:pt>
                <c:pt idx="441">
                  <c:v>1952.76001</c:v>
                </c:pt>
                <c:pt idx="442">
                  <c:v>1909.420044</c:v>
                </c:pt>
                <c:pt idx="443">
                  <c:v>1889.650024</c:v>
                </c:pt>
                <c:pt idx="444">
                  <c:v>1864.420044</c:v>
                </c:pt>
                <c:pt idx="445">
                  <c:v>1870.3199460000001</c:v>
                </c:pt>
                <c:pt idx="446">
                  <c:v>1755.25</c:v>
                </c:pt>
                <c:pt idx="447">
                  <c:v>1719.3599850000001</c:v>
                </c:pt>
                <c:pt idx="448">
                  <c:v>1788.6099850000001</c:v>
                </c:pt>
                <c:pt idx="449">
                  <c:v>1760.9499510000001</c:v>
                </c:pt>
                <c:pt idx="450">
                  <c:v>1819.959961</c:v>
                </c:pt>
                <c:pt idx="451">
                  <c:v>1831.7299800000001</c:v>
                </c:pt>
                <c:pt idx="452">
                  <c:v>1770.719971</c:v>
                </c:pt>
                <c:pt idx="453">
                  <c:v>1764.030029</c:v>
                </c:pt>
                <c:pt idx="454">
                  <c:v>1789.3000489999999</c:v>
                </c:pt>
                <c:pt idx="455">
                  <c:v>1768.6999510000001</c:v>
                </c:pt>
                <c:pt idx="456">
                  <c:v>1664.1999510000001</c:v>
                </c:pt>
                <c:pt idx="457">
                  <c:v>1782.170044</c:v>
                </c:pt>
                <c:pt idx="458">
                  <c:v>1642.8100589999999</c:v>
                </c:pt>
                <c:pt idx="459">
                  <c:v>1538.880005</c:v>
                </c:pt>
                <c:pt idx="460">
                  <c:v>1530.420044</c:v>
                </c:pt>
                <c:pt idx="461">
                  <c:v>1598.01001</c:v>
                </c:pt>
                <c:pt idx="462">
                  <c:v>1665.530029</c:v>
                </c:pt>
                <c:pt idx="463">
                  <c:v>1665.530029</c:v>
                </c:pt>
                <c:pt idx="464">
                  <c:v>1627.8000489999999</c:v>
                </c:pt>
                <c:pt idx="465">
                  <c:v>1642.8100589999999</c:v>
                </c:pt>
                <c:pt idx="466">
                  <c:v>1755.48999</c:v>
                </c:pt>
                <c:pt idx="467">
                  <c:v>1754.910034</c:v>
                </c:pt>
                <c:pt idx="468">
                  <c:v>1712.4300539999999</c:v>
                </c:pt>
                <c:pt idx="469">
                  <c:v>1636.849976</c:v>
                </c:pt>
                <c:pt idx="470">
                  <c:v>1631.170044</c:v>
                </c:pt>
                <c:pt idx="471">
                  <c:v>1599.01001</c:v>
                </c:pt>
                <c:pt idx="472">
                  <c:v>1619.4399410000001</c:v>
                </c:pt>
                <c:pt idx="473">
                  <c:v>1593.410034</c:v>
                </c:pt>
                <c:pt idx="474">
                  <c:v>1512.290039</c:v>
                </c:pt>
                <c:pt idx="475">
                  <c:v>1495.459961</c:v>
                </c:pt>
                <c:pt idx="476">
                  <c:v>1516.7299800000001</c:v>
                </c:pt>
                <c:pt idx="477">
                  <c:v>1502.0600589999999</c:v>
                </c:pt>
                <c:pt idx="478">
                  <c:v>1581.329956</c:v>
                </c:pt>
                <c:pt idx="479">
                  <c:v>1581.420044</c:v>
                </c:pt>
                <c:pt idx="480">
                  <c:v>1677.75</c:v>
                </c:pt>
                <c:pt idx="481">
                  <c:v>1673.5699460000001</c:v>
                </c:pt>
                <c:pt idx="482">
                  <c:v>1690.170044</c:v>
                </c:pt>
                <c:pt idx="483">
                  <c:v>1772.3599850000001</c:v>
                </c:pt>
                <c:pt idx="484">
                  <c:v>1668.400024</c:v>
                </c:pt>
                <c:pt idx="485">
                  <c:v>1699.1899410000001</c:v>
                </c:pt>
                <c:pt idx="486">
                  <c:v>1629.130005</c:v>
                </c:pt>
                <c:pt idx="487">
                  <c:v>1641.030029</c:v>
                </c:pt>
                <c:pt idx="488">
                  <c:v>1643.23999</c:v>
                </c:pt>
                <c:pt idx="489">
                  <c:v>1663.540039</c:v>
                </c:pt>
                <c:pt idx="490">
                  <c:v>1658.380005</c:v>
                </c:pt>
                <c:pt idx="491">
                  <c:v>1591.910034</c:v>
                </c:pt>
                <c:pt idx="492">
                  <c:v>1520.910034</c:v>
                </c:pt>
                <c:pt idx="493">
                  <c:v>1551.4799800000001</c:v>
                </c:pt>
                <c:pt idx="494">
                  <c:v>1495.079956</c:v>
                </c:pt>
                <c:pt idx="495">
                  <c:v>1460.829956</c:v>
                </c:pt>
                <c:pt idx="496">
                  <c:v>1377.4499510000001</c:v>
                </c:pt>
                <c:pt idx="497">
                  <c:v>1343.959961</c:v>
                </c:pt>
                <c:pt idx="498">
                  <c:v>1470.900024</c:v>
                </c:pt>
                <c:pt idx="499">
                  <c:v>1461.6400149999999</c:v>
                </c:pt>
                <c:pt idx="500">
                  <c:v>1478.0200199999999</c:v>
                </c:pt>
                <c:pt idx="501">
                  <c:v>1501.969971</c:v>
                </c:pt>
                <c:pt idx="502">
                  <c:v>1539.130005</c:v>
                </c:pt>
                <c:pt idx="503">
                  <c:v>1500.280029</c:v>
                </c:pt>
                <c:pt idx="504">
                  <c:v>1575.3900149999999</c:v>
                </c:pt>
                <c:pt idx="505">
                  <c:v>1629.51001</c:v>
                </c:pt>
                <c:pt idx="506">
                  <c:v>1656.579956</c:v>
                </c:pt>
                <c:pt idx="507">
                  <c:v>1659.420044</c:v>
                </c:pt>
                <c:pt idx="508">
                  <c:v>1656.219971</c:v>
                </c:pt>
                <c:pt idx="509">
                  <c:v>1640.5600589999999</c:v>
                </c:pt>
                <c:pt idx="510">
                  <c:v>1617.209961</c:v>
                </c:pt>
                <c:pt idx="511">
                  <c:v>1674.5600589999999</c:v>
                </c:pt>
                <c:pt idx="512">
                  <c:v>1683.780029</c:v>
                </c:pt>
                <c:pt idx="513">
                  <c:v>1693.219971</c:v>
                </c:pt>
                <c:pt idx="514">
                  <c:v>1696.1999510000001</c:v>
                </c:pt>
                <c:pt idx="515">
                  <c:v>1632.170044</c:v>
                </c:pt>
                <c:pt idx="516">
                  <c:v>1640.0200199999999</c:v>
                </c:pt>
                <c:pt idx="517">
                  <c:v>1654.9300539999999</c:v>
                </c:pt>
                <c:pt idx="518">
                  <c:v>1670.5699460000001</c:v>
                </c:pt>
                <c:pt idx="519">
                  <c:v>1637.8900149999999</c:v>
                </c:pt>
                <c:pt idx="520">
                  <c:v>1593.880005</c:v>
                </c:pt>
                <c:pt idx="521">
                  <c:v>1670.4300539999999</c:v>
                </c:pt>
                <c:pt idx="522">
                  <c:v>1718.7299800000001</c:v>
                </c:pt>
                <c:pt idx="523">
                  <c:v>1626.2299800000001</c:v>
                </c:pt>
                <c:pt idx="524">
                  <c:v>1633.3100589999999</c:v>
                </c:pt>
                <c:pt idx="525">
                  <c:v>1658.8100589999999</c:v>
                </c:pt>
                <c:pt idx="526">
                  <c:v>1640.26001</c:v>
                </c:pt>
                <c:pt idx="527">
                  <c:v>1614.369995</c:v>
                </c:pt>
                <c:pt idx="528">
                  <c:v>1588.219971</c:v>
                </c:pt>
                <c:pt idx="529">
                  <c:v>1591</c:v>
                </c:pt>
                <c:pt idx="530">
                  <c:v>1638.01001</c:v>
                </c:pt>
                <c:pt idx="531">
                  <c:v>1640</c:v>
                </c:pt>
                <c:pt idx="532">
                  <c:v>1622.650024</c:v>
                </c:pt>
                <c:pt idx="533">
                  <c:v>1607.9499510000001</c:v>
                </c:pt>
                <c:pt idx="534">
                  <c:v>1627.579956</c:v>
                </c:pt>
                <c:pt idx="535">
                  <c:v>1622.099976</c:v>
                </c:pt>
                <c:pt idx="536">
                  <c:v>1619.4399410000001</c:v>
                </c:pt>
                <c:pt idx="537">
                  <c:v>1631.5600589999999</c:v>
                </c:pt>
                <c:pt idx="538">
                  <c:v>1633</c:v>
                </c:pt>
                <c:pt idx="539">
                  <c:v>1636.400024</c:v>
                </c:pt>
                <c:pt idx="540">
                  <c:v>1641.089966</c:v>
                </c:pt>
                <c:pt idx="541">
                  <c:v>1639.829956</c:v>
                </c:pt>
                <c:pt idx="542">
                  <c:v>1671.7299800000001</c:v>
                </c:pt>
                <c:pt idx="543">
                  <c:v>1696.170044</c:v>
                </c:pt>
                <c:pt idx="544">
                  <c:v>1692.4300539999999</c:v>
                </c:pt>
                <c:pt idx="545">
                  <c:v>1668.9499510000001</c:v>
                </c:pt>
                <c:pt idx="546">
                  <c:v>1625.9499510000001</c:v>
                </c:pt>
                <c:pt idx="547">
                  <c:v>1620.8000489999999</c:v>
                </c:pt>
                <c:pt idx="548">
                  <c:v>1670.619995</c:v>
                </c:pt>
                <c:pt idx="549">
                  <c:v>1673.099976</c:v>
                </c:pt>
                <c:pt idx="550">
                  <c:v>1690.8100589999999</c:v>
                </c:pt>
                <c:pt idx="551">
                  <c:v>1686.219971</c:v>
                </c:pt>
                <c:pt idx="552">
                  <c:v>1712.3599850000001</c:v>
                </c:pt>
                <c:pt idx="553">
                  <c:v>1742.150024</c:v>
                </c:pt>
                <c:pt idx="554">
                  <c:v>1761.849976</c:v>
                </c:pt>
                <c:pt idx="555">
                  <c:v>1797.2700199999999</c:v>
                </c:pt>
                <c:pt idx="556">
                  <c:v>1819.26001</c:v>
                </c:pt>
                <c:pt idx="557">
                  <c:v>1764.7700199999999</c:v>
                </c:pt>
                <c:pt idx="558">
                  <c:v>1774.26001</c:v>
                </c:pt>
                <c:pt idx="559">
                  <c:v>1783.76001</c:v>
                </c:pt>
                <c:pt idx="560">
                  <c:v>1765.6999510000001</c:v>
                </c:pt>
                <c:pt idx="561">
                  <c:v>1773.420044</c:v>
                </c:pt>
                <c:pt idx="562">
                  <c:v>1780.75</c:v>
                </c:pt>
                <c:pt idx="563">
                  <c:v>1814.1899410000001</c:v>
                </c:pt>
                <c:pt idx="564">
                  <c:v>1813.9799800000001</c:v>
                </c:pt>
                <c:pt idx="565">
                  <c:v>1820.6999510000001</c:v>
                </c:pt>
                <c:pt idx="566">
                  <c:v>1818.8599850000001</c:v>
                </c:pt>
                <c:pt idx="567">
                  <c:v>1837.280029</c:v>
                </c:pt>
                <c:pt idx="568">
                  <c:v>1849.8599850000001</c:v>
                </c:pt>
                <c:pt idx="569">
                  <c:v>1835.839966</c:v>
                </c:pt>
                <c:pt idx="570">
                  <c:v>1847.329956</c:v>
                </c:pt>
                <c:pt idx="571">
                  <c:v>1844.0699460000001</c:v>
                </c:pt>
                <c:pt idx="572">
                  <c:v>1843.0600589999999</c:v>
                </c:pt>
                <c:pt idx="573">
                  <c:v>1844.869995</c:v>
                </c:pt>
                <c:pt idx="574">
                  <c:v>1863.040039</c:v>
                </c:pt>
                <c:pt idx="575">
                  <c:v>1864.8199460000001</c:v>
                </c:pt>
                <c:pt idx="576">
                  <c:v>1861.6899410000001</c:v>
                </c:pt>
                <c:pt idx="577">
                  <c:v>1887.3100589999999</c:v>
                </c:pt>
                <c:pt idx="578">
                  <c:v>1923.7700199999999</c:v>
                </c:pt>
                <c:pt idx="579">
                  <c:v>1901.75</c:v>
                </c:pt>
                <c:pt idx="580">
                  <c:v>1902.25</c:v>
                </c:pt>
                <c:pt idx="581">
                  <c:v>1950.630005</c:v>
                </c:pt>
                <c:pt idx="582">
                  <c:v>1938.4300539999999</c:v>
                </c:pt>
                <c:pt idx="583">
                  <c:v>1926.5200199999999</c:v>
                </c:pt>
                <c:pt idx="584">
                  <c:v>1911.5200199999999</c:v>
                </c:pt>
                <c:pt idx="585">
                  <c:v>1900.8199460000001</c:v>
                </c:pt>
                <c:pt idx="586">
                  <c:v>1962.459961</c:v>
                </c:pt>
                <c:pt idx="587">
                  <c:v>1950.5500489999999</c:v>
                </c:pt>
                <c:pt idx="588">
                  <c:v>1921</c:v>
                </c:pt>
                <c:pt idx="589">
                  <c:v>1917.7700199999999</c:v>
                </c:pt>
                <c:pt idx="590">
                  <c:v>1899.869995</c:v>
                </c:pt>
                <c:pt idx="591">
                  <c:v>1889.9799800000001</c:v>
                </c:pt>
                <c:pt idx="592">
                  <c:v>1822.6800539999999</c:v>
                </c:pt>
                <c:pt idx="593">
                  <c:v>1840.119995</c:v>
                </c:pt>
                <c:pt idx="594">
                  <c:v>1871.150024</c:v>
                </c:pt>
                <c:pt idx="595">
                  <c:v>1907.5699460000001</c:v>
                </c:pt>
                <c:pt idx="596">
                  <c:v>1869</c:v>
                </c:pt>
                <c:pt idx="597">
                  <c:v>1858.969971</c:v>
                </c:pt>
                <c:pt idx="598">
                  <c:v>1857.5200199999999</c:v>
                </c:pt>
                <c:pt idx="599">
                  <c:v>1859.6800539999999</c:v>
                </c:pt>
                <c:pt idx="600">
                  <c:v>1815.4799800000001</c:v>
                </c:pt>
                <c:pt idx="601">
                  <c:v>1823.280029</c:v>
                </c:pt>
                <c:pt idx="602">
                  <c:v>1836.4300539999999</c:v>
                </c:pt>
                <c:pt idx="603">
                  <c:v>1819.1899410000001</c:v>
                </c:pt>
                <c:pt idx="604">
                  <c:v>1816.3199460000001</c:v>
                </c:pt>
                <c:pt idx="605">
                  <c:v>1775.0699460000001</c:v>
                </c:pt>
                <c:pt idx="606">
                  <c:v>1692.6899410000001</c:v>
                </c:pt>
                <c:pt idx="607">
                  <c:v>1729.5600589999999</c:v>
                </c:pt>
                <c:pt idx="608">
                  <c:v>1738.5</c:v>
                </c:pt>
                <c:pt idx="609">
                  <c:v>1754.3599850000001</c:v>
                </c:pt>
                <c:pt idx="610">
                  <c:v>1804.030029</c:v>
                </c:pt>
                <c:pt idx="611">
                  <c:v>1860.630005</c:v>
                </c:pt>
                <c:pt idx="612">
                  <c:v>1863.6999510000001</c:v>
                </c:pt>
                <c:pt idx="613">
                  <c:v>1855.3199460000001</c:v>
                </c:pt>
                <c:pt idx="614">
                  <c:v>1870.3000489999999</c:v>
                </c:pt>
                <c:pt idx="615">
                  <c:v>1869.670044</c:v>
                </c:pt>
                <c:pt idx="616">
                  <c:v>1886.030029</c:v>
                </c:pt>
                <c:pt idx="617">
                  <c:v>1901.369995</c:v>
                </c:pt>
                <c:pt idx="618">
                  <c:v>1908.790039</c:v>
                </c:pt>
                <c:pt idx="619">
                  <c:v>1918.1899410000001</c:v>
                </c:pt>
                <c:pt idx="620">
                  <c:v>1911.3000489999999</c:v>
                </c:pt>
                <c:pt idx="621">
                  <c:v>1913.900024</c:v>
                </c:pt>
                <c:pt idx="622">
                  <c:v>1878.2700199999999</c:v>
                </c:pt>
                <c:pt idx="623">
                  <c:v>1897.829956</c:v>
                </c:pt>
                <c:pt idx="624">
                  <c:v>1904.280029</c:v>
                </c:pt>
                <c:pt idx="625">
                  <c:v>1893.630005</c:v>
                </c:pt>
                <c:pt idx="626">
                  <c:v>1922.1899410000001</c:v>
                </c:pt>
                <c:pt idx="627">
                  <c:v>1934.3100589999999</c:v>
                </c:pt>
                <c:pt idx="628">
                  <c:v>1939</c:v>
                </c:pt>
                <c:pt idx="629">
                  <c:v>1942.910034</c:v>
                </c:pt>
                <c:pt idx="630">
                  <c:v>1952.3199460000001</c:v>
                </c:pt>
                <c:pt idx="631">
                  <c:v>1988.3000489999999</c:v>
                </c:pt>
                <c:pt idx="632">
                  <c:v>2017.410034</c:v>
                </c:pt>
                <c:pt idx="633">
                  <c:v>2001.0699460000001</c:v>
                </c:pt>
                <c:pt idx="634">
                  <c:v>2011</c:v>
                </c:pt>
                <c:pt idx="635">
                  <c:v>2020.98999</c:v>
                </c:pt>
                <c:pt idx="636">
                  <c:v>2009.900024</c:v>
                </c:pt>
                <c:pt idx="637">
                  <c:v>1992.030029</c:v>
                </c:pt>
                <c:pt idx="638">
                  <c:v>1977.900024</c:v>
                </c:pt>
                <c:pt idx="639">
                  <c:v>1964.5200199999999</c:v>
                </c:pt>
                <c:pt idx="640">
                  <c:v>1985.630005</c:v>
                </c:pt>
                <c:pt idx="641">
                  <c:v>1994.48999</c:v>
                </c:pt>
                <c:pt idx="642">
                  <c:v>2000.8100589999999</c:v>
                </c:pt>
                <c:pt idx="643">
                  <c:v>1973.8199460000001</c:v>
                </c:pt>
                <c:pt idx="644">
                  <c:v>1943.0500489999999</c:v>
                </c:pt>
                <c:pt idx="645">
                  <c:v>1912.4499510000001</c:v>
                </c:pt>
                <c:pt idx="646">
                  <c:v>1898.530029</c:v>
                </c:pt>
                <c:pt idx="647">
                  <c:v>1866.780029</c:v>
                </c:pt>
                <c:pt idx="648">
                  <c:v>1855.3199460000001</c:v>
                </c:pt>
                <c:pt idx="649">
                  <c:v>1823.23999</c:v>
                </c:pt>
                <c:pt idx="650">
                  <c:v>1765.130005</c:v>
                </c:pt>
                <c:pt idx="651">
                  <c:v>1787.829956</c:v>
                </c:pt>
                <c:pt idx="652">
                  <c:v>1793.400024</c:v>
                </c:pt>
                <c:pt idx="653">
                  <c:v>1832.8900149999999</c:v>
                </c:pt>
                <c:pt idx="654">
                  <c:v>1807.579956</c:v>
                </c:pt>
                <c:pt idx="655">
                  <c:v>1784.920044</c:v>
                </c:pt>
                <c:pt idx="656">
                  <c:v>1824.339966</c:v>
                </c:pt>
                <c:pt idx="657">
                  <c:v>1762.959961</c:v>
                </c:pt>
                <c:pt idx="658">
                  <c:v>1776.119995</c:v>
                </c:pt>
                <c:pt idx="659">
                  <c:v>1792.5699460000001</c:v>
                </c:pt>
                <c:pt idx="660">
                  <c:v>1816.119995</c:v>
                </c:pt>
                <c:pt idx="661">
                  <c:v>1801.380005</c:v>
                </c:pt>
                <c:pt idx="662">
                  <c:v>1823.540039</c:v>
                </c:pt>
                <c:pt idx="663">
                  <c:v>1804.660034</c:v>
                </c:pt>
                <c:pt idx="664">
                  <c:v>1749.619995</c:v>
                </c:pt>
                <c:pt idx="665">
                  <c:v>1768.869995</c:v>
                </c:pt>
                <c:pt idx="666">
                  <c:v>1761.829956</c:v>
                </c:pt>
                <c:pt idx="667">
                  <c:v>1764.25</c:v>
                </c:pt>
                <c:pt idx="668">
                  <c:v>1786.400024</c:v>
                </c:pt>
                <c:pt idx="669">
                  <c:v>1776.290039</c:v>
                </c:pt>
                <c:pt idx="670">
                  <c:v>1789.839966</c:v>
                </c:pt>
                <c:pt idx="671">
                  <c:v>1800.619995</c:v>
                </c:pt>
                <c:pt idx="672">
                  <c:v>1840.719971</c:v>
                </c:pt>
                <c:pt idx="673">
                  <c:v>1833.51001</c:v>
                </c:pt>
                <c:pt idx="674">
                  <c:v>1831.349976</c:v>
                </c:pt>
                <c:pt idx="675">
                  <c:v>1820.5500489999999</c:v>
                </c:pt>
                <c:pt idx="676">
                  <c:v>1822.98999</c:v>
                </c:pt>
                <c:pt idx="677">
                  <c:v>1843.5500489999999</c:v>
                </c:pt>
                <c:pt idx="678">
                  <c:v>1839.339966</c:v>
                </c:pt>
                <c:pt idx="679">
                  <c:v>1807.839966</c:v>
                </c:pt>
                <c:pt idx="680">
                  <c:v>1822.5500489999999</c:v>
                </c:pt>
                <c:pt idx="681">
                  <c:v>1817.459961</c:v>
                </c:pt>
                <c:pt idx="682">
                  <c:v>1821.5</c:v>
                </c:pt>
                <c:pt idx="683">
                  <c:v>1794.160034</c:v>
                </c:pt>
                <c:pt idx="684">
                  <c:v>1785.3000489999999</c:v>
                </c:pt>
                <c:pt idx="685">
                  <c:v>1741.6099850000001</c:v>
                </c:pt>
                <c:pt idx="686">
                  <c:v>1768.329956</c:v>
                </c:pt>
                <c:pt idx="687">
                  <c:v>1739.839966</c:v>
                </c:pt>
                <c:pt idx="688">
                  <c:v>1725.4499510000001</c:v>
                </c:pt>
                <c:pt idx="689">
                  <c:v>1735.910034</c:v>
                </c:pt>
                <c:pt idx="690">
                  <c:v>1735.650024</c:v>
                </c:pt>
                <c:pt idx="691">
                  <c:v>1713.2299800000001</c:v>
                </c:pt>
                <c:pt idx="692">
                  <c:v>1724.420044</c:v>
                </c:pt>
                <c:pt idx="693">
                  <c:v>1739.650024</c:v>
                </c:pt>
                <c:pt idx="694">
                  <c:v>1732.660034</c:v>
                </c:pt>
                <c:pt idx="695">
                  <c:v>1705.51001</c:v>
                </c:pt>
                <c:pt idx="696">
                  <c:v>1721.98999</c:v>
                </c:pt>
                <c:pt idx="697">
                  <c:v>1720.26001</c:v>
                </c:pt>
                <c:pt idx="698">
                  <c:v>1731.920044</c:v>
                </c:pt>
                <c:pt idx="699">
                  <c:v>1736.4300539999999</c:v>
                </c:pt>
                <c:pt idx="700">
                  <c:v>1767.380005</c:v>
                </c:pt>
                <c:pt idx="701">
                  <c:v>1777.4300539999999</c:v>
                </c:pt>
                <c:pt idx="702">
                  <c:v>1787.4799800000001</c:v>
                </c:pt>
                <c:pt idx="703">
                  <c:v>1757.51001</c:v>
                </c:pt>
                <c:pt idx="704">
                  <c:v>1785.660034</c:v>
                </c:pt>
                <c:pt idx="705">
                  <c:v>1765.7299800000001</c:v>
                </c:pt>
                <c:pt idx="706">
                  <c:v>1762.170044</c:v>
                </c:pt>
                <c:pt idx="707">
                  <c:v>1780.780029</c:v>
                </c:pt>
                <c:pt idx="708">
                  <c:v>1761.329956</c:v>
                </c:pt>
                <c:pt idx="709">
                  <c:v>1777.079956</c:v>
                </c:pt>
                <c:pt idx="710">
                  <c:v>1762.709961</c:v>
                </c:pt>
                <c:pt idx="711">
                  <c:v>1779.98999</c:v>
                </c:pt>
                <c:pt idx="712">
                  <c:v>1776.660034</c:v>
                </c:pt>
                <c:pt idx="713">
                  <c:v>1791.4399410000001</c:v>
                </c:pt>
                <c:pt idx="714">
                  <c:v>1804.660034</c:v>
                </c:pt>
                <c:pt idx="715">
                  <c:v>1801.709961</c:v>
                </c:pt>
                <c:pt idx="716">
                  <c:v>1795.7700199999999</c:v>
                </c:pt>
                <c:pt idx="717">
                  <c:v>1788.1999510000001</c:v>
                </c:pt>
                <c:pt idx="718">
                  <c:v>1785.880005</c:v>
                </c:pt>
                <c:pt idx="719">
                  <c:v>1771.650024</c:v>
                </c:pt>
                <c:pt idx="720">
                  <c:v>1778</c:v>
                </c:pt>
                <c:pt idx="721">
                  <c:v>1753.1099850000001</c:v>
                </c:pt>
                <c:pt idx="722">
                  <c:v>1754.599976</c:v>
                </c:pt>
                <c:pt idx="723">
                  <c:v>1739.48999</c:v>
                </c:pt>
                <c:pt idx="724">
                  <c:v>1752.530029</c:v>
                </c:pt>
                <c:pt idx="725">
                  <c:v>1752.790039</c:v>
                </c:pt>
                <c:pt idx="726">
                  <c:v>1745.530029</c:v>
                </c:pt>
                <c:pt idx="727">
                  <c:v>1734.709961</c:v>
                </c:pt>
                <c:pt idx="728">
                  <c:v>1745.719971</c:v>
                </c:pt>
                <c:pt idx="729">
                  <c:v>1773.839966</c:v>
                </c:pt>
                <c:pt idx="730">
                  <c:v>1796.9399410000001</c:v>
                </c:pt>
                <c:pt idx="731">
                  <c:v>1818.51001</c:v>
                </c:pt>
                <c:pt idx="732">
                  <c:v>1800.8000489999999</c:v>
                </c:pt>
                <c:pt idx="733">
                  <c:v>1781.599976</c:v>
                </c:pt>
                <c:pt idx="734">
                  <c:v>1769.959961</c:v>
                </c:pt>
                <c:pt idx="735">
                  <c:v>1760.6899410000001</c:v>
                </c:pt>
                <c:pt idx="736">
                  <c:v>1740.4799800000001</c:v>
                </c:pt>
                <c:pt idx="737">
                  <c:v>1751.599976</c:v>
                </c:pt>
                <c:pt idx="738">
                  <c:v>1749.51001</c:v>
                </c:pt>
                <c:pt idx="739">
                  <c:v>1739.209961</c:v>
                </c:pt>
                <c:pt idx="740">
                  <c:v>1748.719971</c:v>
                </c:pt>
                <c:pt idx="741">
                  <c:v>1760.329956</c:v>
                </c:pt>
                <c:pt idx="742">
                  <c:v>1760.9399410000001</c:v>
                </c:pt>
                <c:pt idx="743">
                  <c:v>1769.209961</c:v>
                </c:pt>
                <c:pt idx="744">
                  <c:v>1790.660034</c:v>
                </c:pt>
                <c:pt idx="745">
                  <c:v>1784.030029</c:v>
                </c:pt>
                <c:pt idx="746">
                  <c:v>1792.280029</c:v>
                </c:pt>
                <c:pt idx="747">
                  <c:v>1786.5</c:v>
                </c:pt>
                <c:pt idx="748">
                  <c:v>1793</c:v>
                </c:pt>
                <c:pt idx="749">
                  <c:v>1789.209961</c:v>
                </c:pt>
                <c:pt idx="750">
                  <c:v>1868.7700199999999</c:v>
                </c:pt>
                <c:pt idx="751">
                  <c:v>1869.8000489999999</c:v>
                </c:pt>
                <c:pt idx="752">
                  <c:v>1846.8900149999999</c:v>
                </c:pt>
                <c:pt idx="753">
                  <c:v>1847.839966</c:v>
                </c:pt>
                <c:pt idx="754">
                  <c:v>1898.01001</c:v>
                </c:pt>
                <c:pt idx="755">
                  <c:v>1874.969971</c:v>
                </c:pt>
                <c:pt idx="756">
                  <c:v>1902.880005</c:v>
                </c:pt>
                <c:pt idx="757">
                  <c:v>1906.8599850000001</c:v>
                </c:pt>
                <c:pt idx="758">
                  <c:v>1891.969971</c:v>
                </c:pt>
                <c:pt idx="759">
                  <c:v>1901.0500489999999</c:v>
                </c:pt>
                <c:pt idx="760">
                  <c:v>1883.160034</c:v>
                </c:pt>
                <c:pt idx="761">
                  <c:v>1891.3000489999999</c:v>
                </c:pt>
                <c:pt idx="762">
                  <c:v>1869.4399410000001</c:v>
                </c:pt>
                <c:pt idx="763">
                  <c:v>1862.0200199999999</c:v>
                </c:pt>
                <c:pt idx="764">
                  <c:v>1877.9399410000001</c:v>
                </c:pt>
                <c:pt idx="765">
                  <c:v>1864.719971</c:v>
                </c:pt>
                <c:pt idx="766">
                  <c:v>1892</c:v>
                </c:pt>
                <c:pt idx="767">
                  <c:v>1887.459961</c:v>
                </c:pt>
                <c:pt idx="768">
                  <c:v>1884.579956</c:v>
                </c:pt>
                <c:pt idx="769">
                  <c:v>1861.6400149999999</c:v>
                </c:pt>
                <c:pt idx="770">
                  <c:v>1828.339966</c:v>
                </c:pt>
                <c:pt idx="771">
                  <c:v>1853.25</c:v>
                </c:pt>
                <c:pt idx="772">
                  <c:v>1858</c:v>
                </c:pt>
                <c:pt idx="773">
                  <c:v>1870.6800539999999</c:v>
                </c:pt>
                <c:pt idx="774">
                  <c:v>2008.719971</c:v>
                </c:pt>
                <c:pt idx="775">
                  <c:v>2004.1999510000001</c:v>
                </c:pt>
                <c:pt idx="776">
                  <c:v>2049.669922</c:v>
                </c:pt>
                <c:pt idx="777">
                  <c:v>2039.869995</c:v>
                </c:pt>
                <c:pt idx="778">
                  <c:v>2050.2299800000001</c:v>
                </c:pt>
                <c:pt idx="779">
                  <c:v>2079.280029</c:v>
                </c:pt>
                <c:pt idx="780">
                  <c:v>2133.9099120000001</c:v>
                </c:pt>
                <c:pt idx="781">
                  <c:v>2150.8000489999999</c:v>
                </c:pt>
                <c:pt idx="782">
                  <c:v>2160</c:v>
                </c:pt>
                <c:pt idx="783">
                  <c:v>2149.8701169999999</c:v>
                </c:pt>
                <c:pt idx="784">
                  <c:v>2134.8701169999999</c:v>
                </c:pt>
                <c:pt idx="785">
                  <c:v>2155.669922</c:v>
                </c:pt>
                <c:pt idx="786">
                  <c:v>2170.219971</c:v>
                </c:pt>
                <c:pt idx="787">
                  <c:v>2153.1000979999999</c:v>
                </c:pt>
                <c:pt idx="788">
                  <c:v>2095.969971</c:v>
                </c:pt>
                <c:pt idx="789">
                  <c:v>2009.290039</c:v>
                </c:pt>
                <c:pt idx="790">
                  <c:v>1972.73999</c:v>
                </c:pt>
                <c:pt idx="791">
                  <c:v>1979.589966</c:v>
                </c:pt>
                <c:pt idx="792">
                  <c:v>1884.3000489999999</c:v>
                </c:pt>
                <c:pt idx="793">
                  <c:v>1883.75</c:v>
                </c:pt>
                <c:pt idx="794">
                  <c:v>1953.9499510000001</c:v>
                </c:pt>
                <c:pt idx="795">
                  <c:v>1908.98999</c:v>
                </c:pt>
                <c:pt idx="796">
                  <c:v>1975.829956</c:v>
                </c:pt>
                <c:pt idx="797">
                  <c:v>1924.030029</c:v>
                </c:pt>
                <c:pt idx="798">
                  <c:v>1901.089966</c:v>
                </c:pt>
                <c:pt idx="799">
                  <c:v>1800.6099850000001</c:v>
                </c:pt>
                <c:pt idx="800">
                  <c:v>1891.8199460000001</c:v>
                </c:pt>
                <c:pt idx="801">
                  <c:v>1820.8599850000001</c:v>
                </c:pt>
                <c:pt idx="802">
                  <c:v>1676.6099850000001</c:v>
                </c:pt>
                <c:pt idx="803">
                  <c:v>1785</c:v>
                </c:pt>
                <c:pt idx="804">
                  <c:v>1689.150024</c:v>
                </c:pt>
                <c:pt idx="805">
                  <c:v>1807.839966</c:v>
                </c:pt>
                <c:pt idx="806">
                  <c:v>1830</c:v>
                </c:pt>
                <c:pt idx="807">
                  <c:v>1880.9300539999999</c:v>
                </c:pt>
                <c:pt idx="808">
                  <c:v>1846.089966</c:v>
                </c:pt>
                <c:pt idx="809">
                  <c:v>1902.829956</c:v>
                </c:pt>
                <c:pt idx="810">
                  <c:v>1940.099976</c:v>
                </c:pt>
                <c:pt idx="811">
                  <c:v>1885.839966</c:v>
                </c:pt>
                <c:pt idx="812">
                  <c:v>1955.48999</c:v>
                </c:pt>
                <c:pt idx="813">
                  <c:v>1900.099976</c:v>
                </c:pt>
                <c:pt idx="814">
                  <c:v>1963.9499510000001</c:v>
                </c:pt>
                <c:pt idx="815">
                  <c:v>1949.719971</c:v>
                </c:pt>
                <c:pt idx="816">
                  <c:v>1907.6999510000001</c:v>
                </c:pt>
                <c:pt idx="817">
                  <c:v>1918.829956</c:v>
                </c:pt>
                <c:pt idx="818">
                  <c:v>1906.589966</c:v>
                </c:pt>
                <c:pt idx="819">
                  <c:v>1997.589966</c:v>
                </c:pt>
                <c:pt idx="820">
                  <c:v>2011.599976</c:v>
                </c:pt>
                <c:pt idx="821">
                  <c:v>2043</c:v>
                </c:pt>
                <c:pt idx="822">
                  <c:v>2042.76001</c:v>
                </c:pt>
                <c:pt idx="823">
                  <c:v>2168.8701169999999</c:v>
                </c:pt>
                <c:pt idx="824">
                  <c:v>2283.320068</c:v>
                </c:pt>
                <c:pt idx="825">
                  <c:v>2307.679932</c:v>
                </c:pt>
                <c:pt idx="826">
                  <c:v>2408.1899410000001</c:v>
                </c:pt>
                <c:pt idx="827">
                  <c:v>2375</c:v>
                </c:pt>
                <c:pt idx="828">
                  <c:v>2393.610107</c:v>
                </c:pt>
                <c:pt idx="829">
                  <c:v>2328.1201169999999</c:v>
                </c:pt>
                <c:pt idx="830">
                  <c:v>2363.48999</c:v>
                </c:pt>
                <c:pt idx="831">
                  <c:v>2399.4499510000001</c:v>
                </c:pt>
                <c:pt idx="832">
                  <c:v>2410.219971</c:v>
                </c:pt>
                <c:pt idx="833">
                  <c:v>2376</c:v>
                </c:pt>
                <c:pt idx="834">
                  <c:v>2314.080078</c:v>
                </c:pt>
                <c:pt idx="835">
                  <c:v>2372.709961</c:v>
                </c:pt>
                <c:pt idx="836">
                  <c:v>2474</c:v>
                </c:pt>
                <c:pt idx="837">
                  <c:v>2286.040039</c:v>
                </c:pt>
                <c:pt idx="838">
                  <c:v>2315.98999</c:v>
                </c:pt>
                <c:pt idx="839">
                  <c:v>2317.8000489999999</c:v>
                </c:pt>
                <c:pt idx="840">
                  <c:v>2351.26001</c:v>
                </c:pt>
                <c:pt idx="841">
                  <c:v>2367.610107</c:v>
                </c:pt>
                <c:pt idx="842">
                  <c:v>2379.610107</c:v>
                </c:pt>
                <c:pt idx="843">
                  <c:v>2409</c:v>
                </c:pt>
                <c:pt idx="844">
                  <c:v>2356.9499510000001</c:v>
                </c:pt>
                <c:pt idx="845">
                  <c:v>2367.919922</c:v>
                </c:pt>
                <c:pt idx="846">
                  <c:v>2388.8500979999999</c:v>
                </c:pt>
                <c:pt idx="847">
                  <c:v>2409.780029</c:v>
                </c:pt>
                <c:pt idx="848">
                  <c:v>2426.26001</c:v>
                </c:pt>
                <c:pt idx="849">
                  <c:v>2449.330078</c:v>
                </c:pt>
                <c:pt idx="850">
                  <c:v>2497.9399410000001</c:v>
                </c:pt>
                <c:pt idx="851">
                  <c:v>2446.73999</c:v>
                </c:pt>
                <c:pt idx="852">
                  <c:v>2436.8798830000001</c:v>
                </c:pt>
                <c:pt idx="853">
                  <c:v>2421.860107</c:v>
                </c:pt>
                <c:pt idx="854">
                  <c:v>2410.389893</c:v>
                </c:pt>
                <c:pt idx="855">
                  <c:v>2401.1000979999999</c:v>
                </c:pt>
                <c:pt idx="856">
                  <c:v>2442.3701169999999</c:v>
                </c:pt>
                <c:pt idx="857">
                  <c:v>2471.040039</c:v>
                </c:pt>
                <c:pt idx="858">
                  <c:v>2472.4099120000001</c:v>
                </c:pt>
                <c:pt idx="859">
                  <c:v>2478.3999020000001</c:v>
                </c:pt>
                <c:pt idx="860">
                  <c:v>2460.6000979999999</c:v>
                </c:pt>
                <c:pt idx="861">
                  <c:v>2483</c:v>
                </c:pt>
                <c:pt idx="862">
                  <c:v>2524.0600589999999</c:v>
                </c:pt>
                <c:pt idx="863">
                  <c:v>2600.860107</c:v>
                </c:pt>
                <c:pt idx="864">
                  <c:v>2647.4499510000001</c:v>
                </c:pt>
                <c:pt idx="865">
                  <c:v>2557.959961</c:v>
                </c:pt>
                <c:pt idx="866">
                  <c:v>2545.0200199999999</c:v>
                </c:pt>
                <c:pt idx="867">
                  <c:v>2572.679932</c:v>
                </c:pt>
                <c:pt idx="868">
                  <c:v>2615.2700199999999</c:v>
                </c:pt>
                <c:pt idx="869">
                  <c:v>2640.9799800000001</c:v>
                </c:pt>
                <c:pt idx="870">
                  <c:v>2653.9799800000001</c:v>
                </c:pt>
                <c:pt idx="871">
                  <c:v>2675.01001</c:v>
                </c:pt>
                <c:pt idx="872">
                  <c:v>2713.820068</c:v>
                </c:pt>
                <c:pt idx="873">
                  <c:v>2764.4099120000001</c:v>
                </c:pt>
                <c:pt idx="874">
                  <c:v>2734.3999020000001</c:v>
                </c:pt>
                <c:pt idx="875">
                  <c:v>2754.580078</c:v>
                </c:pt>
                <c:pt idx="876">
                  <c:v>2692.8701169999999</c:v>
                </c:pt>
                <c:pt idx="877">
                  <c:v>2680.3798830000001</c:v>
                </c:pt>
                <c:pt idx="878">
                  <c:v>2758.820068</c:v>
                </c:pt>
                <c:pt idx="879">
                  <c:v>2878.6999510000001</c:v>
                </c:pt>
                <c:pt idx="880">
                  <c:v>2890.3000489999999</c:v>
                </c:pt>
                <c:pt idx="881">
                  <c:v>3057.040039</c:v>
                </c:pt>
                <c:pt idx="882">
                  <c:v>3000.1201169999999</c:v>
                </c:pt>
                <c:pt idx="883">
                  <c:v>3081.110107</c:v>
                </c:pt>
                <c:pt idx="884">
                  <c:v>3182.6298830000001</c:v>
                </c:pt>
                <c:pt idx="885">
                  <c:v>3200</c:v>
                </c:pt>
                <c:pt idx="886">
                  <c:v>3104</c:v>
                </c:pt>
                <c:pt idx="887">
                  <c:v>3084</c:v>
                </c:pt>
                <c:pt idx="888">
                  <c:v>3008.8701169999999</c:v>
                </c:pt>
                <c:pt idx="889">
                  <c:v>2999.8999020000001</c:v>
                </c:pt>
                <c:pt idx="890">
                  <c:v>2961.969971</c:v>
                </c:pt>
                <c:pt idx="891">
                  <c:v>3196.8400879999999</c:v>
                </c:pt>
                <c:pt idx="892">
                  <c:v>3138.290039</c:v>
                </c:pt>
                <c:pt idx="893">
                  <c:v>3099.9099120000001</c:v>
                </c:pt>
                <c:pt idx="894">
                  <c:v>2986.5500489999999</c:v>
                </c:pt>
                <c:pt idx="895">
                  <c:v>3008.9099120000001</c:v>
                </c:pt>
                <c:pt idx="896">
                  <c:v>3055.209961</c:v>
                </c:pt>
                <c:pt idx="897">
                  <c:v>3000.330078</c:v>
                </c:pt>
                <c:pt idx="898">
                  <c:v>3033.530029</c:v>
                </c:pt>
                <c:pt idx="899">
                  <c:v>3051.8798830000001</c:v>
                </c:pt>
                <c:pt idx="900">
                  <c:v>3164.679932</c:v>
                </c:pt>
                <c:pt idx="901">
                  <c:v>3111.889893</c:v>
                </c:pt>
                <c:pt idx="902">
                  <c:v>3138.830078</c:v>
                </c:pt>
                <c:pt idx="903">
                  <c:v>3205.030029</c:v>
                </c:pt>
                <c:pt idx="904">
                  <c:v>3225</c:v>
                </c:pt>
                <c:pt idx="905">
                  <c:v>3167.459961</c:v>
                </c:pt>
                <c:pt idx="906">
                  <c:v>3148.1599120000001</c:v>
                </c:pt>
                <c:pt idx="907">
                  <c:v>3080.669922</c:v>
                </c:pt>
                <c:pt idx="908">
                  <c:v>3162.23999</c:v>
                </c:pt>
                <c:pt idx="909">
                  <c:v>3161.0200199999999</c:v>
                </c:pt>
                <c:pt idx="910">
                  <c:v>3148.0200199999999</c:v>
                </c:pt>
                <c:pt idx="911">
                  <c:v>3182.4099120000001</c:v>
                </c:pt>
                <c:pt idx="912">
                  <c:v>3312.48999</c:v>
                </c:pt>
                <c:pt idx="913">
                  <c:v>3260.4799800000001</c:v>
                </c:pt>
                <c:pt idx="914">
                  <c:v>3297.3701169999999</c:v>
                </c:pt>
                <c:pt idx="915">
                  <c:v>3284.719971</c:v>
                </c:pt>
                <c:pt idx="916">
                  <c:v>3307.459961</c:v>
                </c:pt>
                <c:pt idx="917">
                  <c:v>3346.48999</c:v>
                </c:pt>
                <c:pt idx="918">
                  <c:v>3441.8500979999999</c:v>
                </c:pt>
                <c:pt idx="919">
                  <c:v>3400</c:v>
                </c:pt>
                <c:pt idx="920">
                  <c:v>3401.8000489999999</c:v>
                </c:pt>
                <c:pt idx="921">
                  <c:v>3450.959961</c:v>
                </c:pt>
                <c:pt idx="922">
                  <c:v>3499.1201169999999</c:v>
                </c:pt>
                <c:pt idx="923">
                  <c:v>3531.4499510000001</c:v>
                </c:pt>
                <c:pt idx="924">
                  <c:v>3368</c:v>
                </c:pt>
                <c:pt idx="925">
                  <c:v>3294.6201169999999</c:v>
                </c:pt>
                <c:pt idx="926">
                  <c:v>3149.8400879999999</c:v>
                </c:pt>
                <c:pt idx="927">
                  <c:v>3268.610107</c:v>
                </c:pt>
                <c:pt idx="928">
                  <c:v>3175.110107</c:v>
                </c:pt>
                <c:pt idx="929">
                  <c:v>3116.219971</c:v>
                </c:pt>
                <c:pt idx="930">
                  <c:v>3102.969971</c:v>
                </c:pt>
                <c:pt idx="931">
                  <c:v>3156.1298830000001</c:v>
                </c:pt>
                <c:pt idx="932">
                  <c:v>3078.1000979999999</c:v>
                </c:pt>
                <c:pt idx="933">
                  <c:v>3008.7299800000001</c:v>
                </c:pt>
                <c:pt idx="934">
                  <c:v>2954.9099120000001</c:v>
                </c:pt>
                <c:pt idx="935">
                  <c:v>2960.469971</c:v>
                </c:pt>
                <c:pt idx="936">
                  <c:v>3128.98999</c:v>
                </c:pt>
                <c:pt idx="937">
                  <c:v>2999.860107</c:v>
                </c:pt>
                <c:pt idx="938">
                  <c:v>3019.790039</c:v>
                </c:pt>
                <c:pt idx="939">
                  <c:v>3095.1298830000001</c:v>
                </c:pt>
                <c:pt idx="940">
                  <c:v>3174.0500489999999</c:v>
                </c:pt>
                <c:pt idx="941">
                  <c:v>3144.8798830000001</c:v>
                </c:pt>
                <c:pt idx="942">
                  <c:v>3148.7299800000001</c:v>
                </c:pt>
                <c:pt idx="943">
                  <c:v>3221.26001</c:v>
                </c:pt>
                <c:pt idx="944">
                  <c:v>3125</c:v>
                </c:pt>
                <c:pt idx="945">
                  <c:v>3199.1999510000001</c:v>
                </c:pt>
                <c:pt idx="946">
                  <c:v>3099.959961</c:v>
                </c:pt>
                <c:pt idx="947">
                  <c:v>3195.6899410000001</c:v>
                </c:pt>
                <c:pt idx="948">
                  <c:v>3190.5500489999999</c:v>
                </c:pt>
                <c:pt idx="949">
                  <c:v>3286.6499020000001</c:v>
                </c:pt>
                <c:pt idx="950">
                  <c:v>3442.929932</c:v>
                </c:pt>
                <c:pt idx="951">
                  <c:v>3443.6298830000001</c:v>
                </c:pt>
                <c:pt idx="952">
                  <c:v>3363.709961</c:v>
                </c:pt>
                <c:pt idx="953">
                  <c:v>3338.6499020000001</c:v>
                </c:pt>
                <c:pt idx="954">
                  <c:v>3272.709961</c:v>
                </c:pt>
                <c:pt idx="955">
                  <c:v>3207.209961</c:v>
                </c:pt>
                <c:pt idx="956">
                  <c:v>3217.01001</c:v>
                </c:pt>
                <c:pt idx="957">
                  <c:v>3184.9399410000001</c:v>
                </c:pt>
                <c:pt idx="958">
                  <c:v>3176.3999020000001</c:v>
                </c:pt>
                <c:pt idx="959">
                  <c:v>3204.3999020000001</c:v>
                </c:pt>
                <c:pt idx="960">
                  <c:v>3207.040039</c:v>
                </c:pt>
                <c:pt idx="961">
                  <c:v>3286.330078</c:v>
                </c:pt>
                <c:pt idx="962">
                  <c:v>3162.780029</c:v>
                </c:pt>
                <c:pt idx="963">
                  <c:v>3211.01001</c:v>
                </c:pt>
                <c:pt idx="964">
                  <c:v>3036.1499020000001</c:v>
                </c:pt>
                <c:pt idx="965">
                  <c:v>3004.4799800000001</c:v>
                </c:pt>
                <c:pt idx="966">
                  <c:v>3048.4099120000001</c:v>
                </c:pt>
                <c:pt idx="967">
                  <c:v>3241.1599120000001</c:v>
                </c:pt>
                <c:pt idx="968">
                  <c:v>3322</c:v>
                </c:pt>
                <c:pt idx="969">
                  <c:v>3311.3701169999999</c:v>
                </c:pt>
                <c:pt idx="970">
                  <c:v>3143.73999</c:v>
                </c:pt>
                <c:pt idx="971">
                  <c:v>3035.0200199999999</c:v>
                </c:pt>
                <c:pt idx="972">
                  <c:v>3137.389893</c:v>
                </c:pt>
                <c:pt idx="973">
                  <c:v>3110.280029</c:v>
                </c:pt>
                <c:pt idx="974">
                  <c:v>3128.8100589999999</c:v>
                </c:pt>
                <c:pt idx="975">
                  <c:v>3131.0600589999999</c:v>
                </c:pt>
                <c:pt idx="976">
                  <c:v>3135.6599120000001</c:v>
                </c:pt>
                <c:pt idx="977">
                  <c:v>3105.459961</c:v>
                </c:pt>
                <c:pt idx="978">
                  <c:v>3117.0200199999999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9-4C38-9E46-3AB9FA90A582}"/>
            </c:ext>
          </c:extLst>
        </c:ser>
        <c:ser>
          <c:idx val="1"/>
          <c:order val="1"/>
          <c:tx>
            <c:strRef>
              <c:f>'Share Price'!$D$9</c:f>
              <c:strCache>
                <c:ptCount val="1"/>
                <c:pt idx="0">
                  <c:v>Bull</c:v>
                </c:pt>
              </c:strCache>
            </c:strRef>
          </c:tx>
          <c:spPr>
            <a:ln w="15875" cap="rnd">
              <a:solidFill>
                <a:srgbClr val="FA621C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984"/>
              <c:layout>
                <c:manualLayout>
                  <c:x val="-2.0960700611876409E-2"/>
                  <c:y val="-7.7922087882463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82-4D87-AC96-E89A779400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'Share Price'!$A$11:$A$995</c:f>
              <c:numCache>
                <c:formatCode>[$-809]dd\ mmmm\ yyyy;@</c:formatCode>
                <c:ptCount val="985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  <c:pt idx="502">
                  <c:v>43467</c:v>
                </c:pt>
                <c:pt idx="503">
                  <c:v>43468</c:v>
                </c:pt>
                <c:pt idx="504">
                  <c:v>43469</c:v>
                </c:pt>
                <c:pt idx="505">
                  <c:v>43472</c:v>
                </c:pt>
                <c:pt idx="506">
                  <c:v>43473</c:v>
                </c:pt>
                <c:pt idx="507">
                  <c:v>43474</c:v>
                </c:pt>
                <c:pt idx="508">
                  <c:v>43475</c:v>
                </c:pt>
                <c:pt idx="509">
                  <c:v>43476</c:v>
                </c:pt>
                <c:pt idx="510">
                  <c:v>43479</c:v>
                </c:pt>
                <c:pt idx="511">
                  <c:v>43480</c:v>
                </c:pt>
                <c:pt idx="512">
                  <c:v>43481</c:v>
                </c:pt>
                <c:pt idx="513">
                  <c:v>43482</c:v>
                </c:pt>
                <c:pt idx="514">
                  <c:v>43483</c:v>
                </c:pt>
                <c:pt idx="515">
                  <c:v>43487</c:v>
                </c:pt>
                <c:pt idx="516">
                  <c:v>43488</c:v>
                </c:pt>
                <c:pt idx="517">
                  <c:v>43489</c:v>
                </c:pt>
                <c:pt idx="518">
                  <c:v>43490</c:v>
                </c:pt>
                <c:pt idx="519">
                  <c:v>43493</c:v>
                </c:pt>
                <c:pt idx="520">
                  <c:v>43494</c:v>
                </c:pt>
                <c:pt idx="521">
                  <c:v>43495</c:v>
                </c:pt>
                <c:pt idx="522">
                  <c:v>43496</c:v>
                </c:pt>
                <c:pt idx="523">
                  <c:v>43497</c:v>
                </c:pt>
                <c:pt idx="524">
                  <c:v>43500</c:v>
                </c:pt>
                <c:pt idx="525">
                  <c:v>43501</c:v>
                </c:pt>
                <c:pt idx="526">
                  <c:v>43502</c:v>
                </c:pt>
                <c:pt idx="527">
                  <c:v>43503</c:v>
                </c:pt>
                <c:pt idx="528">
                  <c:v>43504</c:v>
                </c:pt>
                <c:pt idx="529">
                  <c:v>43507</c:v>
                </c:pt>
                <c:pt idx="530">
                  <c:v>43508</c:v>
                </c:pt>
                <c:pt idx="531">
                  <c:v>43509</c:v>
                </c:pt>
                <c:pt idx="532">
                  <c:v>43510</c:v>
                </c:pt>
                <c:pt idx="533">
                  <c:v>43511</c:v>
                </c:pt>
                <c:pt idx="534">
                  <c:v>43515</c:v>
                </c:pt>
                <c:pt idx="535">
                  <c:v>43516</c:v>
                </c:pt>
                <c:pt idx="536">
                  <c:v>43517</c:v>
                </c:pt>
                <c:pt idx="537">
                  <c:v>43518</c:v>
                </c:pt>
                <c:pt idx="538">
                  <c:v>43521</c:v>
                </c:pt>
                <c:pt idx="539">
                  <c:v>43522</c:v>
                </c:pt>
                <c:pt idx="540">
                  <c:v>43523</c:v>
                </c:pt>
                <c:pt idx="541">
                  <c:v>43524</c:v>
                </c:pt>
                <c:pt idx="542">
                  <c:v>43525</c:v>
                </c:pt>
                <c:pt idx="543">
                  <c:v>43528</c:v>
                </c:pt>
                <c:pt idx="544">
                  <c:v>43529</c:v>
                </c:pt>
                <c:pt idx="545">
                  <c:v>43530</c:v>
                </c:pt>
                <c:pt idx="546">
                  <c:v>43531</c:v>
                </c:pt>
                <c:pt idx="547">
                  <c:v>43532</c:v>
                </c:pt>
                <c:pt idx="548">
                  <c:v>43535</c:v>
                </c:pt>
                <c:pt idx="549">
                  <c:v>43536</c:v>
                </c:pt>
                <c:pt idx="550">
                  <c:v>43537</c:v>
                </c:pt>
                <c:pt idx="551">
                  <c:v>43538</c:v>
                </c:pt>
                <c:pt idx="552">
                  <c:v>43539</c:v>
                </c:pt>
                <c:pt idx="553">
                  <c:v>43542</c:v>
                </c:pt>
                <c:pt idx="554">
                  <c:v>43543</c:v>
                </c:pt>
                <c:pt idx="555">
                  <c:v>43544</c:v>
                </c:pt>
                <c:pt idx="556">
                  <c:v>43545</c:v>
                </c:pt>
                <c:pt idx="557">
                  <c:v>43546</c:v>
                </c:pt>
                <c:pt idx="558">
                  <c:v>43549</c:v>
                </c:pt>
                <c:pt idx="559">
                  <c:v>43550</c:v>
                </c:pt>
                <c:pt idx="560">
                  <c:v>43551</c:v>
                </c:pt>
                <c:pt idx="561">
                  <c:v>43552</c:v>
                </c:pt>
                <c:pt idx="562">
                  <c:v>43553</c:v>
                </c:pt>
                <c:pt idx="563">
                  <c:v>43556</c:v>
                </c:pt>
                <c:pt idx="564">
                  <c:v>43557</c:v>
                </c:pt>
                <c:pt idx="565">
                  <c:v>43558</c:v>
                </c:pt>
                <c:pt idx="566">
                  <c:v>43559</c:v>
                </c:pt>
                <c:pt idx="567">
                  <c:v>43560</c:v>
                </c:pt>
                <c:pt idx="568">
                  <c:v>43563</c:v>
                </c:pt>
                <c:pt idx="569">
                  <c:v>43564</c:v>
                </c:pt>
                <c:pt idx="570">
                  <c:v>43565</c:v>
                </c:pt>
                <c:pt idx="571">
                  <c:v>43566</c:v>
                </c:pt>
                <c:pt idx="572">
                  <c:v>43567</c:v>
                </c:pt>
                <c:pt idx="573">
                  <c:v>43570</c:v>
                </c:pt>
                <c:pt idx="574">
                  <c:v>43571</c:v>
                </c:pt>
                <c:pt idx="575">
                  <c:v>43572</c:v>
                </c:pt>
                <c:pt idx="576">
                  <c:v>43573</c:v>
                </c:pt>
                <c:pt idx="577">
                  <c:v>43577</c:v>
                </c:pt>
                <c:pt idx="578">
                  <c:v>43578</c:v>
                </c:pt>
                <c:pt idx="579">
                  <c:v>43579</c:v>
                </c:pt>
                <c:pt idx="580">
                  <c:v>43580</c:v>
                </c:pt>
                <c:pt idx="581">
                  <c:v>43581</c:v>
                </c:pt>
                <c:pt idx="582">
                  <c:v>43584</c:v>
                </c:pt>
                <c:pt idx="583">
                  <c:v>43585</c:v>
                </c:pt>
                <c:pt idx="584">
                  <c:v>43586</c:v>
                </c:pt>
                <c:pt idx="585">
                  <c:v>43587</c:v>
                </c:pt>
                <c:pt idx="586">
                  <c:v>43588</c:v>
                </c:pt>
                <c:pt idx="587">
                  <c:v>43591</c:v>
                </c:pt>
                <c:pt idx="588">
                  <c:v>43592</c:v>
                </c:pt>
                <c:pt idx="589">
                  <c:v>43593</c:v>
                </c:pt>
                <c:pt idx="590">
                  <c:v>43594</c:v>
                </c:pt>
                <c:pt idx="591">
                  <c:v>43595</c:v>
                </c:pt>
                <c:pt idx="592">
                  <c:v>43598</c:v>
                </c:pt>
                <c:pt idx="593">
                  <c:v>43599</c:v>
                </c:pt>
                <c:pt idx="594">
                  <c:v>43600</c:v>
                </c:pt>
                <c:pt idx="595">
                  <c:v>43601</c:v>
                </c:pt>
                <c:pt idx="596">
                  <c:v>43602</c:v>
                </c:pt>
                <c:pt idx="597">
                  <c:v>43605</c:v>
                </c:pt>
                <c:pt idx="598">
                  <c:v>43606</c:v>
                </c:pt>
                <c:pt idx="599">
                  <c:v>43607</c:v>
                </c:pt>
                <c:pt idx="600">
                  <c:v>43608</c:v>
                </c:pt>
                <c:pt idx="601">
                  <c:v>43609</c:v>
                </c:pt>
                <c:pt idx="602">
                  <c:v>43613</c:v>
                </c:pt>
                <c:pt idx="603">
                  <c:v>43614</c:v>
                </c:pt>
                <c:pt idx="604">
                  <c:v>43615</c:v>
                </c:pt>
                <c:pt idx="605">
                  <c:v>43616</c:v>
                </c:pt>
                <c:pt idx="606">
                  <c:v>43619</c:v>
                </c:pt>
                <c:pt idx="607">
                  <c:v>43620</c:v>
                </c:pt>
                <c:pt idx="608">
                  <c:v>43621</c:v>
                </c:pt>
                <c:pt idx="609">
                  <c:v>43622</c:v>
                </c:pt>
                <c:pt idx="610">
                  <c:v>43623</c:v>
                </c:pt>
                <c:pt idx="611">
                  <c:v>43626</c:v>
                </c:pt>
                <c:pt idx="612">
                  <c:v>43627</c:v>
                </c:pt>
                <c:pt idx="613">
                  <c:v>43628</c:v>
                </c:pt>
                <c:pt idx="614">
                  <c:v>43629</c:v>
                </c:pt>
                <c:pt idx="615">
                  <c:v>43630</c:v>
                </c:pt>
                <c:pt idx="616">
                  <c:v>43633</c:v>
                </c:pt>
                <c:pt idx="617">
                  <c:v>43634</c:v>
                </c:pt>
                <c:pt idx="618">
                  <c:v>43635</c:v>
                </c:pt>
                <c:pt idx="619">
                  <c:v>43636</c:v>
                </c:pt>
                <c:pt idx="620">
                  <c:v>43637</c:v>
                </c:pt>
                <c:pt idx="621">
                  <c:v>43640</c:v>
                </c:pt>
                <c:pt idx="622">
                  <c:v>43641</c:v>
                </c:pt>
                <c:pt idx="623">
                  <c:v>43642</c:v>
                </c:pt>
                <c:pt idx="624">
                  <c:v>43643</c:v>
                </c:pt>
                <c:pt idx="625">
                  <c:v>43644</c:v>
                </c:pt>
                <c:pt idx="626">
                  <c:v>43647</c:v>
                </c:pt>
                <c:pt idx="627">
                  <c:v>43648</c:v>
                </c:pt>
                <c:pt idx="628">
                  <c:v>43649</c:v>
                </c:pt>
                <c:pt idx="629">
                  <c:v>43651</c:v>
                </c:pt>
                <c:pt idx="630">
                  <c:v>43654</c:v>
                </c:pt>
                <c:pt idx="631">
                  <c:v>43655</c:v>
                </c:pt>
                <c:pt idx="632">
                  <c:v>43656</c:v>
                </c:pt>
                <c:pt idx="633">
                  <c:v>43657</c:v>
                </c:pt>
                <c:pt idx="634">
                  <c:v>43658</c:v>
                </c:pt>
                <c:pt idx="635">
                  <c:v>43661</c:v>
                </c:pt>
                <c:pt idx="636">
                  <c:v>43662</c:v>
                </c:pt>
                <c:pt idx="637">
                  <c:v>43663</c:v>
                </c:pt>
                <c:pt idx="638">
                  <c:v>43664</c:v>
                </c:pt>
                <c:pt idx="639">
                  <c:v>43665</c:v>
                </c:pt>
                <c:pt idx="640">
                  <c:v>43668</c:v>
                </c:pt>
                <c:pt idx="641">
                  <c:v>43669</c:v>
                </c:pt>
                <c:pt idx="642">
                  <c:v>43670</c:v>
                </c:pt>
                <c:pt idx="643">
                  <c:v>43671</c:v>
                </c:pt>
                <c:pt idx="644">
                  <c:v>43672</c:v>
                </c:pt>
                <c:pt idx="645">
                  <c:v>43675</c:v>
                </c:pt>
                <c:pt idx="646">
                  <c:v>43676</c:v>
                </c:pt>
                <c:pt idx="647">
                  <c:v>43677</c:v>
                </c:pt>
                <c:pt idx="648">
                  <c:v>43678</c:v>
                </c:pt>
                <c:pt idx="649">
                  <c:v>43679</c:v>
                </c:pt>
                <c:pt idx="650">
                  <c:v>43682</c:v>
                </c:pt>
                <c:pt idx="651">
                  <c:v>43683</c:v>
                </c:pt>
                <c:pt idx="652">
                  <c:v>43684</c:v>
                </c:pt>
                <c:pt idx="653">
                  <c:v>43685</c:v>
                </c:pt>
                <c:pt idx="654">
                  <c:v>43686</c:v>
                </c:pt>
                <c:pt idx="655">
                  <c:v>43689</c:v>
                </c:pt>
                <c:pt idx="656">
                  <c:v>43690</c:v>
                </c:pt>
                <c:pt idx="657">
                  <c:v>43691</c:v>
                </c:pt>
                <c:pt idx="658">
                  <c:v>43692</c:v>
                </c:pt>
                <c:pt idx="659">
                  <c:v>43693</c:v>
                </c:pt>
                <c:pt idx="660">
                  <c:v>43696</c:v>
                </c:pt>
                <c:pt idx="661">
                  <c:v>43697</c:v>
                </c:pt>
                <c:pt idx="662">
                  <c:v>43698</c:v>
                </c:pt>
                <c:pt idx="663">
                  <c:v>43699</c:v>
                </c:pt>
                <c:pt idx="664">
                  <c:v>43700</c:v>
                </c:pt>
                <c:pt idx="665">
                  <c:v>43703</c:v>
                </c:pt>
                <c:pt idx="666">
                  <c:v>43704</c:v>
                </c:pt>
                <c:pt idx="667">
                  <c:v>43705</c:v>
                </c:pt>
                <c:pt idx="668">
                  <c:v>43706</c:v>
                </c:pt>
                <c:pt idx="669">
                  <c:v>43707</c:v>
                </c:pt>
                <c:pt idx="670">
                  <c:v>43711</c:v>
                </c:pt>
                <c:pt idx="671">
                  <c:v>43712</c:v>
                </c:pt>
                <c:pt idx="672">
                  <c:v>43713</c:v>
                </c:pt>
                <c:pt idx="673">
                  <c:v>43714</c:v>
                </c:pt>
                <c:pt idx="674">
                  <c:v>43717</c:v>
                </c:pt>
                <c:pt idx="675">
                  <c:v>43718</c:v>
                </c:pt>
                <c:pt idx="676">
                  <c:v>43719</c:v>
                </c:pt>
                <c:pt idx="677">
                  <c:v>43720</c:v>
                </c:pt>
                <c:pt idx="678">
                  <c:v>43721</c:v>
                </c:pt>
                <c:pt idx="679">
                  <c:v>43724</c:v>
                </c:pt>
                <c:pt idx="680">
                  <c:v>43725</c:v>
                </c:pt>
                <c:pt idx="681">
                  <c:v>43726</c:v>
                </c:pt>
                <c:pt idx="682">
                  <c:v>43727</c:v>
                </c:pt>
                <c:pt idx="683">
                  <c:v>43728</c:v>
                </c:pt>
                <c:pt idx="684">
                  <c:v>43731</c:v>
                </c:pt>
                <c:pt idx="685">
                  <c:v>43732</c:v>
                </c:pt>
                <c:pt idx="686">
                  <c:v>43733</c:v>
                </c:pt>
                <c:pt idx="687">
                  <c:v>43734</c:v>
                </c:pt>
                <c:pt idx="688">
                  <c:v>43735</c:v>
                </c:pt>
                <c:pt idx="689">
                  <c:v>43738</c:v>
                </c:pt>
                <c:pt idx="690">
                  <c:v>43739</c:v>
                </c:pt>
                <c:pt idx="691">
                  <c:v>43740</c:v>
                </c:pt>
                <c:pt idx="692">
                  <c:v>43741</c:v>
                </c:pt>
                <c:pt idx="693">
                  <c:v>43742</c:v>
                </c:pt>
                <c:pt idx="694">
                  <c:v>43745</c:v>
                </c:pt>
                <c:pt idx="695">
                  <c:v>43746</c:v>
                </c:pt>
                <c:pt idx="696">
                  <c:v>43747</c:v>
                </c:pt>
                <c:pt idx="697">
                  <c:v>43748</c:v>
                </c:pt>
                <c:pt idx="698">
                  <c:v>43749</c:v>
                </c:pt>
                <c:pt idx="699">
                  <c:v>43752</c:v>
                </c:pt>
                <c:pt idx="700">
                  <c:v>43753</c:v>
                </c:pt>
                <c:pt idx="701">
                  <c:v>43754</c:v>
                </c:pt>
                <c:pt idx="702">
                  <c:v>43755</c:v>
                </c:pt>
                <c:pt idx="703">
                  <c:v>43756</c:v>
                </c:pt>
                <c:pt idx="704">
                  <c:v>43759</c:v>
                </c:pt>
                <c:pt idx="705">
                  <c:v>43760</c:v>
                </c:pt>
                <c:pt idx="706">
                  <c:v>43761</c:v>
                </c:pt>
                <c:pt idx="707">
                  <c:v>43762</c:v>
                </c:pt>
                <c:pt idx="708">
                  <c:v>43763</c:v>
                </c:pt>
                <c:pt idx="709">
                  <c:v>43766</c:v>
                </c:pt>
                <c:pt idx="710">
                  <c:v>43767</c:v>
                </c:pt>
                <c:pt idx="711">
                  <c:v>43768</c:v>
                </c:pt>
                <c:pt idx="712">
                  <c:v>43769</c:v>
                </c:pt>
                <c:pt idx="713">
                  <c:v>43770</c:v>
                </c:pt>
                <c:pt idx="714">
                  <c:v>43773</c:v>
                </c:pt>
                <c:pt idx="715">
                  <c:v>43774</c:v>
                </c:pt>
                <c:pt idx="716">
                  <c:v>43775</c:v>
                </c:pt>
                <c:pt idx="717">
                  <c:v>43776</c:v>
                </c:pt>
                <c:pt idx="718">
                  <c:v>43777</c:v>
                </c:pt>
                <c:pt idx="719">
                  <c:v>43780</c:v>
                </c:pt>
                <c:pt idx="720">
                  <c:v>43781</c:v>
                </c:pt>
                <c:pt idx="721">
                  <c:v>43782</c:v>
                </c:pt>
                <c:pt idx="722">
                  <c:v>43783</c:v>
                </c:pt>
                <c:pt idx="723">
                  <c:v>43784</c:v>
                </c:pt>
                <c:pt idx="724">
                  <c:v>43787</c:v>
                </c:pt>
                <c:pt idx="725">
                  <c:v>43788</c:v>
                </c:pt>
                <c:pt idx="726">
                  <c:v>43789</c:v>
                </c:pt>
                <c:pt idx="727">
                  <c:v>43790</c:v>
                </c:pt>
                <c:pt idx="728">
                  <c:v>43791</c:v>
                </c:pt>
                <c:pt idx="729">
                  <c:v>43794</c:v>
                </c:pt>
                <c:pt idx="730">
                  <c:v>43795</c:v>
                </c:pt>
                <c:pt idx="731">
                  <c:v>43796</c:v>
                </c:pt>
                <c:pt idx="732">
                  <c:v>43798</c:v>
                </c:pt>
                <c:pt idx="733">
                  <c:v>43801</c:v>
                </c:pt>
                <c:pt idx="734">
                  <c:v>43802</c:v>
                </c:pt>
                <c:pt idx="735">
                  <c:v>43803</c:v>
                </c:pt>
                <c:pt idx="736">
                  <c:v>43804</c:v>
                </c:pt>
                <c:pt idx="737">
                  <c:v>43805</c:v>
                </c:pt>
                <c:pt idx="738">
                  <c:v>43808</c:v>
                </c:pt>
                <c:pt idx="739">
                  <c:v>43809</c:v>
                </c:pt>
                <c:pt idx="740">
                  <c:v>43810</c:v>
                </c:pt>
                <c:pt idx="741">
                  <c:v>43811</c:v>
                </c:pt>
                <c:pt idx="742">
                  <c:v>43812</c:v>
                </c:pt>
                <c:pt idx="743">
                  <c:v>43815</c:v>
                </c:pt>
                <c:pt idx="744">
                  <c:v>43816</c:v>
                </c:pt>
                <c:pt idx="745">
                  <c:v>43817</c:v>
                </c:pt>
                <c:pt idx="746">
                  <c:v>43818</c:v>
                </c:pt>
                <c:pt idx="747">
                  <c:v>43819</c:v>
                </c:pt>
                <c:pt idx="748">
                  <c:v>43822</c:v>
                </c:pt>
                <c:pt idx="749">
                  <c:v>43823</c:v>
                </c:pt>
                <c:pt idx="750">
                  <c:v>43825</c:v>
                </c:pt>
                <c:pt idx="751">
                  <c:v>43826</c:v>
                </c:pt>
                <c:pt idx="752">
                  <c:v>43829</c:v>
                </c:pt>
                <c:pt idx="753">
                  <c:v>43830</c:v>
                </c:pt>
                <c:pt idx="754">
                  <c:v>43832</c:v>
                </c:pt>
                <c:pt idx="755">
                  <c:v>43833</c:v>
                </c:pt>
                <c:pt idx="756">
                  <c:v>43836</c:v>
                </c:pt>
                <c:pt idx="757">
                  <c:v>43837</c:v>
                </c:pt>
                <c:pt idx="758">
                  <c:v>43838</c:v>
                </c:pt>
                <c:pt idx="759">
                  <c:v>43839</c:v>
                </c:pt>
                <c:pt idx="760">
                  <c:v>43840</c:v>
                </c:pt>
                <c:pt idx="761">
                  <c:v>43843</c:v>
                </c:pt>
                <c:pt idx="762">
                  <c:v>43844</c:v>
                </c:pt>
                <c:pt idx="763">
                  <c:v>43845</c:v>
                </c:pt>
                <c:pt idx="764">
                  <c:v>43846</c:v>
                </c:pt>
                <c:pt idx="765">
                  <c:v>43847</c:v>
                </c:pt>
                <c:pt idx="766">
                  <c:v>43851</c:v>
                </c:pt>
                <c:pt idx="767">
                  <c:v>43852</c:v>
                </c:pt>
                <c:pt idx="768">
                  <c:v>43853</c:v>
                </c:pt>
                <c:pt idx="769">
                  <c:v>43854</c:v>
                </c:pt>
                <c:pt idx="770">
                  <c:v>43857</c:v>
                </c:pt>
                <c:pt idx="771">
                  <c:v>43858</c:v>
                </c:pt>
                <c:pt idx="772">
                  <c:v>43859</c:v>
                </c:pt>
                <c:pt idx="773">
                  <c:v>43860</c:v>
                </c:pt>
                <c:pt idx="774">
                  <c:v>43861</c:v>
                </c:pt>
                <c:pt idx="775">
                  <c:v>43864</c:v>
                </c:pt>
                <c:pt idx="776">
                  <c:v>43865</c:v>
                </c:pt>
                <c:pt idx="777">
                  <c:v>43866</c:v>
                </c:pt>
                <c:pt idx="778">
                  <c:v>43867</c:v>
                </c:pt>
                <c:pt idx="779">
                  <c:v>43868</c:v>
                </c:pt>
                <c:pt idx="780">
                  <c:v>43871</c:v>
                </c:pt>
                <c:pt idx="781">
                  <c:v>43872</c:v>
                </c:pt>
                <c:pt idx="782">
                  <c:v>43873</c:v>
                </c:pt>
                <c:pt idx="783">
                  <c:v>43874</c:v>
                </c:pt>
                <c:pt idx="784">
                  <c:v>43875</c:v>
                </c:pt>
                <c:pt idx="785">
                  <c:v>43879</c:v>
                </c:pt>
                <c:pt idx="786">
                  <c:v>43880</c:v>
                </c:pt>
                <c:pt idx="787">
                  <c:v>43881</c:v>
                </c:pt>
                <c:pt idx="788">
                  <c:v>43882</c:v>
                </c:pt>
                <c:pt idx="789">
                  <c:v>43885</c:v>
                </c:pt>
                <c:pt idx="790">
                  <c:v>43886</c:v>
                </c:pt>
                <c:pt idx="791">
                  <c:v>43887</c:v>
                </c:pt>
                <c:pt idx="792">
                  <c:v>43888</c:v>
                </c:pt>
                <c:pt idx="793">
                  <c:v>43889</c:v>
                </c:pt>
                <c:pt idx="794">
                  <c:v>43892</c:v>
                </c:pt>
                <c:pt idx="795">
                  <c:v>43893</c:v>
                </c:pt>
                <c:pt idx="796">
                  <c:v>43894</c:v>
                </c:pt>
                <c:pt idx="797">
                  <c:v>43895</c:v>
                </c:pt>
                <c:pt idx="798">
                  <c:v>43896</c:v>
                </c:pt>
                <c:pt idx="799">
                  <c:v>43899</c:v>
                </c:pt>
                <c:pt idx="800">
                  <c:v>43900</c:v>
                </c:pt>
                <c:pt idx="801">
                  <c:v>43901</c:v>
                </c:pt>
                <c:pt idx="802">
                  <c:v>43902</c:v>
                </c:pt>
                <c:pt idx="803">
                  <c:v>43903</c:v>
                </c:pt>
                <c:pt idx="804">
                  <c:v>43906</c:v>
                </c:pt>
                <c:pt idx="805">
                  <c:v>43907</c:v>
                </c:pt>
                <c:pt idx="806">
                  <c:v>43908</c:v>
                </c:pt>
                <c:pt idx="807">
                  <c:v>43909</c:v>
                </c:pt>
                <c:pt idx="808">
                  <c:v>43910</c:v>
                </c:pt>
                <c:pt idx="809">
                  <c:v>43913</c:v>
                </c:pt>
                <c:pt idx="810">
                  <c:v>43914</c:v>
                </c:pt>
                <c:pt idx="811">
                  <c:v>43915</c:v>
                </c:pt>
                <c:pt idx="812">
                  <c:v>43916</c:v>
                </c:pt>
                <c:pt idx="813">
                  <c:v>43917</c:v>
                </c:pt>
                <c:pt idx="814">
                  <c:v>43920</c:v>
                </c:pt>
                <c:pt idx="815">
                  <c:v>43921</c:v>
                </c:pt>
                <c:pt idx="816">
                  <c:v>43922</c:v>
                </c:pt>
                <c:pt idx="817">
                  <c:v>43923</c:v>
                </c:pt>
                <c:pt idx="818">
                  <c:v>43924</c:v>
                </c:pt>
                <c:pt idx="819">
                  <c:v>43927</c:v>
                </c:pt>
                <c:pt idx="820">
                  <c:v>43928</c:v>
                </c:pt>
                <c:pt idx="821">
                  <c:v>43929</c:v>
                </c:pt>
                <c:pt idx="822">
                  <c:v>43930</c:v>
                </c:pt>
                <c:pt idx="823">
                  <c:v>43934</c:v>
                </c:pt>
                <c:pt idx="824">
                  <c:v>43935</c:v>
                </c:pt>
                <c:pt idx="825">
                  <c:v>43936</c:v>
                </c:pt>
                <c:pt idx="826">
                  <c:v>43937</c:v>
                </c:pt>
                <c:pt idx="827">
                  <c:v>43938</c:v>
                </c:pt>
                <c:pt idx="828">
                  <c:v>43941</c:v>
                </c:pt>
                <c:pt idx="829">
                  <c:v>43942</c:v>
                </c:pt>
                <c:pt idx="830">
                  <c:v>43943</c:v>
                </c:pt>
                <c:pt idx="831">
                  <c:v>43944</c:v>
                </c:pt>
                <c:pt idx="832">
                  <c:v>43945</c:v>
                </c:pt>
                <c:pt idx="833">
                  <c:v>43948</c:v>
                </c:pt>
                <c:pt idx="834">
                  <c:v>43949</c:v>
                </c:pt>
                <c:pt idx="835">
                  <c:v>43950</c:v>
                </c:pt>
                <c:pt idx="836">
                  <c:v>43951</c:v>
                </c:pt>
                <c:pt idx="837">
                  <c:v>43952</c:v>
                </c:pt>
                <c:pt idx="838">
                  <c:v>43955</c:v>
                </c:pt>
                <c:pt idx="839">
                  <c:v>43956</c:v>
                </c:pt>
                <c:pt idx="840">
                  <c:v>43957</c:v>
                </c:pt>
                <c:pt idx="841">
                  <c:v>43958</c:v>
                </c:pt>
                <c:pt idx="842">
                  <c:v>43959</c:v>
                </c:pt>
                <c:pt idx="843">
                  <c:v>43962</c:v>
                </c:pt>
                <c:pt idx="844">
                  <c:v>43963</c:v>
                </c:pt>
                <c:pt idx="845">
                  <c:v>43964</c:v>
                </c:pt>
                <c:pt idx="846">
                  <c:v>43965</c:v>
                </c:pt>
                <c:pt idx="847">
                  <c:v>43966</c:v>
                </c:pt>
                <c:pt idx="848">
                  <c:v>43969</c:v>
                </c:pt>
                <c:pt idx="849">
                  <c:v>43970</c:v>
                </c:pt>
                <c:pt idx="850">
                  <c:v>43971</c:v>
                </c:pt>
                <c:pt idx="851">
                  <c:v>43972</c:v>
                </c:pt>
                <c:pt idx="852">
                  <c:v>43973</c:v>
                </c:pt>
                <c:pt idx="853">
                  <c:v>43977</c:v>
                </c:pt>
                <c:pt idx="854">
                  <c:v>43978</c:v>
                </c:pt>
                <c:pt idx="855">
                  <c:v>43979</c:v>
                </c:pt>
                <c:pt idx="856">
                  <c:v>43980</c:v>
                </c:pt>
                <c:pt idx="857">
                  <c:v>43983</c:v>
                </c:pt>
                <c:pt idx="858">
                  <c:v>43984</c:v>
                </c:pt>
                <c:pt idx="859">
                  <c:v>43985</c:v>
                </c:pt>
                <c:pt idx="860">
                  <c:v>43986</c:v>
                </c:pt>
                <c:pt idx="861">
                  <c:v>43987</c:v>
                </c:pt>
                <c:pt idx="862">
                  <c:v>43990</c:v>
                </c:pt>
                <c:pt idx="863">
                  <c:v>43991</c:v>
                </c:pt>
                <c:pt idx="864">
                  <c:v>43992</c:v>
                </c:pt>
                <c:pt idx="865">
                  <c:v>43993</c:v>
                </c:pt>
                <c:pt idx="866">
                  <c:v>43994</c:v>
                </c:pt>
                <c:pt idx="867">
                  <c:v>43997</c:v>
                </c:pt>
                <c:pt idx="868">
                  <c:v>43998</c:v>
                </c:pt>
                <c:pt idx="869">
                  <c:v>43999</c:v>
                </c:pt>
                <c:pt idx="870">
                  <c:v>44000</c:v>
                </c:pt>
                <c:pt idx="871">
                  <c:v>44001</c:v>
                </c:pt>
                <c:pt idx="872">
                  <c:v>44004</c:v>
                </c:pt>
                <c:pt idx="873">
                  <c:v>44005</c:v>
                </c:pt>
                <c:pt idx="874">
                  <c:v>44006</c:v>
                </c:pt>
                <c:pt idx="875">
                  <c:v>44007</c:v>
                </c:pt>
                <c:pt idx="876">
                  <c:v>44008</c:v>
                </c:pt>
                <c:pt idx="877">
                  <c:v>44011</c:v>
                </c:pt>
                <c:pt idx="878">
                  <c:v>44012</c:v>
                </c:pt>
                <c:pt idx="879">
                  <c:v>44013</c:v>
                </c:pt>
                <c:pt idx="880">
                  <c:v>44014</c:v>
                </c:pt>
                <c:pt idx="881">
                  <c:v>44018</c:v>
                </c:pt>
                <c:pt idx="882">
                  <c:v>44019</c:v>
                </c:pt>
                <c:pt idx="883">
                  <c:v>44020</c:v>
                </c:pt>
                <c:pt idx="884">
                  <c:v>44021</c:v>
                </c:pt>
                <c:pt idx="885">
                  <c:v>44022</c:v>
                </c:pt>
                <c:pt idx="886">
                  <c:v>44025</c:v>
                </c:pt>
                <c:pt idx="887">
                  <c:v>44026</c:v>
                </c:pt>
                <c:pt idx="888">
                  <c:v>44027</c:v>
                </c:pt>
                <c:pt idx="889">
                  <c:v>44028</c:v>
                </c:pt>
                <c:pt idx="890">
                  <c:v>44029</c:v>
                </c:pt>
                <c:pt idx="891">
                  <c:v>44032</c:v>
                </c:pt>
                <c:pt idx="892">
                  <c:v>44033</c:v>
                </c:pt>
                <c:pt idx="893">
                  <c:v>44034</c:v>
                </c:pt>
                <c:pt idx="894">
                  <c:v>44035</c:v>
                </c:pt>
                <c:pt idx="895">
                  <c:v>44036</c:v>
                </c:pt>
                <c:pt idx="896">
                  <c:v>44039</c:v>
                </c:pt>
                <c:pt idx="897">
                  <c:v>44040</c:v>
                </c:pt>
                <c:pt idx="898">
                  <c:v>44041</c:v>
                </c:pt>
                <c:pt idx="899">
                  <c:v>44042</c:v>
                </c:pt>
                <c:pt idx="900">
                  <c:v>44043</c:v>
                </c:pt>
                <c:pt idx="901">
                  <c:v>44046</c:v>
                </c:pt>
                <c:pt idx="902">
                  <c:v>44047</c:v>
                </c:pt>
                <c:pt idx="903">
                  <c:v>44048</c:v>
                </c:pt>
                <c:pt idx="904">
                  <c:v>44049</c:v>
                </c:pt>
                <c:pt idx="905">
                  <c:v>44050</c:v>
                </c:pt>
                <c:pt idx="906">
                  <c:v>44053</c:v>
                </c:pt>
                <c:pt idx="907">
                  <c:v>44054</c:v>
                </c:pt>
                <c:pt idx="908">
                  <c:v>44055</c:v>
                </c:pt>
                <c:pt idx="909">
                  <c:v>44056</c:v>
                </c:pt>
                <c:pt idx="910">
                  <c:v>44057</c:v>
                </c:pt>
                <c:pt idx="911">
                  <c:v>44060</c:v>
                </c:pt>
                <c:pt idx="912">
                  <c:v>44061</c:v>
                </c:pt>
                <c:pt idx="913">
                  <c:v>44062</c:v>
                </c:pt>
                <c:pt idx="914">
                  <c:v>44063</c:v>
                </c:pt>
                <c:pt idx="915">
                  <c:v>44064</c:v>
                </c:pt>
                <c:pt idx="916">
                  <c:v>44067</c:v>
                </c:pt>
                <c:pt idx="917">
                  <c:v>44068</c:v>
                </c:pt>
                <c:pt idx="918">
                  <c:v>44069</c:v>
                </c:pt>
                <c:pt idx="919">
                  <c:v>44070</c:v>
                </c:pt>
                <c:pt idx="920">
                  <c:v>44071</c:v>
                </c:pt>
                <c:pt idx="921">
                  <c:v>44074</c:v>
                </c:pt>
                <c:pt idx="922">
                  <c:v>44075</c:v>
                </c:pt>
                <c:pt idx="923">
                  <c:v>44076</c:v>
                </c:pt>
                <c:pt idx="924">
                  <c:v>44077</c:v>
                </c:pt>
                <c:pt idx="925">
                  <c:v>44078</c:v>
                </c:pt>
                <c:pt idx="926">
                  <c:v>44082</c:v>
                </c:pt>
                <c:pt idx="927">
                  <c:v>44083</c:v>
                </c:pt>
                <c:pt idx="928">
                  <c:v>44084</c:v>
                </c:pt>
                <c:pt idx="929">
                  <c:v>44085</c:v>
                </c:pt>
                <c:pt idx="930">
                  <c:v>44088</c:v>
                </c:pt>
                <c:pt idx="931">
                  <c:v>44089</c:v>
                </c:pt>
                <c:pt idx="932">
                  <c:v>44090</c:v>
                </c:pt>
                <c:pt idx="933">
                  <c:v>44091</c:v>
                </c:pt>
                <c:pt idx="934">
                  <c:v>44092</c:v>
                </c:pt>
                <c:pt idx="935">
                  <c:v>44095</c:v>
                </c:pt>
                <c:pt idx="936">
                  <c:v>44096</c:v>
                </c:pt>
                <c:pt idx="937">
                  <c:v>44097</c:v>
                </c:pt>
                <c:pt idx="938">
                  <c:v>44098</c:v>
                </c:pt>
                <c:pt idx="939">
                  <c:v>44099</c:v>
                </c:pt>
                <c:pt idx="940">
                  <c:v>44102</c:v>
                </c:pt>
                <c:pt idx="941">
                  <c:v>44103</c:v>
                </c:pt>
                <c:pt idx="942">
                  <c:v>44104</c:v>
                </c:pt>
                <c:pt idx="943">
                  <c:v>44105</c:v>
                </c:pt>
                <c:pt idx="944">
                  <c:v>44106</c:v>
                </c:pt>
                <c:pt idx="945">
                  <c:v>44109</c:v>
                </c:pt>
                <c:pt idx="946">
                  <c:v>44110</c:v>
                </c:pt>
                <c:pt idx="947">
                  <c:v>44111</c:v>
                </c:pt>
                <c:pt idx="948">
                  <c:v>44112</c:v>
                </c:pt>
                <c:pt idx="949">
                  <c:v>44113</c:v>
                </c:pt>
                <c:pt idx="950">
                  <c:v>44116</c:v>
                </c:pt>
                <c:pt idx="951">
                  <c:v>44117</c:v>
                </c:pt>
                <c:pt idx="952">
                  <c:v>44118</c:v>
                </c:pt>
                <c:pt idx="953">
                  <c:v>44119</c:v>
                </c:pt>
                <c:pt idx="954">
                  <c:v>44120</c:v>
                </c:pt>
                <c:pt idx="955">
                  <c:v>44123</c:v>
                </c:pt>
                <c:pt idx="956">
                  <c:v>44124</c:v>
                </c:pt>
                <c:pt idx="957">
                  <c:v>44125</c:v>
                </c:pt>
                <c:pt idx="958">
                  <c:v>44126</c:v>
                </c:pt>
                <c:pt idx="959">
                  <c:v>44127</c:v>
                </c:pt>
                <c:pt idx="960">
                  <c:v>44130</c:v>
                </c:pt>
                <c:pt idx="961">
                  <c:v>44131</c:v>
                </c:pt>
                <c:pt idx="962">
                  <c:v>44132</c:v>
                </c:pt>
                <c:pt idx="963">
                  <c:v>44133</c:v>
                </c:pt>
                <c:pt idx="964">
                  <c:v>44134</c:v>
                </c:pt>
                <c:pt idx="965">
                  <c:v>44137</c:v>
                </c:pt>
                <c:pt idx="966">
                  <c:v>44138</c:v>
                </c:pt>
                <c:pt idx="967">
                  <c:v>44139</c:v>
                </c:pt>
                <c:pt idx="968">
                  <c:v>44140</c:v>
                </c:pt>
                <c:pt idx="969">
                  <c:v>44141</c:v>
                </c:pt>
                <c:pt idx="970">
                  <c:v>44144</c:v>
                </c:pt>
                <c:pt idx="971">
                  <c:v>44145</c:v>
                </c:pt>
                <c:pt idx="972">
                  <c:v>44146</c:v>
                </c:pt>
                <c:pt idx="973">
                  <c:v>44147</c:v>
                </c:pt>
                <c:pt idx="974">
                  <c:v>44148</c:v>
                </c:pt>
                <c:pt idx="975">
                  <c:v>44151</c:v>
                </c:pt>
                <c:pt idx="976">
                  <c:v>44152</c:v>
                </c:pt>
                <c:pt idx="977">
                  <c:v>44153</c:v>
                </c:pt>
                <c:pt idx="978">
                  <c:v>44154</c:v>
                </c:pt>
                <c:pt idx="979">
                  <c:v>44196</c:v>
                </c:pt>
                <c:pt idx="980">
                  <c:v>44561</c:v>
                </c:pt>
                <c:pt idx="981">
                  <c:v>44926</c:v>
                </c:pt>
                <c:pt idx="982">
                  <c:v>45291</c:v>
                </c:pt>
                <c:pt idx="983">
                  <c:v>45657</c:v>
                </c:pt>
                <c:pt idx="984">
                  <c:v>46022</c:v>
                </c:pt>
              </c:numCache>
            </c:numRef>
          </c:cat>
          <c:val>
            <c:numRef>
              <c:f>'Share Price'!$D$11:$D$995</c:f>
              <c:numCache>
                <c:formatCode>General</c:formatCode>
                <c:ptCount val="985"/>
                <c:pt idx="978" formatCode="0_ ">
                  <c:v>3117.0200199999999</c:v>
                </c:pt>
                <c:pt idx="979" formatCode="0.00">
                  <c:v>5254.3765792843833</c:v>
                </c:pt>
                <c:pt idx="980" formatCode="0.00">
                  <c:v>5737.6865284939004</c:v>
                </c:pt>
                <c:pt idx="981" formatCode="0.00">
                  <c:v>6152.0179594829033</c:v>
                </c:pt>
                <c:pt idx="982" formatCode="0.00">
                  <c:v>6592.9210651701869</c:v>
                </c:pt>
                <c:pt idx="983" formatCode="0.00">
                  <c:v>7076.0459224539063</c:v>
                </c:pt>
                <c:pt idx="984" formatCode="0.00">
                  <c:v>7528.160248340434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9-4C38-9E46-3AB9FA90A582}"/>
            </c:ext>
          </c:extLst>
        </c:ser>
        <c:ser>
          <c:idx val="0"/>
          <c:order val="2"/>
          <c:tx>
            <c:strRef>
              <c:f>'Share Price'!$C$9</c:f>
              <c:strCache>
                <c:ptCount val="1"/>
                <c:pt idx="0">
                  <c:v>Consensus</c:v>
                </c:pt>
              </c:strCache>
            </c:strRef>
          </c:tx>
          <c:spPr>
            <a:ln w="15875" cap="rnd">
              <a:solidFill>
                <a:srgbClr val="1E8496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984"/>
              <c:layout>
                <c:manualLayout>
                  <c:x val="-9.3158669386117377E-3"/>
                  <c:y val="9.7402609853079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82-4D87-AC96-E89A779400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'Share Price'!$A$11:$A$995</c:f>
              <c:numCache>
                <c:formatCode>[$-809]dd\ mmmm\ yyyy;@</c:formatCode>
                <c:ptCount val="985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  <c:pt idx="502">
                  <c:v>43467</c:v>
                </c:pt>
                <c:pt idx="503">
                  <c:v>43468</c:v>
                </c:pt>
                <c:pt idx="504">
                  <c:v>43469</c:v>
                </c:pt>
                <c:pt idx="505">
                  <c:v>43472</c:v>
                </c:pt>
                <c:pt idx="506">
                  <c:v>43473</c:v>
                </c:pt>
                <c:pt idx="507">
                  <c:v>43474</c:v>
                </c:pt>
                <c:pt idx="508">
                  <c:v>43475</c:v>
                </c:pt>
                <c:pt idx="509">
                  <c:v>43476</c:v>
                </c:pt>
                <c:pt idx="510">
                  <c:v>43479</c:v>
                </c:pt>
                <c:pt idx="511">
                  <c:v>43480</c:v>
                </c:pt>
                <c:pt idx="512">
                  <c:v>43481</c:v>
                </c:pt>
                <c:pt idx="513">
                  <c:v>43482</c:v>
                </c:pt>
                <c:pt idx="514">
                  <c:v>43483</c:v>
                </c:pt>
                <c:pt idx="515">
                  <c:v>43487</c:v>
                </c:pt>
                <c:pt idx="516">
                  <c:v>43488</c:v>
                </c:pt>
                <c:pt idx="517">
                  <c:v>43489</c:v>
                </c:pt>
                <c:pt idx="518">
                  <c:v>43490</c:v>
                </c:pt>
                <c:pt idx="519">
                  <c:v>43493</c:v>
                </c:pt>
                <c:pt idx="520">
                  <c:v>43494</c:v>
                </c:pt>
                <c:pt idx="521">
                  <c:v>43495</c:v>
                </c:pt>
                <c:pt idx="522">
                  <c:v>43496</c:v>
                </c:pt>
                <c:pt idx="523">
                  <c:v>43497</c:v>
                </c:pt>
                <c:pt idx="524">
                  <c:v>43500</c:v>
                </c:pt>
                <c:pt idx="525">
                  <c:v>43501</c:v>
                </c:pt>
                <c:pt idx="526">
                  <c:v>43502</c:v>
                </c:pt>
                <c:pt idx="527">
                  <c:v>43503</c:v>
                </c:pt>
                <c:pt idx="528">
                  <c:v>43504</c:v>
                </c:pt>
                <c:pt idx="529">
                  <c:v>43507</c:v>
                </c:pt>
                <c:pt idx="530">
                  <c:v>43508</c:v>
                </c:pt>
                <c:pt idx="531">
                  <c:v>43509</c:v>
                </c:pt>
                <c:pt idx="532">
                  <c:v>43510</c:v>
                </c:pt>
                <c:pt idx="533">
                  <c:v>43511</c:v>
                </c:pt>
                <c:pt idx="534">
                  <c:v>43515</c:v>
                </c:pt>
                <c:pt idx="535">
                  <c:v>43516</c:v>
                </c:pt>
                <c:pt idx="536">
                  <c:v>43517</c:v>
                </c:pt>
                <c:pt idx="537">
                  <c:v>43518</c:v>
                </c:pt>
                <c:pt idx="538">
                  <c:v>43521</c:v>
                </c:pt>
                <c:pt idx="539">
                  <c:v>43522</c:v>
                </c:pt>
                <c:pt idx="540">
                  <c:v>43523</c:v>
                </c:pt>
                <c:pt idx="541">
                  <c:v>43524</c:v>
                </c:pt>
                <c:pt idx="542">
                  <c:v>43525</c:v>
                </c:pt>
                <c:pt idx="543">
                  <c:v>43528</c:v>
                </c:pt>
                <c:pt idx="544">
                  <c:v>43529</c:v>
                </c:pt>
                <c:pt idx="545">
                  <c:v>43530</c:v>
                </c:pt>
                <c:pt idx="546">
                  <c:v>43531</c:v>
                </c:pt>
                <c:pt idx="547">
                  <c:v>43532</c:v>
                </c:pt>
                <c:pt idx="548">
                  <c:v>43535</c:v>
                </c:pt>
                <c:pt idx="549">
                  <c:v>43536</c:v>
                </c:pt>
                <c:pt idx="550">
                  <c:v>43537</c:v>
                </c:pt>
                <c:pt idx="551">
                  <c:v>43538</c:v>
                </c:pt>
                <c:pt idx="552">
                  <c:v>43539</c:v>
                </c:pt>
                <c:pt idx="553">
                  <c:v>43542</c:v>
                </c:pt>
                <c:pt idx="554">
                  <c:v>43543</c:v>
                </c:pt>
                <c:pt idx="555">
                  <c:v>43544</c:v>
                </c:pt>
                <c:pt idx="556">
                  <c:v>43545</c:v>
                </c:pt>
                <c:pt idx="557">
                  <c:v>43546</c:v>
                </c:pt>
                <c:pt idx="558">
                  <c:v>43549</c:v>
                </c:pt>
                <c:pt idx="559">
                  <c:v>43550</c:v>
                </c:pt>
                <c:pt idx="560">
                  <c:v>43551</c:v>
                </c:pt>
                <c:pt idx="561">
                  <c:v>43552</c:v>
                </c:pt>
                <c:pt idx="562">
                  <c:v>43553</c:v>
                </c:pt>
                <c:pt idx="563">
                  <c:v>43556</c:v>
                </c:pt>
                <c:pt idx="564">
                  <c:v>43557</c:v>
                </c:pt>
                <c:pt idx="565">
                  <c:v>43558</c:v>
                </c:pt>
                <c:pt idx="566">
                  <c:v>43559</c:v>
                </c:pt>
                <c:pt idx="567">
                  <c:v>43560</c:v>
                </c:pt>
                <c:pt idx="568">
                  <c:v>43563</c:v>
                </c:pt>
                <c:pt idx="569">
                  <c:v>43564</c:v>
                </c:pt>
                <c:pt idx="570">
                  <c:v>43565</c:v>
                </c:pt>
                <c:pt idx="571">
                  <c:v>43566</c:v>
                </c:pt>
                <c:pt idx="572">
                  <c:v>43567</c:v>
                </c:pt>
                <c:pt idx="573">
                  <c:v>43570</c:v>
                </c:pt>
                <c:pt idx="574">
                  <c:v>43571</c:v>
                </c:pt>
                <c:pt idx="575">
                  <c:v>43572</c:v>
                </c:pt>
                <c:pt idx="576">
                  <c:v>43573</c:v>
                </c:pt>
                <c:pt idx="577">
                  <c:v>43577</c:v>
                </c:pt>
                <c:pt idx="578">
                  <c:v>43578</c:v>
                </c:pt>
                <c:pt idx="579">
                  <c:v>43579</c:v>
                </c:pt>
                <c:pt idx="580">
                  <c:v>43580</c:v>
                </c:pt>
                <c:pt idx="581">
                  <c:v>43581</c:v>
                </c:pt>
                <c:pt idx="582">
                  <c:v>43584</c:v>
                </c:pt>
                <c:pt idx="583">
                  <c:v>43585</c:v>
                </c:pt>
                <c:pt idx="584">
                  <c:v>43586</c:v>
                </c:pt>
                <c:pt idx="585">
                  <c:v>43587</c:v>
                </c:pt>
                <c:pt idx="586">
                  <c:v>43588</c:v>
                </c:pt>
                <c:pt idx="587">
                  <c:v>43591</c:v>
                </c:pt>
                <c:pt idx="588">
                  <c:v>43592</c:v>
                </c:pt>
                <c:pt idx="589">
                  <c:v>43593</c:v>
                </c:pt>
                <c:pt idx="590">
                  <c:v>43594</c:v>
                </c:pt>
                <c:pt idx="591">
                  <c:v>43595</c:v>
                </c:pt>
                <c:pt idx="592">
                  <c:v>43598</c:v>
                </c:pt>
                <c:pt idx="593">
                  <c:v>43599</c:v>
                </c:pt>
                <c:pt idx="594">
                  <c:v>43600</c:v>
                </c:pt>
                <c:pt idx="595">
                  <c:v>43601</c:v>
                </c:pt>
                <c:pt idx="596">
                  <c:v>43602</c:v>
                </c:pt>
                <c:pt idx="597">
                  <c:v>43605</c:v>
                </c:pt>
                <c:pt idx="598">
                  <c:v>43606</c:v>
                </c:pt>
                <c:pt idx="599">
                  <c:v>43607</c:v>
                </c:pt>
                <c:pt idx="600">
                  <c:v>43608</c:v>
                </c:pt>
                <c:pt idx="601">
                  <c:v>43609</c:v>
                </c:pt>
                <c:pt idx="602">
                  <c:v>43613</c:v>
                </c:pt>
                <c:pt idx="603">
                  <c:v>43614</c:v>
                </c:pt>
                <c:pt idx="604">
                  <c:v>43615</c:v>
                </c:pt>
                <c:pt idx="605">
                  <c:v>43616</c:v>
                </c:pt>
                <c:pt idx="606">
                  <c:v>43619</c:v>
                </c:pt>
                <c:pt idx="607">
                  <c:v>43620</c:v>
                </c:pt>
                <c:pt idx="608">
                  <c:v>43621</c:v>
                </c:pt>
                <c:pt idx="609">
                  <c:v>43622</c:v>
                </c:pt>
                <c:pt idx="610">
                  <c:v>43623</c:v>
                </c:pt>
                <c:pt idx="611">
                  <c:v>43626</c:v>
                </c:pt>
                <c:pt idx="612">
                  <c:v>43627</c:v>
                </c:pt>
                <c:pt idx="613">
                  <c:v>43628</c:v>
                </c:pt>
                <c:pt idx="614">
                  <c:v>43629</c:v>
                </c:pt>
                <c:pt idx="615">
                  <c:v>43630</c:v>
                </c:pt>
                <c:pt idx="616">
                  <c:v>43633</c:v>
                </c:pt>
                <c:pt idx="617">
                  <c:v>43634</c:v>
                </c:pt>
                <c:pt idx="618">
                  <c:v>43635</c:v>
                </c:pt>
                <c:pt idx="619">
                  <c:v>43636</c:v>
                </c:pt>
                <c:pt idx="620">
                  <c:v>43637</c:v>
                </c:pt>
                <c:pt idx="621">
                  <c:v>43640</c:v>
                </c:pt>
                <c:pt idx="622">
                  <c:v>43641</c:v>
                </c:pt>
                <c:pt idx="623">
                  <c:v>43642</c:v>
                </c:pt>
                <c:pt idx="624">
                  <c:v>43643</c:v>
                </c:pt>
                <c:pt idx="625">
                  <c:v>43644</c:v>
                </c:pt>
                <c:pt idx="626">
                  <c:v>43647</c:v>
                </c:pt>
                <c:pt idx="627">
                  <c:v>43648</c:v>
                </c:pt>
                <c:pt idx="628">
                  <c:v>43649</c:v>
                </c:pt>
                <c:pt idx="629">
                  <c:v>43651</c:v>
                </c:pt>
                <c:pt idx="630">
                  <c:v>43654</c:v>
                </c:pt>
                <c:pt idx="631">
                  <c:v>43655</c:v>
                </c:pt>
                <c:pt idx="632">
                  <c:v>43656</c:v>
                </c:pt>
                <c:pt idx="633">
                  <c:v>43657</c:v>
                </c:pt>
                <c:pt idx="634">
                  <c:v>43658</c:v>
                </c:pt>
                <c:pt idx="635">
                  <c:v>43661</c:v>
                </c:pt>
                <c:pt idx="636">
                  <c:v>43662</c:v>
                </c:pt>
                <c:pt idx="637">
                  <c:v>43663</c:v>
                </c:pt>
                <c:pt idx="638">
                  <c:v>43664</c:v>
                </c:pt>
                <c:pt idx="639">
                  <c:v>43665</c:v>
                </c:pt>
                <c:pt idx="640">
                  <c:v>43668</c:v>
                </c:pt>
                <c:pt idx="641">
                  <c:v>43669</c:v>
                </c:pt>
                <c:pt idx="642">
                  <c:v>43670</c:v>
                </c:pt>
                <c:pt idx="643">
                  <c:v>43671</c:v>
                </c:pt>
                <c:pt idx="644">
                  <c:v>43672</c:v>
                </c:pt>
                <c:pt idx="645">
                  <c:v>43675</c:v>
                </c:pt>
                <c:pt idx="646">
                  <c:v>43676</c:v>
                </c:pt>
                <c:pt idx="647">
                  <c:v>43677</c:v>
                </c:pt>
                <c:pt idx="648">
                  <c:v>43678</c:v>
                </c:pt>
                <c:pt idx="649">
                  <c:v>43679</c:v>
                </c:pt>
                <c:pt idx="650">
                  <c:v>43682</c:v>
                </c:pt>
                <c:pt idx="651">
                  <c:v>43683</c:v>
                </c:pt>
                <c:pt idx="652">
                  <c:v>43684</c:v>
                </c:pt>
                <c:pt idx="653">
                  <c:v>43685</c:v>
                </c:pt>
                <c:pt idx="654">
                  <c:v>43686</c:v>
                </c:pt>
                <c:pt idx="655">
                  <c:v>43689</c:v>
                </c:pt>
                <c:pt idx="656">
                  <c:v>43690</c:v>
                </c:pt>
                <c:pt idx="657">
                  <c:v>43691</c:v>
                </c:pt>
                <c:pt idx="658">
                  <c:v>43692</c:v>
                </c:pt>
                <c:pt idx="659">
                  <c:v>43693</c:v>
                </c:pt>
                <c:pt idx="660">
                  <c:v>43696</c:v>
                </c:pt>
                <c:pt idx="661">
                  <c:v>43697</c:v>
                </c:pt>
                <c:pt idx="662">
                  <c:v>43698</c:v>
                </c:pt>
                <c:pt idx="663">
                  <c:v>43699</c:v>
                </c:pt>
                <c:pt idx="664">
                  <c:v>43700</c:v>
                </c:pt>
                <c:pt idx="665">
                  <c:v>43703</c:v>
                </c:pt>
                <c:pt idx="666">
                  <c:v>43704</c:v>
                </c:pt>
                <c:pt idx="667">
                  <c:v>43705</c:v>
                </c:pt>
                <c:pt idx="668">
                  <c:v>43706</c:v>
                </c:pt>
                <c:pt idx="669">
                  <c:v>43707</c:v>
                </c:pt>
                <c:pt idx="670">
                  <c:v>43711</c:v>
                </c:pt>
                <c:pt idx="671">
                  <c:v>43712</c:v>
                </c:pt>
                <c:pt idx="672">
                  <c:v>43713</c:v>
                </c:pt>
                <c:pt idx="673">
                  <c:v>43714</c:v>
                </c:pt>
                <c:pt idx="674">
                  <c:v>43717</c:v>
                </c:pt>
                <c:pt idx="675">
                  <c:v>43718</c:v>
                </c:pt>
                <c:pt idx="676">
                  <c:v>43719</c:v>
                </c:pt>
                <c:pt idx="677">
                  <c:v>43720</c:v>
                </c:pt>
                <c:pt idx="678">
                  <c:v>43721</c:v>
                </c:pt>
                <c:pt idx="679">
                  <c:v>43724</c:v>
                </c:pt>
                <c:pt idx="680">
                  <c:v>43725</c:v>
                </c:pt>
                <c:pt idx="681">
                  <c:v>43726</c:v>
                </c:pt>
                <c:pt idx="682">
                  <c:v>43727</c:v>
                </c:pt>
                <c:pt idx="683">
                  <c:v>43728</c:v>
                </c:pt>
                <c:pt idx="684">
                  <c:v>43731</c:v>
                </c:pt>
                <c:pt idx="685">
                  <c:v>43732</c:v>
                </c:pt>
                <c:pt idx="686">
                  <c:v>43733</c:v>
                </c:pt>
                <c:pt idx="687">
                  <c:v>43734</c:v>
                </c:pt>
                <c:pt idx="688">
                  <c:v>43735</c:v>
                </c:pt>
                <c:pt idx="689">
                  <c:v>43738</c:v>
                </c:pt>
                <c:pt idx="690">
                  <c:v>43739</c:v>
                </c:pt>
                <c:pt idx="691">
                  <c:v>43740</c:v>
                </c:pt>
                <c:pt idx="692">
                  <c:v>43741</c:v>
                </c:pt>
                <c:pt idx="693">
                  <c:v>43742</c:v>
                </c:pt>
                <c:pt idx="694">
                  <c:v>43745</c:v>
                </c:pt>
                <c:pt idx="695">
                  <c:v>43746</c:v>
                </c:pt>
                <c:pt idx="696">
                  <c:v>43747</c:v>
                </c:pt>
                <c:pt idx="697">
                  <c:v>43748</c:v>
                </c:pt>
                <c:pt idx="698">
                  <c:v>43749</c:v>
                </c:pt>
                <c:pt idx="699">
                  <c:v>43752</c:v>
                </c:pt>
                <c:pt idx="700">
                  <c:v>43753</c:v>
                </c:pt>
                <c:pt idx="701">
                  <c:v>43754</c:v>
                </c:pt>
                <c:pt idx="702">
                  <c:v>43755</c:v>
                </c:pt>
                <c:pt idx="703">
                  <c:v>43756</c:v>
                </c:pt>
                <c:pt idx="704">
                  <c:v>43759</c:v>
                </c:pt>
                <c:pt idx="705">
                  <c:v>43760</c:v>
                </c:pt>
                <c:pt idx="706">
                  <c:v>43761</c:v>
                </c:pt>
                <c:pt idx="707">
                  <c:v>43762</c:v>
                </c:pt>
                <c:pt idx="708">
                  <c:v>43763</c:v>
                </c:pt>
                <c:pt idx="709">
                  <c:v>43766</c:v>
                </c:pt>
                <c:pt idx="710">
                  <c:v>43767</c:v>
                </c:pt>
                <c:pt idx="711">
                  <c:v>43768</c:v>
                </c:pt>
                <c:pt idx="712">
                  <c:v>43769</c:v>
                </c:pt>
                <c:pt idx="713">
                  <c:v>43770</c:v>
                </c:pt>
                <c:pt idx="714">
                  <c:v>43773</c:v>
                </c:pt>
                <c:pt idx="715">
                  <c:v>43774</c:v>
                </c:pt>
                <c:pt idx="716">
                  <c:v>43775</c:v>
                </c:pt>
                <c:pt idx="717">
                  <c:v>43776</c:v>
                </c:pt>
                <c:pt idx="718">
                  <c:v>43777</c:v>
                </c:pt>
                <c:pt idx="719">
                  <c:v>43780</c:v>
                </c:pt>
                <c:pt idx="720">
                  <c:v>43781</c:v>
                </c:pt>
                <c:pt idx="721">
                  <c:v>43782</c:v>
                </c:pt>
                <c:pt idx="722">
                  <c:v>43783</c:v>
                </c:pt>
                <c:pt idx="723">
                  <c:v>43784</c:v>
                </c:pt>
                <c:pt idx="724">
                  <c:v>43787</c:v>
                </c:pt>
                <c:pt idx="725">
                  <c:v>43788</c:v>
                </c:pt>
                <c:pt idx="726">
                  <c:v>43789</c:v>
                </c:pt>
                <c:pt idx="727">
                  <c:v>43790</c:v>
                </c:pt>
                <c:pt idx="728">
                  <c:v>43791</c:v>
                </c:pt>
                <c:pt idx="729">
                  <c:v>43794</c:v>
                </c:pt>
                <c:pt idx="730">
                  <c:v>43795</c:v>
                </c:pt>
                <c:pt idx="731">
                  <c:v>43796</c:v>
                </c:pt>
                <c:pt idx="732">
                  <c:v>43798</c:v>
                </c:pt>
                <c:pt idx="733">
                  <c:v>43801</c:v>
                </c:pt>
                <c:pt idx="734">
                  <c:v>43802</c:v>
                </c:pt>
                <c:pt idx="735">
                  <c:v>43803</c:v>
                </c:pt>
                <c:pt idx="736">
                  <c:v>43804</c:v>
                </c:pt>
                <c:pt idx="737">
                  <c:v>43805</c:v>
                </c:pt>
                <c:pt idx="738">
                  <c:v>43808</c:v>
                </c:pt>
                <c:pt idx="739">
                  <c:v>43809</c:v>
                </c:pt>
                <c:pt idx="740">
                  <c:v>43810</c:v>
                </c:pt>
                <c:pt idx="741">
                  <c:v>43811</c:v>
                </c:pt>
                <c:pt idx="742">
                  <c:v>43812</c:v>
                </c:pt>
                <c:pt idx="743">
                  <c:v>43815</c:v>
                </c:pt>
                <c:pt idx="744">
                  <c:v>43816</c:v>
                </c:pt>
                <c:pt idx="745">
                  <c:v>43817</c:v>
                </c:pt>
                <c:pt idx="746">
                  <c:v>43818</c:v>
                </c:pt>
                <c:pt idx="747">
                  <c:v>43819</c:v>
                </c:pt>
                <c:pt idx="748">
                  <c:v>43822</c:v>
                </c:pt>
                <c:pt idx="749">
                  <c:v>43823</c:v>
                </c:pt>
                <c:pt idx="750">
                  <c:v>43825</c:v>
                </c:pt>
                <c:pt idx="751">
                  <c:v>43826</c:v>
                </c:pt>
                <c:pt idx="752">
                  <c:v>43829</c:v>
                </c:pt>
                <c:pt idx="753">
                  <c:v>43830</c:v>
                </c:pt>
                <c:pt idx="754">
                  <c:v>43832</c:v>
                </c:pt>
                <c:pt idx="755">
                  <c:v>43833</c:v>
                </c:pt>
                <c:pt idx="756">
                  <c:v>43836</c:v>
                </c:pt>
                <c:pt idx="757">
                  <c:v>43837</c:v>
                </c:pt>
                <c:pt idx="758">
                  <c:v>43838</c:v>
                </c:pt>
                <c:pt idx="759">
                  <c:v>43839</c:v>
                </c:pt>
                <c:pt idx="760">
                  <c:v>43840</c:v>
                </c:pt>
                <c:pt idx="761">
                  <c:v>43843</c:v>
                </c:pt>
                <c:pt idx="762">
                  <c:v>43844</c:v>
                </c:pt>
                <c:pt idx="763">
                  <c:v>43845</c:v>
                </c:pt>
                <c:pt idx="764">
                  <c:v>43846</c:v>
                </c:pt>
                <c:pt idx="765">
                  <c:v>43847</c:v>
                </c:pt>
                <c:pt idx="766">
                  <c:v>43851</c:v>
                </c:pt>
                <c:pt idx="767">
                  <c:v>43852</c:v>
                </c:pt>
                <c:pt idx="768">
                  <c:v>43853</c:v>
                </c:pt>
                <c:pt idx="769">
                  <c:v>43854</c:v>
                </c:pt>
                <c:pt idx="770">
                  <c:v>43857</c:v>
                </c:pt>
                <c:pt idx="771">
                  <c:v>43858</c:v>
                </c:pt>
                <c:pt idx="772">
                  <c:v>43859</c:v>
                </c:pt>
                <c:pt idx="773">
                  <c:v>43860</c:v>
                </c:pt>
                <c:pt idx="774">
                  <c:v>43861</c:v>
                </c:pt>
                <c:pt idx="775">
                  <c:v>43864</c:v>
                </c:pt>
                <c:pt idx="776">
                  <c:v>43865</c:v>
                </c:pt>
                <c:pt idx="777">
                  <c:v>43866</c:v>
                </c:pt>
                <c:pt idx="778">
                  <c:v>43867</c:v>
                </c:pt>
                <c:pt idx="779">
                  <c:v>43868</c:v>
                </c:pt>
                <c:pt idx="780">
                  <c:v>43871</c:v>
                </c:pt>
                <c:pt idx="781">
                  <c:v>43872</c:v>
                </c:pt>
                <c:pt idx="782">
                  <c:v>43873</c:v>
                </c:pt>
                <c:pt idx="783">
                  <c:v>43874</c:v>
                </c:pt>
                <c:pt idx="784">
                  <c:v>43875</c:v>
                </c:pt>
                <c:pt idx="785">
                  <c:v>43879</c:v>
                </c:pt>
                <c:pt idx="786">
                  <c:v>43880</c:v>
                </c:pt>
                <c:pt idx="787">
                  <c:v>43881</c:v>
                </c:pt>
                <c:pt idx="788">
                  <c:v>43882</c:v>
                </c:pt>
                <c:pt idx="789">
                  <c:v>43885</c:v>
                </c:pt>
                <c:pt idx="790">
                  <c:v>43886</c:v>
                </c:pt>
                <c:pt idx="791">
                  <c:v>43887</c:v>
                </c:pt>
                <c:pt idx="792">
                  <c:v>43888</c:v>
                </c:pt>
                <c:pt idx="793">
                  <c:v>43889</c:v>
                </c:pt>
                <c:pt idx="794">
                  <c:v>43892</c:v>
                </c:pt>
                <c:pt idx="795">
                  <c:v>43893</c:v>
                </c:pt>
                <c:pt idx="796">
                  <c:v>43894</c:v>
                </c:pt>
                <c:pt idx="797">
                  <c:v>43895</c:v>
                </c:pt>
                <c:pt idx="798">
                  <c:v>43896</c:v>
                </c:pt>
                <c:pt idx="799">
                  <c:v>43899</c:v>
                </c:pt>
                <c:pt idx="800">
                  <c:v>43900</c:v>
                </c:pt>
                <c:pt idx="801">
                  <c:v>43901</c:v>
                </c:pt>
                <c:pt idx="802">
                  <c:v>43902</c:v>
                </c:pt>
                <c:pt idx="803">
                  <c:v>43903</c:v>
                </c:pt>
                <c:pt idx="804">
                  <c:v>43906</c:v>
                </c:pt>
                <c:pt idx="805">
                  <c:v>43907</c:v>
                </c:pt>
                <c:pt idx="806">
                  <c:v>43908</c:v>
                </c:pt>
                <c:pt idx="807">
                  <c:v>43909</c:v>
                </c:pt>
                <c:pt idx="808">
                  <c:v>43910</c:v>
                </c:pt>
                <c:pt idx="809">
                  <c:v>43913</c:v>
                </c:pt>
                <c:pt idx="810">
                  <c:v>43914</c:v>
                </c:pt>
                <c:pt idx="811">
                  <c:v>43915</c:v>
                </c:pt>
                <c:pt idx="812">
                  <c:v>43916</c:v>
                </c:pt>
                <c:pt idx="813">
                  <c:v>43917</c:v>
                </c:pt>
                <c:pt idx="814">
                  <c:v>43920</c:v>
                </c:pt>
                <c:pt idx="815">
                  <c:v>43921</c:v>
                </c:pt>
                <c:pt idx="816">
                  <c:v>43922</c:v>
                </c:pt>
                <c:pt idx="817">
                  <c:v>43923</c:v>
                </c:pt>
                <c:pt idx="818">
                  <c:v>43924</c:v>
                </c:pt>
                <c:pt idx="819">
                  <c:v>43927</c:v>
                </c:pt>
                <c:pt idx="820">
                  <c:v>43928</c:v>
                </c:pt>
                <c:pt idx="821">
                  <c:v>43929</c:v>
                </c:pt>
                <c:pt idx="822">
                  <c:v>43930</c:v>
                </c:pt>
                <c:pt idx="823">
                  <c:v>43934</c:v>
                </c:pt>
                <c:pt idx="824">
                  <c:v>43935</c:v>
                </c:pt>
                <c:pt idx="825">
                  <c:v>43936</c:v>
                </c:pt>
                <c:pt idx="826">
                  <c:v>43937</c:v>
                </c:pt>
                <c:pt idx="827">
                  <c:v>43938</c:v>
                </c:pt>
                <c:pt idx="828">
                  <c:v>43941</c:v>
                </c:pt>
                <c:pt idx="829">
                  <c:v>43942</c:v>
                </c:pt>
                <c:pt idx="830">
                  <c:v>43943</c:v>
                </c:pt>
                <c:pt idx="831">
                  <c:v>43944</c:v>
                </c:pt>
                <c:pt idx="832">
                  <c:v>43945</c:v>
                </c:pt>
                <c:pt idx="833">
                  <c:v>43948</c:v>
                </c:pt>
                <c:pt idx="834">
                  <c:v>43949</c:v>
                </c:pt>
                <c:pt idx="835">
                  <c:v>43950</c:v>
                </c:pt>
                <c:pt idx="836">
                  <c:v>43951</c:v>
                </c:pt>
                <c:pt idx="837">
                  <c:v>43952</c:v>
                </c:pt>
                <c:pt idx="838">
                  <c:v>43955</c:v>
                </c:pt>
                <c:pt idx="839">
                  <c:v>43956</c:v>
                </c:pt>
                <c:pt idx="840">
                  <c:v>43957</c:v>
                </c:pt>
                <c:pt idx="841">
                  <c:v>43958</c:v>
                </c:pt>
                <c:pt idx="842">
                  <c:v>43959</c:v>
                </c:pt>
                <c:pt idx="843">
                  <c:v>43962</c:v>
                </c:pt>
                <c:pt idx="844">
                  <c:v>43963</c:v>
                </c:pt>
                <c:pt idx="845">
                  <c:v>43964</c:v>
                </c:pt>
                <c:pt idx="846">
                  <c:v>43965</c:v>
                </c:pt>
                <c:pt idx="847">
                  <c:v>43966</c:v>
                </c:pt>
                <c:pt idx="848">
                  <c:v>43969</c:v>
                </c:pt>
                <c:pt idx="849">
                  <c:v>43970</c:v>
                </c:pt>
                <c:pt idx="850">
                  <c:v>43971</c:v>
                </c:pt>
                <c:pt idx="851">
                  <c:v>43972</c:v>
                </c:pt>
                <c:pt idx="852">
                  <c:v>43973</c:v>
                </c:pt>
                <c:pt idx="853">
                  <c:v>43977</c:v>
                </c:pt>
                <c:pt idx="854">
                  <c:v>43978</c:v>
                </c:pt>
                <c:pt idx="855">
                  <c:v>43979</c:v>
                </c:pt>
                <c:pt idx="856">
                  <c:v>43980</c:v>
                </c:pt>
                <c:pt idx="857">
                  <c:v>43983</c:v>
                </c:pt>
                <c:pt idx="858">
                  <c:v>43984</c:v>
                </c:pt>
                <c:pt idx="859">
                  <c:v>43985</c:v>
                </c:pt>
                <c:pt idx="860">
                  <c:v>43986</c:v>
                </c:pt>
                <c:pt idx="861">
                  <c:v>43987</c:v>
                </c:pt>
                <c:pt idx="862">
                  <c:v>43990</c:v>
                </c:pt>
                <c:pt idx="863">
                  <c:v>43991</c:v>
                </c:pt>
                <c:pt idx="864">
                  <c:v>43992</c:v>
                </c:pt>
                <c:pt idx="865">
                  <c:v>43993</c:v>
                </c:pt>
                <c:pt idx="866">
                  <c:v>43994</c:v>
                </c:pt>
                <c:pt idx="867">
                  <c:v>43997</c:v>
                </c:pt>
                <c:pt idx="868">
                  <c:v>43998</c:v>
                </c:pt>
                <c:pt idx="869">
                  <c:v>43999</c:v>
                </c:pt>
                <c:pt idx="870">
                  <c:v>44000</c:v>
                </c:pt>
                <c:pt idx="871">
                  <c:v>44001</c:v>
                </c:pt>
                <c:pt idx="872">
                  <c:v>44004</c:v>
                </c:pt>
                <c:pt idx="873">
                  <c:v>44005</c:v>
                </c:pt>
                <c:pt idx="874">
                  <c:v>44006</c:v>
                </c:pt>
                <c:pt idx="875">
                  <c:v>44007</c:v>
                </c:pt>
                <c:pt idx="876">
                  <c:v>44008</c:v>
                </c:pt>
                <c:pt idx="877">
                  <c:v>44011</c:v>
                </c:pt>
                <c:pt idx="878">
                  <c:v>44012</c:v>
                </c:pt>
                <c:pt idx="879">
                  <c:v>44013</c:v>
                </c:pt>
                <c:pt idx="880">
                  <c:v>44014</c:v>
                </c:pt>
                <c:pt idx="881">
                  <c:v>44018</c:v>
                </c:pt>
                <c:pt idx="882">
                  <c:v>44019</c:v>
                </c:pt>
                <c:pt idx="883">
                  <c:v>44020</c:v>
                </c:pt>
                <c:pt idx="884">
                  <c:v>44021</c:v>
                </c:pt>
                <c:pt idx="885">
                  <c:v>44022</c:v>
                </c:pt>
                <c:pt idx="886">
                  <c:v>44025</c:v>
                </c:pt>
                <c:pt idx="887">
                  <c:v>44026</c:v>
                </c:pt>
                <c:pt idx="888">
                  <c:v>44027</c:v>
                </c:pt>
                <c:pt idx="889">
                  <c:v>44028</c:v>
                </c:pt>
                <c:pt idx="890">
                  <c:v>44029</c:v>
                </c:pt>
                <c:pt idx="891">
                  <c:v>44032</c:v>
                </c:pt>
                <c:pt idx="892">
                  <c:v>44033</c:v>
                </c:pt>
                <c:pt idx="893">
                  <c:v>44034</c:v>
                </c:pt>
                <c:pt idx="894">
                  <c:v>44035</c:v>
                </c:pt>
                <c:pt idx="895">
                  <c:v>44036</c:v>
                </c:pt>
                <c:pt idx="896">
                  <c:v>44039</c:v>
                </c:pt>
                <c:pt idx="897">
                  <c:v>44040</c:v>
                </c:pt>
                <c:pt idx="898">
                  <c:v>44041</c:v>
                </c:pt>
                <c:pt idx="899">
                  <c:v>44042</c:v>
                </c:pt>
                <c:pt idx="900">
                  <c:v>44043</c:v>
                </c:pt>
                <c:pt idx="901">
                  <c:v>44046</c:v>
                </c:pt>
                <c:pt idx="902">
                  <c:v>44047</c:v>
                </c:pt>
                <c:pt idx="903">
                  <c:v>44048</c:v>
                </c:pt>
                <c:pt idx="904">
                  <c:v>44049</c:v>
                </c:pt>
                <c:pt idx="905">
                  <c:v>44050</c:v>
                </c:pt>
                <c:pt idx="906">
                  <c:v>44053</c:v>
                </c:pt>
                <c:pt idx="907">
                  <c:v>44054</c:v>
                </c:pt>
                <c:pt idx="908">
                  <c:v>44055</c:v>
                </c:pt>
                <c:pt idx="909">
                  <c:v>44056</c:v>
                </c:pt>
                <c:pt idx="910">
                  <c:v>44057</c:v>
                </c:pt>
                <c:pt idx="911">
                  <c:v>44060</c:v>
                </c:pt>
                <c:pt idx="912">
                  <c:v>44061</c:v>
                </c:pt>
                <c:pt idx="913">
                  <c:v>44062</c:v>
                </c:pt>
                <c:pt idx="914">
                  <c:v>44063</c:v>
                </c:pt>
                <c:pt idx="915">
                  <c:v>44064</c:v>
                </c:pt>
                <c:pt idx="916">
                  <c:v>44067</c:v>
                </c:pt>
                <c:pt idx="917">
                  <c:v>44068</c:v>
                </c:pt>
                <c:pt idx="918">
                  <c:v>44069</c:v>
                </c:pt>
                <c:pt idx="919">
                  <c:v>44070</c:v>
                </c:pt>
                <c:pt idx="920">
                  <c:v>44071</c:v>
                </c:pt>
                <c:pt idx="921">
                  <c:v>44074</c:v>
                </c:pt>
                <c:pt idx="922">
                  <c:v>44075</c:v>
                </c:pt>
                <c:pt idx="923">
                  <c:v>44076</c:v>
                </c:pt>
                <c:pt idx="924">
                  <c:v>44077</c:v>
                </c:pt>
                <c:pt idx="925">
                  <c:v>44078</c:v>
                </c:pt>
                <c:pt idx="926">
                  <c:v>44082</c:v>
                </c:pt>
                <c:pt idx="927">
                  <c:v>44083</c:v>
                </c:pt>
                <c:pt idx="928">
                  <c:v>44084</c:v>
                </c:pt>
                <c:pt idx="929">
                  <c:v>44085</c:v>
                </c:pt>
                <c:pt idx="930">
                  <c:v>44088</c:v>
                </c:pt>
                <c:pt idx="931">
                  <c:v>44089</c:v>
                </c:pt>
                <c:pt idx="932">
                  <c:v>44090</c:v>
                </c:pt>
                <c:pt idx="933">
                  <c:v>44091</c:v>
                </c:pt>
                <c:pt idx="934">
                  <c:v>44092</c:v>
                </c:pt>
                <c:pt idx="935">
                  <c:v>44095</c:v>
                </c:pt>
                <c:pt idx="936">
                  <c:v>44096</c:v>
                </c:pt>
                <c:pt idx="937">
                  <c:v>44097</c:v>
                </c:pt>
                <c:pt idx="938">
                  <c:v>44098</c:v>
                </c:pt>
                <c:pt idx="939">
                  <c:v>44099</c:v>
                </c:pt>
                <c:pt idx="940">
                  <c:v>44102</c:v>
                </c:pt>
                <c:pt idx="941">
                  <c:v>44103</c:v>
                </c:pt>
                <c:pt idx="942">
                  <c:v>44104</c:v>
                </c:pt>
                <c:pt idx="943">
                  <c:v>44105</c:v>
                </c:pt>
                <c:pt idx="944">
                  <c:v>44106</c:v>
                </c:pt>
                <c:pt idx="945">
                  <c:v>44109</c:v>
                </c:pt>
                <c:pt idx="946">
                  <c:v>44110</c:v>
                </c:pt>
                <c:pt idx="947">
                  <c:v>44111</c:v>
                </c:pt>
                <c:pt idx="948">
                  <c:v>44112</c:v>
                </c:pt>
                <c:pt idx="949">
                  <c:v>44113</c:v>
                </c:pt>
                <c:pt idx="950">
                  <c:v>44116</c:v>
                </c:pt>
                <c:pt idx="951">
                  <c:v>44117</c:v>
                </c:pt>
                <c:pt idx="952">
                  <c:v>44118</c:v>
                </c:pt>
                <c:pt idx="953">
                  <c:v>44119</c:v>
                </c:pt>
                <c:pt idx="954">
                  <c:v>44120</c:v>
                </c:pt>
                <c:pt idx="955">
                  <c:v>44123</c:v>
                </c:pt>
                <c:pt idx="956">
                  <c:v>44124</c:v>
                </c:pt>
                <c:pt idx="957">
                  <c:v>44125</c:v>
                </c:pt>
                <c:pt idx="958">
                  <c:v>44126</c:v>
                </c:pt>
                <c:pt idx="959">
                  <c:v>44127</c:v>
                </c:pt>
                <c:pt idx="960">
                  <c:v>44130</c:v>
                </c:pt>
                <c:pt idx="961">
                  <c:v>44131</c:v>
                </c:pt>
                <c:pt idx="962">
                  <c:v>44132</c:v>
                </c:pt>
                <c:pt idx="963">
                  <c:v>44133</c:v>
                </c:pt>
                <c:pt idx="964">
                  <c:v>44134</c:v>
                </c:pt>
                <c:pt idx="965">
                  <c:v>44137</c:v>
                </c:pt>
                <c:pt idx="966">
                  <c:v>44138</c:v>
                </c:pt>
                <c:pt idx="967">
                  <c:v>44139</c:v>
                </c:pt>
                <c:pt idx="968">
                  <c:v>44140</c:v>
                </c:pt>
                <c:pt idx="969">
                  <c:v>44141</c:v>
                </c:pt>
                <c:pt idx="970">
                  <c:v>44144</c:v>
                </c:pt>
                <c:pt idx="971">
                  <c:v>44145</c:v>
                </c:pt>
                <c:pt idx="972">
                  <c:v>44146</c:v>
                </c:pt>
                <c:pt idx="973">
                  <c:v>44147</c:v>
                </c:pt>
                <c:pt idx="974">
                  <c:v>44148</c:v>
                </c:pt>
                <c:pt idx="975">
                  <c:v>44151</c:v>
                </c:pt>
                <c:pt idx="976">
                  <c:v>44152</c:v>
                </c:pt>
                <c:pt idx="977">
                  <c:v>44153</c:v>
                </c:pt>
                <c:pt idx="978">
                  <c:v>44154</c:v>
                </c:pt>
                <c:pt idx="979">
                  <c:v>44196</c:v>
                </c:pt>
                <c:pt idx="980">
                  <c:v>44561</c:v>
                </c:pt>
                <c:pt idx="981">
                  <c:v>44926</c:v>
                </c:pt>
                <c:pt idx="982">
                  <c:v>45291</c:v>
                </c:pt>
                <c:pt idx="983">
                  <c:v>45657</c:v>
                </c:pt>
                <c:pt idx="984">
                  <c:v>46022</c:v>
                </c:pt>
              </c:numCache>
            </c:numRef>
          </c:cat>
          <c:val>
            <c:numRef>
              <c:f>'Share Price'!$C$11:$C$995</c:f>
              <c:numCache>
                <c:formatCode>General</c:formatCode>
                <c:ptCount val="985"/>
                <c:pt idx="978" formatCode="0_ ">
                  <c:v>3117.0200199999999</c:v>
                </c:pt>
                <c:pt idx="979" formatCode="0.00">
                  <c:v>4673.8504464781372</c:v>
                </c:pt>
                <c:pt idx="980" formatCode="0.00">
                  <c:v>5023.2475211030287</c:v>
                </c:pt>
                <c:pt idx="981" formatCode="0.00">
                  <c:v>5342.035079911243</c:v>
                </c:pt>
                <c:pt idx="982" formatCode="0.00">
                  <c:v>5681.0259089807714</c:v>
                </c:pt>
                <c:pt idx="983" formatCode="0.00">
                  <c:v>6034.7108097646742</c:v>
                </c:pt>
                <c:pt idx="984" formatCode="0.00">
                  <c:v>6355.9684913212241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C9-4C38-9E46-3AB9FA90A582}"/>
            </c:ext>
          </c:extLst>
        </c:ser>
        <c:ser>
          <c:idx val="2"/>
          <c:order val="3"/>
          <c:tx>
            <c:strRef>
              <c:f>'Share Price'!$E$9</c:f>
              <c:strCache>
                <c:ptCount val="1"/>
                <c:pt idx="0">
                  <c:v>Bear</c:v>
                </c:pt>
              </c:strCache>
            </c:strRef>
          </c:tx>
          <c:spPr>
            <a:ln w="15875" cap="rnd">
              <a:solidFill>
                <a:srgbClr val="ED942D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984"/>
              <c:layout>
                <c:manualLayout>
                  <c:x val="-9.3158669386117377E-3"/>
                  <c:y val="7.3051957389809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82-4D87-AC96-E89A779400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'Share Price'!$A$11:$A$995</c:f>
              <c:numCache>
                <c:formatCode>[$-809]dd\ mmmm\ yyyy;@</c:formatCode>
                <c:ptCount val="985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  <c:pt idx="502">
                  <c:v>43467</c:v>
                </c:pt>
                <c:pt idx="503">
                  <c:v>43468</c:v>
                </c:pt>
                <c:pt idx="504">
                  <c:v>43469</c:v>
                </c:pt>
                <c:pt idx="505">
                  <c:v>43472</c:v>
                </c:pt>
                <c:pt idx="506">
                  <c:v>43473</c:v>
                </c:pt>
                <c:pt idx="507">
                  <c:v>43474</c:v>
                </c:pt>
                <c:pt idx="508">
                  <c:v>43475</c:v>
                </c:pt>
                <c:pt idx="509">
                  <c:v>43476</c:v>
                </c:pt>
                <c:pt idx="510">
                  <c:v>43479</c:v>
                </c:pt>
                <c:pt idx="511">
                  <c:v>43480</c:v>
                </c:pt>
                <c:pt idx="512">
                  <c:v>43481</c:v>
                </c:pt>
                <c:pt idx="513">
                  <c:v>43482</c:v>
                </c:pt>
                <c:pt idx="514">
                  <c:v>43483</c:v>
                </c:pt>
                <c:pt idx="515">
                  <c:v>43487</c:v>
                </c:pt>
                <c:pt idx="516">
                  <c:v>43488</c:v>
                </c:pt>
                <c:pt idx="517">
                  <c:v>43489</c:v>
                </c:pt>
                <c:pt idx="518">
                  <c:v>43490</c:v>
                </c:pt>
                <c:pt idx="519">
                  <c:v>43493</c:v>
                </c:pt>
                <c:pt idx="520">
                  <c:v>43494</c:v>
                </c:pt>
                <c:pt idx="521">
                  <c:v>43495</c:v>
                </c:pt>
                <c:pt idx="522">
                  <c:v>43496</c:v>
                </c:pt>
                <c:pt idx="523">
                  <c:v>43497</c:v>
                </c:pt>
                <c:pt idx="524">
                  <c:v>43500</c:v>
                </c:pt>
                <c:pt idx="525">
                  <c:v>43501</c:v>
                </c:pt>
                <c:pt idx="526">
                  <c:v>43502</c:v>
                </c:pt>
                <c:pt idx="527">
                  <c:v>43503</c:v>
                </c:pt>
                <c:pt idx="528">
                  <c:v>43504</c:v>
                </c:pt>
                <c:pt idx="529">
                  <c:v>43507</c:v>
                </c:pt>
                <c:pt idx="530">
                  <c:v>43508</c:v>
                </c:pt>
                <c:pt idx="531">
                  <c:v>43509</c:v>
                </c:pt>
                <c:pt idx="532">
                  <c:v>43510</c:v>
                </c:pt>
                <c:pt idx="533">
                  <c:v>43511</c:v>
                </c:pt>
                <c:pt idx="534">
                  <c:v>43515</c:v>
                </c:pt>
                <c:pt idx="535">
                  <c:v>43516</c:v>
                </c:pt>
                <c:pt idx="536">
                  <c:v>43517</c:v>
                </c:pt>
                <c:pt idx="537">
                  <c:v>43518</c:v>
                </c:pt>
                <c:pt idx="538">
                  <c:v>43521</c:v>
                </c:pt>
                <c:pt idx="539">
                  <c:v>43522</c:v>
                </c:pt>
                <c:pt idx="540">
                  <c:v>43523</c:v>
                </c:pt>
                <c:pt idx="541">
                  <c:v>43524</c:v>
                </c:pt>
                <c:pt idx="542">
                  <c:v>43525</c:v>
                </c:pt>
                <c:pt idx="543">
                  <c:v>43528</c:v>
                </c:pt>
                <c:pt idx="544">
                  <c:v>43529</c:v>
                </c:pt>
                <c:pt idx="545">
                  <c:v>43530</c:v>
                </c:pt>
                <c:pt idx="546">
                  <c:v>43531</c:v>
                </c:pt>
                <c:pt idx="547">
                  <c:v>43532</c:v>
                </c:pt>
                <c:pt idx="548">
                  <c:v>43535</c:v>
                </c:pt>
                <c:pt idx="549">
                  <c:v>43536</c:v>
                </c:pt>
                <c:pt idx="550">
                  <c:v>43537</c:v>
                </c:pt>
                <c:pt idx="551">
                  <c:v>43538</c:v>
                </c:pt>
                <c:pt idx="552">
                  <c:v>43539</c:v>
                </c:pt>
                <c:pt idx="553">
                  <c:v>43542</c:v>
                </c:pt>
                <c:pt idx="554">
                  <c:v>43543</c:v>
                </c:pt>
                <c:pt idx="555">
                  <c:v>43544</c:v>
                </c:pt>
                <c:pt idx="556">
                  <c:v>43545</c:v>
                </c:pt>
                <c:pt idx="557">
                  <c:v>43546</c:v>
                </c:pt>
                <c:pt idx="558">
                  <c:v>43549</c:v>
                </c:pt>
                <c:pt idx="559">
                  <c:v>43550</c:v>
                </c:pt>
                <c:pt idx="560">
                  <c:v>43551</c:v>
                </c:pt>
                <c:pt idx="561">
                  <c:v>43552</c:v>
                </c:pt>
                <c:pt idx="562">
                  <c:v>43553</c:v>
                </c:pt>
                <c:pt idx="563">
                  <c:v>43556</c:v>
                </c:pt>
                <c:pt idx="564">
                  <c:v>43557</c:v>
                </c:pt>
                <c:pt idx="565">
                  <c:v>43558</c:v>
                </c:pt>
                <c:pt idx="566">
                  <c:v>43559</c:v>
                </c:pt>
                <c:pt idx="567">
                  <c:v>43560</c:v>
                </c:pt>
                <c:pt idx="568">
                  <c:v>43563</c:v>
                </c:pt>
                <c:pt idx="569">
                  <c:v>43564</c:v>
                </c:pt>
                <c:pt idx="570">
                  <c:v>43565</c:v>
                </c:pt>
                <c:pt idx="571">
                  <c:v>43566</c:v>
                </c:pt>
                <c:pt idx="572">
                  <c:v>43567</c:v>
                </c:pt>
                <c:pt idx="573">
                  <c:v>43570</c:v>
                </c:pt>
                <c:pt idx="574">
                  <c:v>43571</c:v>
                </c:pt>
                <c:pt idx="575">
                  <c:v>43572</c:v>
                </c:pt>
                <c:pt idx="576">
                  <c:v>43573</c:v>
                </c:pt>
                <c:pt idx="577">
                  <c:v>43577</c:v>
                </c:pt>
                <c:pt idx="578">
                  <c:v>43578</c:v>
                </c:pt>
                <c:pt idx="579">
                  <c:v>43579</c:v>
                </c:pt>
                <c:pt idx="580">
                  <c:v>43580</c:v>
                </c:pt>
                <c:pt idx="581">
                  <c:v>43581</c:v>
                </c:pt>
                <c:pt idx="582">
                  <c:v>43584</c:v>
                </c:pt>
                <c:pt idx="583">
                  <c:v>43585</c:v>
                </c:pt>
                <c:pt idx="584">
                  <c:v>43586</c:v>
                </c:pt>
                <c:pt idx="585">
                  <c:v>43587</c:v>
                </c:pt>
                <c:pt idx="586">
                  <c:v>43588</c:v>
                </c:pt>
                <c:pt idx="587">
                  <c:v>43591</c:v>
                </c:pt>
                <c:pt idx="588">
                  <c:v>43592</c:v>
                </c:pt>
                <c:pt idx="589">
                  <c:v>43593</c:v>
                </c:pt>
                <c:pt idx="590">
                  <c:v>43594</c:v>
                </c:pt>
                <c:pt idx="591">
                  <c:v>43595</c:v>
                </c:pt>
                <c:pt idx="592">
                  <c:v>43598</c:v>
                </c:pt>
                <c:pt idx="593">
                  <c:v>43599</c:v>
                </c:pt>
                <c:pt idx="594">
                  <c:v>43600</c:v>
                </c:pt>
                <c:pt idx="595">
                  <c:v>43601</c:v>
                </c:pt>
                <c:pt idx="596">
                  <c:v>43602</c:v>
                </c:pt>
                <c:pt idx="597">
                  <c:v>43605</c:v>
                </c:pt>
                <c:pt idx="598">
                  <c:v>43606</c:v>
                </c:pt>
                <c:pt idx="599">
                  <c:v>43607</c:v>
                </c:pt>
                <c:pt idx="600">
                  <c:v>43608</c:v>
                </c:pt>
                <c:pt idx="601">
                  <c:v>43609</c:v>
                </c:pt>
                <c:pt idx="602">
                  <c:v>43613</c:v>
                </c:pt>
                <c:pt idx="603">
                  <c:v>43614</c:v>
                </c:pt>
                <c:pt idx="604">
                  <c:v>43615</c:v>
                </c:pt>
                <c:pt idx="605">
                  <c:v>43616</c:v>
                </c:pt>
                <c:pt idx="606">
                  <c:v>43619</c:v>
                </c:pt>
                <c:pt idx="607">
                  <c:v>43620</c:v>
                </c:pt>
                <c:pt idx="608">
                  <c:v>43621</c:v>
                </c:pt>
                <c:pt idx="609">
                  <c:v>43622</c:v>
                </c:pt>
                <c:pt idx="610">
                  <c:v>43623</c:v>
                </c:pt>
                <c:pt idx="611">
                  <c:v>43626</c:v>
                </c:pt>
                <c:pt idx="612">
                  <c:v>43627</c:v>
                </c:pt>
                <c:pt idx="613">
                  <c:v>43628</c:v>
                </c:pt>
                <c:pt idx="614">
                  <c:v>43629</c:v>
                </c:pt>
                <c:pt idx="615">
                  <c:v>43630</c:v>
                </c:pt>
                <c:pt idx="616">
                  <c:v>43633</c:v>
                </c:pt>
                <c:pt idx="617">
                  <c:v>43634</c:v>
                </c:pt>
                <c:pt idx="618">
                  <c:v>43635</c:v>
                </c:pt>
                <c:pt idx="619">
                  <c:v>43636</c:v>
                </c:pt>
                <c:pt idx="620">
                  <c:v>43637</c:v>
                </c:pt>
                <c:pt idx="621">
                  <c:v>43640</c:v>
                </c:pt>
                <c:pt idx="622">
                  <c:v>43641</c:v>
                </c:pt>
                <c:pt idx="623">
                  <c:v>43642</c:v>
                </c:pt>
                <c:pt idx="624">
                  <c:v>43643</c:v>
                </c:pt>
                <c:pt idx="625">
                  <c:v>43644</c:v>
                </c:pt>
                <c:pt idx="626">
                  <c:v>43647</c:v>
                </c:pt>
                <c:pt idx="627">
                  <c:v>43648</c:v>
                </c:pt>
                <c:pt idx="628">
                  <c:v>43649</c:v>
                </c:pt>
                <c:pt idx="629">
                  <c:v>43651</c:v>
                </c:pt>
                <c:pt idx="630">
                  <c:v>43654</c:v>
                </c:pt>
                <c:pt idx="631">
                  <c:v>43655</c:v>
                </c:pt>
                <c:pt idx="632">
                  <c:v>43656</c:v>
                </c:pt>
                <c:pt idx="633">
                  <c:v>43657</c:v>
                </c:pt>
                <c:pt idx="634">
                  <c:v>43658</c:v>
                </c:pt>
                <c:pt idx="635">
                  <c:v>43661</c:v>
                </c:pt>
                <c:pt idx="636">
                  <c:v>43662</c:v>
                </c:pt>
                <c:pt idx="637">
                  <c:v>43663</c:v>
                </c:pt>
                <c:pt idx="638">
                  <c:v>43664</c:v>
                </c:pt>
                <c:pt idx="639">
                  <c:v>43665</c:v>
                </c:pt>
                <c:pt idx="640">
                  <c:v>43668</c:v>
                </c:pt>
                <c:pt idx="641">
                  <c:v>43669</c:v>
                </c:pt>
                <c:pt idx="642">
                  <c:v>43670</c:v>
                </c:pt>
                <c:pt idx="643">
                  <c:v>43671</c:v>
                </c:pt>
                <c:pt idx="644">
                  <c:v>43672</c:v>
                </c:pt>
                <c:pt idx="645">
                  <c:v>43675</c:v>
                </c:pt>
                <c:pt idx="646">
                  <c:v>43676</c:v>
                </c:pt>
                <c:pt idx="647">
                  <c:v>43677</c:v>
                </c:pt>
                <c:pt idx="648">
                  <c:v>43678</c:v>
                </c:pt>
                <c:pt idx="649">
                  <c:v>43679</c:v>
                </c:pt>
                <c:pt idx="650">
                  <c:v>43682</c:v>
                </c:pt>
                <c:pt idx="651">
                  <c:v>43683</c:v>
                </c:pt>
                <c:pt idx="652">
                  <c:v>43684</c:v>
                </c:pt>
                <c:pt idx="653">
                  <c:v>43685</c:v>
                </c:pt>
                <c:pt idx="654">
                  <c:v>43686</c:v>
                </c:pt>
                <c:pt idx="655">
                  <c:v>43689</c:v>
                </c:pt>
                <c:pt idx="656">
                  <c:v>43690</c:v>
                </c:pt>
                <c:pt idx="657">
                  <c:v>43691</c:v>
                </c:pt>
                <c:pt idx="658">
                  <c:v>43692</c:v>
                </c:pt>
                <c:pt idx="659">
                  <c:v>43693</c:v>
                </c:pt>
                <c:pt idx="660">
                  <c:v>43696</c:v>
                </c:pt>
                <c:pt idx="661">
                  <c:v>43697</c:v>
                </c:pt>
                <c:pt idx="662">
                  <c:v>43698</c:v>
                </c:pt>
                <c:pt idx="663">
                  <c:v>43699</c:v>
                </c:pt>
                <c:pt idx="664">
                  <c:v>43700</c:v>
                </c:pt>
                <c:pt idx="665">
                  <c:v>43703</c:v>
                </c:pt>
                <c:pt idx="666">
                  <c:v>43704</c:v>
                </c:pt>
                <c:pt idx="667">
                  <c:v>43705</c:v>
                </c:pt>
                <c:pt idx="668">
                  <c:v>43706</c:v>
                </c:pt>
                <c:pt idx="669">
                  <c:v>43707</c:v>
                </c:pt>
                <c:pt idx="670">
                  <c:v>43711</c:v>
                </c:pt>
                <c:pt idx="671">
                  <c:v>43712</c:v>
                </c:pt>
                <c:pt idx="672">
                  <c:v>43713</c:v>
                </c:pt>
                <c:pt idx="673">
                  <c:v>43714</c:v>
                </c:pt>
                <c:pt idx="674">
                  <c:v>43717</c:v>
                </c:pt>
                <c:pt idx="675">
                  <c:v>43718</c:v>
                </c:pt>
                <c:pt idx="676">
                  <c:v>43719</c:v>
                </c:pt>
                <c:pt idx="677">
                  <c:v>43720</c:v>
                </c:pt>
                <c:pt idx="678">
                  <c:v>43721</c:v>
                </c:pt>
                <c:pt idx="679">
                  <c:v>43724</c:v>
                </c:pt>
                <c:pt idx="680">
                  <c:v>43725</c:v>
                </c:pt>
                <c:pt idx="681">
                  <c:v>43726</c:v>
                </c:pt>
                <c:pt idx="682">
                  <c:v>43727</c:v>
                </c:pt>
                <c:pt idx="683">
                  <c:v>43728</c:v>
                </c:pt>
                <c:pt idx="684">
                  <c:v>43731</c:v>
                </c:pt>
                <c:pt idx="685">
                  <c:v>43732</c:v>
                </c:pt>
                <c:pt idx="686">
                  <c:v>43733</c:v>
                </c:pt>
                <c:pt idx="687">
                  <c:v>43734</c:v>
                </c:pt>
                <c:pt idx="688">
                  <c:v>43735</c:v>
                </c:pt>
                <c:pt idx="689">
                  <c:v>43738</c:v>
                </c:pt>
                <c:pt idx="690">
                  <c:v>43739</c:v>
                </c:pt>
                <c:pt idx="691">
                  <c:v>43740</c:v>
                </c:pt>
                <c:pt idx="692">
                  <c:v>43741</c:v>
                </c:pt>
                <c:pt idx="693">
                  <c:v>43742</c:v>
                </c:pt>
                <c:pt idx="694">
                  <c:v>43745</c:v>
                </c:pt>
                <c:pt idx="695">
                  <c:v>43746</c:v>
                </c:pt>
                <c:pt idx="696">
                  <c:v>43747</c:v>
                </c:pt>
                <c:pt idx="697">
                  <c:v>43748</c:v>
                </c:pt>
                <c:pt idx="698">
                  <c:v>43749</c:v>
                </c:pt>
                <c:pt idx="699">
                  <c:v>43752</c:v>
                </c:pt>
                <c:pt idx="700">
                  <c:v>43753</c:v>
                </c:pt>
                <c:pt idx="701">
                  <c:v>43754</c:v>
                </c:pt>
                <c:pt idx="702">
                  <c:v>43755</c:v>
                </c:pt>
                <c:pt idx="703">
                  <c:v>43756</c:v>
                </c:pt>
                <c:pt idx="704">
                  <c:v>43759</c:v>
                </c:pt>
                <c:pt idx="705">
                  <c:v>43760</c:v>
                </c:pt>
                <c:pt idx="706">
                  <c:v>43761</c:v>
                </c:pt>
                <c:pt idx="707">
                  <c:v>43762</c:v>
                </c:pt>
                <c:pt idx="708">
                  <c:v>43763</c:v>
                </c:pt>
                <c:pt idx="709">
                  <c:v>43766</c:v>
                </c:pt>
                <c:pt idx="710">
                  <c:v>43767</c:v>
                </c:pt>
                <c:pt idx="711">
                  <c:v>43768</c:v>
                </c:pt>
                <c:pt idx="712">
                  <c:v>43769</c:v>
                </c:pt>
                <c:pt idx="713">
                  <c:v>43770</c:v>
                </c:pt>
                <c:pt idx="714">
                  <c:v>43773</c:v>
                </c:pt>
                <c:pt idx="715">
                  <c:v>43774</c:v>
                </c:pt>
                <c:pt idx="716">
                  <c:v>43775</c:v>
                </c:pt>
                <c:pt idx="717">
                  <c:v>43776</c:v>
                </c:pt>
                <c:pt idx="718">
                  <c:v>43777</c:v>
                </c:pt>
                <c:pt idx="719">
                  <c:v>43780</c:v>
                </c:pt>
                <c:pt idx="720">
                  <c:v>43781</c:v>
                </c:pt>
                <c:pt idx="721">
                  <c:v>43782</c:v>
                </c:pt>
                <c:pt idx="722">
                  <c:v>43783</c:v>
                </c:pt>
                <c:pt idx="723">
                  <c:v>43784</c:v>
                </c:pt>
                <c:pt idx="724">
                  <c:v>43787</c:v>
                </c:pt>
                <c:pt idx="725">
                  <c:v>43788</c:v>
                </c:pt>
                <c:pt idx="726">
                  <c:v>43789</c:v>
                </c:pt>
                <c:pt idx="727">
                  <c:v>43790</c:v>
                </c:pt>
                <c:pt idx="728">
                  <c:v>43791</c:v>
                </c:pt>
                <c:pt idx="729">
                  <c:v>43794</c:v>
                </c:pt>
                <c:pt idx="730">
                  <c:v>43795</c:v>
                </c:pt>
                <c:pt idx="731">
                  <c:v>43796</c:v>
                </c:pt>
                <c:pt idx="732">
                  <c:v>43798</c:v>
                </c:pt>
                <c:pt idx="733">
                  <c:v>43801</c:v>
                </c:pt>
                <c:pt idx="734">
                  <c:v>43802</c:v>
                </c:pt>
                <c:pt idx="735">
                  <c:v>43803</c:v>
                </c:pt>
                <c:pt idx="736">
                  <c:v>43804</c:v>
                </c:pt>
                <c:pt idx="737">
                  <c:v>43805</c:v>
                </c:pt>
                <c:pt idx="738">
                  <c:v>43808</c:v>
                </c:pt>
                <c:pt idx="739">
                  <c:v>43809</c:v>
                </c:pt>
                <c:pt idx="740">
                  <c:v>43810</c:v>
                </c:pt>
                <c:pt idx="741">
                  <c:v>43811</c:v>
                </c:pt>
                <c:pt idx="742">
                  <c:v>43812</c:v>
                </c:pt>
                <c:pt idx="743">
                  <c:v>43815</c:v>
                </c:pt>
                <c:pt idx="744">
                  <c:v>43816</c:v>
                </c:pt>
                <c:pt idx="745">
                  <c:v>43817</c:v>
                </c:pt>
                <c:pt idx="746">
                  <c:v>43818</c:v>
                </c:pt>
                <c:pt idx="747">
                  <c:v>43819</c:v>
                </c:pt>
                <c:pt idx="748">
                  <c:v>43822</c:v>
                </c:pt>
                <c:pt idx="749">
                  <c:v>43823</c:v>
                </c:pt>
                <c:pt idx="750">
                  <c:v>43825</c:v>
                </c:pt>
                <c:pt idx="751">
                  <c:v>43826</c:v>
                </c:pt>
                <c:pt idx="752">
                  <c:v>43829</c:v>
                </c:pt>
                <c:pt idx="753">
                  <c:v>43830</c:v>
                </c:pt>
                <c:pt idx="754">
                  <c:v>43832</c:v>
                </c:pt>
                <c:pt idx="755">
                  <c:v>43833</c:v>
                </c:pt>
                <c:pt idx="756">
                  <c:v>43836</c:v>
                </c:pt>
                <c:pt idx="757">
                  <c:v>43837</c:v>
                </c:pt>
                <c:pt idx="758">
                  <c:v>43838</c:v>
                </c:pt>
                <c:pt idx="759">
                  <c:v>43839</c:v>
                </c:pt>
                <c:pt idx="760">
                  <c:v>43840</c:v>
                </c:pt>
                <c:pt idx="761">
                  <c:v>43843</c:v>
                </c:pt>
                <c:pt idx="762">
                  <c:v>43844</c:v>
                </c:pt>
                <c:pt idx="763">
                  <c:v>43845</c:v>
                </c:pt>
                <c:pt idx="764">
                  <c:v>43846</c:v>
                </c:pt>
                <c:pt idx="765">
                  <c:v>43847</c:v>
                </c:pt>
                <c:pt idx="766">
                  <c:v>43851</c:v>
                </c:pt>
                <c:pt idx="767">
                  <c:v>43852</c:v>
                </c:pt>
                <c:pt idx="768">
                  <c:v>43853</c:v>
                </c:pt>
                <c:pt idx="769">
                  <c:v>43854</c:v>
                </c:pt>
                <c:pt idx="770">
                  <c:v>43857</c:v>
                </c:pt>
                <c:pt idx="771">
                  <c:v>43858</c:v>
                </c:pt>
                <c:pt idx="772">
                  <c:v>43859</c:v>
                </c:pt>
                <c:pt idx="773">
                  <c:v>43860</c:v>
                </c:pt>
                <c:pt idx="774">
                  <c:v>43861</c:v>
                </c:pt>
                <c:pt idx="775">
                  <c:v>43864</c:v>
                </c:pt>
                <c:pt idx="776">
                  <c:v>43865</c:v>
                </c:pt>
                <c:pt idx="777">
                  <c:v>43866</c:v>
                </c:pt>
                <c:pt idx="778">
                  <c:v>43867</c:v>
                </c:pt>
                <c:pt idx="779">
                  <c:v>43868</c:v>
                </c:pt>
                <c:pt idx="780">
                  <c:v>43871</c:v>
                </c:pt>
                <c:pt idx="781">
                  <c:v>43872</c:v>
                </c:pt>
                <c:pt idx="782">
                  <c:v>43873</c:v>
                </c:pt>
                <c:pt idx="783">
                  <c:v>43874</c:v>
                </c:pt>
                <c:pt idx="784">
                  <c:v>43875</c:v>
                </c:pt>
                <c:pt idx="785">
                  <c:v>43879</c:v>
                </c:pt>
                <c:pt idx="786">
                  <c:v>43880</c:v>
                </c:pt>
                <c:pt idx="787">
                  <c:v>43881</c:v>
                </c:pt>
                <c:pt idx="788">
                  <c:v>43882</c:v>
                </c:pt>
                <c:pt idx="789">
                  <c:v>43885</c:v>
                </c:pt>
                <c:pt idx="790">
                  <c:v>43886</c:v>
                </c:pt>
                <c:pt idx="791">
                  <c:v>43887</c:v>
                </c:pt>
                <c:pt idx="792">
                  <c:v>43888</c:v>
                </c:pt>
                <c:pt idx="793">
                  <c:v>43889</c:v>
                </c:pt>
                <c:pt idx="794">
                  <c:v>43892</c:v>
                </c:pt>
                <c:pt idx="795">
                  <c:v>43893</c:v>
                </c:pt>
                <c:pt idx="796">
                  <c:v>43894</c:v>
                </c:pt>
                <c:pt idx="797">
                  <c:v>43895</c:v>
                </c:pt>
                <c:pt idx="798">
                  <c:v>43896</c:v>
                </c:pt>
                <c:pt idx="799">
                  <c:v>43899</c:v>
                </c:pt>
                <c:pt idx="800">
                  <c:v>43900</c:v>
                </c:pt>
                <c:pt idx="801">
                  <c:v>43901</c:v>
                </c:pt>
                <c:pt idx="802">
                  <c:v>43902</c:v>
                </c:pt>
                <c:pt idx="803">
                  <c:v>43903</c:v>
                </c:pt>
                <c:pt idx="804">
                  <c:v>43906</c:v>
                </c:pt>
                <c:pt idx="805">
                  <c:v>43907</c:v>
                </c:pt>
                <c:pt idx="806">
                  <c:v>43908</c:v>
                </c:pt>
                <c:pt idx="807">
                  <c:v>43909</c:v>
                </c:pt>
                <c:pt idx="808">
                  <c:v>43910</c:v>
                </c:pt>
                <c:pt idx="809">
                  <c:v>43913</c:v>
                </c:pt>
                <c:pt idx="810">
                  <c:v>43914</c:v>
                </c:pt>
                <c:pt idx="811">
                  <c:v>43915</c:v>
                </c:pt>
                <c:pt idx="812">
                  <c:v>43916</c:v>
                </c:pt>
                <c:pt idx="813">
                  <c:v>43917</c:v>
                </c:pt>
                <c:pt idx="814">
                  <c:v>43920</c:v>
                </c:pt>
                <c:pt idx="815">
                  <c:v>43921</c:v>
                </c:pt>
                <c:pt idx="816">
                  <c:v>43922</c:v>
                </c:pt>
                <c:pt idx="817">
                  <c:v>43923</c:v>
                </c:pt>
                <c:pt idx="818">
                  <c:v>43924</c:v>
                </c:pt>
                <c:pt idx="819">
                  <c:v>43927</c:v>
                </c:pt>
                <c:pt idx="820">
                  <c:v>43928</c:v>
                </c:pt>
                <c:pt idx="821">
                  <c:v>43929</c:v>
                </c:pt>
                <c:pt idx="822">
                  <c:v>43930</c:v>
                </c:pt>
                <c:pt idx="823">
                  <c:v>43934</c:v>
                </c:pt>
                <c:pt idx="824">
                  <c:v>43935</c:v>
                </c:pt>
                <c:pt idx="825">
                  <c:v>43936</c:v>
                </c:pt>
                <c:pt idx="826">
                  <c:v>43937</c:v>
                </c:pt>
                <c:pt idx="827">
                  <c:v>43938</c:v>
                </c:pt>
                <c:pt idx="828">
                  <c:v>43941</c:v>
                </c:pt>
                <c:pt idx="829">
                  <c:v>43942</c:v>
                </c:pt>
                <c:pt idx="830">
                  <c:v>43943</c:v>
                </c:pt>
                <c:pt idx="831">
                  <c:v>43944</c:v>
                </c:pt>
                <c:pt idx="832">
                  <c:v>43945</c:v>
                </c:pt>
                <c:pt idx="833">
                  <c:v>43948</c:v>
                </c:pt>
                <c:pt idx="834">
                  <c:v>43949</c:v>
                </c:pt>
                <c:pt idx="835">
                  <c:v>43950</c:v>
                </c:pt>
                <c:pt idx="836">
                  <c:v>43951</c:v>
                </c:pt>
                <c:pt idx="837">
                  <c:v>43952</c:v>
                </c:pt>
                <c:pt idx="838">
                  <c:v>43955</c:v>
                </c:pt>
                <c:pt idx="839">
                  <c:v>43956</c:v>
                </c:pt>
                <c:pt idx="840">
                  <c:v>43957</c:v>
                </c:pt>
                <c:pt idx="841">
                  <c:v>43958</c:v>
                </c:pt>
                <c:pt idx="842">
                  <c:v>43959</c:v>
                </c:pt>
                <c:pt idx="843">
                  <c:v>43962</c:v>
                </c:pt>
                <c:pt idx="844">
                  <c:v>43963</c:v>
                </c:pt>
                <c:pt idx="845">
                  <c:v>43964</c:v>
                </c:pt>
                <c:pt idx="846">
                  <c:v>43965</c:v>
                </c:pt>
                <c:pt idx="847">
                  <c:v>43966</c:v>
                </c:pt>
                <c:pt idx="848">
                  <c:v>43969</c:v>
                </c:pt>
                <c:pt idx="849">
                  <c:v>43970</c:v>
                </c:pt>
                <c:pt idx="850">
                  <c:v>43971</c:v>
                </c:pt>
                <c:pt idx="851">
                  <c:v>43972</c:v>
                </c:pt>
                <c:pt idx="852">
                  <c:v>43973</c:v>
                </c:pt>
                <c:pt idx="853">
                  <c:v>43977</c:v>
                </c:pt>
                <c:pt idx="854">
                  <c:v>43978</c:v>
                </c:pt>
                <c:pt idx="855">
                  <c:v>43979</c:v>
                </c:pt>
                <c:pt idx="856">
                  <c:v>43980</c:v>
                </c:pt>
                <c:pt idx="857">
                  <c:v>43983</c:v>
                </c:pt>
                <c:pt idx="858">
                  <c:v>43984</c:v>
                </c:pt>
                <c:pt idx="859">
                  <c:v>43985</c:v>
                </c:pt>
                <c:pt idx="860">
                  <c:v>43986</c:v>
                </c:pt>
                <c:pt idx="861">
                  <c:v>43987</c:v>
                </c:pt>
                <c:pt idx="862">
                  <c:v>43990</c:v>
                </c:pt>
                <c:pt idx="863">
                  <c:v>43991</c:v>
                </c:pt>
                <c:pt idx="864">
                  <c:v>43992</c:v>
                </c:pt>
                <c:pt idx="865">
                  <c:v>43993</c:v>
                </c:pt>
                <c:pt idx="866">
                  <c:v>43994</c:v>
                </c:pt>
                <c:pt idx="867">
                  <c:v>43997</c:v>
                </c:pt>
                <c:pt idx="868">
                  <c:v>43998</c:v>
                </c:pt>
                <c:pt idx="869">
                  <c:v>43999</c:v>
                </c:pt>
                <c:pt idx="870">
                  <c:v>44000</c:v>
                </c:pt>
                <c:pt idx="871">
                  <c:v>44001</c:v>
                </c:pt>
                <c:pt idx="872">
                  <c:v>44004</c:v>
                </c:pt>
                <c:pt idx="873">
                  <c:v>44005</c:v>
                </c:pt>
                <c:pt idx="874">
                  <c:v>44006</c:v>
                </c:pt>
                <c:pt idx="875">
                  <c:v>44007</c:v>
                </c:pt>
                <c:pt idx="876">
                  <c:v>44008</c:v>
                </c:pt>
                <c:pt idx="877">
                  <c:v>44011</c:v>
                </c:pt>
                <c:pt idx="878">
                  <c:v>44012</c:v>
                </c:pt>
                <c:pt idx="879">
                  <c:v>44013</c:v>
                </c:pt>
                <c:pt idx="880">
                  <c:v>44014</c:v>
                </c:pt>
                <c:pt idx="881">
                  <c:v>44018</c:v>
                </c:pt>
                <c:pt idx="882">
                  <c:v>44019</c:v>
                </c:pt>
                <c:pt idx="883">
                  <c:v>44020</c:v>
                </c:pt>
                <c:pt idx="884">
                  <c:v>44021</c:v>
                </c:pt>
                <c:pt idx="885">
                  <c:v>44022</c:v>
                </c:pt>
                <c:pt idx="886">
                  <c:v>44025</c:v>
                </c:pt>
                <c:pt idx="887">
                  <c:v>44026</c:v>
                </c:pt>
                <c:pt idx="888">
                  <c:v>44027</c:v>
                </c:pt>
                <c:pt idx="889">
                  <c:v>44028</c:v>
                </c:pt>
                <c:pt idx="890">
                  <c:v>44029</c:v>
                </c:pt>
                <c:pt idx="891">
                  <c:v>44032</c:v>
                </c:pt>
                <c:pt idx="892">
                  <c:v>44033</c:v>
                </c:pt>
                <c:pt idx="893">
                  <c:v>44034</c:v>
                </c:pt>
                <c:pt idx="894">
                  <c:v>44035</c:v>
                </c:pt>
                <c:pt idx="895">
                  <c:v>44036</c:v>
                </c:pt>
                <c:pt idx="896">
                  <c:v>44039</c:v>
                </c:pt>
                <c:pt idx="897">
                  <c:v>44040</c:v>
                </c:pt>
                <c:pt idx="898">
                  <c:v>44041</c:v>
                </c:pt>
                <c:pt idx="899">
                  <c:v>44042</c:v>
                </c:pt>
                <c:pt idx="900">
                  <c:v>44043</c:v>
                </c:pt>
                <c:pt idx="901">
                  <c:v>44046</c:v>
                </c:pt>
                <c:pt idx="902">
                  <c:v>44047</c:v>
                </c:pt>
                <c:pt idx="903">
                  <c:v>44048</c:v>
                </c:pt>
                <c:pt idx="904">
                  <c:v>44049</c:v>
                </c:pt>
                <c:pt idx="905">
                  <c:v>44050</c:v>
                </c:pt>
                <c:pt idx="906">
                  <c:v>44053</c:v>
                </c:pt>
                <c:pt idx="907">
                  <c:v>44054</c:v>
                </c:pt>
                <c:pt idx="908">
                  <c:v>44055</c:v>
                </c:pt>
                <c:pt idx="909">
                  <c:v>44056</c:v>
                </c:pt>
                <c:pt idx="910">
                  <c:v>44057</c:v>
                </c:pt>
                <c:pt idx="911">
                  <c:v>44060</c:v>
                </c:pt>
                <c:pt idx="912">
                  <c:v>44061</c:v>
                </c:pt>
                <c:pt idx="913">
                  <c:v>44062</c:v>
                </c:pt>
                <c:pt idx="914">
                  <c:v>44063</c:v>
                </c:pt>
                <c:pt idx="915">
                  <c:v>44064</c:v>
                </c:pt>
                <c:pt idx="916">
                  <c:v>44067</c:v>
                </c:pt>
                <c:pt idx="917">
                  <c:v>44068</c:v>
                </c:pt>
                <c:pt idx="918">
                  <c:v>44069</c:v>
                </c:pt>
                <c:pt idx="919">
                  <c:v>44070</c:v>
                </c:pt>
                <c:pt idx="920">
                  <c:v>44071</c:v>
                </c:pt>
                <c:pt idx="921">
                  <c:v>44074</c:v>
                </c:pt>
                <c:pt idx="922">
                  <c:v>44075</c:v>
                </c:pt>
                <c:pt idx="923">
                  <c:v>44076</c:v>
                </c:pt>
                <c:pt idx="924">
                  <c:v>44077</c:v>
                </c:pt>
                <c:pt idx="925">
                  <c:v>44078</c:v>
                </c:pt>
                <c:pt idx="926">
                  <c:v>44082</c:v>
                </c:pt>
                <c:pt idx="927">
                  <c:v>44083</c:v>
                </c:pt>
                <c:pt idx="928">
                  <c:v>44084</c:v>
                </c:pt>
                <c:pt idx="929">
                  <c:v>44085</c:v>
                </c:pt>
                <c:pt idx="930">
                  <c:v>44088</c:v>
                </c:pt>
                <c:pt idx="931">
                  <c:v>44089</c:v>
                </c:pt>
                <c:pt idx="932">
                  <c:v>44090</c:v>
                </c:pt>
                <c:pt idx="933">
                  <c:v>44091</c:v>
                </c:pt>
                <c:pt idx="934">
                  <c:v>44092</c:v>
                </c:pt>
                <c:pt idx="935">
                  <c:v>44095</c:v>
                </c:pt>
                <c:pt idx="936">
                  <c:v>44096</c:v>
                </c:pt>
                <c:pt idx="937">
                  <c:v>44097</c:v>
                </c:pt>
                <c:pt idx="938">
                  <c:v>44098</c:v>
                </c:pt>
                <c:pt idx="939">
                  <c:v>44099</c:v>
                </c:pt>
                <c:pt idx="940">
                  <c:v>44102</c:v>
                </c:pt>
                <c:pt idx="941">
                  <c:v>44103</c:v>
                </c:pt>
                <c:pt idx="942">
                  <c:v>44104</c:v>
                </c:pt>
                <c:pt idx="943">
                  <c:v>44105</c:v>
                </c:pt>
                <c:pt idx="944">
                  <c:v>44106</c:v>
                </c:pt>
                <c:pt idx="945">
                  <c:v>44109</c:v>
                </c:pt>
                <c:pt idx="946">
                  <c:v>44110</c:v>
                </c:pt>
                <c:pt idx="947">
                  <c:v>44111</c:v>
                </c:pt>
                <c:pt idx="948">
                  <c:v>44112</c:v>
                </c:pt>
                <c:pt idx="949">
                  <c:v>44113</c:v>
                </c:pt>
                <c:pt idx="950">
                  <c:v>44116</c:v>
                </c:pt>
                <c:pt idx="951">
                  <c:v>44117</c:v>
                </c:pt>
                <c:pt idx="952">
                  <c:v>44118</c:v>
                </c:pt>
                <c:pt idx="953">
                  <c:v>44119</c:v>
                </c:pt>
                <c:pt idx="954">
                  <c:v>44120</c:v>
                </c:pt>
                <c:pt idx="955">
                  <c:v>44123</c:v>
                </c:pt>
                <c:pt idx="956">
                  <c:v>44124</c:v>
                </c:pt>
                <c:pt idx="957">
                  <c:v>44125</c:v>
                </c:pt>
                <c:pt idx="958">
                  <c:v>44126</c:v>
                </c:pt>
                <c:pt idx="959">
                  <c:v>44127</c:v>
                </c:pt>
                <c:pt idx="960">
                  <c:v>44130</c:v>
                </c:pt>
                <c:pt idx="961">
                  <c:v>44131</c:v>
                </c:pt>
                <c:pt idx="962">
                  <c:v>44132</c:v>
                </c:pt>
                <c:pt idx="963">
                  <c:v>44133</c:v>
                </c:pt>
                <c:pt idx="964">
                  <c:v>44134</c:v>
                </c:pt>
                <c:pt idx="965">
                  <c:v>44137</c:v>
                </c:pt>
                <c:pt idx="966">
                  <c:v>44138</c:v>
                </c:pt>
                <c:pt idx="967">
                  <c:v>44139</c:v>
                </c:pt>
                <c:pt idx="968">
                  <c:v>44140</c:v>
                </c:pt>
                <c:pt idx="969">
                  <c:v>44141</c:v>
                </c:pt>
                <c:pt idx="970">
                  <c:v>44144</c:v>
                </c:pt>
                <c:pt idx="971">
                  <c:v>44145</c:v>
                </c:pt>
                <c:pt idx="972">
                  <c:v>44146</c:v>
                </c:pt>
                <c:pt idx="973">
                  <c:v>44147</c:v>
                </c:pt>
                <c:pt idx="974">
                  <c:v>44148</c:v>
                </c:pt>
                <c:pt idx="975">
                  <c:v>44151</c:v>
                </c:pt>
                <c:pt idx="976">
                  <c:v>44152</c:v>
                </c:pt>
                <c:pt idx="977">
                  <c:v>44153</c:v>
                </c:pt>
                <c:pt idx="978">
                  <c:v>44154</c:v>
                </c:pt>
                <c:pt idx="979">
                  <c:v>44196</c:v>
                </c:pt>
                <c:pt idx="980">
                  <c:v>44561</c:v>
                </c:pt>
                <c:pt idx="981">
                  <c:v>44926</c:v>
                </c:pt>
                <c:pt idx="982">
                  <c:v>45291</c:v>
                </c:pt>
                <c:pt idx="983">
                  <c:v>45657</c:v>
                </c:pt>
                <c:pt idx="984">
                  <c:v>46022</c:v>
                </c:pt>
              </c:numCache>
            </c:numRef>
          </c:cat>
          <c:val>
            <c:numRef>
              <c:f>'Share Price'!$E$11:$E$995</c:f>
              <c:numCache>
                <c:formatCode>General</c:formatCode>
                <c:ptCount val="985"/>
                <c:pt idx="978" formatCode="0_ ">
                  <c:v>3117.0200199999999</c:v>
                </c:pt>
                <c:pt idx="979" formatCode="0.00">
                  <c:v>1932.434313973768</c:v>
                </c:pt>
                <c:pt idx="980" formatCode="0.00">
                  <c:v>2111.2969210566666</c:v>
                </c:pt>
                <c:pt idx="981" formatCode="0.00">
                  <c:v>2229.6366870735442</c:v>
                </c:pt>
                <c:pt idx="982" formatCode="0.00">
                  <c:v>2360.7464790796844</c:v>
                </c:pt>
                <c:pt idx="983" formatCode="0.00">
                  <c:v>2513.2151240449448</c:v>
                </c:pt>
                <c:pt idx="984" formatCode="0.00">
                  <c:v>2636.9198443580995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C9-4C38-9E46-3AB9FA90A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46752"/>
        <c:axId val="522449376"/>
      </c:lineChart>
      <c:dateAx>
        <c:axId val="52244675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49376"/>
        <c:crosses val="autoZero"/>
        <c:auto val="1"/>
        <c:lblOffset val="100"/>
        <c:baseTimeUnit val="days"/>
        <c:majorUnit val="1"/>
        <c:majorTimeUnit val="years"/>
      </c:dateAx>
      <c:valAx>
        <c:axId val="522449376"/>
        <c:scaling>
          <c:orientation val="minMax"/>
          <c:max val="8000"/>
          <c:min val="0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46752"/>
        <c:crosses val="autoZero"/>
        <c:crossBetween val="between"/>
        <c:majorUnit val="1000"/>
        <c:minorUnit val="1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tx>
            <c:strRef>
              <c:f>DASHBOARD!$V$13</c:f>
              <c:strCache>
                <c:ptCount val="1"/>
                <c:pt idx="0">
                  <c:v>lo (bar)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DASHBOARD!$R$14:$R$18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Comps</c:v>
                </c:pt>
                <c:pt idx="4">
                  <c:v>52-Week Hi/Lo</c:v>
                </c:pt>
              </c:strCache>
            </c:strRef>
          </c:cat>
          <c:val>
            <c:numRef>
              <c:f>DASHBOARD!$V$14:$V$18</c:f>
              <c:numCache>
                <c:formatCode>_(* #,##0_);_(* \(#,##0\);_(* "-"??_);_(@_)</c:formatCode>
                <c:ptCount val="5"/>
                <c:pt idx="0">
                  <c:v>2302.4850342362247</c:v>
                </c:pt>
                <c:pt idx="1">
                  <c:v>2570.5274498561371</c:v>
                </c:pt>
                <c:pt idx="2">
                  <c:v>985.04330079032252</c:v>
                </c:pt>
                <c:pt idx="3">
                  <c:v>2529.826888804067</c:v>
                </c:pt>
                <c:pt idx="4">
                  <c:v>3531.4499510000001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3-4998-B9BA-3C84B1503070}"/>
            </c:ext>
          </c:extLst>
        </c:ser>
        <c:ser>
          <c:idx val="1"/>
          <c:order val="1"/>
          <c:tx>
            <c:strRef>
              <c:f>DASHBOARD!$W$13</c:f>
              <c:strCache>
                <c:ptCount val="1"/>
                <c:pt idx="0">
                  <c:v>lo  (label)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5.2898458402344251E-2"/>
                  <c:y val="-9.2263500102541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A3-4998-B9BA-3C84B15030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DASHBOARD!$R$14:$R$18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Comps</c:v>
                </c:pt>
                <c:pt idx="4">
                  <c:v>52-Week Hi/Lo</c:v>
                </c:pt>
              </c:strCache>
            </c:strRef>
          </c:cat>
          <c:val>
            <c:numRef>
              <c:f>DASHBOARD!$W$14:$W$18</c:f>
              <c:numCache>
                <c:formatCode>_(* #,##0_);_(* \(#,##0\);_(* "-"??_);_(@_)</c:formatCode>
                <c:ptCount val="5"/>
                <c:pt idx="0">
                  <c:v>2302.4850342362247</c:v>
                </c:pt>
                <c:pt idx="1">
                  <c:v>2570.5274498561371</c:v>
                </c:pt>
                <c:pt idx="2">
                  <c:v>985.04330079032252</c:v>
                </c:pt>
                <c:pt idx="3">
                  <c:v>2529.826888804067</c:v>
                </c:pt>
                <c:pt idx="4">
                  <c:v>3531.4499510000001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A3-4998-B9BA-3C84B1503070}"/>
            </c:ext>
          </c:extLst>
        </c:ser>
        <c:ser>
          <c:idx val="2"/>
          <c:order val="2"/>
          <c:tx>
            <c:strRef>
              <c:f>DASHBOARD!$X$13</c:f>
              <c:strCache>
                <c:ptCount val="1"/>
                <c:pt idx="0">
                  <c:v>hi (bar)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DASHBOARD!$R$14:$R$18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Comps</c:v>
                </c:pt>
                <c:pt idx="4">
                  <c:v>52-Week Hi/Lo</c:v>
                </c:pt>
              </c:strCache>
            </c:strRef>
          </c:cat>
          <c:val>
            <c:numRef>
              <c:f>DASHBOARD!$X$14:$X$18</c:f>
              <c:numCache>
                <c:formatCode>_(* #,##0_);_(* \(#,##0\);_(* "-"??_);_(@_)</c:formatCode>
                <c:ptCount val="5"/>
                <c:pt idx="0">
                  <c:v>4764.7052341222116</c:v>
                </c:pt>
                <c:pt idx="1">
                  <c:v>5351.6382785445358</c:v>
                </c:pt>
                <c:pt idx="2">
                  <c:v>1937.0034768620492</c:v>
                </c:pt>
                <c:pt idx="3">
                  <c:v>3088.2828219186645</c:v>
                </c:pt>
                <c:pt idx="4">
                  <c:v>1676.6099850000001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A3-4998-B9BA-3C84B1503070}"/>
            </c:ext>
          </c:extLst>
        </c:ser>
        <c:ser>
          <c:idx val="3"/>
          <c:order val="3"/>
          <c:tx>
            <c:strRef>
              <c:f>DASHBOARD!$Y$13</c:f>
              <c:strCache>
                <c:ptCount val="1"/>
                <c:pt idx="0">
                  <c:v>hi (label)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4.7802267804815897E-2"/>
                  <c:y val="6.4317533079663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A3-4998-B9BA-3C84B15030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DASHBOARD!$R$14:$R$18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Comps</c:v>
                </c:pt>
                <c:pt idx="4">
                  <c:v>52-Week Hi/Lo</c:v>
                </c:pt>
              </c:strCache>
            </c:strRef>
          </c:cat>
          <c:val>
            <c:numRef>
              <c:f>DASHBOARD!$Y$14:$Y$18</c:f>
              <c:numCache>
                <c:formatCode>_(* #,##0_);_(* \(#,##0\);_(* "-"??_);_(@_)</c:formatCode>
                <c:ptCount val="5"/>
                <c:pt idx="0">
                  <c:v>4764.7052341222116</c:v>
                </c:pt>
                <c:pt idx="1">
                  <c:v>5351.6382785445358</c:v>
                </c:pt>
                <c:pt idx="2">
                  <c:v>1937.0034768620492</c:v>
                </c:pt>
                <c:pt idx="3">
                  <c:v>3088.2828219186645</c:v>
                </c:pt>
                <c:pt idx="4">
                  <c:v>1676.6099850000001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A3-4998-B9BA-3C84B1503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1E8496"/>
              </a:solidFill>
              <a:ln w="9525" cap="flat" cmpd="sng" algn="ctr">
                <a:noFill/>
                <a:round/>
              </a:ln>
              <a:effectLst/>
            </c:spPr>
          </c:upBars>
          <c:downBars>
            <c:spPr>
              <a:solidFill>
                <a:srgbClr val="1E8496"/>
              </a:solidFill>
              <a:ln w="9525" cap="flat" cmpd="sng" algn="ctr">
                <a:noFill/>
                <a:round/>
              </a:ln>
              <a:effectLst/>
            </c:spPr>
          </c:downBars>
        </c:upDownBars>
        <c:axId val="522433632"/>
        <c:axId val="522427072"/>
      </c:stockChart>
      <c:catAx>
        <c:axId val="52243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27072"/>
        <c:crosses val="autoZero"/>
        <c:auto val="1"/>
        <c:lblAlgn val="ctr"/>
        <c:lblOffset val="100"/>
        <c:noMultiLvlLbl val="0"/>
      </c:catAx>
      <c:valAx>
        <c:axId val="52242707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87856755024929"/>
          <c:y val="9.5350941227960381E-2"/>
          <c:w val="0.72066835280393959"/>
          <c:h val="0.78090293032754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DASHBOARD!$C$19</c:f>
              <c:strCache>
                <c:ptCount val="1"/>
                <c:pt idx="0">
                  <c:v>Revenue</c:v>
                </c:pt>
              </c:strCache>
            </c:strRef>
          </c:tx>
          <c:spPr>
            <a:gradFill>
              <a:gsLst>
                <a:gs pos="0">
                  <a:srgbClr val="132E57"/>
                </a:gs>
                <a:gs pos="34000">
                  <a:srgbClr val="132E57"/>
                </a:gs>
                <a:gs pos="100000">
                  <a:srgbClr val="1E8496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DASHBOARD!$E$13:$J$13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DASHBOARD!$E$19:$J$19</c:f>
              <c:numCache>
                <c:formatCode>"$"#,##0_);\("$"#,##0\)</c:formatCode>
                <c:ptCount val="6"/>
                <c:pt idx="0">
                  <c:v>372291.26353724505</c:v>
                </c:pt>
                <c:pt idx="1">
                  <c:v>443181.30749246554</c:v>
                </c:pt>
                <c:pt idx="2">
                  <c:v>520906.5639798888</c:v>
                </c:pt>
                <c:pt idx="3">
                  <c:v>600317.2834167832</c:v>
                </c:pt>
                <c:pt idx="4">
                  <c:v>750564.23162077204</c:v>
                </c:pt>
                <c:pt idx="5">
                  <c:v>846588.26226960053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0-4B9F-98BF-14C65F391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378032952"/>
        <c:axId val="378031312"/>
      </c:barChart>
      <c:lineChart>
        <c:grouping val="standard"/>
        <c:varyColors val="0"/>
        <c:ser>
          <c:idx val="1"/>
          <c:order val="1"/>
          <c:tx>
            <c:strRef>
              <c:f>DASHBOARD!$C$30</c:f>
              <c:strCache>
                <c:ptCount val="1"/>
                <c:pt idx="0">
                  <c:v>EV/Revenue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DASHBOARD!$E$13:$J$13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DASHBOARD!$E$30:$J$30</c:f>
              <c:numCache>
                <c:formatCode>0.00\x</c:formatCode>
                <c:ptCount val="6"/>
                <c:pt idx="0">
                  <c:v>4.3373271364409982</c:v>
                </c:pt>
                <c:pt idx="1">
                  <c:v>3.6435404036697827</c:v>
                </c:pt>
                <c:pt idx="2">
                  <c:v>3.0998822277508147</c:v>
                </c:pt>
                <c:pt idx="3">
                  <c:v>2.6898259380597005</c:v>
                </c:pt>
                <c:pt idx="4">
                  <c:v>2.1513801643772754</c:v>
                </c:pt>
                <c:pt idx="5">
                  <c:v>1.9073604867507301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00-4B9F-98BF-14C65F391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658616"/>
        <c:axId val="780656320"/>
      </c:lineChart>
      <c:catAx>
        <c:axId val="37803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1312"/>
        <c:crosses val="autoZero"/>
        <c:auto val="1"/>
        <c:lblAlgn val="ctr"/>
        <c:lblOffset val="100"/>
        <c:noMultiLvlLbl val="0"/>
      </c:catAx>
      <c:valAx>
        <c:axId val="378031312"/>
        <c:scaling>
          <c:orientation val="minMax"/>
        </c:scaling>
        <c:delete val="0"/>
        <c:axPos val="l"/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2952"/>
        <c:crosses val="autoZero"/>
        <c:crossBetween val="between"/>
      </c:valAx>
      <c:valAx>
        <c:axId val="780656320"/>
        <c:scaling>
          <c:orientation val="minMax"/>
        </c:scaling>
        <c:delete val="0"/>
        <c:axPos val="r"/>
        <c:numFmt formatCode="0.00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58616"/>
        <c:crosses val="max"/>
        <c:crossBetween val="between"/>
      </c:valAx>
      <c:catAx>
        <c:axId val="780658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0656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601281330948065"/>
          <c:y val="1.6002849431247811E-2"/>
          <c:w val="0.53053273550414048"/>
          <c:h val="9.0305649696802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87856755024929"/>
          <c:y val="9.5350941227960381E-2"/>
          <c:w val="0.72066835280393959"/>
          <c:h val="0.78090293032754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EBITDA (excl. SBC)</c:v>
                </c:pt>
              </c:strCache>
            </c:strRef>
          </c:tx>
          <c:spPr>
            <a:gradFill>
              <a:gsLst>
                <a:gs pos="0">
                  <a:srgbClr val="132E57"/>
                </a:gs>
                <a:gs pos="25100">
                  <a:srgbClr val="132E57"/>
                </a:gs>
                <a:gs pos="100000">
                  <a:srgbClr val="FA621C"/>
                </a:gs>
                <a:gs pos="100000">
                  <a:srgbClr val="FA621C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DASHBOARD!$E$13:$J$13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DASHBOARD!$E$20:$J$20</c:f>
              <c:numCache>
                <c:formatCode>"$"#,##0_);\("$"#,##0\)</c:formatCode>
                <c:ptCount val="6"/>
                <c:pt idx="0">
                  <c:v>53144.077122304683</c:v>
                </c:pt>
                <c:pt idx="1">
                  <c:v>76243.729738425274</c:v>
                </c:pt>
                <c:pt idx="2">
                  <c:v>102514.49709000639</c:v>
                </c:pt>
                <c:pt idx="3">
                  <c:v>127526.86028017888</c:v>
                </c:pt>
                <c:pt idx="4">
                  <c:v>165798.72608873493</c:v>
                </c:pt>
                <c:pt idx="5">
                  <c:v>197611.18472868617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2-4E72-B884-17ADA755E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378032952"/>
        <c:axId val="378031312"/>
      </c:barChart>
      <c:lineChart>
        <c:grouping val="standard"/>
        <c:varyColors val="0"/>
        <c:ser>
          <c:idx val="1"/>
          <c:order val="1"/>
          <c:tx>
            <c:strRef>
              <c:f>DASHBOARD!$C$31</c:f>
              <c:strCache>
                <c:ptCount val="1"/>
                <c:pt idx="0">
                  <c:v>EV/EBITDA</c:v>
                </c:pt>
              </c:strCache>
            </c:strRef>
          </c:tx>
          <c:spPr>
            <a:ln w="158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DASHBOARD!$E$13:$J$13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DASHBOARD!$E$31:$J$31</c:f>
              <c:numCache>
                <c:formatCode>0.00\x</c:formatCode>
                <c:ptCount val="6"/>
                <c:pt idx="0">
                  <c:v>30.384364306183169</c:v>
                </c:pt>
                <c:pt idx="1">
                  <c:v>21.178777658698401</c:v>
                </c:pt>
                <c:pt idx="2">
                  <c:v>15.751420977876636</c:v>
                </c:pt>
                <c:pt idx="3">
                  <c:v>12.662030543623253</c:v>
                </c:pt>
                <c:pt idx="4">
                  <c:v>9.7392123455507846</c:v>
                </c:pt>
                <c:pt idx="5">
                  <c:v>8.1713441585657147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A2-4E72-B884-17ADA755E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658616"/>
        <c:axId val="780656320"/>
      </c:lineChart>
      <c:catAx>
        <c:axId val="37803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1312"/>
        <c:crosses val="autoZero"/>
        <c:auto val="1"/>
        <c:lblAlgn val="ctr"/>
        <c:lblOffset val="100"/>
        <c:noMultiLvlLbl val="0"/>
      </c:catAx>
      <c:valAx>
        <c:axId val="378031312"/>
        <c:scaling>
          <c:orientation val="minMax"/>
        </c:scaling>
        <c:delete val="0"/>
        <c:axPos val="l"/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2952"/>
        <c:crosses val="autoZero"/>
        <c:crossBetween val="between"/>
      </c:valAx>
      <c:valAx>
        <c:axId val="780656320"/>
        <c:scaling>
          <c:orientation val="minMax"/>
        </c:scaling>
        <c:delete val="0"/>
        <c:axPos val="r"/>
        <c:numFmt formatCode="0.00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58616"/>
        <c:crosses val="max"/>
        <c:crossBetween val="between"/>
      </c:valAx>
      <c:catAx>
        <c:axId val="780658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0656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781065062477658"/>
          <c:y val="1.6002837170637472E-2"/>
          <c:w val="0.61610578898163759"/>
          <c:h val="9.00166580842111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00"/>
              <a:t>AMZN</a:t>
            </a:r>
            <a:r>
              <a:rPr lang="en-GB" sz="1000" baseline="0"/>
              <a:t> Global Market Share Estimates</a:t>
            </a:r>
            <a:endParaRPr lang="en-GB" sz="1000"/>
          </a:p>
        </c:rich>
      </c:tx>
      <c:layout>
        <c:manualLayout>
          <c:xMode val="edge"/>
          <c:yMode val="edge"/>
          <c:x val="0.28187462637551536"/>
          <c:y val="1.6326642518899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68664803996273E-2"/>
          <c:y val="0.1976842353569245"/>
          <c:w val="0.86508904128919373"/>
          <c:h val="0.499624437043543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'Market Size'!$B$34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Size'!$G$5:$K$5</c:f>
              <c:numCache>
                <c:formatCode>0\ "E"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'Market Size'!$G$34:$K$34</c:f>
              <c:numCache>
                <c:formatCode>0.00%</c:formatCode>
                <c:ptCount val="5"/>
                <c:pt idx="0">
                  <c:v>0.30868413680853374</c:v>
                </c:pt>
                <c:pt idx="1">
                  <c:v>0.33635703755617152</c:v>
                </c:pt>
                <c:pt idx="2">
                  <c:v>0.36756095697024438</c:v>
                </c:pt>
                <c:pt idx="3">
                  <c:v>0.40147432723638826</c:v>
                </c:pt>
                <c:pt idx="4">
                  <c:v>0.43557667635066899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B-4757-BDCC-11EDFA4CA24C}"/>
            </c:ext>
          </c:extLst>
        </c:ser>
        <c:ser>
          <c:idx val="1"/>
          <c:order val="1"/>
          <c:tx>
            <c:strRef>
              <c:f>'Market Size'!$B$35</c:f>
              <c:strCache>
                <c:ptCount val="1"/>
                <c:pt idx="0">
                  <c:v>Advertising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587301587301587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3B-4757-BDCC-11EDFA4CA24C}"/>
                </c:ext>
              </c:extLst>
            </c:dLbl>
            <c:dLbl>
              <c:idx val="1"/>
              <c:layout>
                <c:manualLayout>
                  <c:x val="2.5396825396825338E-2"/>
                  <c:y val="-1.1010883812341616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3B-4757-BDCC-11EDFA4CA24C}"/>
                </c:ext>
              </c:extLst>
            </c:dLbl>
            <c:dLbl>
              <c:idx val="2"/>
              <c:layout>
                <c:manualLayout>
                  <c:x val="1.2698412698412698E-2"/>
                  <c:y val="-6.00600600600600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43B-4757-BDCC-11EDFA4CA24C}"/>
                </c:ext>
              </c:extLst>
            </c:dLbl>
            <c:dLbl>
              <c:idx val="3"/>
              <c:layout>
                <c:manualLayout>
                  <c:x val="1.587301587301587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43B-4757-BDCC-11EDFA4CA24C}"/>
                </c:ext>
              </c:extLst>
            </c:dLbl>
            <c:dLbl>
              <c:idx val="4"/>
              <c:layout>
                <c:manualLayout>
                  <c:x val="1.904761904761904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43B-4757-BDCC-11EDFA4CA2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Size'!$G$5:$K$5</c:f>
              <c:numCache>
                <c:formatCode>0\ "E"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'Market Size'!$G$35:$K$35</c:f>
              <c:numCache>
                <c:formatCode>0.00%</c:formatCode>
                <c:ptCount val="5"/>
                <c:pt idx="0">
                  <c:v>3.7056992950972714E-2</c:v>
                </c:pt>
                <c:pt idx="1">
                  <c:v>4.4223740034189538E-2</c:v>
                </c:pt>
                <c:pt idx="2">
                  <c:v>5.0681820956622041E-2</c:v>
                </c:pt>
                <c:pt idx="3">
                  <c:v>5.5372698962843386E-2</c:v>
                </c:pt>
                <c:pt idx="4">
                  <c:v>5.8818524029975956E-2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B-4757-BDCC-11EDFA4CA24C}"/>
            </c:ext>
          </c:extLst>
        </c:ser>
        <c:ser>
          <c:idx val="2"/>
          <c:order val="2"/>
          <c:tx>
            <c:strRef>
              <c:f>'Market Size'!$B$36</c:f>
              <c:strCache>
                <c:ptCount val="1"/>
                <c:pt idx="0">
                  <c:v>Cloud Computing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Size'!$G$5:$K$5</c:f>
              <c:numCache>
                <c:formatCode>0\ "E"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'Market Size'!$G$36:$K$36</c:f>
              <c:numCache>
                <c:formatCode>0.00%</c:formatCode>
                <c:ptCount val="5"/>
                <c:pt idx="0">
                  <c:v>0.16525637709372512</c:v>
                </c:pt>
                <c:pt idx="1">
                  <c:v>0.16634300652910025</c:v>
                </c:pt>
                <c:pt idx="2">
                  <c:v>0.16554361251873148</c:v>
                </c:pt>
                <c:pt idx="3">
                  <c:v>0.27203982184606829</c:v>
                </c:pt>
                <c:pt idx="4">
                  <c:v>0.26589366977390072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B-4757-BDCC-11EDFA4CA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4327560"/>
        <c:axId val="984336088"/>
      </c:barChart>
      <c:catAx>
        <c:axId val="984327560"/>
        <c:scaling>
          <c:orientation val="minMax"/>
        </c:scaling>
        <c:delete val="0"/>
        <c:axPos val="b"/>
        <c:numFmt formatCode="0\ 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336088"/>
        <c:crosses val="autoZero"/>
        <c:auto val="1"/>
        <c:lblAlgn val="ctr"/>
        <c:lblOffset val="100"/>
        <c:noMultiLvlLbl val="0"/>
      </c:catAx>
      <c:valAx>
        <c:axId val="984336088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32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TW" sz="900"/>
              <a:t>2020-2025</a:t>
            </a:r>
            <a:r>
              <a:rPr lang="en-GB" altLang="zh-TW" sz="900" baseline="0"/>
              <a:t> CAGR             </a:t>
            </a:r>
          </a:p>
          <a:p>
            <a:pPr>
              <a:defRPr/>
            </a:pPr>
            <a:endParaRPr lang="en-GB" altLang="zh-TW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539370078740161E-2"/>
          <c:y val="0.16245370370370371"/>
          <c:w val="0.94126157307259672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 Global CAGR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 Size'!$B$8:$B$10</c:f>
              <c:strCache>
                <c:ptCount val="3"/>
                <c:pt idx="0">
                  <c:v>E-Commerce</c:v>
                </c:pt>
                <c:pt idx="1">
                  <c:v>Advertising </c:v>
                </c:pt>
                <c:pt idx="2">
                  <c:v>Cloud</c:v>
                </c:pt>
              </c:strCache>
            </c:strRef>
          </c:cat>
          <c:val>
            <c:numRef>
              <c:f>'Market Size'!$L$8:$L$10</c:f>
              <c:numCache>
                <c:formatCode>0.00%</c:formatCode>
                <c:ptCount val="3"/>
                <c:pt idx="0">
                  <c:v>7.4127631189934373E-2</c:v>
                </c:pt>
                <c:pt idx="1">
                  <c:v>4.4309111735702622E-2</c:v>
                </c:pt>
                <c:pt idx="2">
                  <c:v>0.21135031724085396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2-4745-8980-EB555884CC3B}"/>
            </c:ext>
          </c:extLst>
        </c:ser>
        <c:ser>
          <c:idx val="1"/>
          <c:order val="1"/>
          <c:tx>
            <c:v>AMZN CAGR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 Size'!$B$8:$B$10</c:f>
              <c:strCache>
                <c:ptCount val="3"/>
                <c:pt idx="0">
                  <c:v>E-Commerce</c:v>
                </c:pt>
                <c:pt idx="1">
                  <c:v>Advertising </c:v>
                </c:pt>
                <c:pt idx="2">
                  <c:v>Cloud</c:v>
                </c:pt>
              </c:strCache>
            </c:strRef>
          </c:cat>
          <c:val>
            <c:numRef>
              <c:f>'Market Size'!$L$25:$L$27</c:f>
              <c:numCache>
                <c:formatCode>0.00%</c:formatCode>
                <c:ptCount val="3"/>
                <c:pt idx="0">
                  <c:v>0.16829794007950394</c:v>
                </c:pt>
                <c:pt idx="1">
                  <c:v>0.19969880119890115</c:v>
                </c:pt>
                <c:pt idx="2">
                  <c:v>0.34862775717663541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2-4745-8980-EB555884C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464424"/>
        <c:axId val="997461472"/>
      </c:barChart>
      <c:catAx>
        <c:axId val="99746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61472"/>
        <c:crosses val="autoZero"/>
        <c:auto val="1"/>
        <c:lblAlgn val="ctr"/>
        <c:lblOffset val="100"/>
        <c:noMultiLvlLbl val="0"/>
      </c:catAx>
      <c:valAx>
        <c:axId val="99746147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746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772144136188584E-2"/>
          <c:y val="0.26909667541557303"/>
          <c:w val="0.1722785586381141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"/>
          <c:y val="7.2988505747126439E-2"/>
          <c:w val="0.82088479532163738"/>
          <c:h val="0.6338500957854406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056256"/>
        <c:axId val="578060520"/>
      </c:barChart>
      <c:catAx>
        <c:axId val="57805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60520"/>
        <c:crosses val="autoZero"/>
        <c:auto val="1"/>
        <c:lblAlgn val="ctr"/>
        <c:lblOffset val="100"/>
        <c:noMultiLvlLbl val="0"/>
      </c:catAx>
      <c:valAx>
        <c:axId val="578060520"/>
        <c:scaling>
          <c:orientation val="minMax"/>
          <c:max val="0.9"/>
          <c:min val="0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5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</a:t>
            </a:r>
            <a:r>
              <a:rPr lang="en-GB" baseline="0"/>
              <a:t> Income CAGR</a:t>
            </a:r>
            <a:endParaRPr lang="en-GB"/>
          </a:p>
        </c:rich>
      </c:tx>
      <c:layout>
        <c:manualLayout>
          <c:xMode val="edge"/>
          <c:yMode val="edge"/>
          <c:x val="0.3678263342082240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58114610673666"/>
          <c:y val="0.17171296296296298"/>
          <c:w val="0.8403077427821522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'Financial Analysis'!$E$3:$J$3</c:f>
              <c:numCache>
                <c:formatCode>0\ "F"</c:formatCode>
                <c:ptCount val="6"/>
                <c:pt idx="0" formatCode="0\ &quot;E&quot;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'Financial Analysis'!$E$93:$J$93</c:f>
            </c:numRef>
          </c:val>
          <c:extLst>
            <c:ext xmlns:c16="http://schemas.microsoft.com/office/drawing/2014/chart" uri="{C3380CC4-5D6E-409C-BE32-E72D297353CC}">
              <c16:uniqueId val="{00000000-7761-4533-B8AC-2FA70C231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79856"/>
        <c:axId val="209374280"/>
      </c:barChart>
      <c:catAx>
        <c:axId val="209379856"/>
        <c:scaling>
          <c:orientation val="minMax"/>
        </c:scaling>
        <c:delete val="0"/>
        <c:axPos val="b"/>
        <c:numFmt formatCode="0\ 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4280"/>
        <c:crosses val="autoZero"/>
        <c:auto val="1"/>
        <c:lblAlgn val="ctr"/>
        <c:lblOffset val="100"/>
        <c:noMultiLvlLbl val="0"/>
      </c:catAx>
      <c:valAx>
        <c:axId val="209374280"/>
        <c:scaling>
          <c:orientation val="minMax"/>
        </c:scaling>
        <c:delete val="0"/>
        <c:axPos val="l"/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TW"/>
              <a:t>AMZN</a:t>
            </a:r>
            <a:r>
              <a:rPr lang="en-GB" altLang="zh-TW" baseline="0"/>
              <a:t> VS PEERS</a:t>
            </a:r>
            <a:endParaRPr lang="en-GB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'SOTP COMPS'!$B$79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'SOTP COMPS'!$C$66:$E$66</c:f>
              <c:strCache>
                <c:ptCount val="3"/>
                <c:pt idx="0">
                  <c:v>EV/FCF</c:v>
                </c:pt>
                <c:pt idx="1">
                  <c:v>EV/EBITDA</c:v>
                </c:pt>
                <c:pt idx="2">
                  <c:v>P/SALES</c:v>
                </c:pt>
              </c:strCache>
            </c:strRef>
          </c:cat>
          <c:val>
            <c:numRef>
              <c:f>'SOTP COMPS'!$C$79:$E$79</c:f>
              <c:numCache>
                <c:formatCode>0.00_ </c:formatCode>
                <c:ptCount val="3"/>
                <c:pt idx="0">
                  <c:v>36.055</c:v>
                </c:pt>
                <c:pt idx="1">
                  <c:v>32.236363636363635</c:v>
                </c:pt>
                <c:pt idx="2">
                  <c:v>5.7366666666666655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A-4474-91E0-C675B77FD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509080"/>
        <c:axId val="949507112"/>
      </c:barChart>
      <c:lineChart>
        <c:grouping val="standard"/>
        <c:varyColors val="0"/>
        <c:ser>
          <c:idx val="1"/>
          <c:order val="1"/>
          <c:tx>
            <c:strRef>
              <c:f>'SOTP COMPS'!$B$81</c:f>
              <c:strCache>
                <c:ptCount val="1"/>
                <c:pt idx="0">
                  <c:v>Amzn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'SOTP COMPS'!$C$81:$E$81</c:f>
              <c:numCache>
                <c:formatCode>General</c:formatCode>
                <c:ptCount val="3"/>
                <c:pt idx="0">
                  <c:v>55.1</c:v>
                </c:pt>
                <c:pt idx="1">
                  <c:v>32.96</c:v>
                </c:pt>
                <c:pt idx="2">
                  <c:v>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A-4474-91E0-C675B77FD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509080"/>
        <c:axId val="949507112"/>
      </c:lineChart>
      <c:catAx>
        <c:axId val="94950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07112"/>
        <c:crosses val="autoZero"/>
        <c:auto val="1"/>
        <c:lblAlgn val="ctr"/>
        <c:lblOffset val="100"/>
        <c:noMultiLvlLbl val="0"/>
      </c:catAx>
      <c:valAx>
        <c:axId val="949507112"/>
        <c:scaling>
          <c:orientation val="minMax"/>
        </c:scaling>
        <c:delete val="0"/>
        <c:axPos val="l"/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09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    Amazon</a:t>
            </a:r>
            <a:r>
              <a:rPr lang="en-GB" baseline="0"/>
              <a:t> Business Life Cycle Stage</a:t>
            </a:r>
            <a:r>
              <a:rPr lang="en-GB"/>
              <a:t>	</a:t>
            </a:r>
          </a:p>
        </c:rich>
      </c:tx>
      <c:layout>
        <c:manualLayout>
          <c:xMode val="edge"/>
          <c:yMode val="edge"/>
          <c:x val="0.2070837718478592"/>
          <c:y val="2.03805774278215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64215642714592"/>
          <c:y val="0.19831489644348171"/>
          <c:w val="0.80873818897637795"/>
          <c:h val="0.52215113735783025"/>
        </c:manualLayout>
      </c:layout>
      <c:lineChart>
        <c:grouping val="standard"/>
        <c:varyColors val="0"/>
        <c:ser>
          <c:idx val="0"/>
          <c:order val="0"/>
          <c:tx>
            <c:strRef>
              <c:f>'Financial Analysis'!$A$72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'Financial Analysis'!$B$72:$J$72</c:f>
            </c:numRef>
          </c:val>
          <c:smooth val="0"/>
          <c:extLst>
            <c:ext xmlns:c16="http://schemas.microsoft.com/office/drawing/2014/chart" uri="{C3380CC4-5D6E-409C-BE32-E72D297353CC}">
              <c16:uniqueId val="{00000000-BDFA-4A61-9063-FA35028E8C4C}"/>
            </c:ext>
          </c:extLst>
        </c:ser>
        <c:ser>
          <c:idx val="2"/>
          <c:order val="2"/>
          <c:tx>
            <c:v>Cash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'Financial Analysis'!$B$136:$J$136</c:f>
            </c:numRef>
          </c:val>
          <c:smooth val="0"/>
          <c:extLst>
            <c:ext xmlns:c16="http://schemas.microsoft.com/office/drawing/2014/chart" uri="{C3380CC4-5D6E-409C-BE32-E72D297353CC}">
              <c16:uniqueId val="{00000001-BDFA-4A61-9063-FA35028E8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551152"/>
        <c:axId val="702551808"/>
      </c:lineChart>
      <c:lineChart>
        <c:grouping val="standard"/>
        <c:varyColors val="0"/>
        <c:ser>
          <c:idx val="1"/>
          <c:order val="1"/>
          <c:tx>
            <c:strRef>
              <c:f>'Financial Analysis'!$A$93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'Financial Analysis'!$B$93:$J$93</c:f>
            </c:numRef>
          </c:val>
          <c:smooth val="0"/>
          <c:extLst>
            <c:ext xmlns:c16="http://schemas.microsoft.com/office/drawing/2014/chart" uri="{C3380CC4-5D6E-409C-BE32-E72D297353CC}">
              <c16:uniqueId val="{00000002-BDFA-4A61-9063-FA35028E8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071903"/>
        <c:axId val="547242879"/>
      </c:lineChart>
      <c:valAx>
        <c:axId val="702551808"/>
        <c:scaling>
          <c:orientation val="minMax"/>
        </c:scaling>
        <c:delete val="0"/>
        <c:axPos val="l"/>
        <c:numFmt formatCode="&quot;$&quot;#,##0_);\(&quot;$&quot;#,##0\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551152"/>
        <c:crosses val="autoZero"/>
        <c:crossBetween val="between"/>
      </c:valAx>
      <c:catAx>
        <c:axId val="702551152"/>
        <c:scaling>
          <c:orientation val="minMax"/>
        </c:scaling>
        <c:delete val="1"/>
        <c:axPos val="b"/>
        <c:majorTickMark val="out"/>
        <c:minorTickMark val="none"/>
        <c:tickLblPos val="nextTo"/>
        <c:crossAx val="702551808"/>
        <c:crosses val="autoZero"/>
        <c:auto val="1"/>
        <c:lblAlgn val="ctr"/>
        <c:lblOffset val="100"/>
        <c:noMultiLvlLbl val="0"/>
      </c:catAx>
      <c:valAx>
        <c:axId val="547242879"/>
        <c:scaling>
          <c:orientation val="minMax"/>
        </c:scaling>
        <c:delete val="1"/>
        <c:axPos val="r"/>
        <c:numFmt formatCode="&quot;$&quot;#,##0_);\(&quot;$&quot;#,##0\)" sourceLinked="1"/>
        <c:majorTickMark val="out"/>
        <c:minorTickMark val="none"/>
        <c:tickLblPos val="nextTo"/>
        <c:crossAx val="602071903"/>
        <c:crosses val="max"/>
        <c:crossBetween val="between"/>
      </c:valAx>
      <c:catAx>
        <c:axId val="602071903"/>
        <c:scaling>
          <c:orientation val="minMax"/>
        </c:scaling>
        <c:delete val="1"/>
        <c:axPos val="b"/>
        <c:majorTickMark val="out"/>
        <c:minorTickMark val="none"/>
        <c:tickLblPos val="nextTo"/>
        <c:crossAx val="5472428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002350220859669"/>
          <c:y val="0.79033012344555187"/>
          <c:w val="0.80066951006124232"/>
          <c:h val="0.116269963629027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040974502011699E-2"/>
          <c:y val="3.7177239939800343E-2"/>
          <c:w val="0.95366293946798975"/>
          <c:h val="0.80043737292671324"/>
        </c:manualLayout>
      </c:layout>
      <c:lineChart>
        <c:grouping val="standard"/>
        <c:varyColors val="0"/>
        <c:ser>
          <c:idx val="0"/>
          <c:order val="0"/>
          <c:tx>
            <c:v>Global Ecommerce Growth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055381400208992E-2"/>
                  <c:y val="0.123281584932984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27-49AB-9724-19108D373F14}"/>
                </c:ext>
              </c:extLst>
            </c:dLbl>
            <c:dLbl>
              <c:idx val="1"/>
              <c:layout>
                <c:manualLayout>
                  <c:x val="8.3333333333333332E-3"/>
                  <c:y val="3.24074074074072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27-49AB-9724-19108D373F14}"/>
                </c:ext>
              </c:extLst>
            </c:dLbl>
            <c:dLbl>
              <c:idx val="2"/>
              <c:layout>
                <c:manualLayout>
                  <c:x val="-8.5048914340252926E-2"/>
                  <c:y val="-4.1237091085807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27-49AB-9724-19108D373F14}"/>
                </c:ext>
              </c:extLst>
            </c:dLbl>
            <c:dLbl>
              <c:idx val="3"/>
              <c:layout>
                <c:manualLayout>
                  <c:x val="2.7777777777777779E-3"/>
                  <c:y val="-4.1666666666666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27-49AB-9724-19108D373F14}"/>
                </c:ext>
              </c:extLst>
            </c:dLbl>
            <c:dLbl>
              <c:idx val="4"/>
              <c:layout>
                <c:manualLayout>
                  <c:x val="1.3888888888888888E-2"/>
                  <c:y val="-2.7777777777777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27-49AB-9724-19108D373F14}"/>
                </c:ext>
              </c:extLst>
            </c:dLbl>
            <c:dLbl>
              <c:idx val="5"/>
              <c:layout>
                <c:manualLayout>
                  <c:x val="1.6666666666666666E-2"/>
                  <c:y val="-3.24074074074074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27-49AB-9724-19108D373F14}"/>
                </c:ext>
              </c:extLst>
            </c:dLbl>
            <c:dLbl>
              <c:idx val="6"/>
              <c:layout>
                <c:manualLayout>
                  <c:x val="1.4071109963713552E-2"/>
                  <c:y val="-9.2960290713256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27-49AB-9724-19108D373F14}"/>
                </c:ext>
              </c:extLst>
            </c:dLbl>
            <c:dLbl>
              <c:idx val="7"/>
              <c:layout>
                <c:manualLayout>
                  <c:x val="0"/>
                  <c:y val="-5.35907859078590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27-49AB-9724-19108D373F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Size'!$D$5:$K$5</c:f>
              <c:numCache>
                <c:formatCode>0\ "A"</c:formatCode>
                <c:ptCount val="8"/>
                <c:pt idx="0">
                  <c:v>2018</c:v>
                </c:pt>
                <c:pt idx="1">
                  <c:v>2019</c:v>
                </c:pt>
                <c:pt idx="2" formatCode="0\ &quot;E&quot;">
                  <c:v>2020</c:v>
                </c:pt>
                <c:pt idx="3" formatCode="0\ &quot;E&quot;">
                  <c:v>2021</c:v>
                </c:pt>
                <c:pt idx="4" formatCode="0\ &quot;E&quot;">
                  <c:v>2022</c:v>
                </c:pt>
                <c:pt idx="5" formatCode="0\ &quot;E&quot;">
                  <c:v>2023</c:v>
                </c:pt>
                <c:pt idx="6" formatCode="0\ &quot;E&quot;">
                  <c:v>2024</c:v>
                </c:pt>
                <c:pt idx="7" formatCode="0\ &quot;E&quot;">
                  <c:v>2025</c:v>
                </c:pt>
              </c:numCache>
            </c:numRef>
          </c:cat>
          <c:val>
            <c:numRef>
              <c:f>'Market Size'!$D$14:$K$14</c:f>
              <c:numCache>
                <c:formatCode>0.00%</c:formatCode>
                <c:ptCount val="8"/>
                <c:pt idx="0">
                  <c:v>0.1982570806100219</c:v>
                </c:pt>
                <c:pt idx="1">
                  <c:v>0.16363636363636358</c:v>
                </c:pt>
                <c:pt idx="2">
                  <c:v>0.2578125</c:v>
                </c:pt>
                <c:pt idx="3">
                  <c:v>0.11759834368530031</c:v>
                </c:pt>
                <c:pt idx="4">
                  <c:v>9.188588366061512E-2</c:v>
                </c:pt>
                <c:pt idx="5">
                  <c:v>6.7526297930098345E-2</c:v>
                </c:pt>
                <c:pt idx="6">
                  <c:v>4.9904640813731804E-2</c:v>
                </c:pt>
                <c:pt idx="7">
                  <c:v>4.5413260672116262E-2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927-49AB-9724-19108D373F14}"/>
            </c:ext>
          </c:extLst>
        </c:ser>
        <c:ser>
          <c:idx val="1"/>
          <c:order val="1"/>
          <c:tx>
            <c:v>Amazon Ecommerce Growth Rates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031347962382445"/>
                  <c:y val="-0.199312606914735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927-49AB-9724-19108D373F14}"/>
                </c:ext>
              </c:extLst>
            </c:dLbl>
            <c:dLbl>
              <c:idx val="1"/>
              <c:layout>
                <c:manualLayout>
                  <c:x val="-0.10031347962382448"/>
                  <c:y val="-0.144329818800325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927-49AB-9724-19108D373F14}"/>
                </c:ext>
              </c:extLst>
            </c:dLbl>
            <c:dLbl>
              <c:idx val="2"/>
              <c:layout>
                <c:manualLayout>
                  <c:x val="-0.1044932079414838"/>
                  <c:y val="-9.62198792002169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927-49AB-9724-19108D373F14}"/>
                </c:ext>
              </c:extLst>
            </c:dLbl>
            <c:dLbl>
              <c:idx val="3"/>
              <c:layout>
                <c:manualLayout>
                  <c:x val="-7.6627467283380521E-17"/>
                  <c:y val="-0.158075515828927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927-49AB-9724-19108D373F14}"/>
                </c:ext>
              </c:extLst>
            </c:dLbl>
            <c:dLbl>
              <c:idx val="4"/>
              <c:layout>
                <c:manualLayout>
                  <c:x val="-5.0156739811912224E-2"/>
                  <c:y val="-0.103092727714518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927-49AB-9724-19108D373F14}"/>
                </c:ext>
              </c:extLst>
            </c:dLbl>
            <c:dLbl>
              <c:idx val="5"/>
              <c:layout>
                <c:manualLayout>
                  <c:x val="-1.671891327063741E-2"/>
                  <c:y val="-0.103092727714518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927-49AB-9724-19108D373F14}"/>
                </c:ext>
              </c:extLst>
            </c:dLbl>
            <c:dLbl>
              <c:idx val="6"/>
              <c:layout>
                <c:manualLayout>
                  <c:x val="-1.6779017857142857E-2"/>
                  <c:y val="-0.197166666666666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927-49AB-9724-19108D373F14}"/>
                </c:ext>
              </c:extLst>
            </c:dLbl>
            <c:dLbl>
              <c:idx val="7"/>
              <c:layout>
                <c:manualLayout>
                  <c:x val="0"/>
                  <c:y val="-6.0301475724303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927-49AB-9724-19108D373F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Size'!$D$5:$K$5</c:f>
              <c:numCache>
                <c:formatCode>0\ "A"</c:formatCode>
                <c:ptCount val="8"/>
                <c:pt idx="0">
                  <c:v>2018</c:v>
                </c:pt>
                <c:pt idx="1">
                  <c:v>2019</c:v>
                </c:pt>
                <c:pt idx="2" formatCode="0\ &quot;E&quot;">
                  <c:v>2020</c:v>
                </c:pt>
                <c:pt idx="3" formatCode="0\ &quot;E&quot;">
                  <c:v>2021</c:v>
                </c:pt>
                <c:pt idx="4" formatCode="0\ &quot;E&quot;">
                  <c:v>2022</c:v>
                </c:pt>
                <c:pt idx="5" formatCode="0\ &quot;E&quot;">
                  <c:v>2023</c:v>
                </c:pt>
                <c:pt idx="6" formatCode="0\ &quot;E&quot;">
                  <c:v>2024</c:v>
                </c:pt>
                <c:pt idx="7" formatCode="0\ &quot;E&quot;">
                  <c:v>2025</c:v>
                </c:pt>
              </c:numCache>
            </c:numRef>
          </c:cat>
          <c:val>
            <c:numRef>
              <c:f>'Market Size'!$D$28:$K$28</c:f>
              <c:numCache>
                <c:formatCode>0.00%</c:formatCode>
                <c:ptCount val="8"/>
                <c:pt idx="0">
                  <c:v>0.2713035041685623</c:v>
                </c:pt>
                <c:pt idx="1">
                  <c:v>0.22479677022145506</c:v>
                </c:pt>
                <c:pt idx="2">
                  <c:v>0.38298753863596002</c:v>
                </c:pt>
                <c:pt idx="3">
                  <c:v>0.20565778859067096</c:v>
                </c:pt>
                <c:pt idx="4">
                  <c:v>0.18977121718855305</c:v>
                </c:pt>
                <c:pt idx="5">
                  <c:v>0.16656095709774377</c:v>
                </c:pt>
                <c:pt idx="6">
                  <c:v>0.1467751167248641</c:v>
                </c:pt>
                <c:pt idx="7">
                  <c:v>0.13421357881337492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927-49AB-9724-19108D373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535552"/>
        <c:axId val="976533256"/>
      </c:lineChart>
      <c:catAx>
        <c:axId val="976535552"/>
        <c:scaling>
          <c:orientation val="minMax"/>
        </c:scaling>
        <c:delete val="0"/>
        <c:axPos val="b"/>
        <c:numFmt formatCode="0\ &quot;A&quot;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33256"/>
        <c:crosses val="autoZero"/>
        <c:auto val="1"/>
        <c:lblAlgn val="ctr"/>
        <c:lblOffset val="100"/>
        <c:noMultiLvlLbl val="0"/>
      </c:catAx>
      <c:valAx>
        <c:axId val="976533256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3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55032113148865802"/>
          <c:y val="2.749139405720483E-2"/>
          <c:w val="0.4234278708891796"/>
          <c:h val="0.281813847545067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1714785651794"/>
          <c:y val="4.1666666666666664E-2"/>
          <c:w val="0.84068285214348204"/>
          <c:h val="0.664590259550889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'Financial Analysis'!$A$66</c:f>
              <c:strCache>
                <c:ptCount val="1"/>
                <c:pt idx="0">
                  <c:v>Online Stores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'Financial Analysis'!$A$329:$I$329</c:f>
              <c:numCache>
                <c:formatCode>0\ "A"</c:formatCod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 formatCode="0\ &quot;E&quot;">
                  <c:v>2020</c:v>
                </c:pt>
                <c:pt idx="4" formatCode="0\ &quot;E&quot;">
                  <c:v>2021</c:v>
                </c:pt>
                <c:pt idx="5" formatCode="0\ &quot;E&quot;">
                  <c:v>2022</c:v>
                </c:pt>
                <c:pt idx="6" formatCode="0\ &quot;E&quot;">
                  <c:v>2023</c:v>
                </c:pt>
                <c:pt idx="7" formatCode="0\ &quot;E&quot;">
                  <c:v>2024</c:v>
                </c:pt>
                <c:pt idx="8" formatCode="0\ &quot;E&quot;">
                  <c:v>2025</c:v>
                </c:pt>
              </c:numCache>
            </c:numRef>
          </c:cat>
          <c:val>
            <c:numRef>
              <c:f>'Financial Analysis'!$A$330:$I$330</c:f>
              <c:numCache>
                <c:formatCode>0.00%</c:formatCode>
                <c:ptCount val="9"/>
                <c:pt idx="0">
                  <c:v>0.60918893998853074</c:v>
                </c:pt>
                <c:pt idx="1">
                  <c:v>0.52809731758320555</c:v>
                </c:pt>
                <c:pt idx="2">
                  <c:v>0.50351487583861521</c:v>
                </c:pt>
                <c:pt idx="3">
                  <c:v>0.5106712958924432</c:v>
                </c:pt>
                <c:pt idx="4">
                  <c:v>0.4969799820150233</c:v>
                </c:pt>
                <c:pt idx="5">
                  <c:v>0.48540292438003912</c:v>
                </c:pt>
                <c:pt idx="6">
                  <c:v>0.47287362783335046</c:v>
                </c:pt>
                <c:pt idx="7">
                  <c:v>0.42068789362367393</c:v>
                </c:pt>
                <c:pt idx="8">
                  <c:v>0.4103432333429784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3-43BA-809C-F1B7AE4B7C98}"/>
            </c:ext>
          </c:extLst>
        </c:ser>
        <c:ser>
          <c:idx val="1"/>
          <c:order val="1"/>
          <c:tx>
            <c:strRef>
              <c:f>'Financial Analysis'!$A$67</c:f>
              <c:strCache>
                <c:ptCount val="1"/>
                <c:pt idx="0">
                  <c:v>Third-Party Seller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'Financial Analysis'!$A$329:$I$329</c:f>
              <c:numCache>
                <c:formatCode>0\ "A"</c:formatCod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 formatCode="0\ &quot;E&quot;">
                  <c:v>2020</c:v>
                </c:pt>
                <c:pt idx="4" formatCode="0\ &quot;E&quot;">
                  <c:v>2021</c:v>
                </c:pt>
                <c:pt idx="5" formatCode="0\ &quot;E&quot;">
                  <c:v>2022</c:v>
                </c:pt>
                <c:pt idx="6" formatCode="0\ &quot;E&quot;">
                  <c:v>2023</c:v>
                </c:pt>
                <c:pt idx="7" formatCode="0\ &quot;E&quot;">
                  <c:v>2024</c:v>
                </c:pt>
                <c:pt idx="8" formatCode="0\ &quot;E&quot;">
                  <c:v>2025</c:v>
                </c:pt>
              </c:numCache>
            </c:numRef>
          </c:cat>
          <c:val>
            <c:numRef>
              <c:f>'Financial Analysis'!$A$331:$I$331</c:f>
              <c:numCache>
                <c:formatCode>0.00%</c:formatCode>
                <c:ptCount val="9"/>
                <c:pt idx="0">
                  <c:v>0.17924167631812712</c:v>
                </c:pt>
                <c:pt idx="1">
                  <c:v>0.18354395049959851</c:v>
                </c:pt>
                <c:pt idx="2">
                  <c:v>0.19164985277447044</c:v>
                </c:pt>
                <c:pt idx="3">
                  <c:v>0.20182002706353253</c:v>
                </c:pt>
                <c:pt idx="4">
                  <c:v>0.20743866110473944</c:v>
                </c:pt>
                <c:pt idx="5">
                  <c:v>0.21262775454926386</c:v>
                </c:pt>
                <c:pt idx="6">
                  <c:v>0.21800285858893886</c:v>
                </c:pt>
                <c:pt idx="7">
                  <c:v>0.20191138373000289</c:v>
                </c:pt>
                <c:pt idx="8">
                  <c:v>0.2049380820887042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3-43BA-809C-F1B7AE4B7C98}"/>
            </c:ext>
          </c:extLst>
        </c:ser>
        <c:ser>
          <c:idx val="2"/>
          <c:order val="2"/>
          <c:tx>
            <c:strRef>
              <c:f>'Financial Analysis'!$A$68</c:f>
              <c:strCache>
                <c:ptCount val="1"/>
                <c:pt idx="0">
                  <c:v>Amazon Web 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'Financial Analysis'!$A$329:$I$329</c:f>
              <c:numCache>
                <c:formatCode>0\ "A"</c:formatCod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 formatCode="0\ &quot;E&quot;">
                  <c:v>2020</c:v>
                </c:pt>
                <c:pt idx="4" formatCode="0\ &quot;E&quot;">
                  <c:v>2021</c:v>
                </c:pt>
                <c:pt idx="5" formatCode="0\ &quot;E&quot;">
                  <c:v>2022</c:v>
                </c:pt>
                <c:pt idx="6" formatCode="0\ &quot;E&quot;">
                  <c:v>2023</c:v>
                </c:pt>
                <c:pt idx="7" formatCode="0\ &quot;E&quot;">
                  <c:v>2024</c:v>
                </c:pt>
                <c:pt idx="8" formatCode="0\ &quot;E&quot;">
                  <c:v>2025</c:v>
                </c:pt>
              </c:numCache>
            </c:numRef>
          </c:cat>
          <c:val>
            <c:numRef>
              <c:f>'Financial Analysis'!$A$332:$I$332</c:f>
              <c:numCache>
                <c:formatCode>0.00%</c:formatCode>
                <c:ptCount val="9"/>
                <c:pt idx="0">
                  <c:v>9.8158164011109481E-2</c:v>
                </c:pt>
                <c:pt idx="1">
                  <c:v>0.11016072172341093</c:v>
                </c:pt>
                <c:pt idx="2">
                  <c:v>0.12486008227518697</c:v>
                </c:pt>
                <c:pt idx="3">
                  <c:v>0.12150844390701783</c:v>
                </c:pt>
                <c:pt idx="4">
                  <c:v>0.12901876840868562</c:v>
                </c:pt>
                <c:pt idx="5">
                  <c:v>0.13539747748515893</c:v>
                </c:pt>
                <c:pt idx="6">
                  <c:v>0.14229226180776211</c:v>
                </c:pt>
                <c:pt idx="7">
                  <c:v>0.22761677271832684</c:v>
                </c:pt>
                <c:pt idx="8">
                  <c:v>0.23838423511489948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C3-43BA-809C-F1B7AE4B7C98}"/>
            </c:ext>
          </c:extLst>
        </c:ser>
        <c:ser>
          <c:idx val="3"/>
          <c:order val="3"/>
          <c:tx>
            <c:strRef>
              <c:f>'Financial Analysis'!$A$69</c:f>
              <c:strCache>
                <c:ptCount val="1"/>
                <c:pt idx="0">
                  <c:v>Subscription Services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'Financial Analysis'!$A$329:$I$329</c:f>
              <c:numCache>
                <c:formatCode>0\ "A"</c:formatCod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 formatCode="0\ &quot;E&quot;">
                  <c:v>2020</c:v>
                </c:pt>
                <c:pt idx="4" formatCode="0\ &quot;E&quot;">
                  <c:v>2021</c:v>
                </c:pt>
                <c:pt idx="5" formatCode="0\ &quot;E&quot;">
                  <c:v>2022</c:v>
                </c:pt>
                <c:pt idx="6" formatCode="0\ &quot;E&quot;">
                  <c:v>2023</c:v>
                </c:pt>
                <c:pt idx="7" formatCode="0\ &quot;E&quot;">
                  <c:v>2024</c:v>
                </c:pt>
                <c:pt idx="8" formatCode="0\ &quot;E&quot;">
                  <c:v>2025</c:v>
                </c:pt>
              </c:numCache>
            </c:numRef>
          </c:cat>
          <c:val>
            <c:numRef>
              <c:f>'Financial Analysis'!$A$333:$I$333</c:f>
              <c:numCache>
                <c:formatCode>0.00%</c:formatCode>
                <c:ptCount val="9"/>
                <c:pt idx="0">
                  <c:v>5.465350319903748E-2</c:v>
                </c:pt>
                <c:pt idx="1">
                  <c:v>6.0836371287362544E-2</c:v>
                </c:pt>
                <c:pt idx="2">
                  <c:v>6.8479477545433154E-2</c:v>
                </c:pt>
                <c:pt idx="3">
                  <c:v>6.5632402777701465E-2</c:v>
                </c:pt>
                <c:pt idx="4">
                  <c:v>6.7502397821021826E-2</c:v>
                </c:pt>
                <c:pt idx="5">
                  <c:v>6.8264634232743565E-2</c:v>
                </c:pt>
                <c:pt idx="6">
                  <c:v>6.9323853710488298E-2</c:v>
                </c:pt>
                <c:pt idx="7">
                  <c:v>6.2946909921003186E-2</c:v>
                </c:pt>
                <c:pt idx="8">
                  <c:v>6.2264300834163296E-2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C3-43BA-809C-F1B7AE4B7C98}"/>
            </c:ext>
          </c:extLst>
        </c:ser>
        <c:ser>
          <c:idx val="4"/>
          <c:order val="4"/>
          <c:tx>
            <c:strRef>
              <c:f>'Financial Analysis'!$A$70</c:f>
              <c:strCache>
                <c:ptCount val="1"/>
                <c:pt idx="0">
                  <c:v>Physical Stores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'Financial Analysis'!$A$329:$I$329</c:f>
              <c:numCache>
                <c:formatCode>0\ "A"</c:formatCod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 formatCode="0\ &quot;E&quot;">
                  <c:v>2020</c:v>
                </c:pt>
                <c:pt idx="4" formatCode="0\ &quot;E&quot;">
                  <c:v>2021</c:v>
                </c:pt>
                <c:pt idx="5" formatCode="0\ &quot;E&quot;">
                  <c:v>2022</c:v>
                </c:pt>
                <c:pt idx="6" formatCode="0\ &quot;E&quot;">
                  <c:v>2023</c:v>
                </c:pt>
                <c:pt idx="7" formatCode="0\ &quot;E&quot;">
                  <c:v>2024</c:v>
                </c:pt>
                <c:pt idx="8" formatCode="0\ &quot;E&quot;">
                  <c:v>2025</c:v>
                </c:pt>
              </c:numCache>
            </c:numRef>
          </c:cat>
          <c:val>
            <c:numRef>
              <c:f>'Financial Analysis'!$A$334:$I$334</c:f>
              <c:numCache>
                <c:formatCode>0.00%</c:formatCode>
                <c:ptCount val="9"/>
                <c:pt idx="0">
                  <c:v>3.2597573454173363E-2</c:v>
                </c:pt>
                <c:pt idx="1">
                  <c:v>7.3958615122355478E-2</c:v>
                </c:pt>
                <c:pt idx="2">
                  <c:v>6.1285745859504782E-2</c:v>
                </c:pt>
                <c:pt idx="3">
                  <c:v>4.7749311787245348E-2</c:v>
                </c:pt>
                <c:pt idx="4">
                  <c:v>4.0855171479431476E-2</c:v>
                </c:pt>
                <c:pt idx="5">
                  <c:v>3.6553563010823922E-2</c:v>
                </c:pt>
                <c:pt idx="6">
                  <c:v>3.3395471132137942E-2</c:v>
                </c:pt>
                <c:pt idx="7">
                  <c:v>2.8347825121893554E-2</c:v>
                </c:pt>
                <c:pt idx="8">
                  <c:v>2.6564521595167843E-2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C3-43BA-809C-F1B7AE4B7C98}"/>
            </c:ext>
          </c:extLst>
        </c:ser>
        <c:ser>
          <c:idx val="5"/>
          <c:order val="5"/>
          <c:tx>
            <c:strRef>
              <c:f>'Financial Analysis'!$A$71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'Financial Analysis'!$A$329:$I$329</c:f>
              <c:numCache>
                <c:formatCode>0\ "A"</c:formatCod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 formatCode="0\ &quot;E&quot;">
                  <c:v>2020</c:v>
                </c:pt>
                <c:pt idx="4" formatCode="0\ &quot;E&quot;">
                  <c:v>2021</c:v>
                </c:pt>
                <c:pt idx="5" formatCode="0\ &quot;E&quot;">
                  <c:v>2022</c:v>
                </c:pt>
                <c:pt idx="6" formatCode="0\ &quot;E&quot;">
                  <c:v>2023</c:v>
                </c:pt>
                <c:pt idx="7" formatCode="0\ &quot;E&quot;">
                  <c:v>2024</c:v>
                </c:pt>
                <c:pt idx="8" formatCode="0\ &quot;E&quot;">
                  <c:v>2025</c:v>
                </c:pt>
              </c:numCache>
            </c:numRef>
          </c:cat>
          <c:val>
            <c:numRef>
              <c:f>'Financial Analysis'!$A$335:$I$335</c:f>
              <c:numCache>
                <c:formatCode>0.00%</c:formatCode>
                <c:ptCount val="9"/>
                <c:pt idx="0">
                  <c:v>2.6160143029021848E-2</c:v>
                </c:pt>
                <c:pt idx="1">
                  <c:v>4.3403023784066949E-2</c:v>
                </c:pt>
                <c:pt idx="2">
                  <c:v>5.0209965706789483E-2</c:v>
                </c:pt>
                <c:pt idx="3">
                  <c:v>5.261851857205975E-2</c:v>
                </c:pt>
                <c:pt idx="4">
                  <c:v>5.8205019171098382E-2</c:v>
                </c:pt>
                <c:pt idx="5">
                  <c:v>6.1753646341970538E-2</c:v>
                </c:pt>
                <c:pt idx="6">
                  <c:v>6.4111926927322302E-2</c:v>
                </c:pt>
                <c:pt idx="7">
                  <c:v>5.8489214885099672E-2</c:v>
                </c:pt>
                <c:pt idx="8">
                  <c:v>5.7505627024086778E-2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C3-43BA-809C-F1B7AE4B7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overlap val="100"/>
        <c:axId val="991519608"/>
        <c:axId val="991520264"/>
      </c:barChart>
      <c:catAx>
        <c:axId val="991519608"/>
        <c:scaling>
          <c:orientation val="minMax"/>
        </c:scaling>
        <c:delete val="0"/>
        <c:axPos val="b"/>
        <c:numFmt formatCode="0\ 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0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0264"/>
        <c:crosses val="autoZero"/>
        <c:auto val="0"/>
        <c:lblAlgn val="ctr"/>
        <c:lblOffset val="100"/>
        <c:noMultiLvlLbl val="0"/>
      </c:catAx>
      <c:valAx>
        <c:axId val="991520264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1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389755276270814"/>
          <c:y val="0.84050749601811237"/>
          <c:w val="0.84681426553672323"/>
          <c:h val="9.9508776323530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0644841269841"/>
          <c:y val="8.564444444444444E-2"/>
          <c:w val="0.80918477182539683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v>Global Advertisng Growth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6.6752265861027185E-2"/>
                  <c:y val="-6.72914742997845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0F-4B70-9F95-70D657953E57}"/>
                </c:ext>
              </c:extLst>
            </c:dLbl>
            <c:dLbl>
              <c:idx val="6"/>
              <c:layout>
                <c:manualLayout>
                  <c:x val="-6.6752265861027185E-2"/>
                  <c:y val="-7.25801345468935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0F-4B70-9F95-70D657953E57}"/>
                </c:ext>
              </c:extLst>
            </c:dLbl>
            <c:dLbl>
              <c:idx val="7"/>
              <c:layout>
                <c:manualLayout>
                  <c:x val="-4.1409309611726529E-2"/>
                  <c:y val="-5.57995866860132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1C-4BC0-81B8-116E32076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FF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Size'!$D$5:$K$5</c:f>
              <c:numCache>
                <c:formatCode>0\ "A"</c:formatCode>
                <c:ptCount val="8"/>
                <c:pt idx="0">
                  <c:v>2018</c:v>
                </c:pt>
                <c:pt idx="1">
                  <c:v>2019</c:v>
                </c:pt>
                <c:pt idx="2" formatCode="0\ &quot;E&quot;">
                  <c:v>2020</c:v>
                </c:pt>
                <c:pt idx="3" formatCode="0\ &quot;E&quot;">
                  <c:v>2021</c:v>
                </c:pt>
                <c:pt idx="4" formatCode="0\ &quot;E&quot;">
                  <c:v>2022</c:v>
                </c:pt>
                <c:pt idx="5" formatCode="0\ &quot;E&quot;">
                  <c:v>2023</c:v>
                </c:pt>
                <c:pt idx="6" formatCode="0\ &quot;E&quot;">
                  <c:v>2024</c:v>
                </c:pt>
                <c:pt idx="7" formatCode="0\ &quot;E&quot;">
                  <c:v>2025</c:v>
                </c:pt>
              </c:numCache>
            </c:numRef>
          </c:cat>
          <c:val>
            <c:numRef>
              <c:f>'Market Size'!$D$15:$K$15</c:f>
              <c:numCache>
                <c:formatCode>0.00%</c:formatCode>
                <c:ptCount val="8"/>
                <c:pt idx="0">
                  <c:v>6.6731349794714179E-2</c:v>
                </c:pt>
                <c:pt idx="1">
                  <c:v>4.1515197073260124E-2</c:v>
                </c:pt>
                <c:pt idx="2">
                  <c:v>4.3292824786208328E-2</c:v>
                </c:pt>
                <c:pt idx="3">
                  <c:v>4.4596506087051013E-2</c:v>
                </c:pt>
                <c:pt idx="4">
                  <c:v>4.4949426095471035E-2</c:v>
                </c:pt>
                <c:pt idx="5">
                  <c:v>4.4000000549911711E-2</c:v>
                </c:pt>
                <c:pt idx="6">
                  <c:v>4.399999539633237E-2</c:v>
                </c:pt>
                <c:pt idx="7">
                  <c:v>4.400000358220435E-2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F-4B70-9F95-70D657953E57}"/>
            </c:ext>
          </c:extLst>
        </c:ser>
        <c:ser>
          <c:idx val="1"/>
          <c:order val="1"/>
          <c:tx>
            <c:v>Amazon Growth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7.3933779761904767E-2"/>
                  <c:y val="-0.129307870370370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0F-4B70-9F95-70D657953E57}"/>
                </c:ext>
              </c:extLst>
            </c:dLbl>
            <c:dLbl>
              <c:idx val="6"/>
              <c:layout>
                <c:manualLayout>
                  <c:x val="-7.3933779761904767E-2"/>
                  <c:y val="-0.1469467592592592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0F-4B70-9F95-70D657953E57}"/>
                </c:ext>
              </c:extLst>
            </c:dLbl>
            <c:dLbl>
              <c:idx val="7"/>
              <c:layout>
                <c:manualLayout>
                  <c:x val="-5.0679563492063491E-2"/>
                  <c:y val="-0.1528263888888888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64C-467D-B0BB-352A77FE7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Size'!$D$5:$K$5</c:f>
              <c:numCache>
                <c:formatCode>0\ "A"</c:formatCode>
                <c:ptCount val="8"/>
                <c:pt idx="0">
                  <c:v>2018</c:v>
                </c:pt>
                <c:pt idx="1">
                  <c:v>2019</c:v>
                </c:pt>
                <c:pt idx="2" formatCode="0\ &quot;E&quot;">
                  <c:v>2020</c:v>
                </c:pt>
                <c:pt idx="3" formatCode="0\ &quot;E&quot;">
                  <c:v>2021</c:v>
                </c:pt>
                <c:pt idx="4" formatCode="0\ &quot;E&quot;">
                  <c:v>2022</c:v>
                </c:pt>
                <c:pt idx="5" formatCode="0\ &quot;E&quot;">
                  <c:v>2023</c:v>
                </c:pt>
                <c:pt idx="6" formatCode="0\ &quot;E&quot;">
                  <c:v>2024</c:v>
                </c:pt>
                <c:pt idx="7" formatCode="0\ &quot;E&quot;">
                  <c:v>2025</c:v>
                </c:pt>
              </c:numCache>
            </c:numRef>
          </c:cat>
          <c:val>
            <c:numRef>
              <c:f>'Market Size'!$D$30:$K$30</c:f>
              <c:numCache>
                <c:formatCode>0.00%</c:formatCode>
                <c:ptCount val="8"/>
                <c:pt idx="0">
                  <c:v>1.1723619170427684</c:v>
                </c:pt>
                <c:pt idx="1">
                  <c:v>0.39345073209339132</c:v>
                </c:pt>
                <c:pt idx="2">
                  <c:v>0.39079977029819801</c:v>
                </c:pt>
                <c:pt idx="3">
                  <c:v>0.31680179366155392</c:v>
                </c:pt>
                <c:pt idx="4">
                  <c:v>0.24704052025108125</c:v>
                </c:pt>
                <c:pt idx="5">
                  <c:v>0.19645740196730577</c:v>
                </c:pt>
                <c:pt idx="6">
                  <c:v>0.14062786954259399</c:v>
                </c:pt>
                <c:pt idx="7">
                  <c:v>0.10896778463336898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0F-4B70-9F95-70D657953E5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91738840"/>
        <c:axId val="1074290984"/>
      </c:lineChart>
      <c:catAx>
        <c:axId val="1091738840"/>
        <c:scaling>
          <c:orientation val="minMax"/>
        </c:scaling>
        <c:delete val="0"/>
        <c:axPos val="b"/>
        <c:numFmt formatCode="0\ &quot;A&quot;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90984"/>
        <c:crosses val="autoZero"/>
        <c:auto val="1"/>
        <c:lblAlgn val="ctr"/>
        <c:lblOffset val="100"/>
        <c:noMultiLvlLbl val="0"/>
      </c:catAx>
      <c:valAx>
        <c:axId val="1074290984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09173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34176587301589E-2"/>
          <c:y val="0.89409667541557303"/>
          <c:w val="0.98365823412698417"/>
          <c:h val="9.1587179487179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Global Growth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1111111111111112E-2"/>
                  <c:y val="-8.33333333333334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89-4FF7-BD66-F357AF5B333D}"/>
                </c:ext>
              </c:extLst>
            </c:dLbl>
            <c:dLbl>
              <c:idx val="1"/>
              <c:layout>
                <c:manualLayout>
                  <c:x val="0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89-4FF7-BD66-F357AF5B333D}"/>
                </c:ext>
              </c:extLst>
            </c:dLbl>
            <c:dLbl>
              <c:idx val="2"/>
              <c:layout>
                <c:manualLayout>
                  <c:x val="1.5605446488924781E-2"/>
                  <c:y val="-1.85185918199950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89-4FF7-BD66-F357AF5B333D}"/>
                </c:ext>
              </c:extLst>
            </c:dLbl>
            <c:dLbl>
              <c:idx val="3"/>
              <c:layout>
                <c:manualLayout>
                  <c:x val="0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89-4FF7-BD66-F357AF5B333D}"/>
                </c:ext>
              </c:extLst>
            </c:dLbl>
            <c:dLbl>
              <c:idx val="4"/>
              <c:layout>
                <c:manualLayout>
                  <c:x val="-1.0185067526415994E-16"/>
                  <c:y val="-2.77777777777776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89-4FF7-BD66-F357AF5B333D}"/>
                </c:ext>
              </c:extLst>
            </c:dLbl>
            <c:dLbl>
              <c:idx val="5"/>
              <c:layout>
                <c:manualLayout>
                  <c:x val="8.3333333333333332E-3"/>
                  <c:y val="6.01851851851850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89-4FF7-BD66-F357AF5B333D}"/>
                </c:ext>
              </c:extLst>
            </c:dLbl>
            <c:dLbl>
              <c:idx val="6"/>
              <c:layout>
                <c:manualLayout>
                  <c:x val="1.0185067526415994E-16"/>
                  <c:y val="-4.1666666666666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89-4FF7-BD66-F357AF5B333D}"/>
                </c:ext>
              </c:extLst>
            </c:dLbl>
            <c:dLbl>
              <c:idx val="7"/>
              <c:layout>
                <c:manualLayout>
                  <c:x val="0"/>
                  <c:y val="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89-4FF7-BD66-F357AF5B33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Size'!$D$5:$K$5</c:f>
              <c:numCache>
                <c:formatCode>0\ "A"</c:formatCode>
                <c:ptCount val="8"/>
                <c:pt idx="0">
                  <c:v>2018</c:v>
                </c:pt>
                <c:pt idx="1">
                  <c:v>2019</c:v>
                </c:pt>
                <c:pt idx="2" formatCode="0\ &quot;E&quot;">
                  <c:v>2020</c:v>
                </c:pt>
                <c:pt idx="3" formatCode="0\ &quot;E&quot;">
                  <c:v>2021</c:v>
                </c:pt>
                <c:pt idx="4" formatCode="0\ &quot;E&quot;">
                  <c:v>2022</c:v>
                </c:pt>
                <c:pt idx="5" formatCode="0\ &quot;E&quot;">
                  <c:v>2023</c:v>
                </c:pt>
                <c:pt idx="6" formatCode="0\ &quot;E&quot;">
                  <c:v>2024</c:v>
                </c:pt>
                <c:pt idx="7" formatCode="0\ &quot;E&quot;">
                  <c:v>2025</c:v>
                </c:pt>
              </c:numCache>
            </c:numRef>
          </c:cat>
          <c:val>
            <c:numRef>
              <c:f>'Market Size'!$D$16:$K$16</c:f>
              <c:numCache>
                <c:formatCode>0.00%</c:formatCode>
                <c:ptCount val="8"/>
                <c:pt idx="0">
                  <c:v>0.26989619377162621</c:v>
                </c:pt>
                <c:pt idx="1">
                  <c:v>0.28065395095367851</c:v>
                </c:pt>
                <c:pt idx="2">
                  <c:v>0.23829787234042543</c:v>
                </c:pt>
                <c:pt idx="3">
                  <c:v>0.18900343642611683</c:v>
                </c:pt>
                <c:pt idx="4">
                  <c:v>0.22543352601156075</c:v>
                </c:pt>
                <c:pt idx="5">
                  <c:v>0.21698113207547176</c:v>
                </c:pt>
                <c:pt idx="6">
                  <c:v>0.21705426356589141</c:v>
                </c:pt>
                <c:pt idx="7">
                  <c:v>0.20859872611464958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89-4FF7-BD66-F357AF5B333D}"/>
            </c:ext>
          </c:extLst>
        </c:ser>
        <c:ser>
          <c:idx val="1"/>
          <c:order val="1"/>
          <c:tx>
            <c:v>Amazon Cloud Growth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89-4FF7-BD66-F357AF5B333D}"/>
                </c:ext>
              </c:extLst>
            </c:dLbl>
            <c:dLbl>
              <c:idx val="1"/>
              <c:layout>
                <c:manualLayout>
                  <c:x val="2.7777777777777779E-3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89-4FF7-BD66-F357AF5B333D}"/>
                </c:ext>
              </c:extLst>
            </c:dLbl>
            <c:dLbl>
              <c:idx val="2"/>
              <c:layout>
                <c:manualLayout>
                  <c:x val="1.6666666666666614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289-4FF7-BD66-F357AF5B333D}"/>
                </c:ext>
              </c:extLst>
            </c:dLbl>
            <c:dLbl>
              <c:idx val="3"/>
              <c:layout>
                <c:manualLayout>
                  <c:x val="0"/>
                  <c:y val="-4.62962962962963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289-4FF7-BD66-F357AF5B333D}"/>
                </c:ext>
              </c:extLst>
            </c:dLbl>
            <c:dLbl>
              <c:idx val="4"/>
              <c:layout>
                <c:manualLayout>
                  <c:x val="-1.0185067526415994E-16"/>
                  <c:y val="-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289-4FF7-BD66-F357AF5B333D}"/>
                </c:ext>
              </c:extLst>
            </c:dLbl>
            <c:dLbl>
              <c:idx val="7"/>
              <c:layout>
                <c:manualLayout>
                  <c:x val="0"/>
                  <c:y val="-3.70370370370371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289-4FF7-BD66-F357AF5B33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'Market Size'!$D$5:$K$5</c:f>
              <c:numCache>
                <c:formatCode>0\ "A"</c:formatCode>
                <c:ptCount val="8"/>
                <c:pt idx="0">
                  <c:v>2018</c:v>
                </c:pt>
                <c:pt idx="1">
                  <c:v>2019</c:v>
                </c:pt>
                <c:pt idx="2" formatCode="0\ &quot;E&quot;">
                  <c:v>2020</c:v>
                </c:pt>
                <c:pt idx="3" formatCode="0\ &quot;E&quot;">
                  <c:v>2021</c:v>
                </c:pt>
                <c:pt idx="4" formatCode="0\ &quot;E&quot;">
                  <c:v>2022</c:v>
                </c:pt>
                <c:pt idx="5" formatCode="0\ &quot;E&quot;">
                  <c:v>2023</c:v>
                </c:pt>
                <c:pt idx="6" formatCode="0\ &quot;E&quot;">
                  <c:v>2024</c:v>
                </c:pt>
                <c:pt idx="7" formatCode="0\ &quot;E&quot;">
                  <c:v>2025</c:v>
                </c:pt>
              </c:numCache>
            </c:numRef>
          </c:cat>
          <c:val>
            <c:numRef>
              <c:f>'Market Size'!$D$29:$K$29</c:f>
              <c:numCache>
                <c:formatCode>0.00%</c:formatCode>
                <c:ptCount val="8"/>
                <c:pt idx="0">
                  <c:v>0.46944269431238905</c:v>
                </c:pt>
                <c:pt idx="1">
                  <c:v>0.36526992788930035</c:v>
                </c:pt>
                <c:pt idx="2">
                  <c:v>0.29151293646400167</c:v>
                </c:pt>
                <c:pt idx="3">
                  <c:v>0.26399402881100986</c:v>
                </c:pt>
                <c:pt idx="4">
                  <c:v>0.23349126129462627</c:v>
                </c:pt>
                <c:pt idx="5">
                  <c:v>0.2111326900639181</c:v>
                </c:pt>
                <c:pt idx="6">
                  <c:v>1</c:v>
                </c:pt>
                <c:pt idx="7">
                  <c:v>0.18129304889974596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289-4FF7-BD66-F357AF5B3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745096"/>
        <c:axId val="1073748704"/>
      </c:lineChart>
      <c:catAx>
        <c:axId val="1073745096"/>
        <c:scaling>
          <c:orientation val="minMax"/>
        </c:scaling>
        <c:delete val="0"/>
        <c:axPos val="b"/>
        <c:numFmt formatCode="0\ &quot;A&quot;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748704"/>
        <c:crosses val="autoZero"/>
        <c:auto val="1"/>
        <c:lblAlgn val="ctr"/>
        <c:lblOffset val="100"/>
        <c:noMultiLvlLbl val="0"/>
      </c:catAx>
      <c:valAx>
        <c:axId val="1073748704"/>
        <c:scaling>
          <c:orientation val="minMax"/>
          <c:max val="1.3"/>
          <c:min val="0.1"/>
        </c:scaling>
        <c:delete val="1"/>
        <c:axPos val="l"/>
        <c:numFmt formatCode="0.00%" sourceLinked="1"/>
        <c:majorTickMark val="none"/>
        <c:minorTickMark val="none"/>
        <c:tickLblPos val="nextTo"/>
        <c:crossAx val="1073745096"/>
        <c:crosses val="autoZero"/>
        <c:crossBetween val="between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/>
              <a:t>2020</a:t>
            </a:r>
            <a:r>
              <a:rPr lang="en-GB" sz="900" baseline="0"/>
              <a:t> Revenue % </a:t>
            </a:r>
            <a:endParaRPr lang="en-GB" sz="900"/>
          </a:p>
        </c:rich>
      </c:tx>
      <c:layout>
        <c:manualLayout>
          <c:xMode val="edge"/>
          <c:yMode val="edge"/>
          <c:x val="0.35702732800820403"/>
          <c:y val="3.135672905357939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40698239497469846"/>
          <c:y val="0.22805959595959599"/>
          <c:w val="0.51445860594117898"/>
          <c:h val="0.67206767676767676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8100" bIns="1905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multiLvlStrRef>
              <c:f>'Financial Analysis'!$A$66:$A$71</c:f>
            </c:multiLvlStrRef>
          </c:cat>
          <c:val>
            <c:numRef>
              <c:f>'Financial Analysis'!$L$66:$L$71</c:f>
            </c:numRef>
          </c:val>
          <c:extLst>
            <c:ext xmlns:c16="http://schemas.microsoft.com/office/drawing/2014/chart" uri="{C3380CC4-5D6E-409C-BE32-E72D297353CC}">
              <c16:uniqueId val="{0000000C-C4AB-41D5-A6B7-ED39B45B58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Annual Subscriptions</a:t>
            </a:r>
          </a:p>
        </c:rich>
      </c:tx>
      <c:layout>
        <c:manualLayout>
          <c:xMode val="edge"/>
          <c:yMode val="edge"/>
          <c:x val="0.33447261345852897"/>
          <c:y val="3.9462499999999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315841744079618E-2"/>
          <c:y val="0.24519677156483483"/>
          <c:w val="0.90304519294665919"/>
          <c:h val="0.435264012460929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8C-4E66-8E60-6CF207EBD0C4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8C-4E66-8E60-6CF207EBD0C4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8C-4E66-8E60-6CF207EBD0C4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8C-4E66-8E60-6CF207EBD0C4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48C-4E66-8E60-6CF207EBD0C4}"/>
              </c:ext>
            </c:extLst>
          </c:dPt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 Size'!$B$44:$B$49</c:f>
              <c:strCache>
                <c:ptCount val="6"/>
                <c:pt idx="0">
                  <c:v>Amazon Prime</c:v>
                </c:pt>
                <c:pt idx="1">
                  <c:v>Netflix</c:v>
                </c:pt>
                <c:pt idx="2">
                  <c:v>Apple Plus</c:v>
                </c:pt>
                <c:pt idx="3">
                  <c:v>Apple Music</c:v>
                </c:pt>
                <c:pt idx="4">
                  <c:v>HBO</c:v>
                </c:pt>
                <c:pt idx="5">
                  <c:v>Disney</c:v>
                </c:pt>
              </c:strCache>
            </c:strRef>
          </c:cat>
          <c:val>
            <c:numRef>
              <c:f>'Market Size'!$C$44:$C$49</c:f>
              <c:numCache>
                <c:formatCode>General</c:formatCode>
                <c:ptCount val="6"/>
                <c:pt idx="0">
                  <c:v>119</c:v>
                </c:pt>
                <c:pt idx="1">
                  <c:v>168</c:v>
                </c:pt>
                <c:pt idx="2">
                  <c:v>60</c:v>
                </c:pt>
                <c:pt idx="3">
                  <c:v>120</c:v>
                </c:pt>
                <c:pt idx="4">
                  <c:v>180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8C-4E66-8E60-6CF207EBD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846367"/>
        <c:axId val="1934463151"/>
      </c:barChart>
      <c:catAx>
        <c:axId val="214184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63151"/>
        <c:crosses val="autoZero"/>
        <c:auto val="1"/>
        <c:lblAlgn val="ctr"/>
        <c:lblOffset val="100"/>
        <c:noMultiLvlLbl val="0"/>
      </c:catAx>
      <c:valAx>
        <c:axId val="1934463151"/>
        <c:scaling>
          <c:orientation val="minMax"/>
          <c:min val="20"/>
        </c:scaling>
        <c:delete val="1"/>
        <c:axPos val="l"/>
        <c:numFmt formatCode="General" sourceLinked="1"/>
        <c:majorTickMark val="none"/>
        <c:minorTickMark val="none"/>
        <c:tickLblPos val="nextTo"/>
        <c:crossAx val="214184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Sales by Geo Segment</a:t>
            </a:r>
          </a:p>
        </c:rich>
      </c:tx>
      <c:layout>
        <c:manualLayout>
          <c:xMode val="edge"/>
          <c:yMode val="edge"/>
          <c:x val="0.3390762145379696"/>
          <c:y val="2.2517730496453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356277340332457"/>
          <c:y val="0.15782407407407409"/>
          <c:w val="0.40287467191601051"/>
          <c:h val="0.671457786526684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72-45F7-BDEE-9BD18E7A60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72-45F7-BDEE-9BD18E7A6090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72-45F7-BDEE-9BD18E7A6090}"/>
              </c:ext>
            </c:extLst>
          </c:dPt>
          <c:dLbls>
            <c:dLbl>
              <c:idx val="2"/>
              <c:layout>
                <c:manualLayout>
                  <c:x val="9.6213711870357488E-2"/>
                  <c:y val="0.16088534278959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72-45F7-BDEE-9BD18E7A60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DASHBOARD!$H$54:$H$56</c:f>
              <c:strCache>
                <c:ptCount val="3"/>
                <c:pt idx="0">
                  <c:v>North America</c:v>
                </c:pt>
                <c:pt idx="1">
                  <c:v>International </c:v>
                </c:pt>
                <c:pt idx="2">
                  <c:v>AWS</c:v>
                </c:pt>
              </c:strCache>
            </c:strRef>
          </c:cat>
          <c:val>
            <c:numRef>
              <c:f>DASHBOARD!$J$54:$J$56</c:f>
              <c:numCache>
                <c:formatCode>0.00%</c:formatCode>
                <c:ptCount val="3"/>
                <c:pt idx="0">
                  <c:v>0.60876865272598946</c:v>
                </c:pt>
                <c:pt idx="1">
                  <c:v>0.26637126499882363</c:v>
                </c:pt>
                <c:pt idx="2">
                  <c:v>0.12486008227518697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72-45F7-BDEE-9BD18E7A6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6666666666666666E-2"/>
          <c:y val="0.23950131233595801"/>
          <c:w val="0.27623366013071893"/>
          <c:h val="0.43808034412365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</c:spPr>
          <c:explosion val="7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F6-4528-9A87-E00EF1ADD8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F6-4528-9A87-E00EF1ADD848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F6-4528-9A87-E00EF1ADD848}"/>
              </c:ext>
            </c:extLst>
          </c:dPt>
          <c:dLbls>
            <c:dLbl>
              <c:idx val="0"/>
              <c:layout>
                <c:manualLayout>
                  <c:x val="-0.15353193350831146"/>
                  <c:y val="-0.182849956255468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F6-4528-9A87-E00EF1ADD848}"/>
                </c:ext>
              </c:extLst>
            </c:dLbl>
            <c:dLbl>
              <c:idx val="1"/>
              <c:layout>
                <c:manualLayout>
                  <c:x val="0.15295895522388056"/>
                  <c:y val="7.91825396825396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F6-4528-9A87-E00EF1ADD848}"/>
                </c:ext>
              </c:extLst>
            </c:dLbl>
            <c:dLbl>
              <c:idx val="2"/>
              <c:layout>
                <c:manualLayout>
                  <c:x val="0.11415339966832504"/>
                  <c:y val="0.151484693877550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F6-4528-9A87-E00EF1ADD848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DASHBOARD!$C$54:$C$56</c:f>
              <c:strCache>
                <c:ptCount val="3"/>
                <c:pt idx="0">
                  <c:v>Investment Advisors</c:v>
                </c:pt>
                <c:pt idx="1">
                  <c:v>Jeffrey P Bezos</c:v>
                </c:pt>
                <c:pt idx="2">
                  <c:v>Other Institutions</c:v>
                </c:pt>
              </c:strCache>
            </c:strRef>
          </c:cat>
          <c:val>
            <c:numRef>
              <c:f>DASHBOARD!$E$54:$E$56</c:f>
              <c:numCache>
                <c:formatCode>0.00%</c:formatCode>
                <c:ptCount val="3"/>
                <c:pt idx="0">
                  <c:v>0.6774</c:v>
                </c:pt>
                <c:pt idx="1">
                  <c:v>0.1061</c:v>
                </c:pt>
                <c:pt idx="2">
                  <c:v>0.1318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6-4528-9A87-E00EF1ADD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Porters Five Forces for Amazon</a:t>
            </a:r>
          </a:p>
        </c:rich>
      </c:tx>
      <c:layout>
        <c:manualLayout>
          <c:xMode val="edge"/>
          <c:yMode val="edge"/>
          <c:x val="0.3373541119860017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497725284339456"/>
          <c:y val="0.24732356372120151"/>
          <c:w val="0.29253149606299211"/>
          <c:h val="0.56026100904053655"/>
        </c:manualLayout>
      </c:layout>
      <c:radarChart>
        <c:radarStyle val="marker"/>
        <c:varyColors val="0"/>
        <c:ser>
          <c:idx val="0"/>
          <c:order val="0"/>
          <c:tx>
            <c:strRef>
              <c:f>'Other Charts'!$B$53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1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2DF-4753-A241-62B2B8F009EA}"/>
              </c:ext>
            </c:extLst>
          </c:dPt>
          <c:cat>
            <c:strRef>
              <c:f>'Other Charts'!$C$52:$O$52</c:f>
              <c:strCache>
                <c:ptCount val="13"/>
                <c:pt idx="0">
                  <c:v>Threat of New Entrants</c:v>
                </c:pt>
                <c:pt idx="3">
                  <c:v>Bargaining power of buyers</c:v>
                </c:pt>
                <c:pt idx="6">
                  <c:v>Bargaining power of suppliers</c:v>
                </c:pt>
                <c:pt idx="9">
                  <c:v>Threats of product substitution</c:v>
                </c:pt>
                <c:pt idx="12">
                  <c:v>Intensity of rivalry</c:v>
                </c:pt>
              </c:strCache>
            </c:strRef>
          </c:cat>
          <c:val>
            <c:numRef>
              <c:f>'Other Charts'!$C$53:$O$53</c:f>
              <c:numCache>
                <c:formatCode>General</c:formatCode>
                <c:ptCount val="13"/>
                <c:pt idx="0">
                  <c:v>2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F-4753-A241-62B2B8F009EA}"/>
            </c:ext>
          </c:extLst>
        </c:ser>
        <c:ser>
          <c:idx val="1"/>
          <c:order val="1"/>
          <c:tx>
            <c:strRef>
              <c:f>'Other Charts'!$B$54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3"/>
            <c:marker>
              <c:symbol val="square"/>
              <c:size val="10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603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DF-4753-A241-62B2B8F009EA}"/>
              </c:ext>
            </c:extLst>
          </c:dPt>
          <c:cat>
            <c:strRef>
              <c:f>'Other Charts'!$C$52:$O$52</c:f>
              <c:strCache>
                <c:ptCount val="13"/>
                <c:pt idx="0">
                  <c:v>Threat of New Entrants</c:v>
                </c:pt>
                <c:pt idx="3">
                  <c:v>Bargaining power of buyers</c:v>
                </c:pt>
                <c:pt idx="6">
                  <c:v>Bargaining power of suppliers</c:v>
                </c:pt>
                <c:pt idx="9">
                  <c:v>Threats of product substitution</c:v>
                </c:pt>
                <c:pt idx="12">
                  <c:v>Intensity of rivalry</c:v>
                </c:pt>
              </c:strCache>
            </c:strRef>
          </c:cat>
          <c:val>
            <c:numRef>
              <c:f>'Other Charts'!$C$54:$O$54</c:f>
              <c:numCache>
                <c:formatCode>General</c:formatCode>
                <c:ptCount val="13"/>
                <c:pt idx="0">
                  <c:v>0</c:v>
                </c:pt>
                <c:pt idx="3">
                  <c:v>3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DF-4753-A241-62B2B8F009EA}"/>
            </c:ext>
          </c:extLst>
        </c:ser>
        <c:ser>
          <c:idx val="2"/>
          <c:order val="2"/>
          <c:tx>
            <c:strRef>
              <c:f>'Other Charts'!$B$55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1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triangle"/>
              <c:size val="11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69850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2DF-4753-A241-62B2B8F009EA}"/>
              </c:ext>
            </c:extLst>
          </c:dPt>
          <c:dPt>
            <c:idx val="3"/>
            <c:marker>
              <c:symbol val="triangle"/>
              <c:size val="11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DF-4753-A241-62B2B8F009EA}"/>
              </c:ext>
            </c:extLst>
          </c:dPt>
          <c:cat>
            <c:strRef>
              <c:f>'Other Charts'!$C$52:$O$52</c:f>
              <c:strCache>
                <c:ptCount val="13"/>
                <c:pt idx="0">
                  <c:v>Threat of New Entrants</c:v>
                </c:pt>
                <c:pt idx="3">
                  <c:v>Bargaining power of buyers</c:v>
                </c:pt>
                <c:pt idx="6">
                  <c:v>Bargaining power of suppliers</c:v>
                </c:pt>
                <c:pt idx="9">
                  <c:v>Threats of product substitution</c:v>
                </c:pt>
                <c:pt idx="12">
                  <c:v>Intensity of rivalry</c:v>
                </c:pt>
              </c:strCache>
            </c:strRef>
          </c:cat>
          <c:val>
            <c:numRef>
              <c:f>'Other Charts'!$C$55:$O$55</c:f>
              <c:numCache>
                <c:formatCode>General</c:formatCode>
                <c:ptCount val="13"/>
                <c:pt idx="0">
                  <c:v>0</c:v>
                </c:pt>
                <c:pt idx="3">
                  <c:v>0</c:v>
                </c:pt>
                <c:pt idx="6">
                  <c:v>2</c:v>
                </c:pt>
                <c:pt idx="9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DF-4753-A241-62B2B8F009EA}"/>
            </c:ext>
          </c:extLst>
        </c:ser>
        <c:ser>
          <c:idx val="3"/>
          <c:order val="3"/>
          <c:tx>
            <c:strRef>
              <c:f>'Other Charts'!$B$56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14"/>
            <c:spPr>
              <a:solidFill>
                <a:schemeClr val="accent6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'Other Charts'!$C$52:$O$52</c:f>
              <c:strCache>
                <c:ptCount val="13"/>
                <c:pt idx="0">
                  <c:v>Threat of New Entrants</c:v>
                </c:pt>
                <c:pt idx="3">
                  <c:v>Bargaining power of buyers</c:v>
                </c:pt>
                <c:pt idx="6">
                  <c:v>Bargaining power of suppliers</c:v>
                </c:pt>
                <c:pt idx="9">
                  <c:v>Threats of product substitution</c:v>
                </c:pt>
                <c:pt idx="12">
                  <c:v>Intensity of rivalry</c:v>
                </c:pt>
              </c:strCache>
            </c:strRef>
          </c:cat>
          <c:val>
            <c:numRef>
              <c:f>'Other Charts'!$C$56:$O$56</c:f>
              <c:numCache>
                <c:formatCode>General</c:formatCode>
                <c:ptCount val="1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DF-4753-A241-62B2B8F009EA}"/>
            </c:ext>
          </c:extLst>
        </c:ser>
        <c:ser>
          <c:idx val="4"/>
          <c:order val="4"/>
          <c:tx>
            <c:strRef>
              <c:f>'Other Charts'!$B$57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rgbClr val="FFC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'Other Charts'!$C$52:$O$52</c:f>
              <c:strCache>
                <c:ptCount val="13"/>
                <c:pt idx="0">
                  <c:v>Threat of New Entrants</c:v>
                </c:pt>
                <c:pt idx="3">
                  <c:v>Bargaining power of buyers</c:v>
                </c:pt>
                <c:pt idx="6">
                  <c:v>Bargaining power of suppliers</c:v>
                </c:pt>
                <c:pt idx="9">
                  <c:v>Threats of product substitution</c:v>
                </c:pt>
                <c:pt idx="12">
                  <c:v>Intensity of rivalry</c:v>
                </c:pt>
              </c:strCache>
            </c:strRef>
          </c:cat>
          <c:val>
            <c:numRef>
              <c:f>'Other Charts'!$C$57:$O$57</c:f>
              <c:numCache>
                <c:formatCode>General</c:formatCode>
                <c:ptCount val="1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DF-4753-A241-62B2B8F00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772816"/>
        <c:axId val="633773800"/>
      </c:radarChart>
      <c:catAx>
        <c:axId val="63377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73800"/>
        <c:crosses val="autoZero"/>
        <c:auto val="1"/>
        <c:lblAlgn val="ctr"/>
        <c:lblOffset val="100"/>
        <c:noMultiLvlLbl val="0"/>
      </c:catAx>
      <c:valAx>
        <c:axId val="633773800"/>
        <c:scaling>
          <c:orientation val="minMax"/>
        </c:scaling>
        <c:delete val="0"/>
        <c:axPos val="l"/>
        <c:majorGridlines>
          <c:spPr>
            <a:ln w="22225" cap="flat" cmpd="sng" algn="ctr">
              <a:solidFill>
                <a:schemeClr val="accent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7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/>
              <a:t>Amazon</a:t>
            </a:r>
            <a:r>
              <a:rPr lang="en-GB" sz="800" baseline="0"/>
              <a:t> Executive Performance vs Peers</a:t>
            </a:r>
            <a:endParaRPr lang="en-GB" sz="800"/>
          </a:p>
        </c:rich>
      </c:tx>
      <c:layout>
        <c:manualLayout>
          <c:xMode val="edge"/>
          <c:yMode val="edge"/>
          <c:x val="0.41974917697956821"/>
          <c:y val="9.534242452408459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22507482155912"/>
          <c:y val="0.15400702138695768"/>
          <c:w val="0.75110745048082384"/>
          <c:h val="0.687859996728895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Management!$E$2</c:f>
              <c:strCache>
                <c:ptCount val="1"/>
                <c:pt idx="0">
                  <c:v>% TRA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-7.662852587381786E-3"/>
                  <c:y val="-3.399433427762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DF-4399-8897-12518BE62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Management!$A$3:$A$10</c:f>
              <c:strCache>
                <c:ptCount val="8"/>
                <c:pt idx="0">
                  <c:v>Jeffrey P Bezos</c:v>
                </c:pt>
                <c:pt idx="1">
                  <c:v>Brian T Olsavsky</c:v>
                </c:pt>
                <c:pt idx="2">
                  <c:v>Shelley L Reynold</c:v>
                </c:pt>
                <c:pt idx="3">
                  <c:v>Dr Werner Vogels</c:v>
                </c:pt>
                <c:pt idx="4">
                  <c:v>James M Blackburn</c:v>
                </c:pt>
                <c:pt idx="5">
                  <c:v>James Carney</c:v>
                </c:pt>
                <c:pt idx="6">
                  <c:v>David Zapolsky</c:v>
                </c:pt>
                <c:pt idx="7">
                  <c:v>Dr Werner Vogels</c:v>
                </c:pt>
              </c:strCache>
            </c:strRef>
          </c:cat>
          <c:val>
            <c:numRef>
              <c:f>Management!$E$3:$E$10</c:f>
              <c:numCache>
                <c:formatCode>0.00%</c:formatCode>
                <c:ptCount val="8"/>
                <c:pt idx="0">
                  <c:v>0.24440000000000001</c:v>
                </c:pt>
                <c:pt idx="1">
                  <c:v>0.43490000000000001</c:v>
                </c:pt>
                <c:pt idx="2">
                  <c:v>0.37440000000000001</c:v>
                </c:pt>
                <c:pt idx="3">
                  <c:v>0.3054</c:v>
                </c:pt>
                <c:pt idx="4">
                  <c:v>0.35289999999999999</c:v>
                </c:pt>
                <c:pt idx="5">
                  <c:v>0.43480000000000002</c:v>
                </c:pt>
                <c:pt idx="6">
                  <c:v>0.35699999999999998</c:v>
                </c:pt>
                <c:pt idx="7">
                  <c:v>0.32769999999999999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F-4399-8897-12518BE62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1"/>
        <c:axId val="658994016"/>
        <c:axId val="658995000"/>
      </c:barChart>
      <c:lineChart>
        <c:grouping val="stacked"/>
        <c:varyColors val="0"/>
        <c:ser>
          <c:idx val="1"/>
          <c:order val="1"/>
          <c:tx>
            <c:strRef>
              <c:f>Management!$F$2</c:f>
              <c:strCache>
                <c:ptCount val="1"/>
                <c:pt idx="0">
                  <c:v>Peer % TRA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8.3569784832131234E-17"/>
                  <c:y val="2.26628895184135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7DF-4399-8897-12518BE6296E}"/>
                </c:ext>
              </c:extLst>
            </c:dLbl>
            <c:dLbl>
              <c:idx val="3"/>
              <c:layout>
                <c:manualLayout>
                  <c:x val="0"/>
                  <c:y val="-2.26628895184135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DF-4399-8897-12518BE6296E}"/>
                </c:ext>
              </c:extLst>
            </c:dLbl>
            <c:dLbl>
              <c:idx val="4"/>
              <c:layout>
                <c:manualLayout>
                  <c:x val="6.8376068376069209E-3"/>
                  <c:y val="3.77714825306891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7DF-4399-8897-12518BE6296E}"/>
                </c:ext>
              </c:extLst>
            </c:dLbl>
            <c:dLbl>
              <c:idx val="5"/>
              <c:layout>
                <c:manualLayout>
                  <c:x val="2.2792022792022791E-3"/>
                  <c:y val="1.1331444759206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DF-4399-8897-12518BE6296E}"/>
                </c:ext>
              </c:extLst>
            </c:dLbl>
            <c:dLbl>
              <c:idx val="7"/>
              <c:layout>
                <c:manualLayout>
                  <c:x val="-4.5977115524290714E-2"/>
                  <c:y val="3.399433427762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DF-4399-8897-12518BE62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Management!$A$3:$A$10</c:f>
              <c:strCache>
                <c:ptCount val="8"/>
                <c:pt idx="0">
                  <c:v>Jeffrey P Bezos</c:v>
                </c:pt>
                <c:pt idx="1">
                  <c:v>Brian T Olsavsky</c:v>
                </c:pt>
                <c:pt idx="2">
                  <c:v>Shelley L Reynold</c:v>
                </c:pt>
                <c:pt idx="3">
                  <c:v>Dr Werner Vogels</c:v>
                </c:pt>
                <c:pt idx="4">
                  <c:v>James M Blackburn</c:v>
                </c:pt>
                <c:pt idx="5">
                  <c:v>James Carney</c:v>
                </c:pt>
                <c:pt idx="6">
                  <c:v>David Zapolsky</c:v>
                </c:pt>
                <c:pt idx="7">
                  <c:v>Dr Werner Vogels</c:v>
                </c:pt>
              </c:strCache>
            </c:strRef>
          </c:cat>
          <c:val>
            <c:numRef>
              <c:f>Management!$F$3:$F$10</c:f>
              <c:numCache>
                <c:formatCode>0.00%</c:formatCode>
                <c:ptCount val="8"/>
                <c:pt idx="0">
                  <c:v>0.1295</c:v>
                </c:pt>
                <c:pt idx="1">
                  <c:v>0.1736</c:v>
                </c:pt>
                <c:pt idx="2">
                  <c:v>0.12089999999999999</c:v>
                </c:pt>
                <c:pt idx="3">
                  <c:v>0.13589999999999999</c:v>
                </c:pt>
                <c:pt idx="4">
                  <c:v>0.12570000000000001</c:v>
                </c:pt>
                <c:pt idx="5">
                  <c:v>0.13980000000000001</c:v>
                </c:pt>
                <c:pt idx="6">
                  <c:v>0.1832</c:v>
                </c:pt>
                <c:pt idx="7">
                  <c:v>0.13589999999999999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DF-4399-8897-12518BE62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94016"/>
        <c:axId val="658995000"/>
      </c:lineChart>
      <c:catAx>
        <c:axId val="65899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995000"/>
        <c:crosses val="autoZero"/>
        <c:auto val="1"/>
        <c:lblAlgn val="ctr"/>
        <c:lblOffset val="100"/>
        <c:noMultiLvlLbl val="0"/>
      </c:catAx>
      <c:valAx>
        <c:axId val="658995000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65899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AMZN</a:t>
            </a:r>
          </a:p>
        </c:rich>
      </c:tx>
      <c:layout>
        <c:manualLayout>
          <c:xMode val="edge"/>
          <c:yMode val="edge"/>
          <c:x val="0.48879771537217703"/>
          <c:y val="1.3316608832128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39241050087319E-2"/>
          <c:y val="0.13068800674033859"/>
          <c:w val="0.93456251064589968"/>
          <c:h val="0.6201357162667136"/>
        </c:manualLayout>
      </c:layout>
      <c:lineChart>
        <c:grouping val="standard"/>
        <c:varyColors val="0"/>
        <c:ser>
          <c:idx val="0"/>
          <c:order val="0"/>
          <c:spPr>
            <a:ln w="34925" cap="rnd" cmpd="sng">
              <a:solidFill>
                <a:schemeClr val="accent6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978"/>
              <c:layout>
                <c:manualLayout>
                  <c:x val="-5.1391854289929975E-3"/>
                  <c:y val="-8.46837497835983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46-40A0-AEBD-2D265DED4F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'Share Price'!$A$11:$A$989</c:f>
              <c:numCache>
                <c:formatCode>[$-809]dd\ mmmm\ yyyy;@</c:formatCode>
                <c:ptCount val="979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  <c:pt idx="502">
                  <c:v>43467</c:v>
                </c:pt>
                <c:pt idx="503">
                  <c:v>43468</c:v>
                </c:pt>
                <c:pt idx="504">
                  <c:v>43469</c:v>
                </c:pt>
                <c:pt idx="505">
                  <c:v>43472</c:v>
                </c:pt>
                <c:pt idx="506">
                  <c:v>43473</c:v>
                </c:pt>
                <c:pt idx="507">
                  <c:v>43474</c:v>
                </c:pt>
                <c:pt idx="508">
                  <c:v>43475</c:v>
                </c:pt>
                <c:pt idx="509">
                  <c:v>43476</c:v>
                </c:pt>
                <c:pt idx="510">
                  <c:v>43479</c:v>
                </c:pt>
                <c:pt idx="511">
                  <c:v>43480</c:v>
                </c:pt>
                <c:pt idx="512">
                  <c:v>43481</c:v>
                </c:pt>
                <c:pt idx="513">
                  <c:v>43482</c:v>
                </c:pt>
                <c:pt idx="514">
                  <c:v>43483</c:v>
                </c:pt>
                <c:pt idx="515">
                  <c:v>43487</c:v>
                </c:pt>
                <c:pt idx="516">
                  <c:v>43488</c:v>
                </c:pt>
                <c:pt idx="517">
                  <c:v>43489</c:v>
                </c:pt>
                <c:pt idx="518">
                  <c:v>43490</c:v>
                </c:pt>
                <c:pt idx="519">
                  <c:v>43493</c:v>
                </c:pt>
                <c:pt idx="520">
                  <c:v>43494</c:v>
                </c:pt>
                <c:pt idx="521">
                  <c:v>43495</c:v>
                </c:pt>
                <c:pt idx="522">
                  <c:v>43496</c:v>
                </c:pt>
                <c:pt idx="523">
                  <c:v>43497</c:v>
                </c:pt>
                <c:pt idx="524">
                  <c:v>43500</c:v>
                </c:pt>
                <c:pt idx="525">
                  <c:v>43501</c:v>
                </c:pt>
                <c:pt idx="526">
                  <c:v>43502</c:v>
                </c:pt>
                <c:pt idx="527">
                  <c:v>43503</c:v>
                </c:pt>
                <c:pt idx="528">
                  <c:v>43504</c:v>
                </c:pt>
                <c:pt idx="529">
                  <c:v>43507</c:v>
                </c:pt>
                <c:pt idx="530">
                  <c:v>43508</c:v>
                </c:pt>
                <c:pt idx="531">
                  <c:v>43509</c:v>
                </c:pt>
                <c:pt idx="532">
                  <c:v>43510</c:v>
                </c:pt>
                <c:pt idx="533">
                  <c:v>43511</c:v>
                </c:pt>
                <c:pt idx="534">
                  <c:v>43515</c:v>
                </c:pt>
                <c:pt idx="535">
                  <c:v>43516</c:v>
                </c:pt>
                <c:pt idx="536">
                  <c:v>43517</c:v>
                </c:pt>
                <c:pt idx="537">
                  <c:v>43518</c:v>
                </c:pt>
                <c:pt idx="538">
                  <c:v>43521</c:v>
                </c:pt>
                <c:pt idx="539">
                  <c:v>43522</c:v>
                </c:pt>
                <c:pt idx="540">
                  <c:v>43523</c:v>
                </c:pt>
                <c:pt idx="541">
                  <c:v>43524</c:v>
                </c:pt>
                <c:pt idx="542">
                  <c:v>43525</c:v>
                </c:pt>
                <c:pt idx="543">
                  <c:v>43528</c:v>
                </c:pt>
                <c:pt idx="544">
                  <c:v>43529</c:v>
                </c:pt>
                <c:pt idx="545">
                  <c:v>43530</c:v>
                </c:pt>
                <c:pt idx="546">
                  <c:v>43531</c:v>
                </c:pt>
                <c:pt idx="547">
                  <c:v>43532</c:v>
                </c:pt>
                <c:pt idx="548">
                  <c:v>43535</c:v>
                </c:pt>
                <c:pt idx="549">
                  <c:v>43536</c:v>
                </c:pt>
                <c:pt idx="550">
                  <c:v>43537</c:v>
                </c:pt>
                <c:pt idx="551">
                  <c:v>43538</c:v>
                </c:pt>
                <c:pt idx="552">
                  <c:v>43539</c:v>
                </c:pt>
                <c:pt idx="553">
                  <c:v>43542</c:v>
                </c:pt>
                <c:pt idx="554">
                  <c:v>43543</c:v>
                </c:pt>
                <c:pt idx="555">
                  <c:v>43544</c:v>
                </c:pt>
                <c:pt idx="556">
                  <c:v>43545</c:v>
                </c:pt>
                <c:pt idx="557">
                  <c:v>43546</c:v>
                </c:pt>
                <c:pt idx="558">
                  <c:v>43549</c:v>
                </c:pt>
                <c:pt idx="559">
                  <c:v>43550</c:v>
                </c:pt>
                <c:pt idx="560">
                  <c:v>43551</c:v>
                </c:pt>
                <c:pt idx="561">
                  <c:v>43552</c:v>
                </c:pt>
                <c:pt idx="562">
                  <c:v>43553</c:v>
                </c:pt>
                <c:pt idx="563">
                  <c:v>43556</c:v>
                </c:pt>
                <c:pt idx="564">
                  <c:v>43557</c:v>
                </c:pt>
                <c:pt idx="565">
                  <c:v>43558</c:v>
                </c:pt>
                <c:pt idx="566">
                  <c:v>43559</c:v>
                </c:pt>
                <c:pt idx="567">
                  <c:v>43560</c:v>
                </c:pt>
                <c:pt idx="568">
                  <c:v>43563</c:v>
                </c:pt>
                <c:pt idx="569">
                  <c:v>43564</c:v>
                </c:pt>
                <c:pt idx="570">
                  <c:v>43565</c:v>
                </c:pt>
                <c:pt idx="571">
                  <c:v>43566</c:v>
                </c:pt>
                <c:pt idx="572">
                  <c:v>43567</c:v>
                </c:pt>
                <c:pt idx="573">
                  <c:v>43570</c:v>
                </c:pt>
                <c:pt idx="574">
                  <c:v>43571</c:v>
                </c:pt>
                <c:pt idx="575">
                  <c:v>43572</c:v>
                </c:pt>
                <c:pt idx="576">
                  <c:v>43573</c:v>
                </c:pt>
                <c:pt idx="577">
                  <c:v>43577</c:v>
                </c:pt>
                <c:pt idx="578">
                  <c:v>43578</c:v>
                </c:pt>
                <c:pt idx="579">
                  <c:v>43579</c:v>
                </c:pt>
                <c:pt idx="580">
                  <c:v>43580</c:v>
                </c:pt>
                <c:pt idx="581">
                  <c:v>43581</c:v>
                </c:pt>
                <c:pt idx="582">
                  <c:v>43584</c:v>
                </c:pt>
                <c:pt idx="583">
                  <c:v>43585</c:v>
                </c:pt>
                <c:pt idx="584">
                  <c:v>43586</c:v>
                </c:pt>
                <c:pt idx="585">
                  <c:v>43587</c:v>
                </c:pt>
                <c:pt idx="586">
                  <c:v>43588</c:v>
                </c:pt>
                <c:pt idx="587">
                  <c:v>43591</c:v>
                </c:pt>
                <c:pt idx="588">
                  <c:v>43592</c:v>
                </c:pt>
                <c:pt idx="589">
                  <c:v>43593</c:v>
                </c:pt>
                <c:pt idx="590">
                  <c:v>43594</c:v>
                </c:pt>
                <c:pt idx="591">
                  <c:v>43595</c:v>
                </c:pt>
                <c:pt idx="592">
                  <c:v>43598</c:v>
                </c:pt>
                <c:pt idx="593">
                  <c:v>43599</c:v>
                </c:pt>
                <c:pt idx="594">
                  <c:v>43600</c:v>
                </c:pt>
                <c:pt idx="595">
                  <c:v>43601</c:v>
                </c:pt>
                <c:pt idx="596">
                  <c:v>43602</c:v>
                </c:pt>
                <c:pt idx="597">
                  <c:v>43605</c:v>
                </c:pt>
                <c:pt idx="598">
                  <c:v>43606</c:v>
                </c:pt>
                <c:pt idx="599">
                  <c:v>43607</c:v>
                </c:pt>
                <c:pt idx="600">
                  <c:v>43608</c:v>
                </c:pt>
                <c:pt idx="601">
                  <c:v>43609</c:v>
                </c:pt>
                <c:pt idx="602">
                  <c:v>43613</c:v>
                </c:pt>
                <c:pt idx="603">
                  <c:v>43614</c:v>
                </c:pt>
                <c:pt idx="604">
                  <c:v>43615</c:v>
                </c:pt>
                <c:pt idx="605">
                  <c:v>43616</c:v>
                </c:pt>
                <c:pt idx="606">
                  <c:v>43619</c:v>
                </c:pt>
                <c:pt idx="607">
                  <c:v>43620</c:v>
                </c:pt>
                <c:pt idx="608">
                  <c:v>43621</c:v>
                </c:pt>
                <c:pt idx="609">
                  <c:v>43622</c:v>
                </c:pt>
                <c:pt idx="610">
                  <c:v>43623</c:v>
                </c:pt>
                <c:pt idx="611">
                  <c:v>43626</c:v>
                </c:pt>
                <c:pt idx="612">
                  <c:v>43627</c:v>
                </c:pt>
                <c:pt idx="613">
                  <c:v>43628</c:v>
                </c:pt>
                <c:pt idx="614">
                  <c:v>43629</c:v>
                </c:pt>
                <c:pt idx="615">
                  <c:v>43630</c:v>
                </c:pt>
                <c:pt idx="616">
                  <c:v>43633</c:v>
                </c:pt>
                <c:pt idx="617">
                  <c:v>43634</c:v>
                </c:pt>
                <c:pt idx="618">
                  <c:v>43635</c:v>
                </c:pt>
                <c:pt idx="619">
                  <c:v>43636</c:v>
                </c:pt>
                <c:pt idx="620">
                  <c:v>43637</c:v>
                </c:pt>
                <c:pt idx="621">
                  <c:v>43640</c:v>
                </c:pt>
                <c:pt idx="622">
                  <c:v>43641</c:v>
                </c:pt>
                <c:pt idx="623">
                  <c:v>43642</c:v>
                </c:pt>
                <c:pt idx="624">
                  <c:v>43643</c:v>
                </c:pt>
                <c:pt idx="625">
                  <c:v>43644</c:v>
                </c:pt>
                <c:pt idx="626">
                  <c:v>43647</c:v>
                </c:pt>
                <c:pt idx="627">
                  <c:v>43648</c:v>
                </c:pt>
                <c:pt idx="628">
                  <c:v>43649</c:v>
                </c:pt>
                <c:pt idx="629">
                  <c:v>43651</c:v>
                </c:pt>
                <c:pt idx="630">
                  <c:v>43654</c:v>
                </c:pt>
                <c:pt idx="631">
                  <c:v>43655</c:v>
                </c:pt>
                <c:pt idx="632">
                  <c:v>43656</c:v>
                </c:pt>
                <c:pt idx="633">
                  <c:v>43657</c:v>
                </c:pt>
                <c:pt idx="634">
                  <c:v>43658</c:v>
                </c:pt>
                <c:pt idx="635">
                  <c:v>43661</c:v>
                </c:pt>
                <c:pt idx="636">
                  <c:v>43662</c:v>
                </c:pt>
                <c:pt idx="637">
                  <c:v>43663</c:v>
                </c:pt>
                <c:pt idx="638">
                  <c:v>43664</c:v>
                </c:pt>
                <c:pt idx="639">
                  <c:v>43665</c:v>
                </c:pt>
                <c:pt idx="640">
                  <c:v>43668</c:v>
                </c:pt>
                <c:pt idx="641">
                  <c:v>43669</c:v>
                </c:pt>
                <c:pt idx="642">
                  <c:v>43670</c:v>
                </c:pt>
                <c:pt idx="643">
                  <c:v>43671</c:v>
                </c:pt>
                <c:pt idx="644">
                  <c:v>43672</c:v>
                </c:pt>
                <c:pt idx="645">
                  <c:v>43675</c:v>
                </c:pt>
                <c:pt idx="646">
                  <c:v>43676</c:v>
                </c:pt>
                <c:pt idx="647">
                  <c:v>43677</c:v>
                </c:pt>
                <c:pt idx="648">
                  <c:v>43678</c:v>
                </c:pt>
                <c:pt idx="649">
                  <c:v>43679</c:v>
                </c:pt>
                <c:pt idx="650">
                  <c:v>43682</c:v>
                </c:pt>
                <c:pt idx="651">
                  <c:v>43683</c:v>
                </c:pt>
                <c:pt idx="652">
                  <c:v>43684</c:v>
                </c:pt>
                <c:pt idx="653">
                  <c:v>43685</c:v>
                </c:pt>
                <c:pt idx="654">
                  <c:v>43686</c:v>
                </c:pt>
                <c:pt idx="655">
                  <c:v>43689</c:v>
                </c:pt>
                <c:pt idx="656">
                  <c:v>43690</c:v>
                </c:pt>
                <c:pt idx="657">
                  <c:v>43691</c:v>
                </c:pt>
                <c:pt idx="658">
                  <c:v>43692</c:v>
                </c:pt>
                <c:pt idx="659">
                  <c:v>43693</c:v>
                </c:pt>
                <c:pt idx="660">
                  <c:v>43696</c:v>
                </c:pt>
                <c:pt idx="661">
                  <c:v>43697</c:v>
                </c:pt>
                <c:pt idx="662">
                  <c:v>43698</c:v>
                </c:pt>
                <c:pt idx="663">
                  <c:v>43699</c:v>
                </c:pt>
                <c:pt idx="664">
                  <c:v>43700</c:v>
                </c:pt>
                <c:pt idx="665">
                  <c:v>43703</c:v>
                </c:pt>
                <c:pt idx="666">
                  <c:v>43704</c:v>
                </c:pt>
                <c:pt idx="667">
                  <c:v>43705</c:v>
                </c:pt>
                <c:pt idx="668">
                  <c:v>43706</c:v>
                </c:pt>
                <c:pt idx="669">
                  <c:v>43707</c:v>
                </c:pt>
                <c:pt idx="670">
                  <c:v>43711</c:v>
                </c:pt>
                <c:pt idx="671">
                  <c:v>43712</c:v>
                </c:pt>
                <c:pt idx="672">
                  <c:v>43713</c:v>
                </c:pt>
                <c:pt idx="673">
                  <c:v>43714</c:v>
                </c:pt>
                <c:pt idx="674">
                  <c:v>43717</c:v>
                </c:pt>
                <c:pt idx="675">
                  <c:v>43718</c:v>
                </c:pt>
                <c:pt idx="676">
                  <c:v>43719</c:v>
                </c:pt>
                <c:pt idx="677">
                  <c:v>43720</c:v>
                </c:pt>
                <c:pt idx="678">
                  <c:v>43721</c:v>
                </c:pt>
                <c:pt idx="679">
                  <c:v>43724</c:v>
                </c:pt>
                <c:pt idx="680">
                  <c:v>43725</c:v>
                </c:pt>
                <c:pt idx="681">
                  <c:v>43726</c:v>
                </c:pt>
                <c:pt idx="682">
                  <c:v>43727</c:v>
                </c:pt>
                <c:pt idx="683">
                  <c:v>43728</c:v>
                </c:pt>
                <c:pt idx="684">
                  <c:v>43731</c:v>
                </c:pt>
                <c:pt idx="685">
                  <c:v>43732</c:v>
                </c:pt>
                <c:pt idx="686">
                  <c:v>43733</c:v>
                </c:pt>
                <c:pt idx="687">
                  <c:v>43734</c:v>
                </c:pt>
                <c:pt idx="688">
                  <c:v>43735</c:v>
                </c:pt>
                <c:pt idx="689">
                  <c:v>43738</c:v>
                </c:pt>
                <c:pt idx="690">
                  <c:v>43739</c:v>
                </c:pt>
                <c:pt idx="691">
                  <c:v>43740</c:v>
                </c:pt>
                <c:pt idx="692">
                  <c:v>43741</c:v>
                </c:pt>
                <c:pt idx="693">
                  <c:v>43742</c:v>
                </c:pt>
                <c:pt idx="694">
                  <c:v>43745</c:v>
                </c:pt>
                <c:pt idx="695">
                  <c:v>43746</c:v>
                </c:pt>
                <c:pt idx="696">
                  <c:v>43747</c:v>
                </c:pt>
                <c:pt idx="697">
                  <c:v>43748</c:v>
                </c:pt>
                <c:pt idx="698">
                  <c:v>43749</c:v>
                </c:pt>
                <c:pt idx="699">
                  <c:v>43752</c:v>
                </c:pt>
                <c:pt idx="700">
                  <c:v>43753</c:v>
                </c:pt>
                <c:pt idx="701">
                  <c:v>43754</c:v>
                </c:pt>
                <c:pt idx="702">
                  <c:v>43755</c:v>
                </c:pt>
                <c:pt idx="703">
                  <c:v>43756</c:v>
                </c:pt>
                <c:pt idx="704">
                  <c:v>43759</c:v>
                </c:pt>
                <c:pt idx="705">
                  <c:v>43760</c:v>
                </c:pt>
                <c:pt idx="706">
                  <c:v>43761</c:v>
                </c:pt>
                <c:pt idx="707">
                  <c:v>43762</c:v>
                </c:pt>
                <c:pt idx="708">
                  <c:v>43763</c:v>
                </c:pt>
                <c:pt idx="709">
                  <c:v>43766</c:v>
                </c:pt>
                <c:pt idx="710">
                  <c:v>43767</c:v>
                </c:pt>
                <c:pt idx="711">
                  <c:v>43768</c:v>
                </c:pt>
                <c:pt idx="712">
                  <c:v>43769</c:v>
                </c:pt>
                <c:pt idx="713">
                  <c:v>43770</c:v>
                </c:pt>
                <c:pt idx="714">
                  <c:v>43773</c:v>
                </c:pt>
                <c:pt idx="715">
                  <c:v>43774</c:v>
                </c:pt>
                <c:pt idx="716">
                  <c:v>43775</c:v>
                </c:pt>
                <c:pt idx="717">
                  <c:v>43776</c:v>
                </c:pt>
                <c:pt idx="718">
                  <c:v>43777</c:v>
                </c:pt>
                <c:pt idx="719">
                  <c:v>43780</c:v>
                </c:pt>
                <c:pt idx="720">
                  <c:v>43781</c:v>
                </c:pt>
                <c:pt idx="721">
                  <c:v>43782</c:v>
                </c:pt>
                <c:pt idx="722">
                  <c:v>43783</c:v>
                </c:pt>
                <c:pt idx="723">
                  <c:v>43784</c:v>
                </c:pt>
                <c:pt idx="724">
                  <c:v>43787</c:v>
                </c:pt>
                <c:pt idx="725">
                  <c:v>43788</c:v>
                </c:pt>
                <c:pt idx="726">
                  <c:v>43789</c:v>
                </c:pt>
                <c:pt idx="727">
                  <c:v>43790</c:v>
                </c:pt>
                <c:pt idx="728">
                  <c:v>43791</c:v>
                </c:pt>
                <c:pt idx="729">
                  <c:v>43794</c:v>
                </c:pt>
                <c:pt idx="730">
                  <c:v>43795</c:v>
                </c:pt>
                <c:pt idx="731">
                  <c:v>43796</c:v>
                </c:pt>
                <c:pt idx="732">
                  <c:v>43798</c:v>
                </c:pt>
                <c:pt idx="733">
                  <c:v>43801</c:v>
                </c:pt>
                <c:pt idx="734">
                  <c:v>43802</c:v>
                </c:pt>
                <c:pt idx="735">
                  <c:v>43803</c:v>
                </c:pt>
                <c:pt idx="736">
                  <c:v>43804</c:v>
                </c:pt>
                <c:pt idx="737">
                  <c:v>43805</c:v>
                </c:pt>
                <c:pt idx="738">
                  <c:v>43808</c:v>
                </c:pt>
                <c:pt idx="739">
                  <c:v>43809</c:v>
                </c:pt>
                <c:pt idx="740">
                  <c:v>43810</c:v>
                </c:pt>
                <c:pt idx="741">
                  <c:v>43811</c:v>
                </c:pt>
                <c:pt idx="742">
                  <c:v>43812</c:v>
                </c:pt>
                <c:pt idx="743">
                  <c:v>43815</c:v>
                </c:pt>
                <c:pt idx="744">
                  <c:v>43816</c:v>
                </c:pt>
                <c:pt idx="745">
                  <c:v>43817</c:v>
                </c:pt>
                <c:pt idx="746">
                  <c:v>43818</c:v>
                </c:pt>
                <c:pt idx="747">
                  <c:v>43819</c:v>
                </c:pt>
                <c:pt idx="748">
                  <c:v>43822</c:v>
                </c:pt>
                <c:pt idx="749">
                  <c:v>43823</c:v>
                </c:pt>
                <c:pt idx="750">
                  <c:v>43825</c:v>
                </c:pt>
                <c:pt idx="751">
                  <c:v>43826</c:v>
                </c:pt>
                <c:pt idx="752">
                  <c:v>43829</c:v>
                </c:pt>
                <c:pt idx="753">
                  <c:v>43830</c:v>
                </c:pt>
                <c:pt idx="754">
                  <c:v>43832</c:v>
                </c:pt>
                <c:pt idx="755">
                  <c:v>43833</c:v>
                </c:pt>
                <c:pt idx="756">
                  <c:v>43836</c:v>
                </c:pt>
                <c:pt idx="757">
                  <c:v>43837</c:v>
                </c:pt>
                <c:pt idx="758">
                  <c:v>43838</c:v>
                </c:pt>
                <c:pt idx="759">
                  <c:v>43839</c:v>
                </c:pt>
                <c:pt idx="760">
                  <c:v>43840</c:v>
                </c:pt>
                <c:pt idx="761">
                  <c:v>43843</c:v>
                </c:pt>
                <c:pt idx="762">
                  <c:v>43844</c:v>
                </c:pt>
                <c:pt idx="763">
                  <c:v>43845</c:v>
                </c:pt>
                <c:pt idx="764">
                  <c:v>43846</c:v>
                </c:pt>
                <c:pt idx="765">
                  <c:v>43847</c:v>
                </c:pt>
                <c:pt idx="766">
                  <c:v>43851</c:v>
                </c:pt>
                <c:pt idx="767">
                  <c:v>43852</c:v>
                </c:pt>
                <c:pt idx="768">
                  <c:v>43853</c:v>
                </c:pt>
                <c:pt idx="769">
                  <c:v>43854</c:v>
                </c:pt>
                <c:pt idx="770">
                  <c:v>43857</c:v>
                </c:pt>
                <c:pt idx="771">
                  <c:v>43858</c:v>
                </c:pt>
                <c:pt idx="772">
                  <c:v>43859</c:v>
                </c:pt>
                <c:pt idx="773">
                  <c:v>43860</c:v>
                </c:pt>
                <c:pt idx="774">
                  <c:v>43861</c:v>
                </c:pt>
                <c:pt idx="775">
                  <c:v>43864</c:v>
                </c:pt>
                <c:pt idx="776">
                  <c:v>43865</c:v>
                </c:pt>
                <c:pt idx="777">
                  <c:v>43866</c:v>
                </c:pt>
                <c:pt idx="778">
                  <c:v>43867</c:v>
                </c:pt>
                <c:pt idx="779">
                  <c:v>43868</c:v>
                </c:pt>
                <c:pt idx="780">
                  <c:v>43871</c:v>
                </c:pt>
                <c:pt idx="781">
                  <c:v>43872</c:v>
                </c:pt>
                <c:pt idx="782">
                  <c:v>43873</c:v>
                </c:pt>
                <c:pt idx="783">
                  <c:v>43874</c:v>
                </c:pt>
                <c:pt idx="784">
                  <c:v>43875</c:v>
                </c:pt>
                <c:pt idx="785">
                  <c:v>43879</c:v>
                </c:pt>
                <c:pt idx="786">
                  <c:v>43880</c:v>
                </c:pt>
                <c:pt idx="787">
                  <c:v>43881</c:v>
                </c:pt>
                <c:pt idx="788">
                  <c:v>43882</c:v>
                </c:pt>
                <c:pt idx="789">
                  <c:v>43885</c:v>
                </c:pt>
                <c:pt idx="790">
                  <c:v>43886</c:v>
                </c:pt>
                <c:pt idx="791">
                  <c:v>43887</c:v>
                </c:pt>
                <c:pt idx="792">
                  <c:v>43888</c:v>
                </c:pt>
                <c:pt idx="793">
                  <c:v>43889</c:v>
                </c:pt>
                <c:pt idx="794">
                  <c:v>43892</c:v>
                </c:pt>
                <c:pt idx="795">
                  <c:v>43893</c:v>
                </c:pt>
                <c:pt idx="796">
                  <c:v>43894</c:v>
                </c:pt>
                <c:pt idx="797">
                  <c:v>43895</c:v>
                </c:pt>
                <c:pt idx="798">
                  <c:v>43896</c:v>
                </c:pt>
                <c:pt idx="799">
                  <c:v>43899</c:v>
                </c:pt>
                <c:pt idx="800">
                  <c:v>43900</c:v>
                </c:pt>
                <c:pt idx="801">
                  <c:v>43901</c:v>
                </c:pt>
                <c:pt idx="802">
                  <c:v>43902</c:v>
                </c:pt>
                <c:pt idx="803">
                  <c:v>43903</c:v>
                </c:pt>
                <c:pt idx="804">
                  <c:v>43906</c:v>
                </c:pt>
                <c:pt idx="805">
                  <c:v>43907</c:v>
                </c:pt>
                <c:pt idx="806">
                  <c:v>43908</c:v>
                </c:pt>
                <c:pt idx="807">
                  <c:v>43909</c:v>
                </c:pt>
                <c:pt idx="808">
                  <c:v>43910</c:v>
                </c:pt>
                <c:pt idx="809">
                  <c:v>43913</c:v>
                </c:pt>
                <c:pt idx="810">
                  <c:v>43914</c:v>
                </c:pt>
                <c:pt idx="811">
                  <c:v>43915</c:v>
                </c:pt>
                <c:pt idx="812">
                  <c:v>43916</c:v>
                </c:pt>
                <c:pt idx="813">
                  <c:v>43917</c:v>
                </c:pt>
                <c:pt idx="814">
                  <c:v>43920</c:v>
                </c:pt>
                <c:pt idx="815">
                  <c:v>43921</c:v>
                </c:pt>
                <c:pt idx="816">
                  <c:v>43922</c:v>
                </c:pt>
                <c:pt idx="817">
                  <c:v>43923</c:v>
                </c:pt>
                <c:pt idx="818">
                  <c:v>43924</c:v>
                </c:pt>
                <c:pt idx="819">
                  <c:v>43927</c:v>
                </c:pt>
                <c:pt idx="820">
                  <c:v>43928</c:v>
                </c:pt>
                <c:pt idx="821">
                  <c:v>43929</c:v>
                </c:pt>
                <c:pt idx="822">
                  <c:v>43930</c:v>
                </c:pt>
                <c:pt idx="823">
                  <c:v>43934</c:v>
                </c:pt>
                <c:pt idx="824">
                  <c:v>43935</c:v>
                </c:pt>
                <c:pt idx="825">
                  <c:v>43936</c:v>
                </c:pt>
                <c:pt idx="826">
                  <c:v>43937</c:v>
                </c:pt>
                <c:pt idx="827">
                  <c:v>43938</c:v>
                </c:pt>
                <c:pt idx="828">
                  <c:v>43941</c:v>
                </c:pt>
                <c:pt idx="829">
                  <c:v>43942</c:v>
                </c:pt>
                <c:pt idx="830">
                  <c:v>43943</c:v>
                </c:pt>
                <c:pt idx="831">
                  <c:v>43944</c:v>
                </c:pt>
                <c:pt idx="832">
                  <c:v>43945</c:v>
                </c:pt>
                <c:pt idx="833">
                  <c:v>43948</c:v>
                </c:pt>
                <c:pt idx="834">
                  <c:v>43949</c:v>
                </c:pt>
                <c:pt idx="835">
                  <c:v>43950</c:v>
                </c:pt>
                <c:pt idx="836">
                  <c:v>43951</c:v>
                </c:pt>
                <c:pt idx="837">
                  <c:v>43952</c:v>
                </c:pt>
                <c:pt idx="838">
                  <c:v>43955</c:v>
                </c:pt>
                <c:pt idx="839">
                  <c:v>43956</c:v>
                </c:pt>
                <c:pt idx="840">
                  <c:v>43957</c:v>
                </c:pt>
                <c:pt idx="841">
                  <c:v>43958</c:v>
                </c:pt>
                <c:pt idx="842">
                  <c:v>43959</c:v>
                </c:pt>
                <c:pt idx="843">
                  <c:v>43962</c:v>
                </c:pt>
                <c:pt idx="844">
                  <c:v>43963</c:v>
                </c:pt>
                <c:pt idx="845">
                  <c:v>43964</c:v>
                </c:pt>
                <c:pt idx="846">
                  <c:v>43965</c:v>
                </c:pt>
                <c:pt idx="847">
                  <c:v>43966</c:v>
                </c:pt>
                <c:pt idx="848">
                  <c:v>43969</c:v>
                </c:pt>
                <c:pt idx="849">
                  <c:v>43970</c:v>
                </c:pt>
                <c:pt idx="850">
                  <c:v>43971</c:v>
                </c:pt>
                <c:pt idx="851">
                  <c:v>43972</c:v>
                </c:pt>
                <c:pt idx="852">
                  <c:v>43973</c:v>
                </c:pt>
                <c:pt idx="853">
                  <c:v>43977</c:v>
                </c:pt>
                <c:pt idx="854">
                  <c:v>43978</c:v>
                </c:pt>
                <c:pt idx="855">
                  <c:v>43979</c:v>
                </c:pt>
                <c:pt idx="856">
                  <c:v>43980</c:v>
                </c:pt>
                <c:pt idx="857">
                  <c:v>43983</c:v>
                </c:pt>
                <c:pt idx="858">
                  <c:v>43984</c:v>
                </c:pt>
                <c:pt idx="859">
                  <c:v>43985</c:v>
                </c:pt>
                <c:pt idx="860">
                  <c:v>43986</c:v>
                </c:pt>
                <c:pt idx="861">
                  <c:v>43987</c:v>
                </c:pt>
                <c:pt idx="862">
                  <c:v>43990</c:v>
                </c:pt>
                <c:pt idx="863">
                  <c:v>43991</c:v>
                </c:pt>
                <c:pt idx="864">
                  <c:v>43992</c:v>
                </c:pt>
                <c:pt idx="865">
                  <c:v>43993</c:v>
                </c:pt>
                <c:pt idx="866">
                  <c:v>43994</c:v>
                </c:pt>
                <c:pt idx="867">
                  <c:v>43997</c:v>
                </c:pt>
                <c:pt idx="868">
                  <c:v>43998</c:v>
                </c:pt>
                <c:pt idx="869">
                  <c:v>43999</c:v>
                </c:pt>
                <c:pt idx="870">
                  <c:v>44000</c:v>
                </c:pt>
                <c:pt idx="871">
                  <c:v>44001</c:v>
                </c:pt>
                <c:pt idx="872">
                  <c:v>44004</c:v>
                </c:pt>
                <c:pt idx="873">
                  <c:v>44005</c:v>
                </c:pt>
                <c:pt idx="874">
                  <c:v>44006</c:v>
                </c:pt>
                <c:pt idx="875">
                  <c:v>44007</c:v>
                </c:pt>
                <c:pt idx="876">
                  <c:v>44008</c:v>
                </c:pt>
                <c:pt idx="877">
                  <c:v>44011</c:v>
                </c:pt>
                <c:pt idx="878">
                  <c:v>44012</c:v>
                </c:pt>
                <c:pt idx="879">
                  <c:v>44013</c:v>
                </c:pt>
                <c:pt idx="880">
                  <c:v>44014</c:v>
                </c:pt>
                <c:pt idx="881">
                  <c:v>44018</c:v>
                </c:pt>
                <c:pt idx="882">
                  <c:v>44019</c:v>
                </c:pt>
                <c:pt idx="883">
                  <c:v>44020</c:v>
                </c:pt>
                <c:pt idx="884">
                  <c:v>44021</c:v>
                </c:pt>
                <c:pt idx="885">
                  <c:v>44022</c:v>
                </c:pt>
                <c:pt idx="886">
                  <c:v>44025</c:v>
                </c:pt>
                <c:pt idx="887">
                  <c:v>44026</c:v>
                </c:pt>
                <c:pt idx="888">
                  <c:v>44027</c:v>
                </c:pt>
                <c:pt idx="889">
                  <c:v>44028</c:v>
                </c:pt>
                <c:pt idx="890">
                  <c:v>44029</c:v>
                </c:pt>
                <c:pt idx="891">
                  <c:v>44032</c:v>
                </c:pt>
                <c:pt idx="892">
                  <c:v>44033</c:v>
                </c:pt>
                <c:pt idx="893">
                  <c:v>44034</c:v>
                </c:pt>
                <c:pt idx="894">
                  <c:v>44035</c:v>
                </c:pt>
                <c:pt idx="895">
                  <c:v>44036</c:v>
                </c:pt>
                <c:pt idx="896">
                  <c:v>44039</c:v>
                </c:pt>
                <c:pt idx="897">
                  <c:v>44040</c:v>
                </c:pt>
                <c:pt idx="898">
                  <c:v>44041</c:v>
                </c:pt>
                <c:pt idx="899">
                  <c:v>44042</c:v>
                </c:pt>
                <c:pt idx="900">
                  <c:v>44043</c:v>
                </c:pt>
                <c:pt idx="901">
                  <c:v>44046</c:v>
                </c:pt>
                <c:pt idx="902">
                  <c:v>44047</c:v>
                </c:pt>
                <c:pt idx="903">
                  <c:v>44048</c:v>
                </c:pt>
                <c:pt idx="904">
                  <c:v>44049</c:v>
                </c:pt>
                <c:pt idx="905">
                  <c:v>44050</c:v>
                </c:pt>
                <c:pt idx="906">
                  <c:v>44053</c:v>
                </c:pt>
                <c:pt idx="907">
                  <c:v>44054</c:v>
                </c:pt>
                <c:pt idx="908">
                  <c:v>44055</c:v>
                </c:pt>
                <c:pt idx="909">
                  <c:v>44056</c:v>
                </c:pt>
                <c:pt idx="910">
                  <c:v>44057</c:v>
                </c:pt>
                <c:pt idx="911">
                  <c:v>44060</c:v>
                </c:pt>
                <c:pt idx="912">
                  <c:v>44061</c:v>
                </c:pt>
                <c:pt idx="913">
                  <c:v>44062</c:v>
                </c:pt>
                <c:pt idx="914">
                  <c:v>44063</c:v>
                </c:pt>
                <c:pt idx="915">
                  <c:v>44064</c:v>
                </c:pt>
                <c:pt idx="916">
                  <c:v>44067</c:v>
                </c:pt>
                <c:pt idx="917">
                  <c:v>44068</c:v>
                </c:pt>
                <c:pt idx="918">
                  <c:v>44069</c:v>
                </c:pt>
                <c:pt idx="919">
                  <c:v>44070</c:v>
                </c:pt>
                <c:pt idx="920">
                  <c:v>44071</c:v>
                </c:pt>
                <c:pt idx="921">
                  <c:v>44074</c:v>
                </c:pt>
                <c:pt idx="922">
                  <c:v>44075</c:v>
                </c:pt>
                <c:pt idx="923">
                  <c:v>44076</c:v>
                </c:pt>
                <c:pt idx="924">
                  <c:v>44077</c:v>
                </c:pt>
                <c:pt idx="925">
                  <c:v>44078</c:v>
                </c:pt>
                <c:pt idx="926">
                  <c:v>44082</c:v>
                </c:pt>
                <c:pt idx="927">
                  <c:v>44083</c:v>
                </c:pt>
                <c:pt idx="928">
                  <c:v>44084</c:v>
                </c:pt>
                <c:pt idx="929">
                  <c:v>44085</c:v>
                </c:pt>
                <c:pt idx="930">
                  <c:v>44088</c:v>
                </c:pt>
                <c:pt idx="931">
                  <c:v>44089</c:v>
                </c:pt>
                <c:pt idx="932">
                  <c:v>44090</c:v>
                </c:pt>
                <c:pt idx="933">
                  <c:v>44091</c:v>
                </c:pt>
                <c:pt idx="934">
                  <c:v>44092</c:v>
                </c:pt>
                <c:pt idx="935">
                  <c:v>44095</c:v>
                </c:pt>
                <c:pt idx="936">
                  <c:v>44096</c:v>
                </c:pt>
                <c:pt idx="937">
                  <c:v>44097</c:v>
                </c:pt>
                <c:pt idx="938">
                  <c:v>44098</c:v>
                </c:pt>
                <c:pt idx="939">
                  <c:v>44099</c:v>
                </c:pt>
                <c:pt idx="940">
                  <c:v>44102</c:v>
                </c:pt>
                <c:pt idx="941">
                  <c:v>44103</c:v>
                </c:pt>
                <c:pt idx="942">
                  <c:v>44104</c:v>
                </c:pt>
                <c:pt idx="943">
                  <c:v>44105</c:v>
                </c:pt>
                <c:pt idx="944">
                  <c:v>44106</c:v>
                </c:pt>
                <c:pt idx="945">
                  <c:v>44109</c:v>
                </c:pt>
                <c:pt idx="946">
                  <c:v>44110</c:v>
                </c:pt>
                <c:pt idx="947">
                  <c:v>44111</c:v>
                </c:pt>
                <c:pt idx="948">
                  <c:v>44112</c:v>
                </c:pt>
                <c:pt idx="949">
                  <c:v>44113</c:v>
                </c:pt>
                <c:pt idx="950">
                  <c:v>44116</c:v>
                </c:pt>
                <c:pt idx="951">
                  <c:v>44117</c:v>
                </c:pt>
                <c:pt idx="952">
                  <c:v>44118</c:v>
                </c:pt>
                <c:pt idx="953">
                  <c:v>44119</c:v>
                </c:pt>
                <c:pt idx="954">
                  <c:v>44120</c:v>
                </c:pt>
                <c:pt idx="955">
                  <c:v>44123</c:v>
                </c:pt>
                <c:pt idx="956">
                  <c:v>44124</c:v>
                </c:pt>
                <c:pt idx="957">
                  <c:v>44125</c:v>
                </c:pt>
                <c:pt idx="958">
                  <c:v>44126</c:v>
                </c:pt>
                <c:pt idx="959">
                  <c:v>44127</c:v>
                </c:pt>
                <c:pt idx="960">
                  <c:v>44130</c:v>
                </c:pt>
                <c:pt idx="961">
                  <c:v>44131</c:v>
                </c:pt>
                <c:pt idx="962">
                  <c:v>44132</c:v>
                </c:pt>
                <c:pt idx="963">
                  <c:v>44133</c:v>
                </c:pt>
                <c:pt idx="964">
                  <c:v>44134</c:v>
                </c:pt>
                <c:pt idx="965">
                  <c:v>44137</c:v>
                </c:pt>
                <c:pt idx="966">
                  <c:v>44138</c:v>
                </c:pt>
                <c:pt idx="967">
                  <c:v>44139</c:v>
                </c:pt>
                <c:pt idx="968">
                  <c:v>44140</c:v>
                </c:pt>
                <c:pt idx="969">
                  <c:v>44141</c:v>
                </c:pt>
                <c:pt idx="970">
                  <c:v>44144</c:v>
                </c:pt>
                <c:pt idx="971">
                  <c:v>44145</c:v>
                </c:pt>
                <c:pt idx="972">
                  <c:v>44146</c:v>
                </c:pt>
                <c:pt idx="973">
                  <c:v>44147</c:v>
                </c:pt>
                <c:pt idx="974">
                  <c:v>44148</c:v>
                </c:pt>
                <c:pt idx="975">
                  <c:v>44151</c:v>
                </c:pt>
                <c:pt idx="976">
                  <c:v>44152</c:v>
                </c:pt>
                <c:pt idx="977">
                  <c:v>44153</c:v>
                </c:pt>
                <c:pt idx="978">
                  <c:v>44154</c:v>
                </c:pt>
              </c:numCache>
            </c:numRef>
          </c:cat>
          <c:val>
            <c:numRef>
              <c:f>'Share Price'!$B$11:$B$989</c:f>
              <c:numCache>
                <c:formatCode>#,##0_ </c:formatCode>
                <c:ptCount val="979"/>
                <c:pt idx="0">
                  <c:v>753.669983</c:v>
                </c:pt>
                <c:pt idx="1">
                  <c:v>757.17999299999997</c:v>
                </c:pt>
                <c:pt idx="2">
                  <c:v>780.45001200000002</c:v>
                </c:pt>
                <c:pt idx="3">
                  <c:v>795.98999000000003</c:v>
                </c:pt>
                <c:pt idx="4">
                  <c:v>796.919983</c:v>
                </c:pt>
                <c:pt idx="5">
                  <c:v>795.90002400000003</c:v>
                </c:pt>
                <c:pt idx="6">
                  <c:v>799.02002000000005</c:v>
                </c:pt>
                <c:pt idx="7">
                  <c:v>813.64001499999995</c:v>
                </c:pt>
                <c:pt idx="8">
                  <c:v>817.14001499999995</c:v>
                </c:pt>
                <c:pt idx="9">
                  <c:v>809.71997099999999</c:v>
                </c:pt>
                <c:pt idx="10">
                  <c:v>807.47997999999995</c:v>
                </c:pt>
                <c:pt idx="11">
                  <c:v>809.03997800000002</c:v>
                </c:pt>
                <c:pt idx="12">
                  <c:v>808.330017</c:v>
                </c:pt>
                <c:pt idx="13">
                  <c:v>817.88000499999998</c:v>
                </c:pt>
                <c:pt idx="14">
                  <c:v>822.44000200000005</c:v>
                </c:pt>
                <c:pt idx="15">
                  <c:v>836.52002000000005</c:v>
                </c:pt>
                <c:pt idx="16">
                  <c:v>839.15002400000003</c:v>
                </c:pt>
                <c:pt idx="17">
                  <c:v>835.77002000000005</c:v>
                </c:pt>
                <c:pt idx="18">
                  <c:v>830.38000499999998</c:v>
                </c:pt>
                <c:pt idx="19">
                  <c:v>823.47997999999995</c:v>
                </c:pt>
                <c:pt idx="20">
                  <c:v>832.34997599999997</c:v>
                </c:pt>
                <c:pt idx="21">
                  <c:v>839.95001200000002</c:v>
                </c:pt>
                <c:pt idx="22">
                  <c:v>810.20001200000002</c:v>
                </c:pt>
                <c:pt idx="23">
                  <c:v>807.64001499999995</c:v>
                </c:pt>
                <c:pt idx="24">
                  <c:v>812.5</c:v>
                </c:pt>
                <c:pt idx="25">
                  <c:v>819.71002199999998</c:v>
                </c:pt>
                <c:pt idx="26">
                  <c:v>821.35998500000005</c:v>
                </c:pt>
                <c:pt idx="27">
                  <c:v>827.46002199999998</c:v>
                </c:pt>
                <c:pt idx="28">
                  <c:v>836.53002900000001</c:v>
                </c:pt>
                <c:pt idx="29">
                  <c:v>836.39001499999995</c:v>
                </c:pt>
                <c:pt idx="30">
                  <c:v>842.70001200000002</c:v>
                </c:pt>
                <c:pt idx="31">
                  <c:v>844.14001499999995</c:v>
                </c:pt>
                <c:pt idx="32">
                  <c:v>845.07000700000003</c:v>
                </c:pt>
                <c:pt idx="33">
                  <c:v>856.44000200000005</c:v>
                </c:pt>
                <c:pt idx="34">
                  <c:v>855.60998500000005</c:v>
                </c:pt>
                <c:pt idx="35">
                  <c:v>852.19000200000005</c:v>
                </c:pt>
                <c:pt idx="36">
                  <c:v>845.23999000000003</c:v>
                </c:pt>
                <c:pt idx="37">
                  <c:v>848.64001499999995</c:v>
                </c:pt>
                <c:pt idx="38">
                  <c:v>845.03997800000002</c:v>
                </c:pt>
                <c:pt idx="39">
                  <c:v>853.080017</c:v>
                </c:pt>
                <c:pt idx="40">
                  <c:v>848.90997300000004</c:v>
                </c:pt>
                <c:pt idx="41">
                  <c:v>849.88000499999998</c:v>
                </c:pt>
                <c:pt idx="42">
                  <c:v>846.60998500000005</c:v>
                </c:pt>
                <c:pt idx="43">
                  <c:v>846.02002000000005</c:v>
                </c:pt>
                <c:pt idx="44">
                  <c:v>850.5</c:v>
                </c:pt>
                <c:pt idx="45">
                  <c:v>853</c:v>
                </c:pt>
                <c:pt idx="46">
                  <c:v>852.46002199999998</c:v>
                </c:pt>
                <c:pt idx="47">
                  <c:v>854.59002699999996</c:v>
                </c:pt>
                <c:pt idx="48">
                  <c:v>852.53002900000001</c:v>
                </c:pt>
                <c:pt idx="49">
                  <c:v>852.96997099999999</c:v>
                </c:pt>
                <c:pt idx="50">
                  <c:v>853.419983</c:v>
                </c:pt>
                <c:pt idx="51">
                  <c:v>852.30999799999995</c:v>
                </c:pt>
                <c:pt idx="52">
                  <c:v>856.96997099999999</c:v>
                </c:pt>
                <c:pt idx="53">
                  <c:v>843.20001200000002</c:v>
                </c:pt>
                <c:pt idx="54">
                  <c:v>848.05999799999995</c:v>
                </c:pt>
                <c:pt idx="55">
                  <c:v>847.38000499999998</c:v>
                </c:pt>
                <c:pt idx="56">
                  <c:v>845.60998500000005</c:v>
                </c:pt>
                <c:pt idx="57">
                  <c:v>846.82000700000003</c:v>
                </c:pt>
                <c:pt idx="58">
                  <c:v>856</c:v>
                </c:pt>
                <c:pt idx="59">
                  <c:v>874.32000700000003</c:v>
                </c:pt>
                <c:pt idx="60">
                  <c:v>876.34002699999996</c:v>
                </c:pt>
                <c:pt idx="61">
                  <c:v>886.53997800000002</c:v>
                </c:pt>
                <c:pt idx="62">
                  <c:v>891.51000999999997</c:v>
                </c:pt>
                <c:pt idx="63">
                  <c:v>906.830017</c:v>
                </c:pt>
                <c:pt idx="64">
                  <c:v>909.28002900000001</c:v>
                </c:pt>
                <c:pt idx="65">
                  <c:v>898.28002900000001</c:v>
                </c:pt>
                <c:pt idx="66">
                  <c:v>894.88000499999998</c:v>
                </c:pt>
                <c:pt idx="67">
                  <c:v>907.03997800000002</c:v>
                </c:pt>
                <c:pt idx="68">
                  <c:v>902.35998500000005</c:v>
                </c:pt>
                <c:pt idx="69">
                  <c:v>896.22997999999995</c:v>
                </c:pt>
                <c:pt idx="70">
                  <c:v>884.669983</c:v>
                </c:pt>
                <c:pt idx="71">
                  <c:v>901.98999000000003</c:v>
                </c:pt>
                <c:pt idx="72">
                  <c:v>903.78002900000001</c:v>
                </c:pt>
                <c:pt idx="73">
                  <c:v>899.20001200000002</c:v>
                </c:pt>
                <c:pt idx="74">
                  <c:v>902.05999799999995</c:v>
                </c:pt>
                <c:pt idx="75">
                  <c:v>898.53002900000001</c:v>
                </c:pt>
                <c:pt idx="76">
                  <c:v>907.40997300000004</c:v>
                </c:pt>
                <c:pt idx="77">
                  <c:v>907.61999500000002</c:v>
                </c:pt>
                <c:pt idx="78">
                  <c:v>909.28997800000002</c:v>
                </c:pt>
                <c:pt idx="79">
                  <c:v>918.38000499999998</c:v>
                </c:pt>
                <c:pt idx="80">
                  <c:v>924.98999000000003</c:v>
                </c:pt>
                <c:pt idx="81">
                  <c:v>948.22997999999995</c:v>
                </c:pt>
                <c:pt idx="82">
                  <c:v>946.94000200000005</c:v>
                </c:pt>
                <c:pt idx="83">
                  <c:v>941.03002900000001</c:v>
                </c:pt>
                <c:pt idx="84">
                  <c:v>937.53002900000001</c:v>
                </c:pt>
                <c:pt idx="85">
                  <c:v>934.15002400000003</c:v>
                </c:pt>
                <c:pt idx="86">
                  <c:v>949.03997800000002</c:v>
                </c:pt>
                <c:pt idx="87">
                  <c:v>952.82000700000003</c:v>
                </c:pt>
                <c:pt idx="88">
                  <c:v>948.95001200000002</c:v>
                </c:pt>
                <c:pt idx="89">
                  <c:v>947.61999500000002</c:v>
                </c:pt>
                <c:pt idx="90">
                  <c:v>961.34997599999997</c:v>
                </c:pt>
                <c:pt idx="91">
                  <c:v>957.96997099999999</c:v>
                </c:pt>
                <c:pt idx="92">
                  <c:v>966.07000700000003</c:v>
                </c:pt>
                <c:pt idx="93">
                  <c:v>944.76000999999997</c:v>
                </c:pt>
                <c:pt idx="94">
                  <c:v>958.48999000000003</c:v>
                </c:pt>
                <c:pt idx="95">
                  <c:v>959.84002699999996</c:v>
                </c:pt>
                <c:pt idx="96">
                  <c:v>970.669983</c:v>
                </c:pt>
                <c:pt idx="97">
                  <c:v>971.53997800000002</c:v>
                </c:pt>
                <c:pt idx="98">
                  <c:v>980.34997599999997</c:v>
                </c:pt>
                <c:pt idx="99">
                  <c:v>993.38000499999998</c:v>
                </c:pt>
                <c:pt idx="100">
                  <c:v>995.78002900000001</c:v>
                </c:pt>
                <c:pt idx="101">
                  <c:v>996.70001200000002</c:v>
                </c:pt>
                <c:pt idx="102">
                  <c:v>994.61999500000002</c:v>
                </c:pt>
                <c:pt idx="103">
                  <c:v>995.95001200000002</c:v>
                </c:pt>
                <c:pt idx="104">
                  <c:v>1006.72998</c:v>
                </c:pt>
                <c:pt idx="105">
                  <c:v>1011.340027</c:v>
                </c:pt>
                <c:pt idx="106">
                  <c:v>1003</c:v>
                </c:pt>
                <c:pt idx="107">
                  <c:v>1010.070007</c:v>
                </c:pt>
                <c:pt idx="108">
                  <c:v>1010.27002</c:v>
                </c:pt>
                <c:pt idx="109">
                  <c:v>978.30999799999995</c:v>
                </c:pt>
                <c:pt idx="110">
                  <c:v>964.90997300000004</c:v>
                </c:pt>
                <c:pt idx="111">
                  <c:v>980.78997800000002</c:v>
                </c:pt>
                <c:pt idx="112">
                  <c:v>976.46997099999999</c:v>
                </c:pt>
                <c:pt idx="113">
                  <c:v>964.169983</c:v>
                </c:pt>
                <c:pt idx="114">
                  <c:v>987.71002199999998</c:v>
                </c:pt>
                <c:pt idx="115">
                  <c:v>995.169983</c:v>
                </c:pt>
                <c:pt idx="116">
                  <c:v>992.59002699999996</c:v>
                </c:pt>
                <c:pt idx="117">
                  <c:v>1002.22998</c:v>
                </c:pt>
                <c:pt idx="118">
                  <c:v>1001.299988</c:v>
                </c:pt>
                <c:pt idx="119">
                  <c:v>1003.73999</c:v>
                </c:pt>
                <c:pt idx="120">
                  <c:v>993.97997999999995</c:v>
                </c:pt>
                <c:pt idx="121">
                  <c:v>976.78002900000001</c:v>
                </c:pt>
                <c:pt idx="122">
                  <c:v>990.330017</c:v>
                </c:pt>
                <c:pt idx="123">
                  <c:v>975.92999299999997</c:v>
                </c:pt>
                <c:pt idx="124">
                  <c:v>968</c:v>
                </c:pt>
                <c:pt idx="125">
                  <c:v>953.65997300000004</c:v>
                </c:pt>
                <c:pt idx="126">
                  <c:v>971.40002400000003</c:v>
                </c:pt>
                <c:pt idx="127">
                  <c:v>965.14001499999995</c:v>
                </c:pt>
                <c:pt idx="128">
                  <c:v>978.76000999999997</c:v>
                </c:pt>
                <c:pt idx="129">
                  <c:v>996.46997099999999</c:v>
                </c:pt>
                <c:pt idx="130">
                  <c:v>994.13000499999998</c:v>
                </c:pt>
                <c:pt idx="131">
                  <c:v>1006.51001</c:v>
                </c:pt>
                <c:pt idx="132">
                  <c:v>1000.630005</c:v>
                </c:pt>
                <c:pt idx="133">
                  <c:v>1001.809998</c:v>
                </c:pt>
                <c:pt idx="134">
                  <c:v>1010.039978</c:v>
                </c:pt>
                <c:pt idx="135">
                  <c:v>1024.4499510000001</c:v>
                </c:pt>
                <c:pt idx="136">
                  <c:v>1026.869995</c:v>
                </c:pt>
                <c:pt idx="137">
                  <c:v>1028.6999510000001</c:v>
                </c:pt>
                <c:pt idx="138">
                  <c:v>1025.670044</c:v>
                </c:pt>
                <c:pt idx="139">
                  <c:v>1038.9499510000001</c:v>
                </c:pt>
                <c:pt idx="140">
                  <c:v>1039.869995</c:v>
                </c:pt>
                <c:pt idx="141">
                  <c:v>1052.8000489999999</c:v>
                </c:pt>
                <c:pt idx="142">
                  <c:v>1046</c:v>
                </c:pt>
                <c:pt idx="143">
                  <c:v>1020.039978</c:v>
                </c:pt>
                <c:pt idx="144">
                  <c:v>987.78002900000001</c:v>
                </c:pt>
                <c:pt idx="145">
                  <c:v>996.19000200000005</c:v>
                </c:pt>
                <c:pt idx="146">
                  <c:v>995.89001499999995</c:v>
                </c:pt>
                <c:pt idx="147">
                  <c:v>986.919983</c:v>
                </c:pt>
                <c:pt idx="148">
                  <c:v>987.580017</c:v>
                </c:pt>
                <c:pt idx="149">
                  <c:v>992.27002000000005</c:v>
                </c:pt>
                <c:pt idx="150">
                  <c:v>989.84002699999996</c:v>
                </c:pt>
                <c:pt idx="151">
                  <c:v>982.01000999999997</c:v>
                </c:pt>
                <c:pt idx="152">
                  <c:v>956.919983</c:v>
                </c:pt>
                <c:pt idx="153">
                  <c:v>967.98999000000003</c:v>
                </c:pt>
                <c:pt idx="154">
                  <c:v>983.29998799999998</c:v>
                </c:pt>
                <c:pt idx="155">
                  <c:v>982.73999000000003</c:v>
                </c:pt>
                <c:pt idx="156">
                  <c:v>978.17999299999997</c:v>
                </c:pt>
                <c:pt idx="157">
                  <c:v>960.57000700000003</c:v>
                </c:pt>
                <c:pt idx="158">
                  <c:v>958.46997099999999</c:v>
                </c:pt>
                <c:pt idx="159">
                  <c:v>953.28997800000002</c:v>
                </c:pt>
                <c:pt idx="160">
                  <c:v>966.90002400000003</c:v>
                </c:pt>
                <c:pt idx="161">
                  <c:v>958</c:v>
                </c:pt>
                <c:pt idx="162">
                  <c:v>952.45001200000002</c:v>
                </c:pt>
                <c:pt idx="163">
                  <c:v>945.26000999999997</c:v>
                </c:pt>
                <c:pt idx="164">
                  <c:v>946.02002000000005</c:v>
                </c:pt>
                <c:pt idx="165">
                  <c:v>954.05999799999995</c:v>
                </c:pt>
                <c:pt idx="166">
                  <c:v>967.59002699999996</c:v>
                </c:pt>
                <c:pt idx="167">
                  <c:v>980.59997599999997</c:v>
                </c:pt>
                <c:pt idx="168">
                  <c:v>978.25</c:v>
                </c:pt>
                <c:pt idx="169">
                  <c:v>965.27002000000005</c:v>
                </c:pt>
                <c:pt idx="170">
                  <c:v>967.79998799999998</c:v>
                </c:pt>
                <c:pt idx="171">
                  <c:v>979.46997099999999</c:v>
                </c:pt>
                <c:pt idx="172">
                  <c:v>965.90002400000003</c:v>
                </c:pt>
                <c:pt idx="173">
                  <c:v>977.96002199999998</c:v>
                </c:pt>
                <c:pt idx="174">
                  <c:v>982.580017</c:v>
                </c:pt>
                <c:pt idx="175">
                  <c:v>999.59997599999997</c:v>
                </c:pt>
                <c:pt idx="176">
                  <c:v>992.21002199999998</c:v>
                </c:pt>
                <c:pt idx="177">
                  <c:v>986.78997800000002</c:v>
                </c:pt>
                <c:pt idx="178">
                  <c:v>974.19000200000005</c:v>
                </c:pt>
                <c:pt idx="179">
                  <c:v>969.85998500000005</c:v>
                </c:pt>
                <c:pt idx="180">
                  <c:v>973.21002199999998</c:v>
                </c:pt>
                <c:pt idx="181">
                  <c:v>964.65002400000003</c:v>
                </c:pt>
                <c:pt idx="182">
                  <c:v>955.09997599999997</c:v>
                </c:pt>
                <c:pt idx="183">
                  <c:v>939.78997800000002</c:v>
                </c:pt>
                <c:pt idx="184">
                  <c:v>938.59997599999997</c:v>
                </c:pt>
                <c:pt idx="185">
                  <c:v>950.86999500000002</c:v>
                </c:pt>
                <c:pt idx="186">
                  <c:v>956.40002400000003</c:v>
                </c:pt>
                <c:pt idx="187">
                  <c:v>961.34997599999997</c:v>
                </c:pt>
                <c:pt idx="188">
                  <c:v>959.19000200000005</c:v>
                </c:pt>
                <c:pt idx="189">
                  <c:v>957.09997599999997</c:v>
                </c:pt>
                <c:pt idx="190">
                  <c:v>965.45001200000002</c:v>
                </c:pt>
                <c:pt idx="191">
                  <c:v>980.84997599999997</c:v>
                </c:pt>
                <c:pt idx="192">
                  <c:v>989.580017</c:v>
                </c:pt>
                <c:pt idx="193">
                  <c:v>990.98999000000003</c:v>
                </c:pt>
                <c:pt idx="194">
                  <c:v>987.20001200000002</c:v>
                </c:pt>
                <c:pt idx="195">
                  <c:v>995</c:v>
                </c:pt>
                <c:pt idx="196">
                  <c:v>1000.929993</c:v>
                </c:pt>
                <c:pt idx="197">
                  <c:v>1002.940002</c:v>
                </c:pt>
                <c:pt idx="198">
                  <c:v>1006.340027</c:v>
                </c:pt>
                <c:pt idx="199">
                  <c:v>1009.130005</c:v>
                </c:pt>
                <c:pt idx="200">
                  <c:v>997</c:v>
                </c:pt>
                <c:pt idx="201">
                  <c:v>986.60998500000005</c:v>
                </c:pt>
                <c:pt idx="202">
                  <c:v>982.90997300000004</c:v>
                </c:pt>
                <c:pt idx="203">
                  <c:v>966.29998799999998</c:v>
                </c:pt>
                <c:pt idx="204">
                  <c:v>975.90002400000003</c:v>
                </c:pt>
                <c:pt idx="205">
                  <c:v>972.90997300000004</c:v>
                </c:pt>
                <c:pt idx="206">
                  <c:v>972.42999299999997</c:v>
                </c:pt>
                <c:pt idx="207">
                  <c:v>1100.9499510000001</c:v>
                </c:pt>
                <c:pt idx="208">
                  <c:v>1110.849976</c:v>
                </c:pt>
                <c:pt idx="209">
                  <c:v>1105.280029</c:v>
                </c:pt>
                <c:pt idx="210">
                  <c:v>1103.6800539999999</c:v>
                </c:pt>
                <c:pt idx="211">
                  <c:v>1094.219971</c:v>
                </c:pt>
                <c:pt idx="212">
                  <c:v>1111.599976</c:v>
                </c:pt>
                <c:pt idx="213">
                  <c:v>1120.660034</c:v>
                </c:pt>
                <c:pt idx="214">
                  <c:v>1123.170044</c:v>
                </c:pt>
                <c:pt idx="215">
                  <c:v>1132.880005</c:v>
                </c:pt>
                <c:pt idx="216">
                  <c:v>1129.130005</c:v>
                </c:pt>
                <c:pt idx="217">
                  <c:v>1125.349976</c:v>
                </c:pt>
                <c:pt idx="218">
                  <c:v>1129.170044</c:v>
                </c:pt>
                <c:pt idx="219">
                  <c:v>1136.839966</c:v>
                </c:pt>
                <c:pt idx="220">
                  <c:v>1126.6899410000001</c:v>
                </c:pt>
                <c:pt idx="221">
                  <c:v>1137.290039</c:v>
                </c:pt>
                <c:pt idx="222">
                  <c:v>1129.880005</c:v>
                </c:pt>
                <c:pt idx="223">
                  <c:v>1126.3100589999999</c:v>
                </c:pt>
                <c:pt idx="224">
                  <c:v>1139.48999</c:v>
                </c:pt>
                <c:pt idx="225">
                  <c:v>1156.160034</c:v>
                </c:pt>
                <c:pt idx="226">
                  <c:v>1186</c:v>
                </c:pt>
                <c:pt idx="227">
                  <c:v>1195.829956</c:v>
                </c:pt>
                <c:pt idx="228">
                  <c:v>1193.599976</c:v>
                </c:pt>
                <c:pt idx="229">
                  <c:v>1161.2700199999999</c:v>
                </c:pt>
                <c:pt idx="230">
                  <c:v>1176.75</c:v>
                </c:pt>
                <c:pt idx="231">
                  <c:v>1162.349976</c:v>
                </c:pt>
                <c:pt idx="232">
                  <c:v>1133.9499510000001</c:v>
                </c:pt>
                <c:pt idx="233">
                  <c:v>1141.5699460000001</c:v>
                </c:pt>
                <c:pt idx="234">
                  <c:v>1152.349976</c:v>
                </c:pt>
                <c:pt idx="235">
                  <c:v>1159.790039</c:v>
                </c:pt>
                <c:pt idx="236">
                  <c:v>1162</c:v>
                </c:pt>
                <c:pt idx="237">
                  <c:v>1168.920044</c:v>
                </c:pt>
                <c:pt idx="238">
                  <c:v>1165.079956</c:v>
                </c:pt>
                <c:pt idx="239">
                  <c:v>1164.130005</c:v>
                </c:pt>
                <c:pt idx="240">
                  <c:v>1174.26001</c:v>
                </c:pt>
                <c:pt idx="241">
                  <c:v>1179.1400149999999</c:v>
                </c:pt>
                <c:pt idx="242">
                  <c:v>1190.579956</c:v>
                </c:pt>
                <c:pt idx="243">
                  <c:v>1187.380005</c:v>
                </c:pt>
                <c:pt idx="244">
                  <c:v>1177.619995</c:v>
                </c:pt>
                <c:pt idx="245">
                  <c:v>1174.76001</c:v>
                </c:pt>
                <c:pt idx="246">
                  <c:v>1168.3599850000001</c:v>
                </c:pt>
                <c:pt idx="247">
                  <c:v>1176.76001</c:v>
                </c:pt>
                <c:pt idx="248">
                  <c:v>1182.26001</c:v>
                </c:pt>
                <c:pt idx="249">
                  <c:v>1186.099976</c:v>
                </c:pt>
                <c:pt idx="250">
                  <c:v>1169.469971</c:v>
                </c:pt>
                <c:pt idx="251">
                  <c:v>1189.01001</c:v>
                </c:pt>
                <c:pt idx="252">
                  <c:v>1204.1999510000001</c:v>
                </c:pt>
                <c:pt idx="253">
                  <c:v>1209.589966</c:v>
                </c:pt>
                <c:pt idx="254">
                  <c:v>1229.1400149999999</c:v>
                </c:pt>
                <c:pt idx="255">
                  <c:v>1246.869995</c:v>
                </c:pt>
                <c:pt idx="256">
                  <c:v>1252.6999510000001</c:v>
                </c:pt>
                <c:pt idx="257">
                  <c:v>1254.329956</c:v>
                </c:pt>
                <c:pt idx="258">
                  <c:v>1276.6800539999999</c:v>
                </c:pt>
                <c:pt idx="259">
                  <c:v>1305.1999510000001</c:v>
                </c:pt>
                <c:pt idx="260">
                  <c:v>1304.8599850000001</c:v>
                </c:pt>
                <c:pt idx="261">
                  <c:v>1295</c:v>
                </c:pt>
                <c:pt idx="262">
                  <c:v>1293.3199460000001</c:v>
                </c:pt>
                <c:pt idx="263">
                  <c:v>1294.579956</c:v>
                </c:pt>
                <c:pt idx="264">
                  <c:v>1327.3100589999999</c:v>
                </c:pt>
                <c:pt idx="265">
                  <c:v>1362.540039</c:v>
                </c:pt>
                <c:pt idx="266">
                  <c:v>1357.51001</c:v>
                </c:pt>
                <c:pt idx="267">
                  <c:v>1377.9499510000001</c:v>
                </c:pt>
                <c:pt idx="268">
                  <c:v>1402.0500489999999</c:v>
                </c:pt>
                <c:pt idx="269">
                  <c:v>1417.6800539999999</c:v>
                </c:pt>
                <c:pt idx="270">
                  <c:v>1437.8199460000001</c:v>
                </c:pt>
                <c:pt idx="271">
                  <c:v>1450.8900149999999</c:v>
                </c:pt>
                <c:pt idx="272">
                  <c:v>1390</c:v>
                </c:pt>
                <c:pt idx="273">
                  <c:v>1429.9499510000001</c:v>
                </c:pt>
                <c:pt idx="274">
                  <c:v>1390</c:v>
                </c:pt>
                <c:pt idx="275">
                  <c:v>1442.839966</c:v>
                </c:pt>
                <c:pt idx="276">
                  <c:v>1416.780029</c:v>
                </c:pt>
                <c:pt idx="277">
                  <c:v>1350.5</c:v>
                </c:pt>
                <c:pt idx="278">
                  <c:v>1339.599976</c:v>
                </c:pt>
                <c:pt idx="279">
                  <c:v>1386.2299800000001</c:v>
                </c:pt>
                <c:pt idx="280">
                  <c:v>1414.51001</c:v>
                </c:pt>
                <c:pt idx="281">
                  <c:v>1451.0500489999999</c:v>
                </c:pt>
                <c:pt idx="282">
                  <c:v>1461.76001</c:v>
                </c:pt>
                <c:pt idx="283">
                  <c:v>1448.6899410000001</c:v>
                </c:pt>
                <c:pt idx="284">
                  <c:v>1468.349976</c:v>
                </c:pt>
                <c:pt idx="285">
                  <c:v>1482.920044</c:v>
                </c:pt>
                <c:pt idx="286">
                  <c:v>1485.339966</c:v>
                </c:pt>
                <c:pt idx="287">
                  <c:v>1500</c:v>
                </c:pt>
                <c:pt idx="288">
                  <c:v>1521.9499510000001</c:v>
                </c:pt>
                <c:pt idx="289">
                  <c:v>1511.9799800000001</c:v>
                </c:pt>
                <c:pt idx="290">
                  <c:v>1512.4499510000001</c:v>
                </c:pt>
                <c:pt idx="291">
                  <c:v>1493.4499510000001</c:v>
                </c:pt>
                <c:pt idx="292">
                  <c:v>1500.25</c:v>
                </c:pt>
                <c:pt idx="293">
                  <c:v>1523.6099850000001</c:v>
                </c:pt>
                <c:pt idx="294">
                  <c:v>1537.6400149999999</c:v>
                </c:pt>
                <c:pt idx="295">
                  <c:v>1545</c:v>
                </c:pt>
                <c:pt idx="296">
                  <c:v>1551.8599850000001</c:v>
                </c:pt>
                <c:pt idx="297">
                  <c:v>1578.8900149999999</c:v>
                </c:pt>
                <c:pt idx="298">
                  <c:v>1598.3900149999999</c:v>
                </c:pt>
                <c:pt idx="299">
                  <c:v>1588.1800539999999</c:v>
                </c:pt>
                <c:pt idx="300">
                  <c:v>1591</c:v>
                </c:pt>
                <c:pt idx="301">
                  <c:v>1582.3199460000001</c:v>
                </c:pt>
                <c:pt idx="302">
                  <c:v>1571.6800539999999</c:v>
                </c:pt>
                <c:pt idx="303">
                  <c:v>1544.9300539999999</c:v>
                </c:pt>
                <c:pt idx="304">
                  <c:v>1586.51001</c:v>
                </c:pt>
                <c:pt idx="305">
                  <c:v>1581.8599850000001</c:v>
                </c:pt>
                <c:pt idx="306">
                  <c:v>1544.920044</c:v>
                </c:pt>
                <c:pt idx="307">
                  <c:v>1495.5600589999999</c:v>
                </c:pt>
                <c:pt idx="308">
                  <c:v>1555.8599850000001</c:v>
                </c:pt>
                <c:pt idx="309">
                  <c:v>1497.0500489999999</c:v>
                </c:pt>
                <c:pt idx="310">
                  <c:v>1431.420044</c:v>
                </c:pt>
                <c:pt idx="311">
                  <c:v>1447.339966</c:v>
                </c:pt>
                <c:pt idx="312">
                  <c:v>1371.98999</c:v>
                </c:pt>
                <c:pt idx="313">
                  <c:v>1392.0500489999999</c:v>
                </c:pt>
                <c:pt idx="314">
                  <c:v>1410.5699460000001</c:v>
                </c:pt>
                <c:pt idx="315">
                  <c:v>1451.75</c:v>
                </c:pt>
                <c:pt idx="316">
                  <c:v>1405.2299800000001</c:v>
                </c:pt>
                <c:pt idx="317">
                  <c:v>1406.079956</c:v>
                </c:pt>
                <c:pt idx="318">
                  <c:v>1436.219971</c:v>
                </c:pt>
                <c:pt idx="319">
                  <c:v>1427.0500489999999</c:v>
                </c:pt>
                <c:pt idx="320">
                  <c:v>1448.5</c:v>
                </c:pt>
                <c:pt idx="321">
                  <c:v>1430.790039</c:v>
                </c:pt>
                <c:pt idx="322">
                  <c:v>1441.5</c:v>
                </c:pt>
                <c:pt idx="323">
                  <c:v>1503.829956</c:v>
                </c:pt>
                <c:pt idx="324">
                  <c:v>1527.839966</c:v>
                </c:pt>
                <c:pt idx="325">
                  <c:v>1556.910034</c:v>
                </c:pt>
                <c:pt idx="326">
                  <c:v>1527.48999</c:v>
                </c:pt>
                <c:pt idx="327">
                  <c:v>1517.8599850000001</c:v>
                </c:pt>
                <c:pt idx="328">
                  <c:v>1460.089966</c:v>
                </c:pt>
                <c:pt idx="329">
                  <c:v>1460.170044</c:v>
                </c:pt>
                <c:pt idx="330">
                  <c:v>1517.959961</c:v>
                </c:pt>
                <c:pt idx="331">
                  <c:v>1572.619995</c:v>
                </c:pt>
                <c:pt idx="332">
                  <c:v>1566.130005</c:v>
                </c:pt>
                <c:pt idx="333">
                  <c:v>1582.26001</c:v>
                </c:pt>
                <c:pt idx="334">
                  <c:v>1569.6800539999999</c:v>
                </c:pt>
                <c:pt idx="335">
                  <c:v>1572.079956</c:v>
                </c:pt>
                <c:pt idx="336">
                  <c:v>1580.9499510000001</c:v>
                </c:pt>
                <c:pt idx="337">
                  <c:v>1600.1400149999999</c:v>
                </c:pt>
                <c:pt idx="338">
                  <c:v>1592.3900149999999</c:v>
                </c:pt>
                <c:pt idx="339">
                  <c:v>1608</c:v>
                </c:pt>
                <c:pt idx="340">
                  <c:v>1609.079956</c:v>
                </c:pt>
                <c:pt idx="341">
                  <c:v>1602.910034</c:v>
                </c:pt>
                <c:pt idx="342">
                  <c:v>1601.540039</c:v>
                </c:pt>
                <c:pt idx="343">
                  <c:v>1576.119995</c:v>
                </c:pt>
                <c:pt idx="344">
                  <c:v>1587.280029</c:v>
                </c:pt>
                <c:pt idx="345">
                  <c:v>1581.76001</c:v>
                </c:pt>
                <c:pt idx="346">
                  <c:v>1574.369995</c:v>
                </c:pt>
                <c:pt idx="347">
                  <c:v>1585.459961</c:v>
                </c:pt>
                <c:pt idx="348">
                  <c:v>1581.400024</c:v>
                </c:pt>
                <c:pt idx="349">
                  <c:v>1601.8599850000001</c:v>
                </c:pt>
                <c:pt idx="350">
                  <c:v>1603.0699460000001</c:v>
                </c:pt>
                <c:pt idx="351">
                  <c:v>1610.150024</c:v>
                </c:pt>
                <c:pt idx="352">
                  <c:v>1612.869995</c:v>
                </c:pt>
                <c:pt idx="353">
                  <c:v>1624.8900149999999</c:v>
                </c:pt>
                <c:pt idx="354">
                  <c:v>1629.619995</c:v>
                </c:pt>
                <c:pt idx="355">
                  <c:v>1641.540039</c:v>
                </c:pt>
                <c:pt idx="356">
                  <c:v>1665.2700199999999</c:v>
                </c:pt>
                <c:pt idx="357">
                  <c:v>1696.349976</c:v>
                </c:pt>
                <c:pt idx="358">
                  <c:v>1695.75</c:v>
                </c:pt>
                <c:pt idx="359">
                  <c:v>1689.3000489999999</c:v>
                </c:pt>
                <c:pt idx="360">
                  <c:v>1683.98999</c:v>
                </c:pt>
                <c:pt idx="361">
                  <c:v>1689.119995</c:v>
                </c:pt>
                <c:pt idx="362">
                  <c:v>1698.75</c:v>
                </c:pt>
                <c:pt idx="363">
                  <c:v>1704.8599850000001</c:v>
                </c:pt>
                <c:pt idx="364">
                  <c:v>1723.8599850000001</c:v>
                </c:pt>
                <c:pt idx="365">
                  <c:v>1715.969971</c:v>
                </c:pt>
                <c:pt idx="366">
                  <c:v>1723.790039</c:v>
                </c:pt>
                <c:pt idx="367">
                  <c:v>1734.780029</c:v>
                </c:pt>
                <c:pt idx="368">
                  <c:v>1750.079956</c:v>
                </c:pt>
                <c:pt idx="369">
                  <c:v>1730.219971</c:v>
                </c:pt>
                <c:pt idx="370">
                  <c:v>1715.670044</c:v>
                </c:pt>
                <c:pt idx="371">
                  <c:v>1663.150024</c:v>
                </c:pt>
                <c:pt idx="372">
                  <c:v>1691.089966</c:v>
                </c:pt>
                <c:pt idx="373">
                  <c:v>1660.51001</c:v>
                </c:pt>
                <c:pt idx="374">
                  <c:v>1701.4499510000001</c:v>
                </c:pt>
                <c:pt idx="375">
                  <c:v>1699.8000489999999</c:v>
                </c:pt>
                <c:pt idx="376">
                  <c:v>1713.780029</c:v>
                </c:pt>
                <c:pt idx="377">
                  <c:v>1693.959961</c:v>
                </c:pt>
                <c:pt idx="378">
                  <c:v>1699.7299800000001</c:v>
                </c:pt>
                <c:pt idx="379">
                  <c:v>1710.630005</c:v>
                </c:pt>
                <c:pt idx="380">
                  <c:v>1739.0200199999999</c:v>
                </c:pt>
                <c:pt idx="381">
                  <c:v>1743.0699460000001</c:v>
                </c:pt>
                <c:pt idx="382">
                  <c:v>1755</c:v>
                </c:pt>
                <c:pt idx="383">
                  <c:v>1796.619995</c:v>
                </c:pt>
                <c:pt idx="384">
                  <c:v>1813.030029</c:v>
                </c:pt>
                <c:pt idx="385">
                  <c:v>1822.48999</c:v>
                </c:pt>
                <c:pt idx="386">
                  <c:v>1843.9300539999999</c:v>
                </c:pt>
                <c:pt idx="387">
                  <c:v>1842.920044</c:v>
                </c:pt>
                <c:pt idx="388">
                  <c:v>1812.969971</c:v>
                </c:pt>
                <c:pt idx="389">
                  <c:v>1813.6999510000001</c:v>
                </c:pt>
                <c:pt idx="390">
                  <c:v>1802</c:v>
                </c:pt>
                <c:pt idx="391">
                  <c:v>1829.23999</c:v>
                </c:pt>
                <c:pt idx="392">
                  <c:v>1863.6099850000001</c:v>
                </c:pt>
                <c:pt idx="393">
                  <c:v>1808</c:v>
                </c:pt>
                <c:pt idx="394">
                  <c:v>1817.2700199999999</c:v>
                </c:pt>
                <c:pt idx="395">
                  <c:v>1779.219971</c:v>
                </c:pt>
                <c:pt idx="396">
                  <c:v>1777.4399410000001</c:v>
                </c:pt>
                <c:pt idx="397">
                  <c:v>1797.170044</c:v>
                </c:pt>
                <c:pt idx="398">
                  <c:v>1834.329956</c:v>
                </c:pt>
                <c:pt idx="399">
                  <c:v>1823.290039</c:v>
                </c:pt>
                <c:pt idx="400">
                  <c:v>1847.75</c:v>
                </c:pt>
                <c:pt idx="401">
                  <c:v>1862.4799800000001</c:v>
                </c:pt>
                <c:pt idx="402">
                  <c:v>1886.5200199999999</c:v>
                </c:pt>
                <c:pt idx="403">
                  <c:v>1898.5200199999999</c:v>
                </c:pt>
                <c:pt idx="404">
                  <c:v>1886.3000489999999</c:v>
                </c:pt>
                <c:pt idx="405">
                  <c:v>1896.1999510000001</c:v>
                </c:pt>
                <c:pt idx="406">
                  <c:v>1919.650024</c:v>
                </c:pt>
                <c:pt idx="407">
                  <c:v>1882.619995</c:v>
                </c:pt>
                <c:pt idx="408">
                  <c:v>1886.5200199999999</c:v>
                </c:pt>
                <c:pt idx="409">
                  <c:v>1882.219971</c:v>
                </c:pt>
                <c:pt idx="410">
                  <c:v>1876.709961</c:v>
                </c:pt>
                <c:pt idx="411">
                  <c:v>1883.420044</c:v>
                </c:pt>
                <c:pt idx="412">
                  <c:v>1904.900024</c:v>
                </c:pt>
                <c:pt idx="413">
                  <c:v>1902.900024</c:v>
                </c:pt>
                <c:pt idx="414">
                  <c:v>1905.3900149999999</c:v>
                </c:pt>
                <c:pt idx="415">
                  <c:v>1927.6800539999999</c:v>
                </c:pt>
                <c:pt idx="416">
                  <c:v>1932.8199460000001</c:v>
                </c:pt>
                <c:pt idx="417">
                  <c:v>1998.099976</c:v>
                </c:pt>
                <c:pt idx="418">
                  <c:v>2002.380005</c:v>
                </c:pt>
                <c:pt idx="419">
                  <c:v>2012.709961</c:v>
                </c:pt>
                <c:pt idx="420">
                  <c:v>2039.51001</c:v>
                </c:pt>
                <c:pt idx="421">
                  <c:v>1994.8199460000001</c:v>
                </c:pt>
                <c:pt idx="422">
                  <c:v>1958.3100589999999</c:v>
                </c:pt>
                <c:pt idx="423">
                  <c:v>1952.0699460000001</c:v>
                </c:pt>
                <c:pt idx="424">
                  <c:v>1939.01001</c:v>
                </c:pt>
                <c:pt idx="425">
                  <c:v>1987.150024</c:v>
                </c:pt>
                <c:pt idx="426">
                  <c:v>1990</c:v>
                </c:pt>
                <c:pt idx="427">
                  <c:v>1989.869995</c:v>
                </c:pt>
                <c:pt idx="428">
                  <c:v>1970.1899410000001</c:v>
                </c:pt>
                <c:pt idx="429">
                  <c:v>1908.030029</c:v>
                </c:pt>
                <c:pt idx="430">
                  <c:v>1941.0500489999999</c:v>
                </c:pt>
                <c:pt idx="431">
                  <c:v>1926.420044</c:v>
                </c:pt>
                <c:pt idx="432">
                  <c:v>1944.3000489999999</c:v>
                </c:pt>
                <c:pt idx="433">
                  <c:v>1915.01001</c:v>
                </c:pt>
                <c:pt idx="434">
                  <c:v>1934.3599850000001</c:v>
                </c:pt>
                <c:pt idx="435">
                  <c:v>1974.5500489999999</c:v>
                </c:pt>
                <c:pt idx="436">
                  <c:v>1974.849976</c:v>
                </c:pt>
                <c:pt idx="437">
                  <c:v>2012.9799800000001</c:v>
                </c:pt>
                <c:pt idx="438">
                  <c:v>2003</c:v>
                </c:pt>
                <c:pt idx="439">
                  <c:v>2004.3599850000001</c:v>
                </c:pt>
                <c:pt idx="440">
                  <c:v>1971.3100589999999</c:v>
                </c:pt>
                <c:pt idx="441">
                  <c:v>1952.76001</c:v>
                </c:pt>
                <c:pt idx="442">
                  <c:v>1909.420044</c:v>
                </c:pt>
                <c:pt idx="443">
                  <c:v>1889.650024</c:v>
                </c:pt>
                <c:pt idx="444">
                  <c:v>1864.420044</c:v>
                </c:pt>
                <c:pt idx="445">
                  <c:v>1870.3199460000001</c:v>
                </c:pt>
                <c:pt idx="446">
                  <c:v>1755.25</c:v>
                </c:pt>
                <c:pt idx="447">
                  <c:v>1719.3599850000001</c:v>
                </c:pt>
                <c:pt idx="448">
                  <c:v>1788.6099850000001</c:v>
                </c:pt>
                <c:pt idx="449">
                  <c:v>1760.9499510000001</c:v>
                </c:pt>
                <c:pt idx="450">
                  <c:v>1819.959961</c:v>
                </c:pt>
                <c:pt idx="451">
                  <c:v>1831.7299800000001</c:v>
                </c:pt>
                <c:pt idx="452">
                  <c:v>1770.719971</c:v>
                </c:pt>
                <c:pt idx="453">
                  <c:v>1764.030029</c:v>
                </c:pt>
                <c:pt idx="454">
                  <c:v>1789.3000489999999</c:v>
                </c:pt>
                <c:pt idx="455">
                  <c:v>1768.6999510000001</c:v>
                </c:pt>
                <c:pt idx="456">
                  <c:v>1664.1999510000001</c:v>
                </c:pt>
                <c:pt idx="457">
                  <c:v>1782.170044</c:v>
                </c:pt>
                <c:pt idx="458">
                  <c:v>1642.8100589999999</c:v>
                </c:pt>
                <c:pt idx="459">
                  <c:v>1538.880005</c:v>
                </c:pt>
                <c:pt idx="460">
                  <c:v>1530.420044</c:v>
                </c:pt>
                <c:pt idx="461">
                  <c:v>1598.01001</c:v>
                </c:pt>
                <c:pt idx="462">
                  <c:v>1665.530029</c:v>
                </c:pt>
                <c:pt idx="463">
                  <c:v>1665.530029</c:v>
                </c:pt>
                <c:pt idx="464">
                  <c:v>1627.8000489999999</c:v>
                </c:pt>
                <c:pt idx="465">
                  <c:v>1642.8100589999999</c:v>
                </c:pt>
                <c:pt idx="466">
                  <c:v>1755.48999</c:v>
                </c:pt>
                <c:pt idx="467">
                  <c:v>1754.910034</c:v>
                </c:pt>
                <c:pt idx="468">
                  <c:v>1712.4300539999999</c:v>
                </c:pt>
                <c:pt idx="469">
                  <c:v>1636.849976</c:v>
                </c:pt>
                <c:pt idx="470">
                  <c:v>1631.170044</c:v>
                </c:pt>
                <c:pt idx="471">
                  <c:v>1599.01001</c:v>
                </c:pt>
                <c:pt idx="472">
                  <c:v>1619.4399410000001</c:v>
                </c:pt>
                <c:pt idx="473">
                  <c:v>1593.410034</c:v>
                </c:pt>
                <c:pt idx="474">
                  <c:v>1512.290039</c:v>
                </c:pt>
                <c:pt idx="475">
                  <c:v>1495.459961</c:v>
                </c:pt>
                <c:pt idx="476">
                  <c:v>1516.7299800000001</c:v>
                </c:pt>
                <c:pt idx="477">
                  <c:v>1502.0600589999999</c:v>
                </c:pt>
                <c:pt idx="478">
                  <c:v>1581.329956</c:v>
                </c:pt>
                <c:pt idx="479">
                  <c:v>1581.420044</c:v>
                </c:pt>
                <c:pt idx="480">
                  <c:v>1677.75</c:v>
                </c:pt>
                <c:pt idx="481">
                  <c:v>1673.5699460000001</c:v>
                </c:pt>
                <c:pt idx="482">
                  <c:v>1690.170044</c:v>
                </c:pt>
                <c:pt idx="483">
                  <c:v>1772.3599850000001</c:v>
                </c:pt>
                <c:pt idx="484">
                  <c:v>1668.400024</c:v>
                </c:pt>
                <c:pt idx="485">
                  <c:v>1699.1899410000001</c:v>
                </c:pt>
                <c:pt idx="486">
                  <c:v>1629.130005</c:v>
                </c:pt>
                <c:pt idx="487">
                  <c:v>1641.030029</c:v>
                </c:pt>
                <c:pt idx="488">
                  <c:v>1643.23999</c:v>
                </c:pt>
                <c:pt idx="489">
                  <c:v>1663.540039</c:v>
                </c:pt>
                <c:pt idx="490">
                  <c:v>1658.380005</c:v>
                </c:pt>
                <c:pt idx="491">
                  <c:v>1591.910034</c:v>
                </c:pt>
                <c:pt idx="492">
                  <c:v>1520.910034</c:v>
                </c:pt>
                <c:pt idx="493">
                  <c:v>1551.4799800000001</c:v>
                </c:pt>
                <c:pt idx="494">
                  <c:v>1495.079956</c:v>
                </c:pt>
                <c:pt idx="495">
                  <c:v>1460.829956</c:v>
                </c:pt>
                <c:pt idx="496">
                  <c:v>1377.4499510000001</c:v>
                </c:pt>
                <c:pt idx="497">
                  <c:v>1343.959961</c:v>
                </c:pt>
                <c:pt idx="498">
                  <c:v>1470.900024</c:v>
                </c:pt>
                <c:pt idx="499">
                  <c:v>1461.6400149999999</c:v>
                </c:pt>
                <c:pt idx="500">
                  <c:v>1478.0200199999999</c:v>
                </c:pt>
                <c:pt idx="501">
                  <c:v>1501.969971</c:v>
                </c:pt>
                <c:pt idx="502">
                  <c:v>1539.130005</c:v>
                </c:pt>
                <c:pt idx="503">
                  <c:v>1500.280029</c:v>
                </c:pt>
                <c:pt idx="504">
                  <c:v>1575.3900149999999</c:v>
                </c:pt>
                <c:pt idx="505">
                  <c:v>1629.51001</c:v>
                </c:pt>
                <c:pt idx="506">
                  <c:v>1656.579956</c:v>
                </c:pt>
                <c:pt idx="507">
                  <c:v>1659.420044</c:v>
                </c:pt>
                <c:pt idx="508">
                  <c:v>1656.219971</c:v>
                </c:pt>
                <c:pt idx="509">
                  <c:v>1640.5600589999999</c:v>
                </c:pt>
                <c:pt idx="510">
                  <c:v>1617.209961</c:v>
                </c:pt>
                <c:pt idx="511">
                  <c:v>1674.5600589999999</c:v>
                </c:pt>
                <c:pt idx="512">
                  <c:v>1683.780029</c:v>
                </c:pt>
                <c:pt idx="513">
                  <c:v>1693.219971</c:v>
                </c:pt>
                <c:pt idx="514">
                  <c:v>1696.1999510000001</c:v>
                </c:pt>
                <c:pt idx="515">
                  <c:v>1632.170044</c:v>
                </c:pt>
                <c:pt idx="516">
                  <c:v>1640.0200199999999</c:v>
                </c:pt>
                <c:pt idx="517">
                  <c:v>1654.9300539999999</c:v>
                </c:pt>
                <c:pt idx="518">
                  <c:v>1670.5699460000001</c:v>
                </c:pt>
                <c:pt idx="519">
                  <c:v>1637.8900149999999</c:v>
                </c:pt>
                <c:pt idx="520">
                  <c:v>1593.880005</c:v>
                </c:pt>
                <c:pt idx="521">
                  <c:v>1670.4300539999999</c:v>
                </c:pt>
                <c:pt idx="522">
                  <c:v>1718.7299800000001</c:v>
                </c:pt>
                <c:pt idx="523">
                  <c:v>1626.2299800000001</c:v>
                </c:pt>
                <c:pt idx="524">
                  <c:v>1633.3100589999999</c:v>
                </c:pt>
                <c:pt idx="525">
                  <c:v>1658.8100589999999</c:v>
                </c:pt>
                <c:pt idx="526">
                  <c:v>1640.26001</c:v>
                </c:pt>
                <c:pt idx="527">
                  <c:v>1614.369995</c:v>
                </c:pt>
                <c:pt idx="528">
                  <c:v>1588.219971</c:v>
                </c:pt>
                <c:pt idx="529">
                  <c:v>1591</c:v>
                </c:pt>
                <c:pt idx="530">
                  <c:v>1638.01001</c:v>
                </c:pt>
                <c:pt idx="531">
                  <c:v>1640</c:v>
                </c:pt>
                <c:pt idx="532">
                  <c:v>1622.650024</c:v>
                </c:pt>
                <c:pt idx="533">
                  <c:v>1607.9499510000001</c:v>
                </c:pt>
                <c:pt idx="534">
                  <c:v>1627.579956</c:v>
                </c:pt>
                <c:pt idx="535">
                  <c:v>1622.099976</c:v>
                </c:pt>
                <c:pt idx="536">
                  <c:v>1619.4399410000001</c:v>
                </c:pt>
                <c:pt idx="537">
                  <c:v>1631.5600589999999</c:v>
                </c:pt>
                <c:pt idx="538">
                  <c:v>1633</c:v>
                </c:pt>
                <c:pt idx="539">
                  <c:v>1636.400024</c:v>
                </c:pt>
                <c:pt idx="540">
                  <c:v>1641.089966</c:v>
                </c:pt>
                <c:pt idx="541">
                  <c:v>1639.829956</c:v>
                </c:pt>
                <c:pt idx="542">
                  <c:v>1671.7299800000001</c:v>
                </c:pt>
                <c:pt idx="543">
                  <c:v>1696.170044</c:v>
                </c:pt>
                <c:pt idx="544">
                  <c:v>1692.4300539999999</c:v>
                </c:pt>
                <c:pt idx="545">
                  <c:v>1668.9499510000001</c:v>
                </c:pt>
                <c:pt idx="546">
                  <c:v>1625.9499510000001</c:v>
                </c:pt>
                <c:pt idx="547">
                  <c:v>1620.8000489999999</c:v>
                </c:pt>
                <c:pt idx="548">
                  <c:v>1670.619995</c:v>
                </c:pt>
                <c:pt idx="549">
                  <c:v>1673.099976</c:v>
                </c:pt>
                <c:pt idx="550">
                  <c:v>1690.8100589999999</c:v>
                </c:pt>
                <c:pt idx="551">
                  <c:v>1686.219971</c:v>
                </c:pt>
                <c:pt idx="552">
                  <c:v>1712.3599850000001</c:v>
                </c:pt>
                <c:pt idx="553">
                  <c:v>1742.150024</c:v>
                </c:pt>
                <c:pt idx="554">
                  <c:v>1761.849976</c:v>
                </c:pt>
                <c:pt idx="555">
                  <c:v>1797.2700199999999</c:v>
                </c:pt>
                <c:pt idx="556">
                  <c:v>1819.26001</c:v>
                </c:pt>
                <c:pt idx="557">
                  <c:v>1764.7700199999999</c:v>
                </c:pt>
                <c:pt idx="558">
                  <c:v>1774.26001</c:v>
                </c:pt>
                <c:pt idx="559">
                  <c:v>1783.76001</c:v>
                </c:pt>
                <c:pt idx="560">
                  <c:v>1765.6999510000001</c:v>
                </c:pt>
                <c:pt idx="561">
                  <c:v>1773.420044</c:v>
                </c:pt>
                <c:pt idx="562">
                  <c:v>1780.75</c:v>
                </c:pt>
                <c:pt idx="563">
                  <c:v>1814.1899410000001</c:v>
                </c:pt>
                <c:pt idx="564">
                  <c:v>1813.9799800000001</c:v>
                </c:pt>
                <c:pt idx="565">
                  <c:v>1820.6999510000001</c:v>
                </c:pt>
                <c:pt idx="566">
                  <c:v>1818.8599850000001</c:v>
                </c:pt>
                <c:pt idx="567">
                  <c:v>1837.280029</c:v>
                </c:pt>
                <c:pt idx="568">
                  <c:v>1849.8599850000001</c:v>
                </c:pt>
                <c:pt idx="569">
                  <c:v>1835.839966</c:v>
                </c:pt>
                <c:pt idx="570">
                  <c:v>1847.329956</c:v>
                </c:pt>
                <c:pt idx="571">
                  <c:v>1844.0699460000001</c:v>
                </c:pt>
                <c:pt idx="572">
                  <c:v>1843.0600589999999</c:v>
                </c:pt>
                <c:pt idx="573">
                  <c:v>1844.869995</c:v>
                </c:pt>
                <c:pt idx="574">
                  <c:v>1863.040039</c:v>
                </c:pt>
                <c:pt idx="575">
                  <c:v>1864.8199460000001</c:v>
                </c:pt>
                <c:pt idx="576">
                  <c:v>1861.6899410000001</c:v>
                </c:pt>
                <c:pt idx="577">
                  <c:v>1887.3100589999999</c:v>
                </c:pt>
                <c:pt idx="578">
                  <c:v>1923.7700199999999</c:v>
                </c:pt>
                <c:pt idx="579">
                  <c:v>1901.75</c:v>
                </c:pt>
                <c:pt idx="580">
                  <c:v>1902.25</c:v>
                </c:pt>
                <c:pt idx="581">
                  <c:v>1950.630005</c:v>
                </c:pt>
                <c:pt idx="582">
                  <c:v>1938.4300539999999</c:v>
                </c:pt>
                <c:pt idx="583">
                  <c:v>1926.5200199999999</c:v>
                </c:pt>
                <c:pt idx="584">
                  <c:v>1911.5200199999999</c:v>
                </c:pt>
                <c:pt idx="585">
                  <c:v>1900.8199460000001</c:v>
                </c:pt>
                <c:pt idx="586">
                  <c:v>1962.459961</c:v>
                </c:pt>
                <c:pt idx="587">
                  <c:v>1950.5500489999999</c:v>
                </c:pt>
                <c:pt idx="588">
                  <c:v>1921</c:v>
                </c:pt>
                <c:pt idx="589">
                  <c:v>1917.7700199999999</c:v>
                </c:pt>
                <c:pt idx="590">
                  <c:v>1899.869995</c:v>
                </c:pt>
                <c:pt idx="591">
                  <c:v>1889.9799800000001</c:v>
                </c:pt>
                <c:pt idx="592">
                  <c:v>1822.6800539999999</c:v>
                </c:pt>
                <c:pt idx="593">
                  <c:v>1840.119995</c:v>
                </c:pt>
                <c:pt idx="594">
                  <c:v>1871.150024</c:v>
                </c:pt>
                <c:pt idx="595">
                  <c:v>1907.5699460000001</c:v>
                </c:pt>
                <c:pt idx="596">
                  <c:v>1869</c:v>
                </c:pt>
                <c:pt idx="597">
                  <c:v>1858.969971</c:v>
                </c:pt>
                <c:pt idx="598">
                  <c:v>1857.5200199999999</c:v>
                </c:pt>
                <c:pt idx="599">
                  <c:v>1859.6800539999999</c:v>
                </c:pt>
                <c:pt idx="600">
                  <c:v>1815.4799800000001</c:v>
                </c:pt>
                <c:pt idx="601">
                  <c:v>1823.280029</c:v>
                </c:pt>
                <c:pt idx="602">
                  <c:v>1836.4300539999999</c:v>
                </c:pt>
                <c:pt idx="603">
                  <c:v>1819.1899410000001</c:v>
                </c:pt>
                <c:pt idx="604">
                  <c:v>1816.3199460000001</c:v>
                </c:pt>
                <c:pt idx="605">
                  <c:v>1775.0699460000001</c:v>
                </c:pt>
                <c:pt idx="606">
                  <c:v>1692.6899410000001</c:v>
                </c:pt>
                <c:pt idx="607">
                  <c:v>1729.5600589999999</c:v>
                </c:pt>
                <c:pt idx="608">
                  <c:v>1738.5</c:v>
                </c:pt>
                <c:pt idx="609">
                  <c:v>1754.3599850000001</c:v>
                </c:pt>
                <c:pt idx="610">
                  <c:v>1804.030029</c:v>
                </c:pt>
                <c:pt idx="611">
                  <c:v>1860.630005</c:v>
                </c:pt>
                <c:pt idx="612">
                  <c:v>1863.6999510000001</c:v>
                </c:pt>
                <c:pt idx="613">
                  <c:v>1855.3199460000001</c:v>
                </c:pt>
                <c:pt idx="614">
                  <c:v>1870.3000489999999</c:v>
                </c:pt>
                <c:pt idx="615">
                  <c:v>1869.670044</c:v>
                </c:pt>
                <c:pt idx="616">
                  <c:v>1886.030029</c:v>
                </c:pt>
                <c:pt idx="617">
                  <c:v>1901.369995</c:v>
                </c:pt>
                <c:pt idx="618">
                  <c:v>1908.790039</c:v>
                </c:pt>
                <c:pt idx="619">
                  <c:v>1918.1899410000001</c:v>
                </c:pt>
                <c:pt idx="620">
                  <c:v>1911.3000489999999</c:v>
                </c:pt>
                <c:pt idx="621">
                  <c:v>1913.900024</c:v>
                </c:pt>
                <c:pt idx="622">
                  <c:v>1878.2700199999999</c:v>
                </c:pt>
                <c:pt idx="623">
                  <c:v>1897.829956</c:v>
                </c:pt>
                <c:pt idx="624">
                  <c:v>1904.280029</c:v>
                </c:pt>
                <c:pt idx="625">
                  <c:v>1893.630005</c:v>
                </c:pt>
                <c:pt idx="626">
                  <c:v>1922.1899410000001</c:v>
                </c:pt>
                <c:pt idx="627">
                  <c:v>1934.3100589999999</c:v>
                </c:pt>
                <c:pt idx="628">
                  <c:v>1939</c:v>
                </c:pt>
                <c:pt idx="629">
                  <c:v>1942.910034</c:v>
                </c:pt>
                <c:pt idx="630">
                  <c:v>1952.3199460000001</c:v>
                </c:pt>
                <c:pt idx="631">
                  <c:v>1988.3000489999999</c:v>
                </c:pt>
                <c:pt idx="632">
                  <c:v>2017.410034</c:v>
                </c:pt>
                <c:pt idx="633">
                  <c:v>2001.0699460000001</c:v>
                </c:pt>
                <c:pt idx="634">
                  <c:v>2011</c:v>
                </c:pt>
                <c:pt idx="635">
                  <c:v>2020.98999</c:v>
                </c:pt>
                <c:pt idx="636">
                  <c:v>2009.900024</c:v>
                </c:pt>
                <c:pt idx="637">
                  <c:v>1992.030029</c:v>
                </c:pt>
                <c:pt idx="638">
                  <c:v>1977.900024</c:v>
                </c:pt>
                <c:pt idx="639">
                  <c:v>1964.5200199999999</c:v>
                </c:pt>
                <c:pt idx="640">
                  <c:v>1985.630005</c:v>
                </c:pt>
                <c:pt idx="641">
                  <c:v>1994.48999</c:v>
                </c:pt>
                <c:pt idx="642">
                  <c:v>2000.8100589999999</c:v>
                </c:pt>
                <c:pt idx="643">
                  <c:v>1973.8199460000001</c:v>
                </c:pt>
                <c:pt idx="644">
                  <c:v>1943.0500489999999</c:v>
                </c:pt>
                <c:pt idx="645">
                  <c:v>1912.4499510000001</c:v>
                </c:pt>
                <c:pt idx="646">
                  <c:v>1898.530029</c:v>
                </c:pt>
                <c:pt idx="647">
                  <c:v>1866.780029</c:v>
                </c:pt>
                <c:pt idx="648">
                  <c:v>1855.3199460000001</c:v>
                </c:pt>
                <c:pt idx="649">
                  <c:v>1823.23999</c:v>
                </c:pt>
                <c:pt idx="650">
                  <c:v>1765.130005</c:v>
                </c:pt>
                <c:pt idx="651">
                  <c:v>1787.829956</c:v>
                </c:pt>
                <c:pt idx="652">
                  <c:v>1793.400024</c:v>
                </c:pt>
                <c:pt idx="653">
                  <c:v>1832.8900149999999</c:v>
                </c:pt>
                <c:pt idx="654">
                  <c:v>1807.579956</c:v>
                </c:pt>
                <c:pt idx="655">
                  <c:v>1784.920044</c:v>
                </c:pt>
                <c:pt idx="656">
                  <c:v>1824.339966</c:v>
                </c:pt>
                <c:pt idx="657">
                  <c:v>1762.959961</c:v>
                </c:pt>
                <c:pt idx="658">
                  <c:v>1776.119995</c:v>
                </c:pt>
                <c:pt idx="659">
                  <c:v>1792.5699460000001</c:v>
                </c:pt>
                <c:pt idx="660">
                  <c:v>1816.119995</c:v>
                </c:pt>
                <c:pt idx="661">
                  <c:v>1801.380005</c:v>
                </c:pt>
                <c:pt idx="662">
                  <c:v>1823.540039</c:v>
                </c:pt>
                <c:pt idx="663">
                  <c:v>1804.660034</c:v>
                </c:pt>
                <c:pt idx="664">
                  <c:v>1749.619995</c:v>
                </c:pt>
                <c:pt idx="665">
                  <c:v>1768.869995</c:v>
                </c:pt>
                <c:pt idx="666">
                  <c:v>1761.829956</c:v>
                </c:pt>
                <c:pt idx="667">
                  <c:v>1764.25</c:v>
                </c:pt>
                <c:pt idx="668">
                  <c:v>1786.400024</c:v>
                </c:pt>
                <c:pt idx="669">
                  <c:v>1776.290039</c:v>
                </c:pt>
                <c:pt idx="670">
                  <c:v>1789.839966</c:v>
                </c:pt>
                <c:pt idx="671">
                  <c:v>1800.619995</c:v>
                </c:pt>
                <c:pt idx="672">
                  <c:v>1840.719971</c:v>
                </c:pt>
                <c:pt idx="673">
                  <c:v>1833.51001</c:v>
                </c:pt>
                <c:pt idx="674">
                  <c:v>1831.349976</c:v>
                </c:pt>
                <c:pt idx="675">
                  <c:v>1820.5500489999999</c:v>
                </c:pt>
                <c:pt idx="676">
                  <c:v>1822.98999</c:v>
                </c:pt>
                <c:pt idx="677">
                  <c:v>1843.5500489999999</c:v>
                </c:pt>
                <c:pt idx="678">
                  <c:v>1839.339966</c:v>
                </c:pt>
                <c:pt idx="679">
                  <c:v>1807.839966</c:v>
                </c:pt>
                <c:pt idx="680">
                  <c:v>1822.5500489999999</c:v>
                </c:pt>
                <c:pt idx="681">
                  <c:v>1817.459961</c:v>
                </c:pt>
                <c:pt idx="682">
                  <c:v>1821.5</c:v>
                </c:pt>
                <c:pt idx="683">
                  <c:v>1794.160034</c:v>
                </c:pt>
                <c:pt idx="684">
                  <c:v>1785.3000489999999</c:v>
                </c:pt>
                <c:pt idx="685">
                  <c:v>1741.6099850000001</c:v>
                </c:pt>
                <c:pt idx="686">
                  <c:v>1768.329956</c:v>
                </c:pt>
                <c:pt idx="687">
                  <c:v>1739.839966</c:v>
                </c:pt>
                <c:pt idx="688">
                  <c:v>1725.4499510000001</c:v>
                </c:pt>
                <c:pt idx="689">
                  <c:v>1735.910034</c:v>
                </c:pt>
                <c:pt idx="690">
                  <c:v>1735.650024</c:v>
                </c:pt>
                <c:pt idx="691">
                  <c:v>1713.2299800000001</c:v>
                </c:pt>
                <c:pt idx="692">
                  <c:v>1724.420044</c:v>
                </c:pt>
                <c:pt idx="693">
                  <c:v>1739.650024</c:v>
                </c:pt>
                <c:pt idx="694">
                  <c:v>1732.660034</c:v>
                </c:pt>
                <c:pt idx="695">
                  <c:v>1705.51001</c:v>
                </c:pt>
                <c:pt idx="696">
                  <c:v>1721.98999</c:v>
                </c:pt>
                <c:pt idx="697">
                  <c:v>1720.26001</c:v>
                </c:pt>
                <c:pt idx="698">
                  <c:v>1731.920044</c:v>
                </c:pt>
                <c:pt idx="699">
                  <c:v>1736.4300539999999</c:v>
                </c:pt>
                <c:pt idx="700">
                  <c:v>1767.380005</c:v>
                </c:pt>
                <c:pt idx="701">
                  <c:v>1777.4300539999999</c:v>
                </c:pt>
                <c:pt idx="702">
                  <c:v>1787.4799800000001</c:v>
                </c:pt>
                <c:pt idx="703">
                  <c:v>1757.51001</c:v>
                </c:pt>
                <c:pt idx="704">
                  <c:v>1785.660034</c:v>
                </c:pt>
                <c:pt idx="705">
                  <c:v>1765.7299800000001</c:v>
                </c:pt>
                <c:pt idx="706">
                  <c:v>1762.170044</c:v>
                </c:pt>
                <c:pt idx="707">
                  <c:v>1780.780029</c:v>
                </c:pt>
                <c:pt idx="708">
                  <c:v>1761.329956</c:v>
                </c:pt>
                <c:pt idx="709">
                  <c:v>1777.079956</c:v>
                </c:pt>
                <c:pt idx="710">
                  <c:v>1762.709961</c:v>
                </c:pt>
                <c:pt idx="711">
                  <c:v>1779.98999</c:v>
                </c:pt>
                <c:pt idx="712">
                  <c:v>1776.660034</c:v>
                </c:pt>
                <c:pt idx="713">
                  <c:v>1791.4399410000001</c:v>
                </c:pt>
                <c:pt idx="714">
                  <c:v>1804.660034</c:v>
                </c:pt>
                <c:pt idx="715">
                  <c:v>1801.709961</c:v>
                </c:pt>
                <c:pt idx="716">
                  <c:v>1795.7700199999999</c:v>
                </c:pt>
                <c:pt idx="717">
                  <c:v>1788.1999510000001</c:v>
                </c:pt>
                <c:pt idx="718">
                  <c:v>1785.880005</c:v>
                </c:pt>
                <c:pt idx="719">
                  <c:v>1771.650024</c:v>
                </c:pt>
                <c:pt idx="720">
                  <c:v>1778</c:v>
                </c:pt>
                <c:pt idx="721">
                  <c:v>1753.1099850000001</c:v>
                </c:pt>
                <c:pt idx="722">
                  <c:v>1754.599976</c:v>
                </c:pt>
                <c:pt idx="723">
                  <c:v>1739.48999</c:v>
                </c:pt>
                <c:pt idx="724">
                  <c:v>1752.530029</c:v>
                </c:pt>
                <c:pt idx="725">
                  <c:v>1752.790039</c:v>
                </c:pt>
                <c:pt idx="726">
                  <c:v>1745.530029</c:v>
                </c:pt>
                <c:pt idx="727">
                  <c:v>1734.709961</c:v>
                </c:pt>
                <c:pt idx="728">
                  <c:v>1745.719971</c:v>
                </c:pt>
                <c:pt idx="729">
                  <c:v>1773.839966</c:v>
                </c:pt>
                <c:pt idx="730">
                  <c:v>1796.9399410000001</c:v>
                </c:pt>
                <c:pt idx="731">
                  <c:v>1818.51001</c:v>
                </c:pt>
                <c:pt idx="732">
                  <c:v>1800.8000489999999</c:v>
                </c:pt>
                <c:pt idx="733">
                  <c:v>1781.599976</c:v>
                </c:pt>
                <c:pt idx="734">
                  <c:v>1769.959961</c:v>
                </c:pt>
                <c:pt idx="735">
                  <c:v>1760.6899410000001</c:v>
                </c:pt>
                <c:pt idx="736">
                  <c:v>1740.4799800000001</c:v>
                </c:pt>
                <c:pt idx="737">
                  <c:v>1751.599976</c:v>
                </c:pt>
                <c:pt idx="738">
                  <c:v>1749.51001</c:v>
                </c:pt>
                <c:pt idx="739">
                  <c:v>1739.209961</c:v>
                </c:pt>
                <c:pt idx="740">
                  <c:v>1748.719971</c:v>
                </c:pt>
                <c:pt idx="741">
                  <c:v>1760.329956</c:v>
                </c:pt>
                <c:pt idx="742">
                  <c:v>1760.9399410000001</c:v>
                </c:pt>
                <c:pt idx="743">
                  <c:v>1769.209961</c:v>
                </c:pt>
                <c:pt idx="744">
                  <c:v>1790.660034</c:v>
                </c:pt>
                <c:pt idx="745">
                  <c:v>1784.030029</c:v>
                </c:pt>
                <c:pt idx="746">
                  <c:v>1792.280029</c:v>
                </c:pt>
                <c:pt idx="747">
                  <c:v>1786.5</c:v>
                </c:pt>
                <c:pt idx="748">
                  <c:v>1793</c:v>
                </c:pt>
                <c:pt idx="749">
                  <c:v>1789.209961</c:v>
                </c:pt>
                <c:pt idx="750">
                  <c:v>1868.7700199999999</c:v>
                </c:pt>
                <c:pt idx="751">
                  <c:v>1869.8000489999999</c:v>
                </c:pt>
                <c:pt idx="752">
                  <c:v>1846.8900149999999</c:v>
                </c:pt>
                <c:pt idx="753">
                  <c:v>1847.839966</c:v>
                </c:pt>
                <c:pt idx="754">
                  <c:v>1898.01001</c:v>
                </c:pt>
                <c:pt idx="755">
                  <c:v>1874.969971</c:v>
                </c:pt>
                <c:pt idx="756">
                  <c:v>1902.880005</c:v>
                </c:pt>
                <c:pt idx="757">
                  <c:v>1906.8599850000001</c:v>
                </c:pt>
                <c:pt idx="758">
                  <c:v>1891.969971</c:v>
                </c:pt>
                <c:pt idx="759">
                  <c:v>1901.0500489999999</c:v>
                </c:pt>
                <c:pt idx="760">
                  <c:v>1883.160034</c:v>
                </c:pt>
                <c:pt idx="761">
                  <c:v>1891.3000489999999</c:v>
                </c:pt>
                <c:pt idx="762">
                  <c:v>1869.4399410000001</c:v>
                </c:pt>
                <c:pt idx="763">
                  <c:v>1862.0200199999999</c:v>
                </c:pt>
                <c:pt idx="764">
                  <c:v>1877.9399410000001</c:v>
                </c:pt>
                <c:pt idx="765">
                  <c:v>1864.719971</c:v>
                </c:pt>
                <c:pt idx="766">
                  <c:v>1892</c:v>
                </c:pt>
                <c:pt idx="767">
                  <c:v>1887.459961</c:v>
                </c:pt>
                <c:pt idx="768">
                  <c:v>1884.579956</c:v>
                </c:pt>
                <c:pt idx="769">
                  <c:v>1861.6400149999999</c:v>
                </c:pt>
                <c:pt idx="770">
                  <c:v>1828.339966</c:v>
                </c:pt>
                <c:pt idx="771">
                  <c:v>1853.25</c:v>
                </c:pt>
                <c:pt idx="772">
                  <c:v>1858</c:v>
                </c:pt>
                <c:pt idx="773">
                  <c:v>1870.6800539999999</c:v>
                </c:pt>
                <c:pt idx="774">
                  <c:v>2008.719971</c:v>
                </c:pt>
                <c:pt idx="775">
                  <c:v>2004.1999510000001</c:v>
                </c:pt>
                <c:pt idx="776">
                  <c:v>2049.669922</c:v>
                </c:pt>
                <c:pt idx="777">
                  <c:v>2039.869995</c:v>
                </c:pt>
                <c:pt idx="778">
                  <c:v>2050.2299800000001</c:v>
                </c:pt>
                <c:pt idx="779">
                  <c:v>2079.280029</c:v>
                </c:pt>
                <c:pt idx="780">
                  <c:v>2133.9099120000001</c:v>
                </c:pt>
                <c:pt idx="781">
                  <c:v>2150.8000489999999</c:v>
                </c:pt>
                <c:pt idx="782">
                  <c:v>2160</c:v>
                </c:pt>
                <c:pt idx="783">
                  <c:v>2149.8701169999999</c:v>
                </c:pt>
                <c:pt idx="784">
                  <c:v>2134.8701169999999</c:v>
                </c:pt>
                <c:pt idx="785">
                  <c:v>2155.669922</c:v>
                </c:pt>
                <c:pt idx="786">
                  <c:v>2170.219971</c:v>
                </c:pt>
                <c:pt idx="787">
                  <c:v>2153.1000979999999</c:v>
                </c:pt>
                <c:pt idx="788">
                  <c:v>2095.969971</c:v>
                </c:pt>
                <c:pt idx="789">
                  <c:v>2009.290039</c:v>
                </c:pt>
                <c:pt idx="790">
                  <c:v>1972.73999</c:v>
                </c:pt>
                <c:pt idx="791">
                  <c:v>1979.589966</c:v>
                </c:pt>
                <c:pt idx="792">
                  <c:v>1884.3000489999999</c:v>
                </c:pt>
                <c:pt idx="793">
                  <c:v>1883.75</c:v>
                </c:pt>
                <c:pt idx="794">
                  <c:v>1953.9499510000001</c:v>
                </c:pt>
                <c:pt idx="795">
                  <c:v>1908.98999</c:v>
                </c:pt>
                <c:pt idx="796">
                  <c:v>1975.829956</c:v>
                </c:pt>
                <c:pt idx="797">
                  <c:v>1924.030029</c:v>
                </c:pt>
                <c:pt idx="798">
                  <c:v>1901.089966</c:v>
                </c:pt>
                <c:pt idx="799">
                  <c:v>1800.6099850000001</c:v>
                </c:pt>
                <c:pt idx="800">
                  <c:v>1891.8199460000001</c:v>
                </c:pt>
                <c:pt idx="801">
                  <c:v>1820.8599850000001</c:v>
                </c:pt>
                <c:pt idx="802">
                  <c:v>1676.6099850000001</c:v>
                </c:pt>
                <c:pt idx="803">
                  <c:v>1785</c:v>
                </c:pt>
                <c:pt idx="804">
                  <c:v>1689.150024</c:v>
                </c:pt>
                <c:pt idx="805">
                  <c:v>1807.839966</c:v>
                </c:pt>
                <c:pt idx="806">
                  <c:v>1830</c:v>
                </c:pt>
                <c:pt idx="807">
                  <c:v>1880.9300539999999</c:v>
                </c:pt>
                <c:pt idx="808">
                  <c:v>1846.089966</c:v>
                </c:pt>
                <c:pt idx="809">
                  <c:v>1902.829956</c:v>
                </c:pt>
                <c:pt idx="810">
                  <c:v>1940.099976</c:v>
                </c:pt>
                <c:pt idx="811">
                  <c:v>1885.839966</c:v>
                </c:pt>
                <c:pt idx="812">
                  <c:v>1955.48999</c:v>
                </c:pt>
                <c:pt idx="813">
                  <c:v>1900.099976</c:v>
                </c:pt>
                <c:pt idx="814">
                  <c:v>1963.9499510000001</c:v>
                </c:pt>
                <c:pt idx="815">
                  <c:v>1949.719971</c:v>
                </c:pt>
                <c:pt idx="816">
                  <c:v>1907.6999510000001</c:v>
                </c:pt>
                <c:pt idx="817">
                  <c:v>1918.829956</c:v>
                </c:pt>
                <c:pt idx="818">
                  <c:v>1906.589966</c:v>
                </c:pt>
                <c:pt idx="819">
                  <c:v>1997.589966</c:v>
                </c:pt>
                <c:pt idx="820">
                  <c:v>2011.599976</c:v>
                </c:pt>
                <c:pt idx="821">
                  <c:v>2043</c:v>
                </c:pt>
                <c:pt idx="822">
                  <c:v>2042.76001</c:v>
                </c:pt>
                <c:pt idx="823">
                  <c:v>2168.8701169999999</c:v>
                </c:pt>
                <c:pt idx="824">
                  <c:v>2283.320068</c:v>
                </c:pt>
                <c:pt idx="825">
                  <c:v>2307.679932</c:v>
                </c:pt>
                <c:pt idx="826">
                  <c:v>2408.1899410000001</c:v>
                </c:pt>
                <c:pt idx="827">
                  <c:v>2375</c:v>
                </c:pt>
                <c:pt idx="828">
                  <c:v>2393.610107</c:v>
                </c:pt>
                <c:pt idx="829">
                  <c:v>2328.1201169999999</c:v>
                </c:pt>
                <c:pt idx="830">
                  <c:v>2363.48999</c:v>
                </c:pt>
                <c:pt idx="831">
                  <c:v>2399.4499510000001</c:v>
                </c:pt>
                <c:pt idx="832">
                  <c:v>2410.219971</c:v>
                </c:pt>
                <c:pt idx="833">
                  <c:v>2376</c:v>
                </c:pt>
                <c:pt idx="834">
                  <c:v>2314.080078</c:v>
                </c:pt>
                <c:pt idx="835">
                  <c:v>2372.709961</c:v>
                </c:pt>
                <c:pt idx="836">
                  <c:v>2474</c:v>
                </c:pt>
                <c:pt idx="837">
                  <c:v>2286.040039</c:v>
                </c:pt>
                <c:pt idx="838">
                  <c:v>2315.98999</c:v>
                </c:pt>
                <c:pt idx="839">
                  <c:v>2317.8000489999999</c:v>
                </c:pt>
                <c:pt idx="840">
                  <c:v>2351.26001</c:v>
                </c:pt>
                <c:pt idx="841">
                  <c:v>2367.610107</c:v>
                </c:pt>
                <c:pt idx="842">
                  <c:v>2379.610107</c:v>
                </c:pt>
                <c:pt idx="843">
                  <c:v>2409</c:v>
                </c:pt>
                <c:pt idx="844">
                  <c:v>2356.9499510000001</c:v>
                </c:pt>
                <c:pt idx="845">
                  <c:v>2367.919922</c:v>
                </c:pt>
                <c:pt idx="846">
                  <c:v>2388.8500979999999</c:v>
                </c:pt>
                <c:pt idx="847">
                  <c:v>2409.780029</c:v>
                </c:pt>
                <c:pt idx="848">
                  <c:v>2426.26001</c:v>
                </c:pt>
                <c:pt idx="849">
                  <c:v>2449.330078</c:v>
                </c:pt>
                <c:pt idx="850">
                  <c:v>2497.9399410000001</c:v>
                </c:pt>
                <c:pt idx="851">
                  <c:v>2446.73999</c:v>
                </c:pt>
                <c:pt idx="852">
                  <c:v>2436.8798830000001</c:v>
                </c:pt>
                <c:pt idx="853">
                  <c:v>2421.860107</c:v>
                </c:pt>
                <c:pt idx="854">
                  <c:v>2410.389893</c:v>
                </c:pt>
                <c:pt idx="855">
                  <c:v>2401.1000979999999</c:v>
                </c:pt>
                <c:pt idx="856">
                  <c:v>2442.3701169999999</c:v>
                </c:pt>
                <c:pt idx="857">
                  <c:v>2471.040039</c:v>
                </c:pt>
                <c:pt idx="858">
                  <c:v>2472.4099120000001</c:v>
                </c:pt>
                <c:pt idx="859">
                  <c:v>2478.3999020000001</c:v>
                </c:pt>
                <c:pt idx="860">
                  <c:v>2460.6000979999999</c:v>
                </c:pt>
                <c:pt idx="861">
                  <c:v>2483</c:v>
                </c:pt>
                <c:pt idx="862">
                  <c:v>2524.0600589999999</c:v>
                </c:pt>
                <c:pt idx="863">
                  <c:v>2600.860107</c:v>
                </c:pt>
                <c:pt idx="864">
                  <c:v>2647.4499510000001</c:v>
                </c:pt>
                <c:pt idx="865">
                  <c:v>2557.959961</c:v>
                </c:pt>
                <c:pt idx="866">
                  <c:v>2545.0200199999999</c:v>
                </c:pt>
                <c:pt idx="867">
                  <c:v>2572.679932</c:v>
                </c:pt>
                <c:pt idx="868">
                  <c:v>2615.2700199999999</c:v>
                </c:pt>
                <c:pt idx="869">
                  <c:v>2640.9799800000001</c:v>
                </c:pt>
                <c:pt idx="870">
                  <c:v>2653.9799800000001</c:v>
                </c:pt>
                <c:pt idx="871">
                  <c:v>2675.01001</c:v>
                </c:pt>
                <c:pt idx="872">
                  <c:v>2713.820068</c:v>
                </c:pt>
                <c:pt idx="873">
                  <c:v>2764.4099120000001</c:v>
                </c:pt>
                <c:pt idx="874">
                  <c:v>2734.3999020000001</c:v>
                </c:pt>
                <c:pt idx="875">
                  <c:v>2754.580078</c:v>
                </c:pt>
                <c:pt idx="876">
                  <c:v>2692.8701169999999</c:v>
                </c:pt>
                <c:pt idx="877">
                  <c:v>2680.3798830000001</c:v>
                </c:pt>
                <c:pt idx="878">
                  <c:v>2758.820068</c:v>
                </c:pt>
                <c:pt idx="879">
                  <c:v>2878.6999510000001</c:v>
                </c:pt>
                <c:pt idx="880">
                  <c:v>2890.3000489999999</c:v>
                </c:pt>
                <c:pt idx="881">
                  <c:v>3057.040039</c:v>
                </c:pt>
                <c:pt idx="882">
                  <c:v>3000.1201169999999</c:v>
                </c:pt>
                <c:pt idx="883">
                  <c:v>3081.110107</c:v>
                </c:pt>
                <c:pt idx="884">
                  <c:v>3182.6298830000001</c:v>
                </c:pt>
                <c:pt idx="885">
                  <c:v>3200</c:v>
                </c:pt>
                <c:pt idx="886">
                  <c:v>3104</c:v>
                </c:pt>
                <c:pt idx="887">
                  <c:v>3084</c:v>
                </c:pt>
                <c:pt idx="888">
                  <c:v>3008.8701169999999</c:v>
                </c:pt>
                <c:pt idx="889">
                  <c:v>2999.8999020000001</c:v>
                </c:pt>
                <c:pt idx="890">
                  <c:v>2961.969971</c:v>
                </c:pt>
                <c:pt idx="891">
                  <c:v>3196.8400879999999</c:v>
                </c:pt>
                <c:pt idx="892">
                  <c:v>3138.290039</c:v>
                </c:pt>
                <c:pt idx="893">
                  <c:v>3099.9099120000001</c:v>
                </c:pt>
                <c:pt idx="894">
                  <c:v>2986.5500489999999</c:v>
                </c:pt>
                <c:pt idx="895">
                  <c:v>3008.9099120000001</c:v>
                </c:pt>
                <c:pt idx="896">
                  <c:v>3055.209961</c:v>
                </c:pt>
                <c:pt idx="897">
                  <c:v>3000.330078</c:v>
                </c:pt>
                <c:pt idx="898">
                  <c:v>3033.530029</c:v>
                </c:pt>
                <c:pt idx="899">
                  <c:v>3051.8798830000001</c:v>
                </c:pt>
                <c:pt idx="900">
                  <c:v>3164.679932</c:v>
                </c:pt>
                <c:pt idx="901">
                  <c:v>3111.889893</c:v>
                </c:pt>
                <c:pt idx="902">
                  <c:v>3138.830078</c:v>
                </c:pt>
                <c:pt idx="903">
                  <c:v>3205.030029</c:v>
                </c:pt>
                <c:pt idx="904">
                  <c:v>3225</c:v>
                </c:pt>
                <c:pt idx="905">
                  <c:v>3167.459961</c:v>
                </c:pt>
                <c:pt idx="906">
                  <c:v>3148.1599120000001</c:v>
                </c:pt>
                <c:pt idx="907">
                  <c:v>3080.669922</c:v>
                </c:pt>
                <c:pt idx="908">
                  <c:v>3162.23999</c:v>
                </c:pt>
                <c:pt idx="909">
                  <c:v>3161.0200199999999</c:v>
                </c:pt>
                <c:pt idx="910">
                  <c:v>3148.0200199999999</c:v>
                </c:pt>
                <c:pt idx="911">
                  <c:v>3182.4099120000001</c:v>
                </c:pt>
                <c:pt idx="912">
                  <c:v>3312.48999</c:v>
                </c:pt>
                <c:pt idx="913">
                  <c:v>3260.4799800000001</c:v>
                </c:pt>
                <c:pt idx="914">
                  <c:v>3297.3701169999999</c:v>
                </c:pt>
                <c:pt idx="915">
                  <c:v>3284.719971</c:v>
                </c:pt>
                <c:pt idx="916">
                  <c:v>3307.459961</c:v>
                </c:pt>
                <c:pt idx="917">
                  <c:v>3346.48999</c:v>
                </c:pt>
                <c:pt idx="918">
                  <c:v>3441.8500979999999</c:v>
                </c:pt>
                <c:pt idx="919">
                  <c:v>3400</c:v>
                </c:pt>
                <c:pt idx="920">
                  <c:v>3401.8000489999999</c:v>
                </c:pt>
                <c:pt idx="921">
                  <c:v>3450.959961</c:v>
                </c:pt>
                <c:pt idx="922">
                  <c:v>3499.1201169999999</c:v>
                </c:pt>
                <c:pt idx="923">
                  <c:v>3531.4499510000001</c:v>
                </c:pt>
                <c:pt idx="924">
                  <c:v>3368</c:v>
                </c:pt>
                <c:pt idx="925">
                  <c:v>3294.6201169999999</c:v>
                </c:pt>
                <c:pt idx="926">
                  <c:v>3149.8400879999999</c:v>
                </c:pt>
                <c:pt idx="927">
                  <c:v>3268.610107</c:v>
                </c:pt>
                <c:pt idx="928">
                  <c:v>3175.110107</c:v>
                </c:pt>
                <c:pt idx="929">
                  <c:v>3116.219971</c:v>
                </c:pt>
                <c:pt idx="930">
                  <c:v>3102.969971</c:v>
                </c:pt>
                <c:pt idx="931">
                  <c:v>3156.1298830000001</c:v>
                </c:pt>
                <c:pt idx="932">
                  <c:v>3078.1000979999999</c:v>
                </c:pt>
                <c:pt idx="933">
                  <c:v>3008.7299800000001</c:v>
                </c:pt>
                <c:pt idx="934">
                  <c:v>2954.9099120000001</c:v>
                </c:pt>
                <c:pt idx="935">
                  <c:v>2960.469971</c:v>
                </c:pt>
                <c:pt idx="936">
                  <c:v>3128.98999</c:v>
                </c:pt>
                <c:pt idx="937">
                  <c:v>2999.860107</c:v>
                </c:pt>
                <c:pt idx="938">
                  <c:v>3019.790039</c:v>
                </c:pt>
                <c:pt idx="939">
                  <c:v>3095.1298830000001</c:v>
                </c:pt>
                <c:pt idx="940">
                  <c:v>3174.0500489999999</c:v>
                </c:pt>
                <c:pt idx="941">
                  <c:v>3144.8798830000001</c:v>
                </c:pt>
                <c:pt idx="942">
                  <c:v>3148.7299800000001</c:v>
                </c:pt>
                <c:pt idx="943">
                  <c:v>3221.26001</c:v>
                </c:pt>
                <c:pt idx="944">
                  <c:v>3125</c:v>
                </c:pt>
                <c:pt idx="945">
                  <c:v>3199.1999510000001</c:v>
                </c:pt>
                <c:pt idx="946">
                  <c:v>3099.959961</c:v>
                </c:pt>
                <c:pt idx="947">
                  <c:v>3195.6899410000001</c:v>
                </c:pt>
                <c:pt idx="948">
                  <c:v>3190.5500489999999</c:v>
                </c:pt>
                <c:pt idx="949">
                  <c:v>3286.6499020000001</c:v>
                </c:pt>
                <c:pt idx="950">
                  <c:v>3442.929932</c:v>
                </c:pt>
                <c:pt idx="951">
                  <c:v>3443.6298830000001</c:v>
                </c:pt>
                <c:pt idx="952">
                  <c:v>3363.709961</c:v>
                </c:pt>
                <c:pt idx="953">
                  <c:v>3338.6499020000001</c:v>
                </c:pt>
                <c:pt idx="954">
                  <c:v>3272.709961</c:v>
                </c:pt>
                <c:pt idx="955">
                  <c:v>3207.209961</c:v>
                </c:pt>
                <c:pt idx="956">
                  <c:v>3217.01001</c:v>
                </c:pt>
                <c:pt idx="957">
                  <c:v>3184.9399410000001</c:v>
                </c:pt>
                <c:pt idx="958">
                  <c:v>3176.3999020000001</c:v>
                </c:pt>
                <c:pt idx="959">
                  <c:v>3204.3999020000001</c:v>
                </c:pt>
                <c:pt idx="960">
                  <c:v>3207.040039</c:v>
                </c:pt>
                <c:pt idx="961">
                  <c:v>3286.330078</c:v>
                </c:pt>
                <c:pt idx="962">
                  <c:v>3162.780029</c:v>
                </c:pt>
                <c:pt idx="963">
                  <c:v>3211.01001</c:v>
                </c:pt>
                <c:pt idx="964">
                  <c:v>3036.1499020000001</c:v>
                </c:pt>
                <c:pt idx="965">
                  <c:v>3004.4799800000001</c:v>
                </c:pt>
                <c:pt idx="966">
                  <c:v>3048.4099120000001</c:v>
                </c:pt>
                <c:pt idx="967">
                  <c:v>3241.1599120000001</c:v>
                </c:pt>
                <c:pt idx="968">
                  <c:v>3322</c:v>
                </c:pt>
                <c:pt idx="969">
                  <c:v>3311.3701169999999</c:v>
                </c:pt>
                <c:pt idx="970">
                  <c:v>3143.73999</c:v>
                </c:pt>
                <c:pt idx="971">
                  <c:v>3035.0200199999999</c:v>
                </c:pt>
                <c:pt idx="972">
                  <c:v>3137.389893</c:v>
                </c:pt>
                <c:pt idx="973">
                  <c:v>3110.280029</c:v>
                </c:pt>
                <c:pt idx="974">
                  <c:v>3128.8100589999999</c:v>
                </c:pt>
                <c:pt idx="975">
                  <c:v>3131.0600589999999</c:v>
                </c:pt>
                <c:pt idx="976">
                  <c:v>3135.6599120000001</c:v>
                </c:pt>
                <c:pt idx="977">
                  <c:v>3105.459961</c:v>
                </c:pt>
                <c:pt idx="978">
                  <c:v>3117.0200199999999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46-40A0-AEBD-2D265DED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211128"/>
        <c:axId val="912225088"/>
      </c:lineChart>
      <c:catAx>
        <c:axId val="852211128"/>
        <c:scaling>
          <c:orientation val="minMax"/>
        </c:scaling>
        <c:delete val="0"/>
        <c:axPos val="b"/>
        <c:numFmt formatCode="[$-809]dd\ mmmm\ yy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25088"/>
        <c:crosses val="autoZero"/>
        <c:auto val="0"/>
        <c:lblAlgn val="ctr"/>
        <c:lblOffset val="100"/>
        <c:tickMarkSkip val="47"/>
        <c:noMultiLvlLbl val="0"/>
      </c:catAx>
      <c:valAx>
        <c:axId val="912225088"/>
        <c:scaling>
          <c:orientation val="minMax"/>
        </c:scaling>
        <c:delete val="0"/>
        <c:axPos val="l"/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211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Scenarios!$I$14" fmlaRange="Scenarios!$C$14:$C$16" noThreeD="1" sel="1" val="0"/>
</file>

<file path=xl/ctrlProps/ctrlProp2.xml><?xml version="1.0" encoding="utf-8"?>
<formControlPr xmlns="http://schemas.microsoft.com/office/spreadsheetml/2009/9/main" objectType="Drop" dropStyle="combo" dx="16" fmlaLink="Scenarios!$I$14" fmlaRange="Scenarios!$C$14:$C$16" noThreeD="1" sel="1" val="0"/>
</file>

<file path=xl/ctrlProps/ctrlProp3.xml><?xml version="1.0" encoding="utf-8"?>
<formControlPr xmlns="http://schemas.microsoft.com/office/spreadsheetml/2009/9/main" objectType="Drop" dropStyle="combo" dx="16" fmlaLink="Scenarios!$I$14" fmlaRange="Scenarios!$C$14:$C$16" noThreeD="1" sel="1" val="0"/>
</file>

<file path=xl/ctrlProps/ctrlProp4.xml><?xml version="1.0" encoding="utf-8"?>
<formControlPr xmlns="http://schemas.microsoft.com/office/spreadsheetml/2009/9/main" objectType="Drop" dropStyle="combo" dx="16" fmlaLink="$I$14" fmlaRange="$C$14:$C$16" noThreeD="1" sel="1" val="0"/>
</file>

<file path=xl/ctrlProps/ctrlProp5.xml><?xml version="1.0" encoding="utf-8"?>
<formControlPr xmlns="http://schemas.microsoft.com/office/spreadsheetml/2009/9/main" objectType="Drop" dropStyle="combo" dx="16" fmlaLink="Scenarios!$I$14" fmlaRange="Scenarios!$C$14:$C$16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440532</xdr:colOff>
      <xdr:row>20</xdr:row>
      <xdr:rowOff>6350</xdr:rowOff>
    </xdr:from>
    <xdr:to>
      <xdr:col>26</xdr:col>
      <xdr:colOff>154781</xdr:colOff>
      <xdr:row>32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670295</xdr:colOff>
      <xdr:row>34</xdr:row>
      <xdr:rowOff>28045</xdr:rowOff>
    </xdr:from>
    <xdr:to>
      <xdr:col>25</xdr:col>
      <xdr:colOff>400579</xdr:colOff>
      <xdr:row>46</xdr:row>
      <xdr:rowOff>203200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539325</xdr:colOff>
      <xdr:row>40</xdr:row>
      <xdr:rowOff>3597</xdr:rowOff>
    </xdr:from>
    <xdr:to>
      <xdr:col>24</xdr:col>
      <xdr:colOff>497627</xdr:colOff>
      <xdr:row>40</xdr:row>
      <xdr:rowOff>16544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 bwMode="auto">
        <a:xfrm flipV="1">
          <a:off x="10978725" y="8404647"/>
          <a:ext cx="4330277" cy="129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cap="flat" cmpd="sng" algn="ctr">
          <a:solidFill>
            <a:srgbClr val="FA621C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501067</xdr:colOff>
      <xdr:row>38</xdr:row>
      <xdr:rowOff>167691</xdr:rowOff>
    </xdr:from>
    <xdr:to>
      <xdr:col>24</xdr:col>
      <xdr:colOff>453654</xdr:colOff>
      <xdr:row>38</xdr:row>
      <xdr:rowOff>168363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13693192" y="8311566"/>
          <a:ext cx="4405525" cy="67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cap="flat" cmpd="sng" algn="ctr">
          <a:solidFill>
            <a:srgbClr val="132E57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471646</xdr:colOff>
      <xdr:row>39</xdr:row>
      <xdr:rowOff>4442</xdr:rowOff>
    </xdr:from>
    <xdr:to>
      <xdr:col>28</xdr:col>
      <xdr:colOff>2540</xdr:colOff>
      <xdr:row>40</xdr:row>
      <xdr:rowOff>188486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021209" y="8374536"/>
          <a:ext cx="1066800" cy="398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>
              <a:solidFill>
                <a:srgbClr val="FA621C"/>
              </a:solidFill>
            </a:rPr>
            <a:t>Average = 2,874</a:t>
          </a:r>
        </a:p>
      </xdr:txBody>
    </xdr:sp>
    <xdr:clientData/>
  </xdr:twoCellAnchor>
  <xdr:twoCellAnchor>
    <xdr:from>
      <xdr:col>24</xdr:col>
      <xdr:colOff>459741</xdr:colOff>
      <xdr:row>38</xdr:row>
      <xdr:rowOff>38943</xdr:rowOff>
    </xdr:from>
    <xdr:to>
      <xdr:col>27</xdr:col>
      <xdr:colOff>72391</xdr:colOff>
      <xdr:row>39</xdr:row>
      <xdr:rowOff>150703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8104804" y="8182818"/>
          <a:ext cx="1136650" cy="326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>
              <a:solidFill>
                <a:srgbClr val="132E57"/>
              </a:solidFill>
            </a:rPr>
            <a:t>Current</a:t>
          </a:r>
          <a:r>
            <a:rPr lang="en-CA" sz="900" baseline="0">
              <a:solidFill>
                <a:srgbClr val="132E57"/>
              </a:solidFill>
            </a:rPr>
            <a:t> = 3,118</a:t>
          </a:r>
          <a:endParaRPr lang="en-CA" sz="900">
            <a:solidFill>
              <a:srgbClr val="132E57"/>
            </a:solidFill>
          </a:endParaRPr>
        </a:p>
      </xdr:txBody>
    </xdr:sp>
    <xdr:clientData/>
  </xdr:twoCellAnchor>
  <xdr:twoCellAnchor>
    <xdr:from>
      <xdr:col>2</xdr:col>
      <xdr:colOff>23280</xdr:colOff>
      <xdr:row>34</xdr:row>
      <xdr:rowOff>17634</xdr:rowOff>
    </xdr:from>
    <xdr:to>
      <xdr:col>8</xdr:col>
      <xdr:colOff>14816</xdr:colOff>
      <xdr:row>47</xdr:row>
      <xdr:rowOff>16297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24766</xdr:colOff>
      <xdr:row>34</xdr:row>
      <xdr:rowOff>6349</xdr:rowOff>
    </xdr:from>
    <xdr:to>
      <xdr:col>15</xdr:col>
      <xdr:colOff>540385</xdr:colOff>
      <xdr:row>47</xdr:row>
      <xdr:rowOff>1480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31750</xdr:colOff>
      <xdr:row>1</xdr:row>
      <xdr:rowOff>120650</xdr:rowOff>
    </xdr:from>
    <xdr:to>
      <xdr:col>2</xdr:col>
      <xdr:colOff>1158240</xdr:colOff>
      <xdr:row>3</xdr:row>
      <xdr:rowOff>138018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563" y="334963"/>
          <a:ext cx="1126490" cy="445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678180</xdr:colOff>
          <xdr:row>1</xdr:row>
          <xdr:rowOff>198120</xdr:rowOff>
        </xdr:from>
        <xdr:to>
          <xdr:col>18</xdr:col>
          <xdr:colOff>236220</xdr:colOff>
          <xdr:row>2</xdr:row>
          <xdr:rowOff>198120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0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2362200</xdr:colOff>
          <xdr:row>2</xdr:row>
          <xdr:rowOff>83820</xdr:rowOff>
        </xdr:from>
        <xdr:to>
          <xdr:col>3</xdr:col>
          <xdr:colOff>441960</xdr:colOff>
          <xdr:row>3</xdr:row>
          <xdr:rowOff>121920</xdr:rowOff>
        </xdr:to>
        <xdr:sp macro="" textlink="">
          <xdr:nvSpPr>
            <xdr:cNvPr id="5131" name="Drop Down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1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114776</xdr:colOff>
      <xdr:row>2</xdr:row>
      <xdr:rowOff>43339</xdr:rowOff>
    </xdr:from>
    <xdr:to>
      <xdr:col>19</xdr:col>
      <xdr:colOff>369094</xdr:colOff>
      <xdr:row>12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309561</xdr:colOff>
      <xdr:row>15</xdr:row>
      <xdr:rowOff>21433</xdr:rowOff>
    </xdr:from>
    <xdr:to>
      <xdr:col>19</xdr:col>
      <xdr:colOff>571499</xdr:colOff>
      <xdr:row>30</xdr:row>
      <xdr:rowOff>61914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2057400</xdr:colOff>
          <xdr:row>0</xdr:row>
          <xdr:rowOff>30480</xdr:rowOff>
        </xdr:from>
        <xdr:to>
          <xdr:col>0</xdr:col>
          <xdr:colOff>4411980</xdr:colOff>
          <xdr:row>2</xdr:row>
          <xdr:rowOff>7620</xdr:rowOff>
        </xdr:to>
        <xdr:sp macro="" textlink="">
          <xdr:nvSpPr>
            <xdr:cNvPr id="2086" name="Drop Down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244248</xdr:colOff>
      <xdr:row>78</xdr:row>
      <xdr:rowOff>176212</xdr:rowOff>
    </xdr:from>
    <xdr:to>
      <xdr:col>16</xdr:col>
      <xdr:colOff>416223</xdr:colOff>
      <xdr:row>89</xdr:row>
      <xdr:rowOff>140137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/>
  </xdr:twoCellAnchor>
  <xdr:twoCellAnchor>
    <xdr:from>
      <xdr:col>11</xdr:col>
      <xdr:colOff>892969</xdr:colOff>
      <xdr:row>75</xdr:row>
      <xdr:rowOff>71446</xdr:rowOff>
    </xdr:from>
    <xdr:to>
      <xdr:col>17</xdr:col>
      <xdr:colOff>202407</xdr:colOff>
      <xdr:row>89</xdr:row>
      <xdr:rowOff>111927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59531</xdr:colOff>
      <xdr:row>82</xdr:row>
      <xdr:rowOff>0</xdr:rowOff>
    </xdr:from>
    <xdr:to>
      <xdr:col>13</xdr:col>
      <xdr:colOff>511969</xdr:colOff>
      <xdr:row>85</xdr:row>
      <xdr:rowOff>35718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16299656" y="15680531"/>
          <a:ext cx="1131094" cy="6310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454594</xdr:colOff>
      <xdr:row>79</xdr:row>
      <xdr:rowOff>157802</xdr:rowOff>
    </xdr:from>
    <xdr:to>
      <xdr:col>14</xdr:col>
      <xdr:colOff>428774</xdr:colOff>
      <xdr:row>81</xdr:row>
      <xdr:rowOff>86167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 rot="19827933">
          <a:off x="17373375" y="15266833"/>
          <a:ext cx="1093368" cy="309365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>
              <a:solidFill>
                <a:sysClr val="windowText" lastClr="000000"/>
              </a:solidFill>
            </a:rPr>
            <a:t>30% CAGR</a:t>
          </a:r>
        </a:p>
      </xdr:txBody>
    </xdr:sp>
    <xdr:clientData/>
  </xdr:twoCellAnchor>
  <xdr:twoCellAnchor>
    <xdr:from>
      <xdr:col>14</xdr:col>
      <xdr:colOff>393457</xdr:colOff>
      <xdr:row>76</xdr:row>
      <xdr:rowOff>154781</xdr:rowOff>
    </xdr:from>
    <xdr:to>
      <xdr:col>16</xdr:col>
      <xdr:colOff>35719</xdr:colOff>
      <xdr:row>79</xdr:row>
      <xdr:rowOff>78718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18431426" y="14680406"/>
          <a:ext cx="928137" cy="507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3124200</xdr:colOff>
          <xdr:row>0</xdr:row>
          <xdr:rowOff>106680</xdr:rowOff>
        </xdr:from>
        <xdr:to>
          <xdr:col>1</xdr:col>
          <xdr:colOff>0</xdr:colOff>
          <xdr:row>1</xdr:row>
          <xdr:rowOff>160020</xdr:rowOff>
        </xdr:to>
        <xdr:sp macro="" textlink="">
          <xdr:nvSpPr>
            <xdr:cNvPr id="10269" name="Drop Down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3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464820</xdr:colOff>
          <xdr:row>1</xdr:row>
          <xdr:rowOff>7620</xdr:rowOff>
        </xdr:from>
        <xdr:to>
          <xdr:col>5</xdr:col>
          <xdr:colOff>312420</xdr:colOff>
          <xdr:row>2</xdr:row>
          <xdr:rowOff>99060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607219</xdr:colOff>
      <xdr:row>65</xdr:row>
      <xdr:rowOff>104775</xdr:rowOff>
    </xdr:from>
    <xdr:to>
      <xdr:col>8</xdr:col>
      <xdr:colOff>1297781</xdr:colOff>
      <xdr:row>80</xdr:row>
      <xdr:rowOff>121444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133351</xdr:rowOff>
    </xdr:from>
    <xdr:to>
      <xdr:col>6</xdr:col>
      <xdr:colOff>171450</xdr:colOff>
      <xdr:row>15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295275</xdr:colOff>
      <xdr:row>21</xdr:row>
      <xdr:rowOff>114300</xdr:rowOff>
    </xdr:from>
    <xdr:to>
      <xdr:col>6</xdr:col>
      <xdr:colOff>212475</xdr:colOff>
      <xdr:row>33</xdr:row>
      <xdr:rowOff>102600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619125</xdr:colOff>
      <xdr:row>2</xdr:row>
      <xdr:rowOff>66676</xdr:rowOff>
    </xdr:from>
    <xdr:to>
      <xdr:col>12</xdr:col>
      <xdr:colOff>628650</xdr:colOff>
      <xdr:row>16</xdr:row>
      <xdr:rowOff>78584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21</xdr:row>
      <xdr:rowOff>152400</xdr:rowOff>
    </xdr:from>
    <xdr:to>
      <xdr:col>12</xdr:col>
      <xdr:colOff>450600</xdr:colOff>
      <xdr:row>33</xdr:row>
      <xdr:rowOff>140700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19050</xdr:colOff>
      <xdr:row>22</xdr:row>
      <xdr:rowOff>47625</xdr:rowOff>
    </xdr:from>
    <xdr:to>
      <xdr:col>18</xdr:col>
      <xdr:colOff>9524</xdr:colOff>
      <xdr:row>34</xdr:row>
      <xdr:rowOff>35925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66675</xdr:colOff>
      <xdr:row>3</xdr:row>
      <xdr:rowOff>19050</xdr:rowOff>
    </xdr:from>
    <xdr:to>
      <xdr:col>17</xdr:col>
      <xdr:colOff>554264</xdr:colOff>
      <xdr:row>12</xdr:row>
      <xdr:rowOff>32137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285750</xdr:colOff>
      <xdr:row>36</xdr:row>
      <xdr:rowOff>9525</xdr:rowOff>
    </xdr:from>
    <xdr:to>
      <xdr:col>4</xdr:col>
      <xdr:colOff>495300</xdr:colOff>
      <xdr:row>44</xdr:row>
      <xdr:rowOff>133169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28575</xdr:colOff>
      <xdr:row>35</xdr:row>
      <xdr:rowOff>180975</xdr:rowOff>
    </xdr:from>
    <xdr:to>
      <xdr:col>11</xdr:col>
      <xdr:colOff>495395</xdr:colOff>
      <xdr:row>44</xdr:row>
      <xdr:rowOff>158475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57149</xdr:colOff>
      <xdr:row>35</xdr:row>
      <xdr:rowOff>171450</xdr:rowOff>
    </xdr:from>
    <xdr:to>
      <xdr:col>17</xdr:col>
      <xdr:colOff>485774</xdr:colOff>
      <xdr:row>44</xdr:row>
      <xdr:rowOff>106650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266700</xdr:colOff>
      <xdr:row>59</xdr:row>
      <xdr:rowOff>14287</xdr:rowOff>
    </xdr:from>
    <xdr:to>
      <xdr:col>8</xdr:col>
      <xdr:colOff>1295400</xdr:colOff>
      <xdr:row>73</xdr:row>
      <xdr:rowOff>90487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118110</xdr:rowOff>
    </xdr:from>
    <xdr:to>
      <xdr:col>5</xdr:col>
      <xdr:colOff>847724</xdr:colOff>
      <xdr:row>23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0.36317</cdr:x>
      <cdr:y>0.0622</cdr:y>
    </cdr:from>
    <cdr:to>
      <cdr:x>0.8308</cdr:x>
      <cdr:y>0.14037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35231" y="119671"/>
          <a:ext cx="1719312" cy="1504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/>
            <a:t>Source:Bloomberg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220132</xdr:colOff>
      <xdr:row>10</xdr:row>
      <xdr:rowOff>127000</xdr:rowOff>
    </xdr:from>
    <xdr:to>
      <xdr:col>18</xdr:col>
      <xdr:colOff>567267</xdr:colOff>
      <xdr:row>29</xdr:row>
      <xdr:rowOff>135467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4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E8496"/>
    <pageSetUpPr fitToPage="1"/>
  </sheetPr>
  <dimension ref="B1:AC65"/>
  <sheetViews>
    <sheetView showGridLines="0" topLeftCell="A7" zoomScale="80" zoomScaleNormal="80" workbookViewId="0">
      <selection activeCell="AF18" sqref="AF18"/>
    </sheetView>
  </sheetViews>
  <sheetFormatPr defaultColWidth="9" defaultRowHeight="13.8"/>
  <cols>
    <col min="1" max="2" width="3" style="231" customWidth="1"/>
    <col min="3" max="3" width="28" style="231" customWidth="1"/>
    <col min="4" max="4" width="9.44140625" style="231" customWidth="1"/>
    <col min="5" max="5" width="15.44140625" style="231" customWidth="1"/>
    <col min="6" max="7" width="11.109375" style="231" bestFit="1" customWidth="1"/>
    <col min="8" max="8" width="13.88671875" style="231" customWidth="1"/>
    <col min="9" max="9" width="12.109375" style="231" bestFit="1" customWidth="1"/>
    <col min="10" max="10" width="17.44140625" style="231" customWidth="1"/>
    <col min="11" max="11" width="10.33203125" style="231" customWidth="1"/>
    <col min="12" max="13" width="8.44140625" style="231" customWidth="1"/>
    <col min="14" max="14" width="8.109375" style="231" customWidth="1"/>
    <col min="15" max="15" width="8.44140625" style="231" customWidth="1"/>
    <col min="16" max="16" width="7.109375" style="231" customWidth="1"/>
    <col min="17" max="17" width="12" style="231" bestFit="1" customWidth="1"/>
    <col min="18" max="18" width="8.44140625" style="231" customWidth="1"/>
    <col min="19" max="19" width="8" style="231" customWidth="1"/>
    <col min="20" max="20" width="6.88671875" style="231" customWidth="1"/>
    <col min="21" max="21" width="7.88671875" style="231" customWidth="1"/>
    <col min="22" max="22" width="12.44140625" style="231" bestFit="1" customWidth="1"/>
    <col min="23" max="23" width="10.33203125" style="231" bestFit="1" customWidth="1"/>
    <col min="24" max="24" width="11.109375" style="231" bestFit="1" customWidth="1"/>
    <col min="25" max="25" width="10.6640625" style="231" bestFit="1" customWidth="1"/>
    <col min="26" max="26" width="8.44140625" style="231" customWidth="1"/>
    <col min="27" max="28" width="3" style="231" customWidth="1"/>
    <col min="29" max="16384" width="9" style="231"/>
  </cols>
  <sheetData>
    <row r="1" spans="2:29" ht="14.4" thickBot="1"/>
    <row r="2" spans="2:29" ht="14.4" thickTop="1">
      <c r="B2" s="232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4"/>
    </row>
    <row r="3" spans="2:29">
      <c r="B3" s="235"/>
      <c r="E3" s="236" t="s">
        <v>300</v>
      </c>
      <c r="H3" s="236" t="s">
        <v>301</v>
      </c>
      <c r="J3" s="278" t="s">
        <v>353</v>
      </c>
      <c r="L3" s="236" t="s">
        <v>302</v>
      </c>
      <c r="M3" s="237">
        <f>E9</f>
        <v>4673.8504464781372</v>
      </c>
      <c r="P3" s="236" t="s">
        <v>303</v>
      </c>
      <c r="T3" s="238"/>
      <c r="U3" s="236" t="s">
        <v>304</v>
      </c>
      <c r="V3" s="239" t="s">
        <v>362</v>
      </c>
      <c r="AA3" s="240"/>
    </row>
    <row r="4" spans="2:29">
      <c r="B4" s="235"/>
      <c r="AA4" s="240"/>
    </row>
    <row r="5" spans="2:29" ht="14.4" thickBot="1">
      <c r="B5" s="235"/>
      <c r="C5" s="275" t="s">
        <v>305</v>
      </c>
      <c r="D5" s="276"/>
      <c r="E5" s="276"/>
      <c r="F5" s="276"/>
      <c r="G5" s="276"/>
      <c r="H5" s="277"/>
      <c r="I5" s="276"/>
      <c r="J5" s="276"/>
      <c r="K5" s="276"/>
      <c r="L5" s="276"/>
      <c r="M5" s="276"/>
      <c r="N5" s="275"/>
      <c r="O5" s="276"/>
      <c r="P5" s="276"/>
      <c r="Q5" s="276"/>
      <c r="R5" s="276"/>
      <c r="S5" s="277"/>
      <c r="T5" s="276"/>
      <c r="U5" s="276"/>
      <c r="V5" s="276"/>
      <c r="W5" s="276"/>
      <c r="X5" s="275"/>
      <c r="Y5" s="276"/>
      <c r="Z5" s="276"/>
      <c r="AA5" s="240"/>
    </row>
    <row r="6" spans="2:29" ht="18.600000000000001" customHeight="1">
      <c r="B6" s="235"/>
      <c r="C6" s="605" t="s">
        <v>306</v>
      </c>
      <c r="D6" s="606"/>
      <c r="E6" s="618"/>
      <c r="F6" s="330"/>
      <c r="H6" s="236" t="s">
        <v>307</v>
      </c>
      <c r="L6" s="330"/>
      <c r="N6" s="236" t="s">
        <v>308</v>
      </c>
      <c r="R6" s="330"/>
      <c r="T6" s="605" t="s">
        <v>309</v>
      </c>
      <c r="U6" s="606"/>
      <c r="V6" s="606"/>
      <c r="W6" s="607" t="s">
        <v>310</v>
      </c>
      <c r="X6" s="607" t="s">
        <v>311</v>
      </c>
      <c r="Y6" s="608" t="s">
        <v>312</v>
      </c>
      <c r="Z6" s="330"/>
      <c r="AA6" s="240"/>
    </row>
    <row r="7" spans="2:29" ht="14.4">
      <c r="B7" s="235"/>
      <c r="C7" s="609" t="s">
        <v>313</v>
      </c>
      <c r="D7" s="241"/>
      <c r="E7" s="619" t="s">
        <v>314</v>
      </c>
      <c r="F7" s="330"/>
      <c r="H7" s="241" t="s">
        <v>315</v>
      </c>
      <c r="I7" s="241"/>
      <c r="J7" s="242">
        <v>1125300</v>
      </c>
      <c r="K7" s="241"/>
      <c r="L7" s="330"/>
      <c r="N7" s="241" t="s">
        <v>316</v>
      </c>
      <c r="O7" s="241"/>
      <c r="P7" s="592"/>
      <c r="Q7" s="592">
        <f>'Financial Analysis'!B241</f>
        <v>509</v>
      </c>
      <c r="R7" s="330"/>
      <c r="T7" s="609" t="s">
        <v>317</v>
      </c>
      <c r="U7" s="241"/>
      <c r="V7" s="241"/>
      <c r="W7" s="243">
        <f>E8</f>
        <v>3118</v>
      </c>
      <c r="X7" s="243">
        <f>'Financial Analysis'!E256</f>
        <v>4673.8504464781372</v>
      </c>
      <c r="Y7" s="610">
        <f>'SOTP COMPS'!D58</f>
        <v>3005.4218185020359</v>
      </c>
      <c r="Z7" s="330"/>
      <c r="AA7" s="240"/>
    </row>
    <row r="8" spans="2:29" ht="14.4">
      <c r="B8" s="235"/>
      <c r="C8" s="611" t="s">
        <v>318</v>
      </c>
      <c r="D8" s="330"/>
      <c r="E8" s="620">
        <f>'Financial Analysis'!B242</f>
        <v>3118</v>
      </c>
      <c r="F8" s="330"/>
      <c r="H8" s="231" t="s">
        <v>319</v>
      </c>
      <c r="J8" s="244">
        <v>1994</v>
      </c>
      <c r="L8" s="330"/>
      <c r="N8" s="231" t="s">
        <v>320</v>
      </c>
      <c r="P8" s="593"/>
      <c r="Q8" s="245">
        <f>Q7*E8</f>
        <v>1587062</v>
      </c>
      <c r="R8" s="330"/>
      <c r="T8" s="611" t="s">
        <v>316</v>
      </c>
      <c r="U8" s="330"/>
      <c r="V8" s="330"/>
      <c r="W8" s="331">
        <f>Q7</f>
        <v>509</v>
      </c>
      <c r="X8" s="331">
        <f t="shared" ref="X8:Y10" si="0">W8</f>
        <v>509</v>
      </c>
      <c r="Y8" s="612">
        <f t="shared" si="0"/>
        <v>509</v>
      </c>
      <c r="Z8" s="330"/>
      <c r="AA8" s="240"/>
    </row>
    <row r="9" spans="2:29" ht="14.4">
      <c r="B9" s="235"/>
      <c r="C9" s="611" t="s">
        <v>321</v>
      </c>
      <c r="D9" s="330"/>
      <c r="E9" s="620">
        <f>'Financial Analysis'!E256</f>
        <v>4673.8504464781372</v>
      </c>
      <c r="H9" s="231" t="s">
        <v>322</v>
      </c>
      <c r="J9" s="231" t="s">
        <v>323</v>
      </c>
      <c r="L9" s="330"/>
      <c r="N9" s="231" t="s">
        <v>324</v>
      </c>
      <c r="P9" s="593"/>
      <c r="Q9" s="594">
        <v>0</v>
      </c>
      <c r="R9" s="330"/>
      <c r="T9" s="611" t="s">
        <v>325</v>
      </c>
      <c r="U9" s="330"/>
      <c r="V9" s="330"/>
      <c r="W9" s="331">
        <f>'SOTP COMPS'!E56</f>
        <v>27687</v>
      </c>
      <c r="X9" s="331">
        <f t="shared" si="0"/>
        <v>27687</v>
      </c>
      <c r="Y9" s="612">
        <f t="shared" si="0"/>
        <v>27687</v>
      </c>
      <c r="Z9" s="330"/>
      <c r="AA9" s="240"/>
    </row>
    <row r="10" spans="2:29" ht="14.4">
      <c r="B10" s="235"/>
      <c r="C10" s="611" t="s">
        <v>354</v>
      </c>
      <c r="D10" s="330"/>
      <c r="E10" s="621">
        <f>(E9/E8)-1</f>
        <v>0.49898988020466239</v>
      </c>
      <c r="H10" s="231" t="s">
        <v>326</v>
      </c>
      <c r="J10" s="231" t="s">
        <v>327</v>
      </c>
      <c r="L10" s="330"/>
      <c r="N10" s="231" t="s">
        <v>328</v>
      </c>
      <c r="P10" s="595">
        <f>'Share Price'!G7</f>
        <v>3531.4499510000001</v>
      </c>
      <c r="Q10" s="596">
        <f>'Share Price'!H7</f>
        <v>1676.6099850000001</v>
      </c>
      <c r="R10" s="330"/>
      <c r="T10" s="611" t="s">
        <v>95</v>
      </c>
      <c r="U10" s="330"/>
      <c r="V10" s="330"/>
      <c r="W10" s="332">
        <f>'SOTP COMPS'!F56</f>
        <v>0</v>
      </c>
      <c r="X10" s="332">
        <f t="shared" si="0"/>
        <v>0</v>
      </c>
      <c r="Y10" s="613">
        <f t="shared" si="0"/>
        <v>0</v>
      </c>
      <c r="Z10" s="330"/>
      <c r="AA10" s="240"/>
    </row>
    <row r="11" spans="2:29" ht="15" thickBot="1">
      <c r="B11" s="235"/>
      <c r="C11" s="614" t="s">
        <v>329</v>
      </c>
      <c r="D11" s="615"/>
      <c r="E11" s="622">
        <f>'Financial Analysis'!E260</f>
        <v>0.14939551949501037</v>
      </c>
      <c r="H11" s="231" t="s">
        <v>330</v>
      </c>
      <c r="J11" s="231" t="s">
        <v>331</v>
      </c>
      <c r="L11" s="330"/>
      <c r="N11" s="231" t="s">
        <v>332</v>
      </c>
      <c r="P11" s="593"/>
      <c r="Q11" s="248">
        <v>44196</v>
      </c>
      <c r="R11" s="330"/>
      <c r="T11" s="614" t="s">
        <v>96</v>
      </c>
      <c r="U11" s="615"/>
      <c r="V11" s="615"/>
      <c r="W11" s="616">
        <f>(W8*W7)+W9</f>
        <v>1614749</v>
      </c>
      <c r="X11" s="616">
        <f>(X8*X7)+X9</f>
        <v>2406676.8772573718</v>
      </c>
      <c r="Y11" s="617">
        <f>(Y8*Y7)+Y9</f>
        <v>1557446.7056175363</v>
      </c>
      <c r="Z11" s="330"/>
      <c r="AA11" s="240"/>
    </row>
    <row r="12" spans="2:29">
      <c r="B12" s="235"/>
      <c r="AA12" s="240"/>
    </row>
    <row r="13" spans="2:29">
      <c r="B13" s="235"/>
      <c r="C13" s="602" t="s">
        <v>333</v>
      </c>
      <c r="D13" s="603"/>
      <c r="E13" s="604">
        <f>'Financial Analysis'!E3</f>
        <v>2020</v>
      </c>
      <c r="F13" s="604">
        <f>'Financial Analysis'!F3</f>
        <v>2021</v>
      </c>
      <c r="G13" s="604">
        <f>'Financial Analysis'!G3</f>
        <v>2022</v>
      </c>
      <c r="H13" s="604">
        <f>'Financial Analysis'!H3</f>
        <v>2023</v>
      </c>
      <c r="I13" s="604">
        <f>'Financial Analysis'!I3</f>
        <v>2024</v>
      </c>
      <c r="J13" s="604">
        <f>'Financial Analysis'!J3</f>
        <v>2025</v>
      </c>
      <c r="K13" s="273"/>
      <c r="L13" s="272"/>
      <c r="M13" s="272"/>
      <c r="N13" s="272"/>
      <c r="O13" s="272"/>
      <c r="P13" s="272"/>
      <c r="R13" s="250" t="s">
        <v>334</v>
      </c>
      <c r="S13" s="250"/>
      <c r="T13" s="250"/>
      <c r="V13" s="251" t="s">
        <v>335</v>
      </c>
      <c r="W13" s="251" t="s">
        <v>336</v>
      </c>
      <c r="X13" s="251" t="s">
        <v>337</v>
      </c>
      <c r="Y13" s="251" t="s">
        <v>338</v>
      </c>
      <c r="Z13" s="251"/>
      <c r="AA13" s="240"/>
    </row>
    <row r="14" spans="2:29">
      <c r="B14" s="235"/>
      <c r="C14" s="601" t="s">
        <v>357</v>
      </c>
      <c r="D14" s="330"/>
      <c r="E14" s="330"/>
      <c r="F14" s="330"/>
      <c r="G14" s="330"/>
      <c r="H14" s="330"/>
      <c r="I14" s="330"/>
      <c r="J14" s="330"/>
      <c r="R14" s="250" t="s">
        <v>339</v>
      </c>
      <c r="S14" s="250"/>
      <c r="T14" s="250"/>
      <c r="V14" s="252">
        <v>2302.4850342362247</v>
      </c>
      <c r="W14" s="252">
        <f>V14</f>
        <v>2302.4850342362247</v>
      </c>
      <c r="X14" s="252">
        <v>4764.7052341222116</v>
      </c>
      <c r="Y14" s="252">
        <f>X14</f>
        <v>4764.7052341222116</v>
      </c>
      <c r="Z14" s="253"/>
      <c r="AA14" s="240"/>
      <c r="AC14" s="254"/>
    </row>
    <row r="15" spans="2:29">
      <c r="B15" s="235"/>
      <c r="C15" s="330" t="s">
        <v>340</v>
      </c>
      <c r="D15" s="330"/>
      <c r="E15" s="567">
        <f>'Market Size'!F34</f>
        <v>0.28613830830256315</v>
      </c>
      <c r="F15" s="567">
        <f>'Market Size'!G34</f>
        <v>0.30868413680853374</v>
      </c>
      <c r="G15" s="567">
        <f>'Market Size'!H34</f>
        <v>0.33635703755617152</v>
      </c>
      <c r="H15" s="567">
        <f>'Market Size'!I34</f>
        <v>0.36756095697024438</v>
      </c>
      <c r="I15" s="567">
        <f>'Market Size'!J34</f>
        <v>0.40147432723638826</v>
      </c>
      <c r="J15" s="567">
        <f>'Market Size'!K34</f>
        <v>0.43557667635066899</v>
      </c>
      <c r="K15" s="255"/>
      <c r="L15" s="255"/>
      <c r="M15" s="255"/>
      <c r="N15" s="255"/>
      <c r="O15" s="255"/>
      <c r="P15" s="255"/>
      <c r="R15" s="250" t="s">
        <v>341</v>
      </c>
      <c r="S15" s="250"/>
      <c r="T15" s="250"/>
      <c r="V15" s="252">
        <v>2570.5274498561371</v>
      </c>
      <c r="W15" s="252">
        <f t="shared" ref="W15:W18" si="1">V15</f>
        <v>2570.5274498561371</v>
      </c>
      <c r="X15" s="252">
        <v>5351.6382785445358</v>
      </c>
      <c r="Y15" s="252">
        <f t="shared" ref="Y15:Y18" si="2">X15</f>
        <v>5351.6382785445358</v>
      </c>
      <c r="Z15" s="253"/>
      <c r="AA15" s="240"/>
    </row>
    <row r="16" spans="2:29">
      <c r="B16" s="235"/>
      <c r="C16" s="330" t="s">
        <v>342</v>
      </c>
      <c r="D16" s="330"/>
      <c r="E16" s="567">
        <f>'Market Size'!F35</f>
        <v>2.9396683349770535E-2</v>
      </c>
      <c r="F16" s="567">
        <f>'Market Size'!G35</f>
        <v>3.7056992950972714E-2</v>
      </c>
      <c r="G16" s="567">
        <f>'Market Size'!H35</f>
        <v>4.4223740034189538E-2</v>
      </c>
      <c r="H16" s="567">
        <f>'Market Size'!I35</f>
        <v>5.0681820956622041E-2</v>
      </c>
      <c r="I16" s="567">
        <f>'Market Size'!J35</f>
        <v>5.5372698962843386E-2</v>
      </c>
      <c r="J16" s="567">
        <f>'Market Size'!K35</f>
        <v>5.8818524029975956E-2</v>
      </c>
      <c r="K16" s="255"/>
      <c r="L16" s="255"/>
      <c r="M16" s="255"/>
      <c r="N16" s="255"/>
      <c r="O16" s="255"/>
      <c r="P16" s="255"/>
      <c r="R16" s="250" t="s">
        <v>343</v>
      </c>
      <c r="S16" s="250"/>
      <c r="T16" s="250"/>
      <c r="V16" s="252">
        <v>985.04330079032252</v>
      </c>
      <c r="W16" s="252">
        <f t="shared" si="1"/>
        <v>985.04330079032252</v>
      </c>
      <c r="X16" s="252">
        <v>1937.0034768620492</v>
      </c>
      <c r="Y16" s="252">
        <f t="shared" si="2"/>
        <v>1937.0034768620492</v>
      </c>
      <c r="Z16" s="253"/>
      <c r="AA16" s="240"/>
    </row>
    <row r="17" spans="2:27">
      <c r="B17" s="235"/>
      <c r="C17" s="330" t="s">
        <v>344</v>
      </c>
      <c r="D17" s="330"/>
      <c r="E17" s="567">
        <f>'Market Size'!F36</f>
        <v>0.1554520003869008</v>
      </c>
      <c r="F17" s="567">
        <f>'Market Size'!G36</f>
        <v>0.16525637709372512</v>
      </c>
      <c r="G17" s="567">
        <f>'Market Size'!H36</f>
        <v>0.16634300652910025</v>
      </c>
      <c r="H17" s="567">
        <f>'Market Size'!I36</f>
        <v>0.16554361251873148</v>
      </c>
      <c r="I17" s="567">
        <f>'Market Size'!J36</f>
        <v>0.27203982184606829</v>
      </c>
      <c r="J17" s="567">
        <f>'Market Size'!K36</f>
        <v>0.26589366977390072</v>
      </c>
      <c r="K17" s="255"/>
      <c r="L17" s="255"/>
      <c r="M17" s="255"/>
      <c r="N17" s="255"/>
      <c r="O17" s="255"/>
      <c r="P17" s="255"/>
      <c r="R17" s="250" t="s">
        <v>312</v>
      </c>
      <c r="S17" s="250"/>
      <c r="T17" s="250"/>
      <c r="V17" s="252">
        <v>2529.826888804067</v>
      </c>
      <c r="W17" s="252">
        <f t="shared" si="1"/>
        <v>2529.826888804067</v>
      </c>
      <c r="X17" s="252">
        <v>3088.2828219186645</v>
      </c>
      <c r="Y17" s="252">
        <f t="shared" si="2"/>
        <v>3088.2828219186645</v>
      </c>
      <c r="Z17" s="253"/>
      <c r="AA17" s="240"/>
    </row>
    <row r="18" spans="2:27">
      <c r="B18" s="235"/>
      <c r="C18" s="330"/>
      <c r="D18" s="330"/>
      <c r="E18" s="568"/>
      <c r="F18" s="568"/>
      <c r="G18" s="568"/>
      <c r="H18" s="568"/>
      <c r="I18" s="568"/>
      <c r="J18" s="568"/>
      <c r="R18" s="250" t="s">
        <v>328</v>
      </c>
      <c r="S18" s="250"/>
      <c r="T18" s="250"/>
      <c r="V18" s="252">
        <f>P10</f>
        <v>3531.4499510000001</v>
      </c>
      <c r="W18" s="252">
        <f t="shared" si="1"/>
        <v>3531.4499510000001</v>
      </c>
      <c r="X18" s="252">
        <f>Q10</f>
        <v>1676.6099850000001</v>
      </c>
      <c r="Y18" s="252">
        <f t="shared" si="2"/>
        <v>1676.6099850000001</v>
      </c>
      <c r="Z18" s="253"/>
      <c r="AA18" s="240"/>
    </row>
    <row r="19" spans="2:27" ht="14.4">
      <c r="B19" s="235"/>
      <c r="C19" s="330" t="s">
        <v>104</v>
      </c>
      <c r="D19" s="330"/>
      <c r="E19" s="569">
        <f>'Financial Analysis'!E76</f>
        <v>372291.26353724505</v>
      </c>
      <c r="F19" s="569">
        <f>'Financial Analysis'!F76</f>
        <v>443181.30749246554</v>
      </c>
      <c r="G19" s="569">
        <f>'Financial Analysis'!G76</f>
        <v>520906.5639798888</v>
      </c>
      <c r="H19" s="569">
        <f>'Financial Analysis'!H76</f>
        <v>600317.2834167832</v>
      </c>
      <c r="I19" s="569">
        <f>'Financial Analysis'!I76</f>
        <v>750564.23162077204</v>
      </c>
      <c r="J19" s="569">
        <f>'Financial Analysis'!J76</f>
        <v>846588.26226960053</v>
      </c>
      <c r="K19" s="249"/>
      <c r="L19" s="249"/>
      <c r="M19" s="249"/>
      <c r="N19" s="249"/>
      <c r="O19" s="249"/>
      <c r="P19" s="249"/>
      <c r="AA19" s="240"/>
    </row>
    <row r="20" spans="2:27" ht="14.4">
      <c r="B20" s="235"/>
      <c r="C20" s="330" t="s">
        <v>345</v>
      </c>
      <c r="D20" s="330"/>
      <c r="E20" s="569">
        <f>'Financial Analysis'!E219</f>
        <v>53144.077122304683</v>
      </c>
      <c r="F20" s="569">
        <f>'Financial Analysis'!F219</f>
        <v>76243.729738425274</v>
      </c>
      <c r="G20" s="569">
        <f>'Financial Analysis'!G219</f>
        <v>102514.49709000639</v>
      </c>
      <c r="H20" s="569">
        <f>'Financial Analysis'!H219</f>
        <v>127526.86028017888</v>
      </c>
      <c r="I20" s="569">
        <f>'Financial Analysis'!I219</f>
        <v>165798.72608873493</v>
      </c>
      <c r="J20" s="569">
        <f>'Financial Analysis'!J219</f>
        <v>197611.18472868617</v>
      </c>
      <c r="K20" s="249"/>
      <c r="L20" s="249"/>
      <c r="M20" s="249"/>
      <c r="N20" s="249"/>
      <c r="O20" s="249"/>
      <c r="P20" s="249"/>
      <c r="R20" s="279" t="s">
        <v>346</v>
      </c>
      <c r="S20" s="280"/>
      <c r="T20" s="280"/>
      <c r="U20" s="280"/>
      <c r="V20" s="280"/>
      <c r="W20" s="280"/>
      <c r="X20" s="280"/>
      <c r="Y20" s="280"/>
      <c r="Z20" s="280"/>
      <c r="AA20" s="240"/>
    </row>
    <row r="21" spans="2:27" ht="14.4">
      <c r="B21" s="235"/>
      <c r="C21" s="330" t="s">
        <v>19</v>
      </c>
      <c r="D21" s="330"/>
      <c r="E21" s="569">
        <f>'Financial Analysis'!E93</f>
        <v>16373.846352337734</v>
      </c>
      <c r="F21" s="569">
        <f>'Financial Analysis'!F93</f>
        <v>18929.422219905646</v>
      </c>
      <c r="G21" s="569">
        <f>'Financial Analysis'!G93</f>
        <v>27210.590679924113</v>
      </c>
      <c r="H21" s="569">
        <f>'Financial Analysis'!H93</f>
        <v>34744.35842757803</v>
      </c>
      <c r="I21" s="569">
        <f>'Financial Analysis'!I93</f>
        <v>50125.807247685778</v>
      </c>
      <c r="J21" s="569">
        <f>'Financial Analysis'!J93</f>
        <v>60614.038550065452</v>
      </c>
      <c r="K21" s="249"/>
      <c r="L21" s="249"/>
      <c r="M21" s="249"/>
      <c r="N21" s="249"/>
      <c r="O21" s="249"/>
      <c r="P21" s="249"/>
      <c r="R21" s="256"/>
      <c r="S21" s="257"/>
      <c r="T21" s="257"/>
      <c r="U21" s="257"/>
      <c r="V21" s="257"/>
      <c r="W21" s="257"/>
      <c r="X21" s="257"/>
      <c r="Y21" s="257"/>
      <c r="AA21" s="240"/>
    </row>
    <row r="22" spans="2:27" ht="14.4">
      <c r="B22" s="235"/>
      <c r="C22" s="330" t="s">
        <v>347</v>
      </c>
      <c r="D22" s="330"/>
      <c r="E22" s="570">
        <f>E21/E19</f>
        <v>4.3981280132026651E-2</v>
      </c>
      <c r="F22" s="570">
        <f t="shared" ref="F22:J22" si="3">F21/F19</f>
        <v>4.2712591663689382E-2</v>
      </c>
      <c r="G22" s="570">
        <f t="shared" si="3"/>
        <v>5.2236989436314073E-2</v>
      </c>
      <c r="H22" s="570">
        <f t="shared" si="3"/>
        <v>5.7876658539341125E-2</v>
      </c>
      <c r="I22" s="570">
        <f t="shared" si="3"/>
        <v>6.6784167344937112E-2</v>
      </c>
      <c r="J22" s="570">
        <f t="shared" si="3"/>
        <v>7.1598014349462585E-2</v>
      </c>
      <c r="K22" s="258"/>
      <c r="L22" s="258"/>
      <c r="M22" s="258"/>
      <c r="N22" s="258"/>
      <c r="O22" s="258"/>
      <c r="P22" s="258"/>
      <c r="AA22" s="240"/>
    </row>
    <row r="23" spans="2:27">
      <c r="B23" s="235"/>
      <c r="C23" s="330"/>
      <c r="D23" s="330"/>
      <c r="E23" s="568"/>
      <c r="F23" s="568"/>
      <c r="G23" s="568"/>
      <c r="H23" s="568"/>
      <c r="I23" s="568"/>
      <c r="J23" s="568"/>
      <c r="AA23" s="240"/>
    </row>
    <row r="24" spans="2:27" ht="14.4">
      <c r="B24" s="235"/>
      <c r="C24" s="330" t="s">
        <v>240</v>
      </c>
      <c r="D24" s="330"/>
      <c r="E24" s="569">
        <f>'Financial Analysis'!E230</f>
        <v>33227.566426733625</v>
      </c>
      <c r="F24" s="569">
        <f>'Financial Analysis'!F230</f>
        <v>43832.923639923996</v>
      </c>
      <c r="G24" s="569">
        <f>'Financial Analysis'!G230</f>
        <v>58066.837061863451</v>
      </c>
      <c r="H24" s="569">
        <f>'Financial Analysis'!H230</f>
        <v>80372.785518345365</v>
      </c>
      <c r="I24" s="569">
        <f>'Financial Analysis'!I230</f>
        <v>115219.32083661732</v>
      </c>
      <c r="J24" s="569">
        <f>'Financial Analysis'!J230</f>
        <v>133548.33879507039</v>
      </c>
      <c r="K24" s="249"/>
      <c r="L24" s="249"/>
      <c r="M24" s="249"/>
      <c r="N24" s="249"/>
      <c r="O24" s="249"/>
      <c r="P24" s="249"/>
      <c r="AA24" s="240"/>
    </row>
    <row r="25" spans="2:27" ht="14.4">
      <c r="B25" s="235"/>
      <c r="C25" s="330" t="s">
        <v>348</v>
      </c>
      <c r="D25" s="571"/>
      <c r="E25" s="569">
        <f>'Financial Analysis'!E95</f>
        <v>32.16612909071533</v>
      </c>
      <c r="F25" s="569">
        <f>'Financial Analysis'!F95</f>
        <v>36.818329007398987</v>
      </c>
      <c r="G25" s="569">
        <f>'Financial Analysis'!G95</f>
        <v>52.401450859575654</v>
      </c>
      <c r="H25" s="569">
        <f>'Financial Analysis'!H95</f>
        <v>66.247312560651537</v>
      </c>
      <c r="I25" s="569">
        <f>'Financial Analysis'!I95</f>
        <v>94.628939801116459</v>
      </c>
      <c r="J25" s="569">
        <f>'Financial Analysis'!J95</f>
        <v>113.29596469365865</v>
      </c>
      <c r="K25" s="247"/>
      <c r="L25" s="247"/>
      <c r="M25" s="247"/>
      <c r="N25" s="247"/>
      <c r="O25" s="247"/>
      <c r="P25" s="247"/>
      <c r="AA25" s="240"/>
    </row>
    <row r="26" spans="2:27" ht="14.4">
      <c r="B26" s="235"/>
      <c r="C26" s="330" t="s">
        <v>358</v>
      </c>
      <c r="D26" s="330"/>
      <c r="E26" s="569">
        <f>'Financial Analysis'!E150/'Financial Analysis'!E97</f>
        <v>115.85417531318609</v>
      </c>
      <c r="F26" s="569">
        <f>'Financial Analysis'!F150/'Financial Analysis'!F97</f>
        <v>144.49338263940544</v>
      </c>
      <c r="G26" s="569">
        <f>'Financial Analysis'!G150/'Financial Analysis'!G97</f>
        <v>180.3237531190307</v>
      </c>
      <c r="H26" s="569">
        <f>'Financial Analysis'!H150/'Financial Analysis'!H97</f>
        <v>230.65680382634361</v>
      </c>
      <c r="I26" s="569">
        <f>'Financial Analysis'!I150/'Financial Analysis'!I97</f>
        <v>304.73337491938423</v>
      </c>
      <c r="J26" s="569">
        <f>'Financial Analysis'!J150/'Financial Analysis'!J97</f>
        <v>343.79270410338938</v>
      </c>
      <c r="K26" s="247"/>
      <c r="L26" s="247"/>
      <c r="M26" s="247"/>
      <c r="N26" s="247"/>
      <c r="O26" s="247"/>
      <c r="P26" s="247"/>
      <c r="AA26" s="240"/>
    </row>
    <row r="27" spans="2:27">
      <c r="B27" s="235"/>
      <c r="C27" s="330"/>
      <c r="D27" s="330"/>
      <c r="E27" s="568"/>
      <c r="F27" s="568"/>
      <c r="G27" s="568"/>
      <c r="H27" s="568"/>
      <c r="I27" s="568"/>
      <c r="J27" s="568"/>
      <c r="AA27" s="240"/>
    </row>
    <row r="28" spans="2:27" ht="14.4">
      <c r="B28" s="235"/>
      <c r="C28" s="330" t="s">
        <v>317</v>
      </c>
      <c r="D28" s="330"/>
      <c r="E28" s="569">
        <f>'Financial Analysis'!E256</f>
        <v>4673.8504464781372</v>
      </c>
      <c r="F28" s="569">
        <f>'Financial Analysis'!F256</f>
        <v>4664.2844933504339</v>
      </c>
      <c r="G28" s="569">
        <f>'Financial Analysis'!G256</f>
        <v>5023.2475211030287</v>
      </c>
      <c r="H28" s="569">
        <f>'Financial Analysis'!H256</f>
        <v>5342.035079911243</v>
      </c>
      <c r="I28" s="569">
        <f>'Financial Analysis'!I256</f>
        <v>5681.0259089807714</v>
      </c>
      <c r="J28" s="569">
        <f>'Financial Analysis'!J256</f>
        <v>6034.7108097646742</v>
      </c>
      <c r="K28" s="246"/>
      <c r="L28" s="246"/>
      <c r="M28" s="246"/>
      <c r="N28" s="246"/>
      <c r="O28" s="246"/>
      <c r="P28" s="246"/>
      <c r="AA28" s="240"/>
    </row>
    <row r="29" spans="2:27">
      <c r="B29" s="235"/>
      <c r="C29" s="330"/>
      <c r="D29" s="330"/>
      <c r="E29" s="568"/>
      <c r="F29" s="568"/>
      <c r="G29" s="568"/>
      <c r="H29" s="568"/>
      <c r="I29" s="568"/>
      <c r="J29" s="568"/>
      <c r="AA29" s="240"/>
    </row>
    <row r="30" spans="2:27" ht="14.4">
      <c r="B30" s="235"/>
      <c r="C30" s="330" t="s">
        <v>349</v>
      </c>
      <c r="D30" s="330"/>
      <c r="E30" s="572">
        <f>$W$11/E19</f>
        <v>4.3373271364409982</v>
      </c>
      <c r="F30" s="572">
        <f t="shared" ref="F30:J30" si="4">$W$11/F19</f>
        <v>3.6435404036697827</v>
      </c>
      <c r="G30" s="572">
        <f t="shared" si="4"/>
        <v>3.0998822277508147</v>
      </c>
      <c r="H30" s="572">
        <f t="shared" si="4"/>
        <v>2.6898259380597005</v>
      </c>
      <c r="I30" s="572">
        <f t="shared" si="4"/>
        <v>2.1513801643772754</v>
      </c>
      <c r="J30" s="572">
        <f t="shared" si="4"/>
        <v>1.9073604867507301</v>
      </c>
      <c r="K30" s="259"/>
      <c r="L30" s="259"/>
      <c r="M30" s="259"/>
      <c r="N30" s="259"/>
      <c r="O30" s="259"/>
      <c r="P30" s="259"/>
      <c r="AA30" s="240"/>
    </row>
    <row r="31" spans="2:27" ht="14.4">
      <c r="B31" s="235"/>
      <c r="C31" s="330" t="s">
        <v>147</v>
      </c>
      <c r="D31" s="330"/>
      <c r="E31" s="572">
        <f>$W$11/E20</f>
        <v>30.384364306183169</v>
      </c>
      <c r="F31" s="572">
        <f t="shared" ref="F31:J31" si="5">$W$11/F20</f>
        <v>21.178777658698401</v>
      </c>
      <c r="G31" s="572">
        <f t="shared" si="5"/>
        <v>15.751420977876636</v>
      </c>
      <c r="H31" s="572">
        <f t="shared" si="5"/>
        <v>12.662030543623253</v>
      </c>
      <c r="I31" s="572">
        <f t="shared" si="5"/>
        <v>9.7392123455507846</v>
      </c>
      <c r="J31" s="572">
        <f t="shared" si="5"/>
        <v>8.1713441585657147</v>
      </c>
      <c r="K31" s="259"/>
      <c r="L31" s="259"/>
      <c r="M31" s="259"/>
      <c r="N31" s="259"/>
      <c r="O31" s="259"/>
      <c r="P31" s="259"/>
      <c r="AA31" s="240"/>
    </row>
    <row r="32" spans="2:27">
      <c r="B32" s="235"/>
      <c r="AA32" s="240"/>
    </row>
    <row r="33" spans="2:27">
      <c r="B33" s="235"/>
      <c r="P33" s="257"/>
      <c r="AA33" s="240"/>
    </row>
    <row r="34" spans="2:27">
      <c r="B34" s="235"/>
      <c r="C34" s="279" t="s">
        <v>350</v>
      </c>
      <c r="D34" s="279"/>
      <c r="E34" s="279"/>
      <c r="F34" s="279"/>
      <c r="G34" s="279"/>
      <c r="H34" s="279"/>
      <c r="J34" s="279" t="s">
        <v>351</v>
      </c>
      <c r="K34" s="279"/>
      <c r="L34" s="279"/>
      <c r="M34" s="279"/>
      <c r="N34" s="279"/>
      <c r="O34" s="279"/>
      <c r="P34" s="279"/>
      <c r="R34" s="279" t="s">
        <v>352</v>
      </c>
      <c r="S34" s="280"/>
      <c r="T34" s="280"/>
      <c r="U34" s="280"/>
      <c r="V34" s="280"/>
      <c r="W34" s="280"/>
      <c r="X34" s="280"/>
      <c r="Y34" s="280"/>
      <c r="Z34" s="280"/>
      <c r="AA34" s="240"/>
    </row>
    <row r="35" spans="2:27">
      <c r="B35" s="235"/>
      <c r="C35" s="236"/>
      <c r="AA35" s="240"/>
    </row>
    <row r="36" spans="2:27">
      <c r="B36" s="235"/>
      <c r="AA36" s="240"/>
    </row>
    <row r="37" spans="2:27">
      <c r="B37" s="235"/>
      <c r="AA37" s="240"/>
    </row>
    <row r="38" spans="2:27">
      <c r="B38" s="235"/>
      <c r="AA38" s="240"/>
    </row>
    <row r="39" spans="2:27">
      <c r="B39" s="235"/>
      <c r="AA39" s="240"/>
    </row>
    <row r="40" spans="2:27">
      <c r="B40" s="235"/>
      <c r="AA40" s="240"/>
    </row>
    <row r="41" spans="2:27">
      <c r="B41" s="235"/>
      <c r="AA41" s="240"/>
    </row>
    <row r="42" spans="2:27">
      <c r="B42" s="235"/>
      <c r="AA42" s="240"/>
    </row>
    <row r="43" spans="2:27">
      <c r="B43" s="235"/>
      <c r="AA43" s="240"/>
    </row>
    <row r="44" spans="2:27">
      <c r="B44" s="235"/>
      <c r="AA44" s="240"/>
    </row>
    <row r="45" spans="2:27">
      <c r="B45" s="235"/>
      <c r="AA45" s="240"/>
    </row>
    <row r="46" spans="2:27">
      <c r="B46" s="235"/>
      <c r="AA46" s="240"/>
    </row>
    <row r="47" spans="2:27">
      <c r="B47" s="235"/>
      <c r="AA47" s="240"/>
    </row>
    <row r="48" spans="2:27" ht="14.4" thickBot="1">
      <c r="B48" s="260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1"/>
      <c r="AA48" s="262"/>
    </row>
    <row r="49" spans="3:10" ht="14.4" thickTop="1"/>
    <row r="53" spans="3:10" ht="14.4">
      <c r="C53" s="573" t="s">
        <v>371</v>
      </c>
      <c r="D53" s="574"/>
      <c r="E53" s="574"/>
      <c r="H53" s="574" t="s">
        <v>375</v>
      </c>
      <c r="I53" s="574"/>
      <c r="J53" s="574"/>
    </row>
    <row r="54" spans="3:10" ht="14.4">
      <c r="C54" s="573" t="s">
        <v>372</v>
      </c>
      <c r="D54" s="573"/>
      <c r="E54" s="575">
        <v>0.6774</v>
      </c>
      <c r="H54" s="574" t="s">
        <v>376</v>
      </c>
      <c r="I54" s="576">
        <v>170773</v>
      </c>
      <c r="J54" s="575">
        <f>I54/$I$57</f>
        <v>0.60876865272598946</v>
      </c>
    </row>
    <row r="55" spans="3:10" ht="14.4">
      <c r="C55" s="573" t="s">
        <v>373</v>
      </c>
      <c r="D55" s="573"/>
      <c r="E55" s="575">
        <v>0.1061</v>
      </c>
      <c r="H55" s="574" t="s">
        <v>377</v>
      </c>
      <c r="I55" s="576">
        <v>74723</v>
      </c>
      <c r="J55" s="575">
        <f t="shared" ref="J55:J57" si="6">I55/$I$57</f>
        <v>0.26637126499882363</v>
      </c>
    </row>
    <row r="56" spans="3:10" ht="14.4">
      <c r="C56" s="573" t="s">
        <v>374</v>
      </c>
      <c r="D56" s="573"/>
      <c r="E56" s="575">
        <v>0.1318</v>
      </c>
      <c r="H56" s="574" t="s">
        <v>365</v>
      </c>
      <c r="I56" s="576">
        <v>35026</v>
      </c>
      <c r="J56" s="575">
        <f t="shared" si="6"/>
        <v>0.12486008227518697</v>
      </c>
    </row>
    <row r="57" spans="3:10" ht="14.4">
      <c r="C57" s="296"/>
      <c r="D57" s="295"/>
      <c r="H57" s="574"/>
      <c r="I57" s="576">
        <f>SUM(I54:I56)</f>
        <v>280522</v>
      </c>
      <c r="J57" s="575">
        <f t="shared" si="6"/>
        <v>1</v>
      </c>
    </row>
    <row r="58" spans="3:10" ht="14.4">
      <c r="C58" s="296"/>
      <c r="D58" s="295"/>
      <c r="H58" s="574"/>
      <c r="I58" s="574"/>
      <c r="J58" s="574"/>
    </row>
    <row r="59" spans="3:10" ht="14.4">
      <c r="C59" s="296"/>
      <c r="D59" s="295"/>
    </row>
    <row r="60" spans="3:10" ht="14.4">
      <c r="C60" s="296"/>
      <c r="D60" s="295"/>
    </row>
    <row r="61" spans="3:10" ht="14.4">
      <c r="C61" s="296"/>
      <c r="D61" s="295"/>
    </row>
    <row r="62" spans="3:10" ht="14.4">
      <c r="C62" s="296"/>
      <c r="D62" s="295"/>
    </row>
    <row r="63" spans="3:10" ht="14.4">
      <c r="C63" s="296"/>
      <c r="D63" s="295"/>
    </row>
    <row r="64" spans="3:10" ht="14.4">
      <c r="C64" s="295"/>
      <c r="D64" s="295"/>
    </row>
    <row r="65" spans="4:4" ht="14.4">
      <c r="D65" s="295"/>
    </row>
  </sheetData>
  <phoneticPr fontId="10" type="noConversion"/>
  <dataValidations disablePrompts="1" count="1">
    <dataValidation type="list" allowBlank="1" showInputMessage="1" showErrorMessage="1" sqref="J3" xr:uid="{00000000-0002-0000-0000-000000000000}">
      <formula1>"Buy, Hold, Sell"</formula1>
    </dataValidation>
  </dataValidations>
  <pageMargins left="0.25" right="0.25" top="0.75" bottom="0.75" header="0.3" footer="0.3"/>
  <pageSetup scale="4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5" r:id="rId4" name="Drop Down 3">
              <controlPr defaultSize="0" autoLine="0" autoPict="0">
                <anchor moveWithCells="1">
                  <from>
                    <xdr:col>16</xdr:col>
                    <xdr:colOff>678180</xdr:colOff>
                    <xdr:row>1</xdr:row>
                    <xdr:rowOff>198120</xdr:rowOff>
                  </from>
                  <to>
                    <xdr:col>18</xdr:col>
                    <xdr:colOff>236220</xdr:colOff>
                    <xdr:row>2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B2:U70"/>
  <sheetViews>
    <sheetView showGridLines="0" topLeftCell="B1" zoomScaleNormal="100" workbookViewId="0">
      <selection activeCell="B10" sqref="B10"/>
    </sheetView>
  </sheetViews>
  <sheetFormatPr defaultRowHeight="14.4"/>
  <cols>
    <col min="1" max="1" width="33.109375" bestFit="1" customWidth="1"/>
    <col min="2" max="2" width="35.44140625" customWidth="1"/>
    <col min="3" max="5" width="9.33203125" customWidth="1"/>
    <col min="6" max="6" width="9.44140625" customWidth="1"/>
    <col min="7" max="7" width="9.109375" customWidth="1"/>
    <col min="8" max="11" width="9.44140625" customWidth="1"/>
    <col min="12" max="12" width="14.44140625" customWidth="1"/>
  </cols>
  <sheetData>
    <row r="2" spans="2:21" ht="15" thickBot="1"/>
    <row r="3" spans="2:21">
      <c r="B3" s="623"/>
      <c r="C3" s="624"/>
      <c r="D3" s="624"/>
      <c r="E3" s="624"/>
      <c r="F3" s="624"/>
      <c r="G3" s="624"/>
      <c r="H3" s="624"/>
      <c r="I3" s="624"/>
      <c r="J3" s="624"/>
      <c r="K3" s="624"/>
      <c r="L3" s="483" t="s">
        <v>884</v>
      </c>
      <c r="M3" s="492"/>
      <c r="N3" s="493"/>
      <c r="O3" s="493"/>
      <c r="P3" s="644"/>
      <c r="Q3" s="644"/>
      <c r="R3" s="644"/>
      <c r="S3" s="493"/>
      <c r="T3" s="494"/>
    </row>
    <row r="4" spans="2:21">
      <c r="B4" s="625" t="s">
        <v>297</v>
      </c>
      <c r="C4" s="15"/>
      <c r="D4" s="15"/>
      <c r="E4" s="15"/>
      <c r="F4" s="15"/>
      <c r="G4" s="15"/>
      <c r="H4" s="15"/>
      <c r="I4" s="15"/>
      <c r="J4" s="15"/>
      <c r="K4" s="15"/>
      <c r="L4" s="484"/>
      <c r="M4" s="447"/>
      <c r="N4" s="10"/>
      <c r="O4" s="10"/>
      <c r="P4" s="21"/>
      <c r="Q4" s="21"/>
      <c r="R4" s="21"/>
      <c r="S4" s="10"/>
      <c r="T4" s="536"/>
    </row>
    <row r="5" spans="2:21">
      <c r="B5" s="625" t="s">
        <v>298</v>
      </c>
      <c r="C5" s="626">
        <v>2017</v>
      </c>
      <c r="D5" s="626">
        <f>C5+1</f>
        <v>2018</v>
      </c>
      <c r="E5" s="626">
        <f t="shared" ref="E5:K5" si="0">D5+1</f>
        <v>2019</v>
      </c>
      <c r="F5" s="18">
        <f t="shared" si="0"/>
        <v>2020</v>
      </c>
      <c r="G5" s="18">
        <f t="shared" si="0"/>
        <v>2021</v>
      </c>
      <c r="H5" s="18">
        <f t="shared" si="0"/>
        <v>2022</v>
      </c>
      <c r="I5" s="18">
        <f t="shared" si="0"/>
        <v>2023</v>
      </c>
      <c r="J5" s="18">
        <f t="shared" si="0"/>
        <v>2024</v>
      </c>
      <c r="K5" s="18">
        <f t="shared" si="0"/>
        <v>2025</v>
      </c>
      <c r="L5" s="485" t="s">
        <v>885</v>
      </c>
      <c r="M5" s="447"/>
      <c r="N5" s="10"/>
      <c r="O5" s="10"/>
      <c r="P5" s="21"/>
      <c r="Q5" s="21"/>
      <c r="R5" s="21"/>
      <c r="S5" s="10"/>
      <c r="T5" s="536"/>
    </row>
    <row r="6" spans="2:21">
      <c r="B6" s="447"/>
      <c r="C6" s="10"/>
      <c r="D6" s="10"/>
      <c r="E6" s="10"/>
      <c r="F6" s="10"/>
      <c r="G6" s="10"/>
      <c r="H6" s="10"/>
      <c r="I6" s="10"/>
      <c r="J6" s="10"/>
      <c r="K6" s="10"/>
      <c r="L6" s="486"/>
      <c r="M6" s="447"/>
      <c r="N6" s="10"/>
      <c r="O6" s="10"/>
      <c r="P6" s="21"/>
      <c r="Q6" s="21"/>
      <c r="R6" s="21"/>
      <c r="S6" s="10"/>
      <c r="T6" s="536"/>
    </row>
    <row r="7" spans="2:21">
      <c r="B7" s="625" t="s">
        <v>97</v>
      </c>
      <c r="C7" s="215"/>
      <c r="D7" s="215"/>
      <c r="E7" s="15"/>
      <c r="F7" s="15"/>
      <c r="G7" s="15"/>
      <c r="H7" s="15"/>
      <c r="I7" s="15"/>
      <c r="J7" s="15"/>
      <c r="K7" s="15"/>
      <c r="L7" s="487"/>
      <c r="M7" s="447"/>
      <c r="N7" s="10"/>
      <c r="O7" s="10"/>
      <c r="P7" s="21"/>
      <c r="Q7" s="21"/>
      <c r="R7" s="21"/>
      <c r="S7" s="10"/>
      <c r="T7" s="536"/>
    </row>
    <row r="8" spans="2:21">
      <c r="B8" s="447" t="s">
        <v>98</v>
      </c>
      <c r="C8" s="627">
        <v>1377</v>
      </c>
      <c r="D8" s="627">
        <v>1650</v>
      </c>
      <c r="E8" s="627">
        <v>1920</v>
      </c>
      <c r="F8" s="627">
        <v>2415</v>
      </c>
      <c r="G8" s="627">
        <v>2699</v>
      </c>
      <c r="H8" s="627">
        <v>2947</v>
      </c>
      <c r="I8" s="627">
        <v>3146</v>
      </c>
      <c r="J8" s="627">
        <v>3303</v>
      </c>
      <c r="K8" s="627">
        <v>3453</v>
      </c>
      <c r="L8" s="488">
        <f>(K8/F8)^(1/5)-1</f>
        <v>7.4127631189934373E-2</v>
      </c>
      <c r="M8" s="447"/>
      <c r="N8" s="10"/>
      <c r="O8" s="10"/>
      <c r="P8" s="21"/>
      <c r="Q8" s="21"/>
      <c r="R8" s="21"/>
      <c r="S8" s="10"/>
      <c r="T8" s="536"/>
    </row>
    <row r="9" spans="2:21">
      <c r="B9" s="447" t="s">
        <v>99</v>
      </c>
      <c r="C9" s="628">
        <f>574905.2/$C$41</f>
        <v>574.90519999999992</v>
      </c>
      <c r="D9" s="628">
        <f>613269.4/C41</f>
        <v>613.26940000000002</v>
      </c>
      <c r="E9" s="628">
        <f>638729.4/C41</f>
        <v>638.72940000000006</v>
      </c>
      <c r="F9" s="628">
        <f>666381.8/C41</f>
        <v>666.3818</v>
      </c>
      <c r="G9" s="628">
        <f>696100.1/C41</f>
        <v>696.1001</v>
      </c>
      <c r="H9" s="628">
        <f>727389.4/C41</f>
        <v>727.38940000000002</v>
      </c>
      <c r="I9" s="628">
        <f>759394.534/C41</f>
        <v>759.39453400000002</v>
      </c>
      <c r="J9" s="628">
        <f>792807.89/C41</f>
        <v>792.80789000000004</v>
      </c>
      <c r="K9" s="628">
        <f>827691.44/C41</f>
        <v>827.69143999999994</v>
      </c>
      <c r="L9" s="488">
        <f t="shared" ref="L9:L10" si="1">(K9/F9)^(1/5)-1</f>
        <v>4.4309111735702622E-2</v>
      </c>
      <c r="M9" s="447"/>
      <c r="N9" s="10"/>
      <c r="O9" s="10"/>
      <c r="P9" s="21"/>
      <c r="Q9" s="21"/>
      <c r="R9" s="21"/>
      <c r="S9" s="10"/>
      <c r="T9" s="536"/>
    </row>
    <row r="10" spans="2:21">
      <c r="B10" s="447" t="s">
        <v>100</v>
      </c>
      <c r="C10" s="629">
        <v>144.5</v>
      </c>
      <c r="D10" s="629">
        <v>183.5</v>
      </c>
      <c r="E10" s="629">
        <v>235</v>
      </c>
      <c r="F10" s="629">
        <v>291</v>
      </c>
      <c r="G10" s="629">
        <v>346</v>
      </c>
      <c r="H10" s="629">
        <v>424</v>
      </c>
      <c r="I10" s="629">
        <v>516</v>
      </c>
      <c r="J10" s="629">
        <v>628</v>
      </c>
      <c r="K10" s="629">
        <v>759</v>
      </c>
      <c r="L10" s="488">
        <f t="shared" si="1"/>
        <v>0.21135031724085396</v>
      </c>
      <c r="M10" s="447"/>
      <c r="N10" s="10"/>
      <c r="O10" s="10"/>
      <c r="P10" s="21"/>
      <c r="Q10" s="21"/>
      <c r="R10" s="21"/>
      <c r="S10" s="10"/>
      <c r="T10" s="536"/>
    </row>
    <row r="11" spans="2:21">
      <c r="B11" s="447"/>
      <c r="C11" s="10"/>
      <c r="D11" s="10"/>
      <c r="E11" s="10"/>
      <c r="F11" s="10"/>
      <c r="G11" s="10"/>
      <c r="H11" s="10"/>
      <c r="I11" s="10"/>
      <c r="J11" s="10"/>
      <c r="K11" s="10"/>
      <c r="L11" s="489"/>
      <c r="M11" s="447"/>
      <c r="N11" s="10"/>
      <c r="O11" s="10"/>
      <c r="P11" s="21"/>
      <c r="Q11" s="21"/>
      <c r="R11" s="21"/>
      <c r="S11" s="10"/>
      <c r="T11" s="536"/>
    </row>
    <row r="12" spans="2:21" s="20" customFormat="1">
      <c r="B12" s="447"/>
      <c r="C12" s="10"/>
      <c r="D12" s="10"/>
      <c r="E12" s="10"/>
      <c r="F12" s="10"/>
      <c r="G12" s="10"/>
      <c r="H12" s="10"/>
      <c r="I12" s="10"/>
      <c r="J12" s="10"/>
      <c r="K12" s="10"/>
      <c r="L12" s="489"/>
      <c r="M12" s="447"/>
      <c r="N12" s="10"/>
      <c r="O12" s="10"/>
      <c r="P12" s="21"/>
      <c r="Q12" s="21"/>
      <c r="R12" s="21"/>
      <c r="S12" s="10"/>
      <c r="T12" s="536"/>
      <c r="U12"/>
    </row>
    <row r="13" spans="2:21">
      <c r="B13" s="625" t="s">
        <v>101</v>
      </c>
      <c r="C13" s="215"/>
      <c r="D13" s="215"/>
      <c r="E13" s="15"/>
      <c r="F13" s="15"/>
      <c r="G13" s="15"/>
      <c r="H13" s="15"/>
      <c r="I13" s="15"/>
      <c r="J13" s="15"/>
      <c r="K13" s="15"/>
      <c r="L13" s="489"/>
      <c r="M13" s="447"/>
      <c r="N13" s="10"/>
      <c r="O13" s="10"/>
      <c r="P13" s="21"/>
      <c r="Q13" s="21"/>
      <c r="R13" s="21"/>
      <c r="S13" s="10"/>
      <c r="T13" s="536"/>
    </row>
    <row r="14" spans="2:21">
      <c r="B14" s="630" t="s">
        <v>98</v>
      </c>
      <c r="C14" s="23"/>
      <c r="D14" s="631">
        <f>(D8/C8)-1</f>
        <v>0.1982570806100219</v>
      </c>
      <c r="E14" s="631">
        <f t="shared" ref="E14:J14" si="2">(E8/D8)-1</f>
        <v>0.16363636363636358</v>
      </c>
      <c r="F14" s="631">
        <f t="shared" si="2"/>
        <v>0.2578125</v>
      </c>
      <c r="G14" s="631">
        <f t="shared" si="2"/>
        <v>0.11759834368530031</v>
      </c>
      <c r="H14" s="631">
        <f t="shared" si="2"/>
        <v>9.188588366061512E-2</v>
      </c>
      <c r="I14" s="631">
        <f t="shared" si="2"/>
        <v>6.7526297930098345E-2</v>
      </c>
      <c r="J14" s="631">
        <f t="shared" si="2"/>
        <v>4.9904640813731804E-2</v>
      </c>
      <c r="K14" s="631">
        <f>(K8/J8)-1</f>
        <v>4.5413260672116262E-2</v>
      </c>
      <c r="L14" s="489"/>
      <c r="M14" s="447"/>
      <c r="N14" s="10"/>
      <c r="O14" s="10"/>
      <c r="P14" s="21"/>
      <c r="Q14" s="21"/>
      <c r="R14" s="21"/>
      <c r="S14" s="21"/>
      <c r="T14" s="639"/>
      <c r="U14" s="20"/>
    </row>
    <row r="15" spans="2:21">
      <c r="B15" s="630" t="s">
        <v>99</v>
      </c>
      <c r="C15" s="632"/>
      <c r="D15" s="73">
        <f>(D9/C9)-1</f>
        <v>6.6731349794714179E-2</v>
      </c>
      <c r="E15" s="73">
        <f t="shared" ref="E15:J16" si="3">(E9/D9)-1</f>
        <v>4.1515197073260124E-2</v>
      </c>
      <c r="F15" s="73">
        <f t="shared" si="3"/>
        <v>4.3292824786208328E-2</v>
      </c>
      <c r="G15" s="73">
        <f t="shared" si="3"/>
        <v>4.4596506087051013E-2</v>
      </c>
      <c r="H15" s="73">
        <f t="shared" si="3"/>
        <v>4.4949426095471035E-2</v>
      </c>
      <c r="I15" s="73">
        <f t="shared" si="3"/>
        <v>4.4000000549911711E-2</v>
      </c>
      <c r="J15" s="73">
        <f t="shared" si="3"/>
        <v>4.399999539633237E-2</v>
      </c>
      <c r="K15" s="73">
        <f>(K9/J9)-1</f>
        <v>4.400000358220435E-2</v>
      </c>
      <c r="L15" s="489"/>
      <c r="M15" s="447"/>
      <c r="N15" s="10"/>
      <c r="O15" s="10"/>
      <c r="P15" s="21"/>
      <c r="Q15" s="21"/>
      <c r="R15" s="21"/>
      <c r="S15" s="10"/>
      <c r="T15" s="536"/>
    </row>
    <row r="16" spans="2:21">
      <c r="B16" s="630" t="s">
        <v>100</v>
      </c>
      <c r="C16" s="632"/>
      <c r="D16" s="73">
        <f t="shared" ref="D16" si="4">(D10/C10)-1</f>
        <v>0.26989619377162621</v>
      </c>
      <c r="E16" s="73">
        <f t="shared" si="3"/>
        <v>0.28065395095367851</v>
      </c>
      <c r="F16" s="73">
        <f t="shared" si="3"/>
        <v>0.23829787234042543</v>
      </c>
      <c r="G16" s="73">
        <f t="shared" si="3"/>
        <v>0.18900343642611683</v>
      </c>
      <c r="H16" s="73">
        <f t="shared" si="3"/>
        <v>0.22543352601156075</v>
      </c>
      <c r="I16" s="73">
        <f t="shared" si="3"/>
        <v>0.21698113207547176</v>
      </c>
      <c r="J16" s="73">
        <f t="shared" si="3"/>
        <v>0.21705426356589141</v>
      </c>
      <c r="K16" s="73">
        <f>(K10/J10)-1</f>
        <v>0.20859872611464958</v>
      </c>
      <c r="L16" s="489"/>
      <c r="M16" s="447"/>
      <c r="N16" s="10"/>
      <c r="O16" s="10"/>
      <c r="P16" s="21"/>
      <c r="Q16" s="21"/>
      <c r="R16" s="21"/>
      <c r="S16" s="10"/>
      <c r="T16" s="536"/>
    </row>
    <row r="17" spans="2:21" s="20" customFormat="1">
      <c r="B17" s="447"/>
      <c r="C17" s="632"/>
      <c r="D17" s="632"/>
      <c r="E17" s="10"/>
      <c r="F17" s="10"/>
      <c r="G17" s="10"/>
      <c r="H17" s="10"/>
      <c r="I17" s="10"/>
      <c r="J17" s="10"/>
      <c r="K17" s="10"/>
      <c r="L17" s="489"/>
      <c r="M17" s="447"/>
      <c r="N17" s="10"/>
      <c r="O17" s="10"/>
      <c r="P17" s="21"/>
      <c r="Q17" s="21"/>
      <c r="R17" s="21"/>
      <c r="S17" s="10"/>
      <c r="T17" s="536"/>
      <c r="U17"/>
    </row>
    <row r="18" spans="2:21">
      <c r="B18" s="625" t="s">
        <v>231</v>
      </c>
      <c r="C18" s="215"/>
      <c r="D18" s="215"/>
      <c r="E18" s="15"/>
      <c r="F18" s="15"/>
      <c r="G18" s="15"/>
      <c r="H18" s="15"/>
      <c r="I18" s="15"/>
      <c r="J18" s="15"/>
      <c r="K18" s="15"/>
      <c r="L18" s="489"/>
      <c r="M18" s="447"/>
      <c r="N18" s="10"/>
      <c r="O18" s="10"/>
      <c r="P18" s="21"/>
      <c r="Q18" s="21"/>
      <c r="R18" s="21"/>
      <c r="S18" s="10"/>
      <c r="T18" s="536"/>
    </row>
    <row r="19" spans="2:21">
      <c r="B19" s="447" t="s">
        <v>98</v>
      </c>
      <c r="C19" s="21"/>
      <c r="D19" s="21"/>
      <c r="E19" s="21"/>
      <c r="F19" s="21"/>
      <c r="G19" s="21"/>
      <c r="H19" s="21"/>
      <c r="I19" s="21"/>
      <c r="J19" s="21"/>
      <c r="K19" s="21"/>
      <c r="L19" s="486"/>
      <c r="M19" s="645"/>
      <c r="N19" s="10"/>
      <c r="O19" s="10"/>
      <c r="P19" s="21"/>
      <c r="Q19" s="21"/>
      <c r="R19" s="21"/>
      <c r="S19" s="21"/>
      <c r="T19" s="639"/>
      <c r="U19" s="20"/>
    </row>
    <row r="20" spans="2:21">
      <c r="B20" s="633" t="s">
        <v>102</v>
      </c>
      <c r="C20" s="634">
        <f>'Financial Analysis'!B66/$C$41</f>
        <v>108.354</v>
      </c>
      <c r="D20" s="634">
        <f>'Financial Analysis'!C66/$C$41</f>
        <v>122.98699999999999</v>
      </c>
      <c r="E20" s="634">
        <f>'Financial Analysis'!D66/$C$41</f>
        <v>141.24700000000001</v>
      </c>
      <c r="F20" s="634">
        <f>'Financial Analysis'!E66/$C$41</f>
        <v>190.11846199999999</v>
      </c>
      <c r="G20" s="634">
        <f>'Financial Analysis'!F66/$C$41</f>
        <v>220.25223822700002</v>
      </c>
      <c r="H20" s="634">
        <f>'Financial Analysis'!G66/$C$41</f>
        <v>252.849569484596</v>
      </c>
      <c r="I20" s="634">
        <f>'Financial Analysis'!H66/$C$41</f>
        <v>283.87421166035591</v>
      </c>
      <c r="J20" s="634">
        <f>'Financial Analysis'!I66/$C$41</f>
        <v>315.75328562981389</v>
      </c>
      <c r="K20" s="634">
        <f>'Financial Analysis'!J66/$C$41</f>
        <v>347.39176484992129</v>
      </c>
      <c r="L20" s="486"/>
      <c r="M20" s="645"/>
      <c r="N20" s="10"/>
      <c r="O20" s="10"/>
      <c r="P20" s="21"/>
      <c r="Q20" s="21"/>
      <c r="R20" s="21"/>
      <c r="S20" s="10"/>
      <c r="T20" s="536"/>
    </row>
    <row r="21" spans="2:21">
      <c r="B21" s="447" t="s">
        <v>103</v>
      </c>
      <c r="C21" s="634"/>
      <c r="D21" s="634"/>
      <c r="E21" s="634"/>
      <c r="F21" s="634"/>
      <c r="G21" s="634"/>
      <c r="H21" s="634"/>
      <c r="I21" s="634"/>
      <c r="J21" s="634"/>
      <c r="K21" s="634"/>
      <c r="L21" s="486"/>
      <c r="M21" s="645"/>
      <c r="N21" s="10"/>
      <c r="O21" s="10"/>
      <c r="P21" s="21"/>
      <c r="Q21" s="21"/>
      <c r="R21" s="21"/>
      <c r="S21" s="10"/>
      <c r="T21" s="536"/>
    </row>
    <row r="22" spans="2:21">
      <c r="B22" s="633" t="s">
        <v>104</v>
      </c>
      <c r="C22" s="634">
        <f>'Financial Analysis'!B67/$C$41</f>
        <v>31.881</v>
      </c>
      <c r="D22" s="634">
        <f>'Financial Analysis'!C67/$C$41</f>
        <v>42.744999999999997</v>
      </c>
      <c r="E22" s="634">
        <f>'Financial Analysis'!D67/$C$41</f>
        <v>53.762</v>
      </c>
      <c r="F22" s="634">
        <f>'Financial Analysis'!E67/$C$41</f>
        <v>75.135832882603509</v>
      </c>
      <c r="G22" s="634">
        <f>'Financial Analysis'!F67/$C$41</f>
        <v>91.932937052884881</v>
      </c>
      <c r="H22" s="634">
        <f>'Financial Analysis'!G67/$C$41</f>
        <v>110.75919302901622</v>
      </c>
      <c r="I22" s="634">
        <f>'Financial Analysis'!H67/$C$41</f>
        <v>130.87088384520493</v>
      </c>
      <c r="J22" s="634">
        <f>'Financial Analysis'!I67/$C$41</f>
        <v>151.54746258479648</v>
      </c>
      <c r="K22" s="634">
        <f>'Financial Analysis'!J67/$C$41</f>
        <v>173.49817478834083</v>
      </c>
      <c r="L22" s="486"/>
      <c r="M22" s="645"/>
      <c r="N22" s="10"/>
      <c r="O22" s="10"/>
      <c r="P22" s="21"/>
      <c r="Q22" s="21"/>
      <c r="R22" s="21"/>
      <c r="S22" s="10"/>
      <c r="T22" s="536"/>
    </row>
    <row r="23" spans="2:21">
      <c r="B23" s="633" t="s">
        <v>105</v>
      </c>
      <c r="C23" s="635">
        <v>0.15</v>
      </c>
      <c r="D23" s="635">
        <v>0.15</v>
      </c>
      <c r="E23" s="635">
        <v>0.15</v>
      </c>
      <c r="F23" s="635">
        <v>0.15</v>
      </c>
      <c r="G23" s="635">
        <v>0.15</v>
      </c>
      <c r="H23" s="635">
        <v>0.15</v>
      </c>
      <c r="I23" s="635">
        <v>0.15</v>
      </c>
      <c r="J23" s="635">
        <v>0.15</v>
      </c>
      <c r="K23" s="635">
        <v>0.15</v>
      </c>
      <c r="L23" s="486"/>
      <c r="M23" s="645"/>
      <c r="N23" s="10"/>
      <c r="O23" s="10"/>
      <c r="P23" s="21"/>
      <c r="Q23" s="21"/>
      <c r="R23" s="21"/>
      <c r="S23" s="10"/>
      <c r="T23" s="536"/>
    </row>
    <row r="24" spans="2:21">
      <c r="B24" s="633" t="s">
        <v>236</v>
      </c>
      <c r="C24" s="636">
        <f>C22/C23</f>
        <v>212.54000000000002</v>
      </c>
      <c r="D24" s="636">
        <f t="shared" ref="D24:K24" si="5">D22/D23</f>
        <v>284.96666666666664</v>
      </c>
      <c r="E24" s="636">
        <f t="shared" si="5"/>
        <v>358.41333333333336</v>
      </c>
      <c r="F24" s="636">
        <f t="shared" si="5"/>
        <v>500.90555255069006</v>
      </c>
      <c r="G24" s="636">
        <f t="shared" si="5"/>
        <v>612.88624701923254</v>
      </c>
      <c r="H24" s="636">
        <f t="shared" si="5"/>
        <v>738.39462019344148</v>
      </c>
      <c r="I24" s="636">
        <f t="shared" si="5"/>
        <v>872.4725589680329</v>
      </c>
      <c r="J24" s="636">
        <f t="shared" si="5"/>
        <v>1010.3164172319765</v>
      </c>
      <c r="K24" s="636">
        <f t="shared" si="5"/>
        <v>1156.6544985889388</v>
      </c>
      <c r="L24" s="486"/>
      <c r="M24" s="447"/>
      <c r="N24" s="10"/>
      <c r="O24" s="10"/>
      <c r="P24" s="21"/>
      <c r="Q24" s="21"/>
      <c r="R24" s="21"/>
      <c r="S24" s="10"/>
      <c r="T24" s="536"/>
    </row>
    <row r="25" spans="2:21">
      <c r="B25" s="637" t="s">
        <v>106</v>
      </c>
      <c r="C25" s="329">
        <f>C24+C20</f>
        <v>320.89400000000001</v>
      </c>
      <c r="D25" s="329">
        <f t="shared" ref="D25:K25" si="6">D24+D20</f>
        <v>407.95366666666666</v>
      </c>
      <c r="E25" s="329">
        <f t="shared" si="6"/>
        <v>499.66033333333337</v>
      </c>
      <c r="F25" s="329">
        <f t="shared" si="6"/>
        <v>691.02401455069003</v>
      </c>
      <c r="G25" s="329">
        <f t="shared" si="6"/>
        <v>833.13848524623256</v>
      </c>
      <c r="H25" s="329">
        <f t="shared" si="6"/>
        <v>991.24418967803751</v>
      </c>
      <c r="I25" s="329">
        <f t="shared" si="6"/>
        <v>1156.3467706283889</v>
      </c>
      <c r="J25" s="329">
        <f t="shared" si="6"/>
        <v>1326.0697028617903</v>
      </c>
      <c r="K25" s="329">
        <f t="shared" si="6"/>
        <v>1504.04626343886</v>
      </c>
      <c r="L25" s="490">
        <f>(K25/F25)^(1/5)-1</f>
        <v>0.16829794007950394</v>
      </c>
      <c r="M25" s="447"/>
      <c r="N25" s="10"/>
      <c r="O25" s="10"/>
      <c r="P25" s="21"/>
      <c r="Q25" s="21"/>
      <c r="R25" s="21"/>
      <c r="S25" s="10"/>
      <c r="T25" s="536"/>
    </row>
    <row r="26" spans="2:21">
      <c r="B26" s="638" t="s">
        <v>107</v>
      </c>
      <c r="C26" s="634">
        <f>'Financial Analysis'!B71/$C$41</f>
        <v>4.6529999999999996</v>
      </c>
      <c r="D26" s="634">
        <f>'Financial Analysis'!C71/$C$41</f>
        <v>10.108000000000001</v>
      </c>
      <c r="E26" s="634">
        <f>'Financial Analysis'!D71/$C$41</f>
        <v>14.085000000000001</v>
      </c>
      <c r="F26" s="634">
        <f>'Financial Analysis'!E71/$C$41</f>
        <v>19.589414764650119</v>
      </c>
      <c r="G26" s="634">
        <f>'Financial Analysis'!F71/$C$41</f>
        <v>25.795376498871402</v>
      </c>
      <c r="H26" s="634">
        <f>'Financial Analysis'!G71/$C$41</f>
        <v>32.167879729225106</v>
      </c>
      <c r="I26" s="634">
        <f>'Financial Analysis'!H71/$C$41</f>
        <v>38.487497807625431</v>
      </c>
      <c r="J26" s="634">
        <f>'Financial Analysis'!I71/$C$41</f>
        <v>43.899912628337056</v>
      </c>
      <c r="K26" s="634">
        <f>'Financial Analysis'!J71/$C$41</f>
        <v>48.6835888530454</v>
      </c>
      <c r="L26" s="488">
        <f>(K26/F26)^(1/5)-1</f>
        <v>0.19969880119890115</v>
      </c>
      <c r="M26" s="645"/>
      <c r="N26" s="10"/>
      <c r="O26" s="10"/>
      <c r="P26" s="21"/>
      <c r="Q26" s="21"/>
      <c r="R26" s="21"/>
      <c r="S26" s="10"/>
      <c r="T26" s="536"/>
    </row>
    <row r="27" spans="2:21" ht="15" thickBot="1">
      <c r="B27" s="638" t="s">
        <v>100</v>
      </c>
      <c r="C27" s="634">
        <f>'Financial Analysis'!B68/$C$41</f>
        <v>17.459</v>
      </c>
      <c r="D27" s="634">
        <f>'Financial Analysis'!C68/$C$41</f>
        <v>25.655000000000001</v>
      </c>
      <c r="E27" s="634">
        <f>'Financial Analysis'!D68/$C$41</f>
        <v>35.026000000000003</v>
      </c>
      <c r="F27" s="634">
        <f>'Financial Analysis'!E68/$C$41</f>
        <v>45.236532112588129</v>
      </c>
      <c r="G27" s="634">
        <f>'Financial Analysis'!F68/$C$41</f>
        <v>57.178706474428893</v>
      </c>
      <c r="H27" s="634">
        <f>'Financial Analysis'!G68/$C$41</f>
        <v>70.529434768338504</v>
      </c>
      <c r="I27" s="634">
        <f>'Financial Analysis'!H68/$C$41</f>
        <v>85.420504059665447</v>
      </c>
      <c r="J27" s="634">
        <f>'Financial Analysis'!I68/$C$41</f>
        <v>170.84100811933089</v>
      </c>
      <c r="K27" s="634">
        <f>'Financial Analysis'!J68/$C$41</f>
        <v>201.81329535839063</v>
      </c>
      <c r="L27" s="491">
        <f>(K27/F27)^(1/5)-1</f>
        <v>0.34862775717663541</v>
      </c>
      <c r="M27" s="645"/>
      <c r="N27" s="10"/>
      <c r="O27" s="10"/>
      <c r="P27" s="21"/>
      <c r="Q27" s="21"/>
      <c r="R27" s="21"/>
      <c r="S27" s="10"/>
      <c r="T27" s="536"/>
    </row>
    <row r="28" spans="2:21">
      <c r="B28" s="638" t="s">
        <v>98</v>
      </c>
      <c r="C28" s="10"/>
      <c r="D28" s="73">
        <f>(D25/C25)-1</f>
        <v>0.2713035041685623</v>
      </c>
      <c r="E28" s="73">
        <f t="shared" ref="E28:K28" si="7">(E25/D25)-1</f>
        <v>0.22479677022145506</v>
      </c>
      <c r="F28" s="73">
        <f t="shared" si="7"/>
        <v>0.38298753863596002</v>
      </c>
      <c r="G28" s="73">
        <f t="shared" si="7"/>
        <v>0.20565778859067096</v>
      </c>
      <c r="H28" s="73">
        <f t="shared" si="7"/>
        <v>0.18977121718855305</v>
      </c>
      <c r="I28" s="73">
        <f t="shared" si="7"/>
        <v>0.16656095709774377</v>
      </c>
      <c r="J28" s="73">
        <f t="shared" si="7"/>
        <v>0.1467751167248641</v>
      </c>
      <c r="K28" s="73">
        <f t="shared" si="7"/>
        <v>0.13421357881337492</v>
      </c>
      <c r="L28" s="639"/>
      <c r="M28" s="645"/>
      <c r="N28" s="10"/>
      <c r="O28" s="10"/>
      <c r="P28" s="21"/>
      <c r="Q28" s="21"/>
      <c r="R28" s="21"/>
      <c r="S28" s="10"/>
      <c r="T28" s="536"/>
    </row>
    <row r="29" spans="2:21">
      <c r="B29" s="638" t="s">
        <v>100</v>
      </c>
      <c r="C29" s="10"/>
      <c r="D29" s="73">
        <f>(D27/C27)-1</f>
        <v>0.46944269431238905</v>
      </c>
      <c r="E29" s="73">
        <f t="shared" ref="E29:K29" si="8">(E27/D27)-1</f>
        <v>0.36526992788930035</v>
      </c>
      <c r="F29" s="73">
        <f t="shared" si="8"/>
        <v>0.29151293646400167</v>
      </c>
      <c r="G29" s="73">
        <f t="shared" si="8"/>
        <v>0.26399402881100986</v>
      </c>
      <c r="H29" s="73">
        <f t="shared" si="8"/>
        <v>0.23349126129462627</v>
      </c>
      <c r="I29" s="73">
        <f t="shared" si="8"/>
        <v>0.2111326900639181</v>
      </c>
      <c r="J29" s="73">
        <f t="shared" si="8"/>
        <v>1</v>
      </c>
      <c r="K29" s="73">
        <f t="shared" si="8"/>
        <v>0.18129304889974596</v>
      </c>
      <c r="L29" s="639"/>
      <c r="M29" s="645"/>
      <c r="N29" s="10"/>
      <c r="O29" s="10"/>
      <c r="P29" s="21"/>
      <c r="Q29" s="21"/>
      <c r="R29" s="21"/>
      <c r="S29" s="10"/>
      <c r="T29" s="536"/>
    </row>
    <row r="30" spans="2:21">
      <c r="B30" s="638" t="s">
        <v>107</v>
      </c>
      <c r="C30" s="10"/>
      <c r="D30" s="73">
        <f>(D26/C26)-1</f>
        <v>1.1723619170427684</v>
      </c>
      <c r="E30" s="73">
        <f t="shared" ref="E30:K30" si="9">(E26/D26)-1</f>
        <v>0.39345073209339132</v>
      </c>
      <c r="F30" s="73">
        <f t="shared" si="9"/>
        <v>0.39079977029819801</v>
      </c>
      <c r="G30" s="73">
        <f t="shared" si="9"/>
        <v>0.31680179366155392</v>
      </c>
      <c r="H30" s="73">
        <f t="shared" si="9"/>
        <v>0.24704052025108125</v>
      </c>
      <c r="I30" s="73">
        <f t="shared" si="9"/>
        <v>0.19645740196730577</v>
      </c>
      <c r="J30" s="73">
        <f t="shared" si="9"/>
        <v>0.14062786954259399</v>
      </c>
      <c r="K30" s="73">
        <f t="shared" si="9"/>
        <v>0.10896778463336898</v>
      </c>
      <c r="L30" s="639"/>
      <c r="M30" s="645"/>
      <c r="N30" s="10"/>
      <c r="O30" s="10"/>
      <c r="P30" s="21"/>
      <c r="Q30" s="21"/>
      <c r="R30" s="21"/>
      <c r="S30" s="10"/>
      <c r="T30" s="536"/>
    </row>
    <row r="31" spans="2:21" s="20" customFormat="1">
      <c r="B31" s="447"/>
      <c r="C31" s="10"/>
      <c r="D31" s="10"/>
      <c r="E31" s="10"/>
      <c r="F31" s="10"/>
      <c r="G31" s="640"/>
      <c r="H31" s="640"/>
      <c r="I31" s="640"/>
      <c r="J31" s="640"/>
      <c r="K31" s="640"/>
      <c r="L31" s="639"/>
      <c r="M31" s="645"/>
      <c r="N31" s="10"/>
      <c r="O31" s="10"/>
      <c r="P31" s="21"/>
      <c r="Q31" s="21"/>
      <c r="R31" s="21"/>
      <c r="S31" s="10"/>
      <c r="T31" s="536"/>
      <c r="U31"/>
    </row>
    <row r="32" spans="2:21">
      <c r="B32" s="625" t="s">
        <v>299</v>
      </c>
      <c r="C32" s="215"/>
      <c r="D32" s="215"/>
      <c r="E32" s="15"/>
      <c r="F32" s="15"/>
      <c r="G32" s="15"/>
      <c r="H32" s="15"/>
      <c r="I32" s="215"/>
      <c r="J32" s="15"/>
      <c r="K32" s="15"/>
      <c r="L32" s="536"/>
      <c r="M32" s="447"/>
      <c r="N32" s="10"/>
      <c r="O32" s="10"/>
      <c r="P32" s="21"/>
      <c r="Q32" s="21"/>
      <c r="R32" s="21"/>
      <c r="S32" s="10"/>
      <c r="T32" s="536"/>
    </row>
    <row r="33" spans="2:21">
      <c r="B33" s="641"/>
      <c r="C33" s="23"/>
      <c r="D33" s="23"/>
      <c r="E33" s="21"/>
      <c r="F33" s="21"/>
      <c r="G33" s="21"/>
      <c r="H33" s="21"/>
      <c r="I33" s="23"/>
      <c r="J33" s="21"/>
      <c r="K33" s="21"/>
      <c r="L33" s="536"/>
      <c r="M33" s="447"/>
      <c r="N33" s="10"/>
      <c r="O33" s="10"/>
      <c r="P33" s="21"/>
      <c r="Q33" s="21"/>
      <c r="R33" s="21"/>
      <c r="S33" s="21"/>
      <c r="T33" s="639"/>
      <c r="U33" s="20"/>
    </row>
    <row r="34" spans="2:21">
      <c r="B34" s="630" t="s">
        <v>232</v>
      </c>
      <c r="C34" s="73">
        <f>C25/C8</f>
        <v>0.23303848946986203</v>
      </c>
      <c r="D34" s="73">
        <f>D25/D8</f>
        <v>0.24724464646464647</v>
      </c>
      <c r="E34" s="73">
        <f t="shared" ref="E34:K34" si="10">E25/E8</f>
        <v>0.26023975694444446</v>
      </c>
      <c r="F34" s="73">
        <f t="shared" si="10"/>
        <v>0.28613830830256315</v>
      </c>
      <c r="G34" s="73">
        <f t="shared" si="10"/>
        <v>0.30868413680853374</v>
      </c>
      <c r="H34" s="73">
        <f t="shared" si="10"/>
        <v>0.33635703755617152</v>
      </c>
      <c r="I34" s="73">
        <f t="shared" si="10"/>
        <v>0.36756095697024438</v>
      </c>
      <c r="J34" s="73">
        <f t="shared" si="10"/>
        <v>0.40147432723638826</v>
      </c>
      <c r="K34" s="73">
        <f t="shared" si="10"/>
        <v>0.43557667635066899</v>
      </c>
      <c r="L34" s="536"/>
      <c r="M34" s="447"/>
      <c r="N34" s="10"/>
      <c r="O34" s="10"/>
      <c r="P34" s="21"/>
      <c r="Q34" s="21"/>
      <c r="R34" s="21"/>
      <c r="S34" s="10"/>
      <c r="T34" s="536"/>
    </row>
    <row r="35" spans="2:21">
      <c r="B35" s="630" t="s">
        <v>233</v>
      </c>
      <c r="C35" s="73">
        <f>C26/C9</f>
        <v>8.0935082862357132E-3</v>
      </c>
      <c r="D35" s="73">
        <f t="shared" ref="D35:K36" si="11">D26/D9</f>
        <v>1.6482152867891339E-2</v>
      </c>
      <c r="E35" s="73">
        <f t="shared" si="11"/>
        <v>2.205159180084712E-2</v>
      </c>
      <c r="F35" s="73">
        <f t="shared" si="11"/>
        <v>2.9396683349770535E-2</v>
      </c>
      <c r="G35" s="73">
        <f t="shared" si="11"/>
        <v>3.7056992950972714E-2</v>
      </c>
      <c r="H35" s="73">
        <f t="shared" si="11"/>
        <v>4.4223740034189538E-2</v>
      </c>
      <c r="I35" s="73">
        <f t="shared" si="11"/>
        <v>5.0681820956622041E-2</v>
      </c>
      <c r="J35" s="73">
        <f t="shared" si="11"/>
        <v>5.5372698962843386E-2</v>
      </c>
      <c r="K35" s="73">
        <f t="shared" si="11"/>
        <v>5.8818524029975956E-2</v>
      </c>
      <c r="L35" s="536"/>
      <c r="M35" s="447"/>
      <c r="N35" s="10"/>
      <c r="O35" s="10"/>
      <c r="P35" s="10"/>
      <c r="Q35" s="10"/>
      <c r="R35" s="10"/>
      <c r="S35" s="10"/>
      <c r="T35" s="536"/>
    </row>
    <row r="36" spans="2:21" ht="15" thickBot="1">
      <c r="B36" s="642" t="s">
        <v>234</v>
      </c>
      <c r="C36" s="643">
        <f>C27/C10</f>
        <v>0.1208235294117647</v>
      </c>
      <c r="D36" s="643">
        <f t="shared" si="11"/>
        <v>0.13980926430517712</v>
      </c>
      <c r="E36" s="643">
        <f t="shared" si="11"/>
        <v>0.14904680851063831</v>
      </c>
      <c r="F36" s="643">
        <f t="shared" si="11"/>
        <v>0.1554520003869008</v>
      </c>
      <c r="G36" s="643">
        <f t="shared" si="11"/>
        <v>0.16525637709372512</v>
      </c>
      <c r="H36" s="643">
        <f t="shared" si="11"/>
        <v>0.16634300652910025</v>
      </c>
      <c r="I36" s="643">
        <f t="shared" si="11"/>
        <v>0.16554361251873148</v>
      </c>
      <c r="J36" s="643">
        <f t="shared" si="11"/>
        <v>0.27203982184606829</v>
      </c>
      <c r="K36" s="643">
        <f t="shared" si="11"/>
        <v>0.26589366977390072</v>
      </c>
      <c r="L36" s="550"/>
      <c r="M36" s="455"/>
      <c r="N36" s="156"/>
      <c r="O36" s="156"/>
      <c r="P36" s="156"/>
      <c r="Q36" s="156"/>
      <c r="R36" s="156"/>
      <c r="S36" s="156"/>
      <c r="T36" s="550"/>
    </row>
    <row r="37" spans="2:21">
      <c r="B37" s="9"/>
    </row>
    <row r="38" spans="2:21">
      <c r="B38" s="9"/>
    </row>
    <row r="39" spans="2:21">
      <c r="B39" s="9"/>
    </row>
    <row r="41" spans="2:21">
      <c r="B41" t="s">
        <v>235</v>
      </c>
      <c r="C41" s="76">
        <v>1000</v>
      </c>
    </row>
    <row r="42" spans="2:21" ht="15" thickBot="1"/>
    <row r="43" spans="2:21">
      <c r="B43" s="552" t="s">
        <v>390</v>
      </c>
      <c r="C43" s="598" t="s">
        <v>389</v>
      </c>
    </row>
    <row r="44" spans="2:21">
      <c r="B44" s="447" t="s">
        <v>186</v>
      </c>
      <c r="C44" s="536">
        <v>119</v>
      </c>
    </row>
    <row r="45" spans="2:21">
      <c r="B45" s="447" t="s">
        <v>384</v>
      </c>
      <c r="C45" s="536">
        <v>168</v>
      </c>
    </row>
    <row r="46" spans="2:21">
      <c r="B46" s="447" t="s">
        <v>385</v>
      </c>
      <c r="C46" s="536">
        <v>60</v>
      </c>
    </row>
    <row r="47" spans="2:21">
      <c r="B47" s="447" t="s">
        <v>386</v>
      </c>
      <c r="C47" s="536">
        <v>120</v>
      </c>
    </row>
    <row r="48" spans="2:21">
      <c r="B48" s="447" t="s">
        <v>387</v>
      </c>
      <c r="C48" s="536">
        <v>180</v>
      </c>
    </row>
    <row r="49" spans="2:3" ht="15" thickBot="1">
      <c r="B49" s="597" t="s">
        <v>388</v>
      </c>
      <c r="C49" s="599">
        <v>70</v>
      </c>
    </row>
    <row r="70" ht="15.75" customHeight="1"/>
  </sheetData>
  <phoneticPr fontId="10" type="noConversion"/>
  <pageMargins left="0.7" right="0.7" top="0.75" bottom="0.75" header="0.3" footer="0.3"/>
  <pageSetup scale="5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1" r:id="rId4" name="Drop Down 11">
              <controlPr defaultSize="0" autoLine="0" autoPict="0">
                <anchor moveWithCells="1">
                  <from>
                    <xdr:col>1</xdr:col>
                    <xdr:colOff>2362200</xdr:colOff>
                    <xdr:row>2</xdr:row>
                    <xdr:rowOff>83820</xdr:rowOff>
                  </from>
                  <to>
                    <xdr:col>3</xdr:col>
                    <xdr:colOff>441960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T335"/>
  <sheetViews>
    <sheetView showGridLines="0" tabSelected="1" zoomScale="80" zoomScaleNormal="80" workbookViewId="0">
      <pane ySplit="3" topLeftCell="A22" activePane="bottomLeft" state="frozen"/>
      <selection activeCell="N78" sqref="M78:N78"/>
      <selection pane="bottomLeft" activeCell="E31" sqref="E31"/>
    </sheetView>
  </sheetViews>
  <sheetFormatPr defaultRowHeight="14.4" outlineLevelRow="1"/>
  <cols>
    <col min="1" max="1" width="67.6640625" bestFit="1" customWidth="1"/>
    <col min="2" max="2" width="13" bestFit="1" customWidth="1"/>
    <col min="3" max="4" width="13.44140625" bestFit="1" customWidth="1"/>
    <col min="5" max="5" width="18.6640625" bestFit="1" customWidth="1"/>
    <col min="6" max="9" width="15.6640625" bestFit="1" customWidth="1"/>
    <col min="10" max="10" width="14.88671875" style="10" bestFit="1" customWidth="1"/>
    <col min="11" max="11" width="15.6640625" bestFit="1" customWidth="1"/>
    <col min="12" max="12" width="24" bestFit="1" customWidth="1"/>
    <col min="13" max="13" width="10.109375" style="10" bestFit="1" customWidth="1"/>
    <col min="14" max="14" width="16.88671875" bestFit="1" customWidth="1"/>
    <col min="15" max="15" width="10.5546875" bestFit="1" customWidth="1"/>
    <col min="16" max="19" width="8.6640625" bestFit="1" customWidth="1"/>
  </cols>
  <sheetData>
    <row r="1" spans="1:18">
      <c r="A1" s="2"/>
      <c r="B1" s="2"/>
      <c r="C1" s="2"/>
      <c r="D1" s="2"/>
      <c r="E1" s="175" t="s">
        <v>199</v>
      </c>
      <c r="F1" s="176">
        <f>'SOTP COMPS'!G56</f>
        <v>1557446.7056175363</v>
      </c>
      <c r="G1" s="2"/>
      <c r="H1" s="2"/>
      <c r="I1" s="2"/>
      <c r="J1" s="14"/>
    </row>
    <row r="2" spans="1:18">
      <c r="A2" s="3" t="s">
        <v>89</v>
      </c>
      <c r="B2" s="2"/>
      <c r="C2" s="2"/>
      <c r="D2" s="2"/>
      <c r="E2" s="2"/>
      <c r="F2" s="2"/>
      <c r="G2" s="2"/>
      <c r="H2" s="2"/>
      <c r="I2" s="2"/>
      <c r="J2" s="15"/>
    </row>
    <row r="3" spans="1:18">
      <c r="A3" s="3" t="s">
        <v>108</v>
      </c>
      <c r="B3" s="477">
        <v>2017</v>
      </c>
      <c r="C3" s="477">
        <f>B3+1</f>
        <v>2018</v>
      </c>
      <c r="D3" s="477">
        <f t="shared" ref="D3:J3" si="0">C3+1</f>
        <v>2019</v>
      </c>
      <c r="E3" s="478">
        <f t="shared" si="0"/>
        <v>2020</v>
      </c>
      <c r="F3" s="479">
        <f t="shared" si="0"/>
        <v>2021</v>
      </c>
      <c r="G3" s="479">
        <f t="shared" si="0"/>
        <v>2022</v>
      </c>
      <c r="H3" s="479">
        <f t="shared" si="0"/>
        <v>2023</v>
      </c>
      <c r="I3" s="479">
        <f t="shared" si="0"/>
        <v>2024</v>
      </c>
      <c r="J3" s="480">
        <f t="shared" si="0"/>
        <v>2025</v>
      </c>
    </row>
    <row r="5" spans="1:18">
      <c r="A5" s="3" t="s">
        <v>109</v>
      </c>
      <c r="B5" s="2"/>
      <c r="C5" s="2"/>
      <c r="D5" s="2"/>
      <c r="E5" s="2"/>
      <c r="F5" s="2"/>
      <c r="G5" s="2"/>
      <c r="H5" s="2"/>
      <c r="I5" s="2"/>
      <c r="J5" s="15"/>
    </row>
    <row r="6" spans="1:18" outlineLevel="1">
      <c r="A6" s="19" t="s">
        <v>110</v>
      </c>
    </row>
    <row r="7" spans="1:18" outlineLevel="1">
      <c r="A7" s="25" t="s">
        <v>111</v>
      </c>
      <c r="B7" s="309">
        <v>42736</v>
      </c>
      <c r="C7" s="310">
        <f>DATE(YEAR(B7)+1,MONTH(B7),DAY(B7))</f>
        <v>43101</v>
      </c>
      <c r="D7" s="310">
        <f t="shared" ref="D7:J7" si="1">DATE(YEAR(C7)+1,MONTH(C7),DAY(C7))</f>
        <v>43466</v>
      </c>
      <c r="E7" s="310">
        <f t="shared" si="1"/>
        <v>43831</v>
      </c>
      <c r="F7" s="310">
        <f t="shared" si="1"/>
        <v>44197</v>
      </c>
      <c r="G7" s="310">
        <f t="shared" si="1"/>
        <v>44562</v>
      </c>
      <c r="H7" s="310">
        <f t="shared" si="1"/>
        <v>44927</v>
      </c>
      <c r="I7" s="310">
        <f t="shared" si="1"/>
        <v>45292</v>
      </c>
      <c r="J7" s="310">
        <f t="shared" si="1"/>
        <v>45658</v>
      </c>
    </row>
    <row r="8" spans="1:18" outlineLevel="1">
      <c r="A8" t="s">
        <v>112</v>
      </c>
      <c r="B8" s="309">
        <v>43100</v>
      </c>
      <c r="C8" s="310">
        <f t="shared" ref="C8:J8" si="2">DATE(YEAR(B8)+1,MONTH(B8),DAY(B8))</f>
        <v>43465</v>
      </c>
      <c r="D8" s="310">
        <f t="shared" si="2"/>
        <v>43830</v>
      </c>
      <c r="E8" s="310">
        <f t="shared" si="2"/>
        <v>44196</v>
      </c>
      <c r="F8" s="310">
        <f t="shared" si="2"/>
        <v>44561</v>
      </c>
      <c r="G8" s="310">
        <f t="shared" si="2"/>
        <v>44926</v>
      </c>
      <c r="H8" s="310">
        <f t="shared" si="2"/>
        <v>45291</v>
      </c>
      <c r="I8" s="310">
        <f t="shared" si="2"/>
        <v>45657</v>
      </c>
      <c r="J8" s="310">
        <f t="shared" si="2"/>
        <v>46022</v>
      </c>
    </row>
    <row r="9" spans="1:18" outlineLevel="1">
      <c r="A9" t="s">
        <v>113</v>
      </c>
      <c r="B9" s="294">
        <f>B8-B7+1</f>
        <v>365</v>
      </c>
      <c r="C9" s="294">
        <f t="shared" ref="C9:J9" si="3">C8-C7+1</f>
        <v>365</v>
      </c>
      <c r="D9" s="294">
        <f t="shared" si="3"/>
        <v>365</v>
      </c>
      <c r="E9" s="294">
        <f t="shared" si="3"/>
        <v>366</v>
      </c>
      <c r="F9" s="294">
        <f t="shared" si="3"/>
        <v>365</v>
      </c>
      <c r="G9" s="294">
        <f t="shared" si="3"/>
        <v>365</v>
      </c>
      <c r="H9" s="294">
        <f t="shared" si="3"/>
        <v>365</v>
      </c>
      <c r="I9" s="294">
        <f t="shared" si="3"/>
        <v>366</v>
      </c>
      <c r="J9" s="294">
        <f t="shared" si="3"/>
        <v>365</v>
      </c>
    </row>
    <row r="10" spans="1:18" outlineLevel="1"/>
    <row r="11" spans="1:18" outlineLevel="1">
      <c r="A11" s="19" t="s">
        <v>117</v>
      </c>
    </row>
    <row r="12" spans="1:18" outlineLevel="1">
      <c r="A12" s="25" t="s">
        <v>114</v>
      </c>
      <c r="B12" s="69">
        <v>0.185</v>
      </c>
      <c r="C12" s="119">
        <f>(C66/B66)-1</f>
        <v>0.13504808313490968</v>
      </c>
      <c r="D12" s="119">
        <f>(D66/C66)-1</f>
        <v>0.14847097660728359</v>
      </c>
      <c r="E12" s="218">
        <f>Scenarios!E20</f>
        <v>0.34599999999999997</v>
      </c>
      <c r="F12" s="218">
        <f>Scenarios!F20</f>
        <v>0.1585</v>
      </c>
      <c r="G12" s="218">
        <f>Scenarios!G20</f>
        <v>0.14799999999999999</v>
      </c>
      <c r="H12" s="218">
        <f>Scenarios!H20</f>
        <v>0.1227</v>
      </c>
      <c r="I12" s="218">
        <f>Scenarios!I20</f>
        <v>0.1123</v>
      </c>
      <c r="J12" s="218">
        <f>Scenarios!J20</f>
        <v>0.1002</v>
      </c>
    </row>
    <row r="13" spans="1:18" outlineLevel="1">
      <c r="A13" s="25" t="s">
        <v>118</v>
      </c>
      <c r="B13" s="69">
        <v>0.38650000000000001</v>
      </c>
      <c r="C13" s="119">
        <f t="shared" ref="C13:C18" si="4">(C67/B67)-1</f>
        <v>0.34076722812960702</v>
      </c>
      <c r="D13" s="119">
        <f t="shared" ref="D13:D18" si="5">(D67/C67)-1</f>
        <v>0.25773774710492448</v>
      </c>
      <c r="E13" s="218">
        <f>Scenarios!E21</f>
        <v>0.39756394633018699</v>
      </c>
      <c r="F13" s="218">
        <f>Scenarios!F21</f>
        <v>0.22355650461113699</v>
      </c>
      <c r="G13" s="218">
        <f>Scenarios!G21</f>
        <v>0.20478249232156501</v>
      </c>
      <c r="H13" s="218">
        <f>Scenarios!H21</f>
        <v>0.18158032995888601</v>
      </c>
      <c r="I13" s="218">
        <f>Scenarios!I21</f>
        <v>0.15799219912083701</v>
      </c>
      <c r="J13" s="218">
        <f>Scenarios!J21</f>
        <v>0.14484381215727801</v>
      </c>
      <c r="K13" s="289"/>
      <c r="L13" s="289"/>
      <c r="M13" s="482"/>
      <c r="N13" s="289"/>
      <c r="O13" s="289"/>
      <c r="P13" s="289"/>
      <c r="Q13" s="289"/>
      <c r="R13" s="289"/>
    </row>
    <row r="14" spans="1:18" ht="15.75" customHeight="1" outlineLevel="1">
      <c r="A14" s="25" t="s">
        <v>116</v>
      </c>
      <c r="B14" s="69">
        <v>0.42880000000000001</v>
      </c>
      <c r="C14" s="119">
        <f t="shared" si="4"/>
        <v>0.46944269431238905</v>
      </c>
      <c r="D14" s="119">
        <f t="shared" si="5"/>
        <v>0.36526992788930035</v>
      </c>
      <c r="E14" s="218">
        <f>Scenarios!E22</f>
        <v>0.291512936464002</v>
      </c>
      <c r="F14" s="218">
        <f>Scenarios!F22</f>
        <v>0.26399402881100997</v>
      </c>
      <c r="G14" s="218">
        <f>Scenarios!G22</f>
        <v>0.233491261294626</v>
      </c>
      <c r="H14" s="218">
        <f>Scenarios!H22</f>
        <v>0.21113269006391799</v>
      </c>
      <c r="I14" s="218">
        <v>1</v>
      </c>
      <c r="J14" s="218">
        <f>Scenarios!J22</f>
        <v>0.18129304889974601</v>
      </c>
    </row>
    <row r="15" spans="1:18" outlineLevel="1">
      <c r="A15" s="25" t="s">
        <v>119</v>
      </c>
      <c r="B15" s="69">
        <v>0.52029999999999998</v>
      </c>
      <c r="C15" s="119">
        <f t="shared" si="4"/>
        <v>0.45746322394815353</v>
      </c>
      <c r="D15" s="119">
        <f t="shared" si="5"/>
        <v>0.35587238848108416</v>
      </c>
      <c r="E15" s="218">
        <f>Scenarios!E23</f>
        <v>0.27196096611639098</v>
      </c>
      <c r="F15" s="218">
        <f>Scenarios!F23</f>
        <v>0.22433280376824599</v>
      </c>
      <c r="G15" s="218">
        <f>Scenarios!G23</f>
        <v>0.18865265043169399</v>
      </c>
      <c r="H15" s="218">
        <f>Scenarios!H23</f>
        <v>0.170328945770269</v>
      </c>
      <c r="I15" s="218">
        <f>Scenarios!I23</f>
        <v>0.135268885580487</v>
      </c>
      <c r="J15" s="218">
        <f>Scenarios!J23</f>
        <v>0.1157042286086</v>
      </c>
      <c r="K15" s="289"/>
      <c r="L15" s="289"/>
      <c r="M15" s="482"/>
      <c r="N15" s="289"/>
      <c r="O15" s="289"/>
      <c r="P15" s="289"/>
      <c r="Q15" s="289"/>
      <c r="R15" s="289"/>
    </row>
    <row r="16" spans="1:18" outlineLevel="1">
      <c r="A16" s="25" t="s">
        <v>115</v>
      </c>
      <c r="B16" s="71" t="s">
        <v>121</v>
      </c>
      <c r="C16" s="119">
        <f t="shared" si="4"/>
        <v>1.9706795446705763</v>
      </c>
      <c r="D16" s="119">
        <f t="shared" si="5"/>
        <v>-1.8578727357175806E-3</v>
      </c>
      <c r="E16" s="218">
        <f>Scenarios!E24</f>
        <v>3.4007190455295502E-2</v>
      </c>
      <c r="F16" s="218">
        <f>Scenarios!F24</f>
        <v>1.8540988643578501E-2</v>
      </c>
      <c r="G16" s="218">
        <f>Scenarios!G24</f>
        <v>5.1625415651693402E-2</v>
      </c>
      <c r="H16" s="218">
        <f>Scenarios!H24</f>
        <v>5.2880000000000003E-2</v>
      </c>
      <c r="I16" s="218">
        <f>Scenarios!I24</f>
        <v>6.1302500000000003E-2</v>
      </c>
      <c r="J16" s="218">
        <f>Scenarios!J24</f>
        <v>5.6979666666666699E-2</v>
      </c>
    </row>
    <row r="17" spans="1:13" outlineLevel="1">
      <c r="A17" s="25" t="s">
        <v>120</v>
      </c>
      <c r="B17" s="69">
        <v>0.57730000000000004</v>
      </c>
      <c r="C17" s="119">
        <f t="shared" si="4"/>
        <v>1.1723619170427679</v>
      </c>
      <c r="D17" s="119">
        <f t="shared" si="5"/>
        <v>0.39345073209339132</v>
      </c>
      <c r="E17" s="218">
        <f>Scenarios!E25</f>
        <v>0.39079977029819801</v>
      </c>
      <c r="F17" s="218">
        <f>Scenarios!F25</f>
        <v>0.31680179366155398</v>
      </c>
      <c r="G17" s="218">
        <f>Scenarios!G25</f>
        <v>0.247040520251081</v>
      </c>
      <c r="H17" s="218">
        <f>Scenarios!H25</f>
        <v>0.19645740196730599</v>
      </c>
      <c r="I17" s="218">
        <f>Scenarios!I25</f>
        <v>0.14062786954259399</v>
      </c>
      <c r="J17" s="218">
        <f>Scenarios!J25</f>
        <v>0.10896778463336899</v>
      </c>
    </row>
    <row r="18" spans="1:13" ht="15" outlineLevel="1" thickBot="1">
      <c r="A18" s="193" t="s">
        <v>122</v>
      </c>
      <c r="B18" s="194">
        <v>0.308</v>
      </c>
      <c r="C18" s="195">
        <f t="shared" si="4"/>
        <v>0.3093396152159491</v>
      </c>
      <c r="D18" s="195">
        <f t="shared" si="5"/>
        <v>0.20454125820676983</v>
      </c>
      <c r="E18" s="195">
        <f t="shared" ref="E18:J18" si="6">(E72/D72)-1</f>
        <v>0.32713749202288955</v>
      </c>
      <c r="F18" s="195">
        <f t="shared" si="6"/>
        <v>0.19041554529556781</v>
      </c>
      <c r="G18" s="195">
        <f t="shared" si="6"/>
        <v>0.17538026801535334</v>
      </c>
      <c r="H18" s="195">
        <f t="shared" si="6"/>
        <v>0.15244714681683336</v>
      </c>
      <c r="I18" s="195">
        <f t="shared" si="6"/>
        <v>0.25027923125724283</v>
      </c>
      <c r="J18" s="195">
        <f t="shared" si="6"/>
        <v>0.12793579363817242</v>
      </c>
    </row>
    <row r="19" spans="1:13" ht="15" outlineLevel="1" thickTop="1">
      <c r="A19" s="28" t="s">
        <v>123</v>
      </c>
      <c r="B19" s="72"/>
      <c r="C19" s="73"/>
      <c r="D19" s="73"/>
      <c r="E19" s="80"/>
      <c r="F19" s="80"/>
      <c r="G19" s="80"/>
      <c r="H19" s="80"/>
      <c r="I19" s="80"/>
      <c r="J19" s="80"/>
    </row>
    <row r="20" spans="1:13" outlineLevel="1">
      <c r="A20" t="s">
        <v>4</v>
      </c>
      <c r="B20" s="119">
        <f t="shared" ref="B20:D25" si="7">B78/B$76</f>
        <v>0.6293164517108385</v>
      </c>
      <c r="C20" s="119">
        <f t="shared" si="7"/>
        <v>0.59752583871147813</v>
      </c>
      <c r="D20" s="119">
        <f t="shared" si="7"/>
        <v>0.59009988521399392</v>
      </c>
      <c r="E20" s="218">
        <f>Scenarios!E28</f>
        <v>0.59904349786621802</v>
      </c>
      <c r="F20" s="218">
        <f>Scenarios!F28</f>
        <v>0.58953184057405705</v>
      </c>
      <c r="G20" s="218">
        <f>Scenarios!G28</f>
        <v>0.58058777618706592</v>
      </c>
      <c r="H20" s="218">
        <f>Scenarios!H28</f>
        <v>0.57647886343895194</v>
      </c>
      <c r="I20" s="218">
        <f>Scenarios!I28</f>
        <v>0.57222910347817002</v>
      </c>
      <c r="J20" s="218">
        <f>Scenarios!J28</f>
        <v>0.57921885870032708</v>
      </c>
    </row>
    <row r="21" spans="1:13" outlineLevel="1">
      <c r="A21" t="s">
        <v>141</v>
      </c>
      <c r="B21" s="119">
        <f t="shared" si="7"/>
        <v>0.12717438970910686</v>
      </c>
      <c r="C21" s="119">
        <f t="shared" si="7"/>
        <v>0.12382400048091993</v>
      </c>
      <c r="D21" s="119">
        <f t="shared" si="7"/>
        <v>0.12808621070718162</v>
      </c>
      <c r="E21" s="218">
        <f>Scenarios!E29</f>
        <v>0.117868456048504</v>
      </c>
      <c r="F21" s="218">
        <f>Scenarios!F29</f>
        <v>0.117921080403423</v>
      </c>
      <c r="G21" s="218">
        <f>Scenarios!G29</f>
        <v>0.11680653573663199</v>
      </c>
      <c r="H21" s="218">
        <f>Scenarios!H29</f>
        <v>0.115761440172734</v>
      </c>
      <c r="I21" s="218">
        <f>Scenarios!I29</f>
        <v>0.11398126999050801</v>
      </c>
      <c r="J21" s="218">
        <f>Scenarios!J29</f>
        <v>0.108651024817596</v>
      </c>
    </row>
    <row r="22" spans="1:13" outlineLevel="1">
      <c r="A22" t="s">
        <v>6</v>
      </c>
      <c r="B22" s="119">
        <f t="shared" si="7"/>
        <v>5.6610032271485276E-2</v>
      </c>
      <c r="C22" s="119">
        <f t="shared" si="7"/>
        <v>5.9316320790769775E-2</v>
      </c>
      <c r="D22" s="119">
        <f t="shared" si="7"/>
        <v>6.7295969656568824E-2</v>
      </c>
      <c r="E22" s="218">
        <f>Scenarios!E30</f>
        <v>5.6649499406085997E-2</v>
      </c>
      <c r="F22" s="218">
        <f>Scenarios!F30</f>
        <v>5.6850116170064198E-2</v>
      </c>
      <c r="G22" s="218">
        <f>Scenarios!G30</f>
        <v>5.52755554151649E-2</v>
      </c>
      <c r="H22" s="218">
        <f>Scenarios!H30</f>
        <v>5.4539473912822101E-2</v>
      </c>
      <c r="I22" s="218">
        <f>Scenarios!I30</f>
        <v>5.0885824507243299E-2</v>
      </c>
      <c r="J22" s="218">
        <f>Scenarios!J30</f>
        <v>4.8538795228307501E-2</v>
      </c>
    </row>
    <row r="23" spans="1:13" outlineLevel="1">
      <c r="A23" t="s">
        <v>140</v>
      </c>
      <c r="B23" s="119">
        <f t="shared" si="7"/>
        <v>0.14195517974205302</v>
      </c>
      <c r="C23" s="119">
        <f t="shared" si="7"/>
        <v>0.14610948657503425</v>
      </c>
      <c r="D23" s="119">
        <f t="shared" si="7"/>
        <v>0.14341834152045116</v>
      </c>
      <c r="E23" s="218">
        <f>Scenarios!E31</f>
        <v>0.15235898056685401</v>
      </c>
      <c r="F23" s="218">
        <f>Scenarios!F31</f>
        <v>0.15129358271509499</v>
      </c>
      <c r="G23" s="218">
        <f>Scenarios!G31</f>
        <v>0.14883504462671801</v>
      </c>
      <c r="H23" s="218">
        <f>Scenarios!H31</f>
        <v>0.14875371209371899</v>
      </c>
      <c r="I23" s="218">
        <f>Scenarios!I31</f>
        <v>0.14654007665947499</v>
      </c>
      <c r="J23" s="218">
        <f>Scenarios!J31</f>
        <v>0.14116098557009499</v>
      </c>
    </row>
    <row r="24" spans="1:13" outlineLevel="1">
      <c r="A24" t="s">
        <v>7</v>
      </c>
      <c r="B24" s="119">
        <f t="shared" si="7"/>
        <v>2.0655999460267842E-2</v>
      </c>
      <c r="C24" s="119">
        <f t="shared" si="7"/>
        <v>1.8618471619283171E-2</v>
      </c>
      <c r="D24" s="119">
        <f t="shared" si="7"/>
        <v>1.8547564896870834E-2</v>
      </c>
      <c r="E24" s="218">
        <f>Scenarios!E32</f>
        <v>1.8945174845938401E-2</v>
      </c>
      <c r="F24" s="218">
        <f>Scenarios!F32</f>
        <v>1.8640095803024899E-2</v>
      </c>
      <c r="G24" s="218">
        <f>Scenarios!G32</f>
        <v>1.9051483894780799E-2</v>
      </c>
      <c r="H24" s="218">
        <f>Scenarios!H32</f>
        <v>1.7268350784946401E-2</v>
      </c>
      <c r="I24" s="218">
        <f>Scenarios!I32</f>
        <v>1.6599090879216499E-2</v>
      </c>
      <c r="J24" s="218">
        <f>Scenarios!J32</f>
        <v>1.6244367158973701E-2</v>
      </c>
    </row>
    <row r="25" spans="1:13" outlineLevel="1">
      <c r="A25" t="s">
        <v>9</v>
      </c>
      <c r="B25" s="119">
        <f t="shared" si="7"/>
        <v>1.2031529353558298E-3</v>
      </c>
      <c r="C25" s="119">
        <f t="shared" si="7"/>
        <v>1.271002675117117E-3</v>
      </c>
      <c r="D25" s="119">
        <f t="shared" si="7"/>
        <v>7.1652134235461028E-4</v>
      </c>
      <c r="E25" s="218">
        <f>Scenarios!E33</f>
        <v>1.55128171120992E-3</v>
      </c>
      <c r="F25" s="218">
        <f>Scenarios!F33</f>
        <v>1.1139710401004001E-3</v>
      </c>
      <c r="G25" s="218">
        <f>Scenarios!G33</f>
        <v>1.0909353211524401E-3</v>
      </c>
      <c r="H25" s="218">
        <f>Scenarios!H33</f>
        <v>9.2584830221027097E-4</v>
      </c>
      <c r="I25" s="218">
        <f>Scenarios!I33</f>
        <v>7.2369092784375498E-4</v>
      </c>
      <c r="J25" s="218">
        <f>Scenarios!J33</f>
        <v>6.3142674968784103E-4</v>
      </c>
    </row>
    <row r="26" spans="1:13" s="10" customFormat="1" outlineLevel="1">
      <c r="A26" s="190" t="s">
        <v>208</v>
      </c>
      <c r="B26" s="191">
        <f>SUM(B20:B25)</f>
        <v>0.9769152058291074</v>
      </c>
      <c r="C26" s="191">
        <f t="shared" ref="C26:J26" si="8">SUM(C20:C25)</f>
        <v>0.94666512085260235</v>
      </c>
      <c r="D26" s="191">
        <f t="shared" si="8"/>
        <v>0.94816449333742092</v>
      </c>
      <c r="E26" s="191">
        <f t="shared" si="8"/>
        <v>0.94641689044481037</v>
      </c>
      <c r="F26" s="191">
        <f t="shared" si="8"/>
        <v>0.93535068670576449</v>
      </c>
      <c r="G26" s="191">
        <f t="shared" si="8"/>
        <v>0.92164733118151421</v>
      </c>
      <c r="H26" s="191">
        <f t="shared" si="8"/>
        <v>0.91372768870538379</v>
      </c>
      <c r="I26" s="191">
        <f t="shared" si="8"/>
        <v>0.90095905644245655</v>
      </c>
      <c r="J26" s="191">
        <f t="shared" si="8"/>
        <v>0.89444545822498711</v>
      </c>
    </row>
    <row r="27" spans="1:13" ht="13.5" customHeight="1" outlineLevel="1">
      <c r="B27" s="70"/>
      <c r="C27" s="70"/>
      <c r="D27" s="70"/>
      <c r="E27" s="79"/>
      <c r="F27" s="79"/>
      <c r="G27" s="79"/>
      <c r="H27" s="79"/>
      <c r="I27" s="79"/>
      <c r="J27" s="79"/>
    </row>
    <row r="28" spans="1:13" s="20" customFormat="1" outlineLevel="1">
      <c r="A28" s="20" t="s">
        <v>142</v>
      </c>
      <c r="B28" s="124">
        <f>B142/B72</f>
        <v>2.3697615058527206E-2</v>
      </c>
      <c r="C28" s="124">
        <f>C142/C72</f>
        <v>2.3264501668191009E-2</v>
      </c>
      <c r="D28" s="124">
        <f>D142/D72</f>
        <v>2.4468669123990275E-2</v>
      </c>
      <c r="E28" s="218">
        <f>Scenarios!E36</f>
        <v>2.4719633424403E-2</v>
      </c>
      <c r="F28" s="218">
        <f>Scenarios!F36</f>
        <v>2.4190476373964001E-2</v>
      </c>
      <c r="G28" s="218">
        <f>Scenarios!G36</f>
        <v>2.3507072339676E-2</v>
      </c>
      <c r="H28" s="218">
        <f>Scenarios!H36</f>
        <v>2.2731394884199702E-2</v>
      </c>
      <c r="I28" s="218">
        <f>Scenarios!I36</f>
        <v>2.2237597916664999E-2</v>
      </c>
      <c r="J28" s="218">
        <f>Scenarios!J36</f>
        <v>2.1587648168543201E-2</v>
      </c>
      <c r="M28" s="21"/>
    </row>
    <row r="29" spans="1:13" outlineLevel="1">
      <c r="A29" s="9" t="s">
        <v>153</v>
      </c>
      <c r="B29" s="119">
        <f>-B90/B91</f>
        <v>0.20204939569101418</v>
      </c>
      <c r="C29" s="119">
        <f>-C90/C91</f>
        <v>0.10629606606873279</v>
      </c>
      <c r="D29" s="119">
        <f>-D90/D91</f>
        <v>0.16986262163709215</v>
      </c>
      <c r="E29" s="218">
        <f>Scenarios!E37</f>
        <v>0.17699999999999999</v>
      </c>
      <c r="F29" s="218">
        <f>Scenarios!F37</f>
        <v>0.33129999999999998</v>
      </c>
      <c r="G29" s="218">
        <f>Scenarios!G37</f>
        <v>0.33129999999999998</v>
      </c>
      <c r="H29" s="218">
        <f>Scenarios!H37</f>
        <v>0.33129999999999998</v>
      </c>
      <c r="I29" s="218">
        <f>Scenarios!I37</f>
        <v>0.33129999999999998</v>
      </c>
      <c r="J29" s="218">
        <f>Scenarios!J37</f>
        <v>0.33129999999999998</v>
      </c>
    </row>
    <row r="30" spans="1:13" outlineLevel="1">
      <c r="A30" s="105" t="s">
        <v>207</v>
      </c>
      <c r="B30" s="119">
        <f>B87/B136</f>
        <v>1.0133440353165445E-2</v>
      </c>
      <c r="C30" s="119">
        <f>C87/C136</f>
        <v>2.013177159590044E-2</v>
      </c>
      <c r="D30" s="119">
        <f>D87/D136</f>
        <v>2.586019332981071E-2</v>
      </c>
      <c r="E30" s="218">
        <f>Scenarios!E38</f>
        <v>1.14E-2</v>
      </c>
      <c r="F30" s="218">
        <f>Scenarios!F38</f>
        <v>1.0012791690293774E-2</v>
      </c>
      <c r="G30" s="218">
        <f>Scenarios!G38</f>
        <v>1.0012791690293774E-2</v>
      </c>
      <c r="H30" s="218">
        <f>Scenarios!H38</f>
        <v>1.0012791690293774E-2</v>
      </c>
      <c r="I30" s="218">
        <f>Scenarios!I38</f>
        <v>1.0012791690293774E-2</v>
      </c>
      <c r="J30" s="219">
        <f>Scenarios!J38</f>
        <v>1.0012791690293774E-2</v>
      </c>
    </row>
    <row r="31" spans="1:13" outlineLevel="1">
      <c r="A31" s="105" t="s">
        <v>227</v>
      </c>
      <c r="B31" s="70"/>
      <c r="C31" s="119">
        <f>-C86/AVERAGE(B120:C120)</f>
        <v>5.8750362784526722E-2</v>
      </c>
      <c r="D31" s="119">
        <f>-D86/AVERAGE(C120:D120)</f>
        <v>6.8217186467415633E-2</v>
      </c>
      <c r="E31" s="218">
        <v>0.02</v>
      </c>
      <c r="F31" s="218">
        <f>Scenarios!F39</f>
        <v>3.2399999999999998E-2</v>
      </c>
      <c r="G31" s="218">
        <f>Scenarios!G39</f>
        <v>3.2399999999999998E-2</v>
      </c>
      <c r="H31" s="218">
        <f>Scenarios!H39</f>
        <v>3.2399999999999998E-2</v>
      </c>
      <c r="I31" s="218">
        <f>Scenarios!I39</f>
        <v>3.2399999999999998E-2</v>
      </c>
      <c r="J31" s="218">
        <f>Scenarios!J39</f>
        <v>3.2399999999999998E-2</v>
      </c>
    </row>
    <row r="32" spans="1:13" outlineLevel="1">
      <c r="B32" s="70"/>
      <c r="C32" s="70"/>
      <c r="D32" s="70"/>
      <c r="E32" s="81"/>
      <c r="F32" s="81"/>
      <c r="G32" s="81"/>
      <c r="H32" s="81"/>
      <c r="I32" s="81"/>
      <c r="J32" s="80"/>
    </row>
    <row r="33" spans="1:13" outlineLevel="1">
      <c r="B33" s="74"/>
      <c r="C33" s="74"/>
      <c r="D33" s="74"/>
      <c r="E33" s="82"/>
      <c r="F33" s="82"/>
      <c r="G33" s="82"/>
      <c r="H33" s="82"/>
      <c r="I33" s="82"/>
      <c r="J33" s="83"/>
    </row>
    <row r="34" spans="1:13" outlineLevel="1">
      <c r="A34" s="1" t="s">
        <v>87</v>
      </c>
      <c r="B34" s="74"/>
      <c r="C34" s="74"/>
      <c r="D34" s="74"/>
      <c r="E34" s="82"/>
      <c r="F34" s="82"/>
      <c r="G34" s="82"/>
      <c r="H34" s="82"/>
      <c r="I34" s="82"/>
      <c r="J34" s="83"/>
    </row>
    <row r="35" spans="1:13" outlineLevel="1">
      <c r="A35" s="112" t="s">
        <v>124</v>
      </c>
      <c r="B35" s="75">
        <f>B105/B78*B9</f>
        <v>52.326862258116392</v>
      </c>
      <c r="C35" s="75">
        <f>C105/C78*C9</f>
        <v>45.046638305211417</v>
      </c>
      <c r="D35" s="75">
        <f>D105/D78*D9</f>
        <v>45.195033104581483</v>
      </c>
      <c r="E35" s="220">
        <f>Scenarios!E43</f>
        <v>52</v>
      </c>
      <c r="F35" s="220">
        <f>Scenarios!F43</f>
        <v>52</v>
      </c>
      <c r="G35" s="220">
        <f>Scenarios!G43</f>
        <v>52</v>
      </c>
      <c r="H35" s="220">
        <f>Scenarios!H43</f>
        <v>52</v>
      </c>
      <c r="I35" s="220">
        <f>Scenarios!I43</f>
        <v>52</v>
      </c>
      <c r="J35" s="220">
        <f>Scenarios!J43</f>
        <v>52</v>
      </c>
    </row>
    <row r="36" spans="1:13" outlineLevel="1">
      <c r="A36" s="112" t="s">
        <v>125</v>
      </c>
      <c r="B36" s="75">
        <f>B104/B72*B9</f>
        <v>27.013931836326226</v>
      </c>
      <c r="C36" s="75">
        <f>C104/C72*C9</f>
        <v>26.137590333509387</v>
      </c>
      <c r="D36" s="75">
        <f>D104/D72*D9</f>
        <v>27.084649332316179</v>
      </c>
      <c r="E36" s="220">
        <f>Scenarios!E44</f>
        <v>27</v>
      </c>
      <c r="F36" s="220">
        <f>Scenarios!F44</f>
        <v>27</v>
      </c>
      <c r="G36" s="220">
        <f>Scenarios!G44</f>
        <v>27</v>
      </c>
      <c r="H36" s="220">
        <f>Scenarios!H44</f>
        <v>27</v>
      </c>
      <c r="I36" s="220">
        <f>Scenarios!I44</f>
        <v>27</v>
      </c>
      <c r="J36" s="220">
        <f>Scenarios!J44</f>
        <v>27</v>
      </c>
    </row>
    <row r="37" spans="1:13" outlineLevel="1">
      <c r="A37" s="24" t="s">
        <v>137</v>
      </c>
      <c r="B37" s="76">
        <v>9566</v>
      </c>
      <c r="C37" s="122">
        <f>C108-B108</f>
        <v>1198</v>
      </c>
      <c r="D37" s="122">
        <f>D108-C108</f>
        <v>206</v>
      </c>
      <c r="E37" s="221">
        <f>Scenarios!E45</f>
        <v>0</v>
      </c>
      <c r="F37" s="221">
        <f>Scenarios!F45</f>
        <v>0</v>
      </c>
      <c r="G37" s="221">
        <f>Scenarios!G45</f>
        <v>0</v>
      </c>
      <c r="H37" s="221">
        <f>Scenarios!H45</f>
        <v>0</v>
      </c>
      <c r="I37" s="221">
        <f>Scenarios!I45</f>
        <v>0</v>
      </c>
      <c r="J37" s="221">
        <f>Scenarios!J45</f>
        <v>0</v>
      </c>
    </row>
    <row r="38" spans="1:13" outlineLevel="1">
      <c r="A38" s="24" t="s">
        <v>206</v>
      </c>
      <c r="B38" s="69">
        <v>0.88370000000000004</v>
      </c>
      <c r="C38" s="123">
        <f>(C110/B110)-1</f>
        <v>0.25907609306507817</v>
      </c>
      <c r="D38" s="123">
        <f>(D110/C110)-1</f>
        <v>0.45634708087841447</v>
      </c>
      <c r="E38" s="218">
        <f>Scenarios!E46</f>
        <v>0.25766059620386161</v>
      </c>
      <c r="F38" s="222">
        <f>Scenarios!F46</f>
        <v>4.2044746602740712E-2</v>
      </c>
      <c r="G38" s="222">
        <f>Scenarios!G46</f>
        <v>-1.6795848081721299E-2</v>
      </c>
      <c r="H38" s="222">
        <f>Scenarios!H46</f>
        <v>5.6120504100572344E-2</v>
      </c>
      <c r="I38" s="222">
        <f>Scenarios!I46</f>
        <v>0.12973606917604741</v>
      </c>
      <c r="J38" s="222">
        <f>Scenarios!J46</f>
        <v>0.11077593556715315</v>
      </c>
    </row>
    <row r="39" spans="1:13" outlineLevel="1">
      <c r="A39" s="24" t="s">
        <v>126</v>
      </c>
      <c r="B39" s="69">
        <v>0.57420000000000004</v>
      </c>
      <c r="C39" s="123">
        <f>(C103/B103)-1</f>
        <v>-9.2125382262996935E-2</v>
      </c>
      <c r="D39" s="123">
        <f>(D103/C103)-1</f>
        <v>0.9925263157894737</v>
      </c>
      <c r="E39" s="218">
        <f>Scenarios!E47</f>
        <v>0.7573870583899045</v>
      </c>
      <c r="F39" s="218">
        <f>Scenarios!F47</f>
        <v>4.5329364181662335E-2</v>
      </c>
      <c r="G39" s="218">
        <f>Scenarios!G47</f>
        <v>4.0707309092281152E-2</v>
      </c>
      <c r="H39" s="218">
        <f>Scenarios!H47</f>
        <v>-7.3724301880662813E-2</v>
      </c>
      <c r="I39" s="218">
        <f>Scenarios!I47</f>
        <v>6.4877847130080601E-2</v>
      </c>
      <c r="J39" s="219">
        <f>Scenarios!J47</f>
        <v>2.4019319593766131E-2</v>
      </c>
    </row>
    <row r="40" spans="1:13" outlineLevel="1">
      <c r="A40" s="24"/>
      <c r="B40" s="74"/>
      <c r="C40" s="74"/>
      <c r="D40" s="74"/>
      <c r="E40" s="82"/>
      <c r="F40" s="82"/>
      <c r="G40" s="82"/>
      <c r="H40" s="82"/>
      <c r="I40" s="82"/>
      <c r="J40" s="83"/>
    </row>
    <row r="41" spans="1:13" outlineLevel="1">
      <c r="A41" s="24" t="s">
        <v>127</v>
      </c>
      <c r="B41" s="75">
        <f>(B114/B78)*B9</f>
        <v>112.87758857898403</v>
      </c>
      <c r="C41" s="75">
        <f>(C114/C78)*C9</f>
        <v>100.1759176751272</v>
      </c>
      <c r="D41" s="75">
        <f>(D114/D78)*D9</f>
        <v>104.03655398221535</v>
      </c>
      <c r="E41" s="223">
        <f>Scenarios!E49</f>
        <v>101.09260259713299</v>
      </c>
      <c r="F41" s="223">
        <f>Scenarios!F49</f>
        <v>100.952085356278</v>
      </c>
      <c r="G41" s="223">
        <f>Scenarios!G49</f>
        <v>101.376050707928</v>
      </c>
      <c r="H41" s="223">
        <f>Scenarios!H49</f>
        <v>101.845753669524</v>
      </c>
      <c r="I41" s="223">
        <f>Scenarios!I49</f>
        <v>102.315674461631</v>
      </c>
      <c r="J41" s="223">
        <f>Scenarios!J49</f>
        <v>102.75666726697099</v>
      </c>
    </row>
    <row r="42" spans="1:13" outlineLevel="1">
      <c r="A42" s="112" t="s">
        <v>139</v>
      </c>
      <c r="B42" s="123">
        <f>B115/B72</f>
        <v>0.10215555530567956</v>
      </c>
      <c r="C42" s="123">
        <f>C115/C72</f>
        <v>0.10160721723410925</v>
      </c>
      <c r="D42" s="123">
        <f>D115/D72</f>
        <v>0.11563798917731942</v>
      </c>
      <c r="E42" s="224">
        <f>Scenarios!E50</f>
        <v>0.1</v>
      </c>
      <c r="F42" s="224">
        <f>Scenarios!F50</f>
        <v>0.1</v>
      </c>
      <c r="G42" s="224">
        <f>Scenarios!G50</f>
        <v>0.1</v>
      </c>
      <c r="H42" s="224">
        <f>Scenarios!H50</f>
        <v>0.1</v>
      </c>
      <c r="I42" s="224">
        <f>Scenarios!I50</f>
        <v>0.1</v>
      </c>
      <c r="J42" s="224">
        <f>Scenarios!J50</f>
        <v>0.1</v>
      </c>
    </row>
    <row r="43" spans="1:13" outlineLevel="1">
      <c r="A43" s="24" t="s">
        <v>138</v>
      </c>
      <c r="B43" s="123">
        <f>B116/B72</f>
        <v>2.865640425938628E-2</v>
      </c>
      <c r="C43" s="123">
        <f>C116/C72</f>
        <v>2.8065113123532014E-2</v>
      </c>
      <c r="D43" s="123">
        <f>D116/D72</f>
        <v>2.9195571113852032E-2</v>
      </c>
      <c r="E43" s="225">
        <f>Scenarios!E51</f>
        <v>4.3581137280542401E-2</v>
      </c>
      <c r="F43" s="225">
        <f>Scenarios!F51</f>
        <v>3.8574669548790699E-2</v>
      </c>
      <c r="G43" s="225">
        <f>Scenarios!G51</f>
        <v>2.6736332469006401E-2</v>
      </c>
      <c r="H43" s="225">
        <f>Scenarios!H51</f>
        <v>2.66567665696863E-2</v>
      </c>
      <c r="I43" s="225">
        <f>Scenarios!I51</f>
        <v>2.66312009563748E-2</v>
      </c>
      <c r="J43" s="225">
        <f>Scenarios!J51</f>
        <v>2.7833528702566199E-2</v>
      </c>
    </row>
    <row r="44" spans="1:13" outlineLevel="1">
      <c r="A44" s="24"/>
      <c r="B44" s="74"/>
      <c r="C44" s="74"/>
      <c r="D44" s="74"/>
      <c r="E44" s="74"/>
      <c r="F44" s="74"/>
      <c r="G44" s="74"/>
      <c r="H44" s="74"/>
      <c r="I44" s="74"/>
      <c r="J44" s="189"/>
    </row>
    <row r="45" spans="1:13" outlineLevel="1">
      <c r="A45" s="24" t="s">
        <v>128</v>
      </c>
      <c r="B45" s="123">
        <f>-B154/B72</f>
        <v>6.7213520290555814E-2</v>
      </c>
      <c r="C45" s="123">
        <f>-C154/C72</f>
        <v>5.7654570671613274E-2</v>
      </c>
      <c r="D45" s="123">
        <f>-D154/D72</f>
        <v>6.0105802753438235E-2</v>
      </c>
      <c r="E45" s="225">
        <f>Scenarios!E53</f>
        <v>6.92754142754963E-2</v>
      </c>
      <c r="F45" s="225">
        <f>Scenarios!F53</f>
        <v>6.9238624188191294E-2</v>
      </c>
      <c r="G45" s="225">
        <f>Scenarios!G53</f>
        <v>6.8442595260289202E-2</v>
      </c>
      <c r="H45" s="225">
        <f>Scenarios!H53</f>
        <v>6.7442043002263696E-2</v>
      </c>
      <c r="I45" s="225">
        <f>Scenarios!I53</f>
        <v>6.0999150637040402E-2</v>
      </c>
      <c r="J45" s="225">
        <f>Scenarios!J53</f>
        <v>5.8499150637040399E-2</v>
      </c>
    </row>
    <row r="46" spans="1:13" outlineLevel="1">
      <c r="A46" s="112" t="s">
        <v>230</v>
      </c>
      <c r="B46" s="74"/>
      <c r="C46" s="119">
        <f>C178/C72</f>
        <v>5.5413140278332378E-2</v>
      </c>
      <c r="D46" s="119">
        <f>D178/D72</f>
        <v>4.3529562743742027E-2</v>
      </c>
      <c r="E46" s="225">
        <f>Scenarios!E54</f>
        <v>0.1</v>
      </c>
      <c r="F46" s="225">
        <f>Scenarios!F54</f>
        <v>0.1</v>
      </c>
      <c r="G46" s="225">
        <f>Scenarios!G54</f>
        <v>0.1</v>
      </c>
      <c r="H46" s="225">
        <f>Scenarios!H54</f>
        <v>0.1</v>
      </c>
      <c r="I46" s="225">
        <f>Scenarios!I54</f>
        <v>0.1</v>
      </c>
      <c r="J46" s="225">
        <f>Scenarios!J54</f>
        <v>0.1</v>
      </c>
    </row>
    <row r="47" spans="1:13" s="20" customFormat="1" outlineLevel="1">
      <c r="A47" s="112" t="s">
        <v>129</v>
      </c>
      <c r="B47" s="77"/>
      <c r="C47" s="124">
        <f>C140/C175</f>
        <v>0.31394016289444604</v>
      </c>
      <c r="D47" s="124">
        <f>D140/D175</f>
        <v>0.35258993155007523</v>
      </c>
      <c r="E47" s="226">
        <f>Scenarios!E55</f>
        <v>0.33</v>
      </c>
      <c r="F47" s="226">
        <f>Scenarios!F55</f>
        <v>0.33</v>
      </c>
      <c r="G47" s="226">
        <f>Scenarios!G55</f>
        <v>0.33</v>
      </c>
      <c r="H47" s="226">
        <f>Scenarios!H55</f>
        <v>0.33</v>
      </c>
      <c r="I47" s="226">
        <f>Scenarios!I55</f>
        <v>0.33</v>
      </c>
      <c r="J47" s="226">
        <f>Scenarios!J55</f>
        <v>0.33</v>
      </c>
      <c r="M47" s="21"/>
    </row>
    <row r="48" spans="1:13" outlineLevel="1">
      <c r="A48" s="112" t="s">
        <v>130</v>
      </c>
      <c r="B48" s="74"/>
      <c r="C48" s="119">
        <f>(-B163-B164)/B197</f>
        <v>0.42873070325900514</v>
      </c>
      <c r="D48" s="119">
        <f>(-C163-C164)/C197</f>
        <v>0.40333609614587651</v>
      </c>
      <c r="E48" s="226">
        <f>Scenarios!E56</f>
        <v>0.35</v>
      </c>
      <c r="F48" s="226">
        <f>Scenarios!F56</f>
        <v>0.35</v>
      </c>
      <c r="G48" s="226">
        <f>Scenarios!G56</f>
        <v>0.35</v>
      </c>
      <c r="H48" s="226">
        <f>Scenarios!H56</f>
        <v>0.35</v>
      </c>
      <c r="I48" s="226">
        <f>Scenarios!I56</f>
        <v>0.35</v>
      </c>
      <c r="J48" s="226">
        <f>Scenarios!J56</f>
        <v>0.35</v>
      </c>
    </row>
    <row r="49" spans="1:19" outlineLevel="1">
      <c r="A49" s="24"/>
      <c r="B49" s="74"/>
      <c r="C49" s="74"/>
      <c r="D49" s="74"/>
      <c r="E49" s="74"/>
      <c r="F49" s="74"/>
      <c r="G49" s="74"/>
      <c r="H49" s="74"/>
      <c r="I49" s="74"/>
      <c r="J49" s="189"/>
    </row>
    <row r="50" spans="1:19" outlineLevel="1">
      <c r="A50" s="24" t="s">
        <v>131</v>
      </c>
      <c r="B50" s="125">
        <f>24743-7694</f>
        <v>17049</v>
      </c>
      <c r="C50" s="125">
        <f>C120-B120</f>
        <v>-1248</v>
      </c>
      <c r="D50" s="125">
        <f>D120-C120</f>
        <v>-81</v>
      </c>
      <c r="E50" s="220">
        <f>Scenarios!E58</f>
        <v>0</v>
      </c>
      <c r="F50" s="220">
        <f>Scenarios!F58</f>
        <v>0</v>
      </c>
      <c r="G50" s="220">
        <f>Scenarios!G58</f>
        <v>0</v>
      </c>
      <c r="H50" s="220">
        <f>Scenarios!H58</f>
        <v>0</v>
      </c>
      <c r="I50" s="220">
        <f>Scenarios!I58</f>
        <v>0</v>
      </c>
      <c r="J50" s="227">
        <f>Scenarios!J58</f>
        <v>0</v>
      </c>
    </row>
    <row r="51" spans="1:19" outlineLevel="1">
      <c r="A51" s="24" t="s">
        <v>132</v>
      </c>
      <c r="B51" s="78"/>
      <c r="C51" s="126">
        <f>C125-B125</f>
        <v>0</v>
      </c>
      <c r="D51" s="126">
        <f>D125-C125</f>
        <v>0</v>
      </c>
      <c r="E51" s="220">
        <f>Scenarios!E59</f>
        <v>0</v>
      </c>
      <c r="F51" s="220">
        <f>Scenarios!F59</f>
        <v>0</v>
      </c>
      <c r="G51" s="220">
        <f>Scenarios!G59</f>
        <v>0</v>
      </c>
      <c r="H51" s="220">
        <f>Scenarios!H59</f>
        <v>0</v>
      </c>
      <c r="I51" s="220">
        <f>Scenarios!I59</f>
        <v>0</v>
      </c>
      <c r="J51" s="227">
        <f>Scenarios!J59</f>
        <v>0</v>
      </c>
    </row>
    <row r="52" spans="1:19" outlineLevel="1">
      <c r="A52" s="24" t="s">
        <v>133</v>
      </c>
      <c r="B52" s="126">
        <f>C127-B127</f>
        <v>0</v>
      </c>
      <c r="C52" s="126">
        <f>D127-C127</f>
        <v>0</v>
      </c>
      <c r="D52" s="126">
        <f>E127-D127</f>
        <v>0</v>
      </c>
      <c r="E52" s="220">
        <f>Scenarios!E60</f>
        <v>0</v>
      </c>
      <c r="F52" s="220">
        <f>Scenarios!F60</f>
        <v>0</v>
      </c>
      <c r="G52" s="220">
        <f>Scenarios!G60</f>
        <v>0</v>
      </c>
      <c r="H52" s="220">
        <f>Scenarios!H60</f>
        <v>0</v>
      </c>
      <c r="I52" s="220">
        <f>Scenarios!I60</f>
        <v>0</v>
      </c>
      <c r="J52" s="227">
        <f>Scenarios!J60</f>
        <v>0</v>
      </c>
    </row>
    <row r="53" spans="1:19" outlineLevel="1">
      <c r="A53" s="24" t="s">
        <v>134</v>
      </c>
      <c r="B53" s="122">
        <f>B126</f>
        <v>21389</v>
      </c>
      <c r="C53" s="122">
        <f>C126-B126</f>
        <v>5402</v>
      </c>
      <c r="D53" s="122">
        <f>D126-C126</f>
        <v>6867</v>
      </c>
      <c r="E53" s="220">
        <f>Scenarios!E61</f>
        <v>0</v>
      </c>
      <c r="F53" s="220">
        <f>Scenarios!F61</f>
        <v>0</v>
      </c>
      <c r="G53" s="220">
        <f>Scenarios!G61</f>
        <v>0</v>
      </c>
      <c r="H53" s="220">
        <f>Scenarios!H61</f>
        <v>0</v>
      </c>
      <c r="I53" s="220">
        <f>Scenarios!I61</f>
        <v>0</v>
      </c>
      <c r="J53" s="227">
        <f>Scenarios!J61</f>
        <v>0</v>
      </c>
    </row>
    <row r="54" spans="1:19" outlineLevel="1">
      <c r="A54" s="24"/>
      <c r="B54" s="74"/>
      <c r="C54" s="74"/>
      <c r="D54" s="74"/>
      <c r="E54" s="74"/>
      <c r="F54" s="74"/>
      <c r="G54" s="74"/>
      <c r="H54" s="74"/>
      <c r="I54" s="74"/>
      <c r="J54" s="189"/>
    </row>
    <row r="55" spans="1:19" outlineLevel="1">
      <c r="A55" s="24" t="s">
        <v>135</v>
      </c>
      <c r="B55" s="74"/>
      <c r="C55" s="123">
        <f>(C96/B96)-1</f>
        <v>1.4583333333333393E-2</v>
      </c>
      <c r="D55" s="123">
        <f>(D96/C96)-1</f>
        <v>1.4373716632443578E-2</v>
      </c>
      <c r="E55" s="225">
        <f>Scenarios!E63</f>
        <v>0.01</v>
      </c>
      <c r="F55" s="225">
        <f>Scenarios!F63</f>
        <v>0.01</v>
      </c>
      <c r="G55" s="225">
        <f>Scenarios!G63</f>
        <v>0.01</v>
      </c>
      <c r="H55" s="225">
        <f>Scenarios!H63</f>
        <v>0.01</v>
      </c>
      <c r="I55" s="225">
        <f>Scenarios!I63</f>
        <v>0.01</v>
      </c>
      <c r="J55" s="228">
        <f>Scenarios!J63</f>
        <v>0.01</v>
      </c>
    </row>
    <row r="56" spans="1:19" outlineLevel="1">
      <c r="A56" s="24" t="s">
        <v>136</v>
      </c>
      <c r="B56" s="74"/>
      <c r="C56" s="123">
        <f>(C97/B97)-1</f>
        <v>1.4198782961460488E-2</v>
      </c>
      <c r="D56" s="123">
        <f>(D97/C97)-1</f>
        <v>8.0000000000000071E-3</v>
      </c>
      <c r="E56" s="225">
        <f>Scenarios!E64</f>
        <v>0.01</v>
      </c>
      <c r="F56" s="225">
        <f>Scenarios!F64</f>
        <v>0.01</v>
      </c>
      <c r="G56" s="225">
        <f>Scenarios!G64</f>
        <v>0.01</v>
      </c>
      <c r="H56" s="225">
        <f>Scenarios!H64</f>
        <v>0.01</v>
      </c>
      <c r="I56" s="225">
        <f>Scenarios!I64</f>
        <v>0.01</v>
      </c>
      <c r="J56" s="228">
        <f>Scenarios!J64</f>
        <v>0.01</v>
      </c>
    </row>
    <row r="57" spans="1:19" outlineLevel="1"/>
    <row r="58" spans="1:19" outlineLevel="1">
      <c r="K58" s="289"/>
      <c r="L58" s="289"/>
      <c r="M58" s="482"/>
      <c r="N58" s="289"/>
      <c r="O58" s="289"/>
      <c r="P58" s="289"/>
      <c r="Q58" s="289"/>
      <c r="R58" s="289"/>
      <c r="S58" s="289"/>
    </row>
    <row r="59" spans="1:19" outlineLevel="1">
      <c r="A59" s="24"/>
      <c r="K59" s="289"/>
      <c r="L59" s="289"/>
      <c r="M59" s="482"/>
      <c r="N59" s="289"/>
      <c r="O59" s="289"/>
      <c r="P59" s="289"/>
      <c r="Q59" s="289"/>
      <c r="R59" s="289"/>
      <c r="S59" s="289"/>
    </row>
    <row r="60" spans="1:19" outlineLevel="1"/>
    <row r="61" spans="1:19" outlineLevel="1"/>
    <row r="62" spans="1:19">
      <c r="A62" s="24"/>
    </row>
    <row r="63" spans="1:19">
      <c r="A63" s="29" t="s">
        <v>20</v>
      </c>
      <c r="B63" s="2"/>
      <c r="C63" s="2"/>
      <c r="D63" s="2"/>
      <c r="E63" s="2"/>
      <c r="F63" s="2"/>
      <c r="G63" s="2"/>
      <c r="H63" s="2"/>
      <c r="I63" s="2"/>
      <c r="J63" s="581"/>
      <c r="K63" s="175" t="s">
        <v>911</v>
      </c>
    </row>
    <row r="64" spans="1:19" hidden="1" outlineLevel="1">
      <c r="A64" s="19"/>
      <c r="B64" s="20"/>
      <c r="C64" s="20"/>
      <c r="D64" s="20"/>
      <c r="E64" s="20"/>
      <c r="F64" s="20"/>
      <c r="G64" s="20"/>
      <c r="H64" s="20"/>
      <c r="I64" s="20"/>
      <c r="J64" s="21"/>
    </row>
    <row r="65" spans="1:20" hidden="1" outlineLevel="1">
      <c r="A65" s="19" t="s">
        <v>117</v>
      </c>
      <c r="B65" s="20"/>
      <c r="C65" s="20"/>
      <c r="D65" s="20"/>
      <c r="E65" s="20"/>
      <c r="F65" s="20"/>
      <c r="G65" s="20"/>
      <c r="H65" s="20"/>
      <c r="I65" s="20"/>
      <c r="J65" s="21"/>
      <c r="L65" s="435" t="s">
        <v>368</v>
      </c>
      <c r="N65" s="435" t="s">
        <v>369</v>
      </c>
      <c r="O65" s="435"/>
      <c r="P65" s="104"/>
      <c r="Q65" s="104"/>
      <c r="R65" s="104"/>
      <c r="S65" s="104"/>
    </row>
    <row r="66" spans="1:20" hidden="1" outlineLevel="1">
      <c r="A66" s="25" t="s">
        <v>114</v>
      </c>
      <c r="B66" s="107">
        <v>108354</v>
      </c>
      <c r="C66" s="107">
        <v>122987</v>
      </c>
      <c r="D66" s="107">
        <v>141247</v>
      </c>
      <c r="E66" s="84">
        <f t="shared" ref="E66:J66" si="9">D66*(1+E12)</f>
        <v>190118.462</v>
      </c>
      <c r="F66" s="84">
        <f t="shared" si="9"/>
        <v>220252.23822700002</v>
      </c>
      <c r="G66" s="84">
        <f t="shared" si="9"/>
        <v>252849.569484596</v>
      </c>
      <c r="H66" s="84">
        <f t="shared" si="9"/>
        <v>283874.21166035591</v>
      </c>
      <c r="I66" s="84">
        <f t="shared" si="9"/>
        <v>315753.28562981391</v>
      </c>
      <c r="J66" s="84">
        <f t="shared" si="9"/>
        <v>347391.76484992128</v>
      </c>
      <c r="K66" s="283" t="s">
        <v>363</v>
      </c>
      <c r="L66" s="436">
        <f>E66/$E$72</f>
        <v>0.5106712958924432</v>
      </c>
      <c r="M66" s="587"/>
      <c r="N66" s="436">
        <f>$E$93/E66</f>
        <v>8.6124441467119242E-2</v>
      </c>
      <c r="O66" s="436">
        <f>$E$93/F66</f>
        <v>7.4341339203383025E-2</v>
      </c>
      <c r="P66" s="436">
        <f t="shared" ref="O66:S71" si="10">$E$93/G66</f>
        <v>6.4757264114445157E-2</v>
      </c>
      <c r="Q66" s="436">
        <f t="shared" si="10"/>
        <v>5.7679935970824936E-2</v>
      </c>
      <c r="R66" s="436">
        <f t="shared" si="10"/>
        <v>5.1856455965858965E-2</v>
      </c>
      <c r="S66" s="436">
        <f t="shared" si="10"/>
        <v>4.7133662939337358E-2</v>
      </c>
      <c r="T66" s="124"/>
    </row>
    <row r="67" spans="1:20" hidden="1" outlineLevel="1">
      <c r="A67" s="25" t="s">
        <v>118</v>
      </c>
      <c r="B67" s="107">
        <v>31881</v>
      </c>
      <c r="C67" s="107">
        <v>42745</v>
      </c>
      <c r="D67" s="107">
        <v>53762</v>
      </c>
      <c r="E67" s="84">
        <f t="shared" ref="E67:J67" si="11">D67*(1+E13)</f>
        <v>75135.832882603514</v>
      </c>
      <c r="F67" s="84">
        <f t="shared" si="11"/>
        <v>91932.937052884881</v>
      </c>
      <c r="G67" s="84">
        <f t="shared" si="11"/>
        <v>110759.19302901621</v>
      </c>
      <c r="H67" s="84">
        <f t="shared" si="11"/>
        <v>130870.88384520492</v>
      </c>
      <c r="I67" s="84">
        <f t="shared" si="11"/>
        <v>151547.46258479648</v>
      </c>
      <c r="J67" s="84">
        <f t="shared" si="11"/>
        <v>173498.17478834084</v>
      </c>
      <c r="K67" s="284" t="s">
        <v>364</v>
      </c>
      <c r="L67" s="436">
        <f t="shared" ref="L67:L70" si="12">E67/$E$72</f>
        <v>0.20182002706353253</v>
      </c>
      <c r="M67" s="587"/>
      <c r="N67" s="436">
        <f t="shared" ref="N67:N71" si="13">$E$93/E67</f>
        <v>0.21792326941954793</v>
      </c>
      <c r="O67" s="436">
        <f t="shared" si="10"/>
        <v>0.17810642058480736</v>
      </c>
      <c r="P67" s="436">
        <f t="shared" si="10"/>
        <v>0.14783284262506485</v>
      </c>
      <c r="Q67" s="436">
        <f t="shared" si="10"/>
        <v>0.12511450882921249</v>
      </c>
      <c r="R67" s="436">
        <f t="shared" si="10"/>
        <v>0.1080443451382497</v>
      </c>
      <c r="S67" s="436">
        <f t="shared" si="10"/>
        <v>9.4374747009949897E-2</v>
      </c>
      <c r="T67" s="124"/>
    </row>
    <row r="68" spans="1:20" hidden="1" outlineLevel="1">
      <c r="A68" s="25" t="s">
        <v>116</v>
      </c>
      <c r="B68" s="107">
        <v>17459</v>
      </c>
      <c r="C68" s="107">
        <v>25655</v>
      </c>
      <c r="D68" s="107">
        <v>35026</v>
      </c>
      <c r="E68" s="84">
        <f t="shared" ref="E68:J68" si="14">D68*(1+E14)</f>
        <v>45236.532112588131</v>
      </c>
      <c r="F68" s="84">
        <f t="shared" si="14"/>
        <v>57178.706474428895</v>
      </c>
      <c r="G68" s="84">
        <f t="shared" si="14"/>
        <v>70529.434768338499</v>
      </c>
      <c r="H68" s="84">
        <f t="shared" si="14"/>
        <v>85420.504059665443</v>
      </c>
      <c r="I68" s="84">
        <f t="shared" si="14"/>
        <v>170841.00811933089</v>
      </c>
      <c r="J68" s="84">
        <f t="shared" si="14"/>
        <v>201813.29535839063</v>
      </c>
      <c r="K68" s="283" t="s">
        <v>365</v>
      </c>
      <c r="L68" s="436">
        <f t="shared" si="12"/>
        <v>0.12150844390701783</v>
      </c>
      <c r="M68" s="587"/>
      <c r="N68" s="436">
        <f t="shared" si="13"/>
        <v>0.36196068946189897</v>
      </c>
      <c r="O68" s="436">
        <f t="shared" si="10"/>
        <v>0.28636265774323427</v>
      </c>
      <c r="P68" s="436">
        <f t="shared" si="10"/>
        <v>0.23215621117792012</v>
      </c>
      <c r="Q68" s="436">
        <f t="shared" si="10"/>
        <v>0.1916851993860953</v>
      </c>
      <c r="R68" s="436">
        <f t="shared" si="10"/>
        <v>9.5842599693047648E-2</v>
      </c>
      <c r="S68" s="436">
        <f t="shared" si="10"/>
        <v>8.1133635538036278E-2</v>
      </c>
      <c r="T68" s="124"/>
    </row>
    <row r="69" spans="1:20" hidden="1" outlineLevel="1">
      <c r="A69" s="25" t="s">
        <v>119</v>
      </c>
      <c r="B69" s="107">
        <v>9721</v>
      </c>
      <c r="C69" s="107">
        <v>14168</v>
      </c>
      <c r="D69" s="107">
        <v>19210</v>
      </c>
      <c r="E69" s="84">
        <f t="shared" ref="E69:J69" si="15">D69*(1+E15)</f>
        <v>24434.37015909587</v>
      </c>
      <c r="F69" s="84">
        <f t="shared" si="15"/>
        <v>29915.800925197007</v>
      </c>
      <c r="G69" s="84">
        <f t="shared" si="15"/>
        <v>35559.496059522346</v>
      </c>
      <c r="H69" s="84">
        <f t="shared" si="15"/>
        <v>41616.307535462824</v>
      </c>
      <c r="I69" s="84">
        <f t="shared" si="15"/>
        <v>47245.699077759709</v>
      </c>
      <c r="J69" s="84">
        <f t="shared" si="15"/>
        <v>52712.226244625941</v>
      </c>
      <c r="K69" s="285" t="s">
        <v>366</v>
      </c>
      <c r="L69" s="436">
        <f t="shared" si="12"/>
        <v>6.5632402777701465E-2</v>
      </c>
      <c r="M69" s="587"/>
      <c r="N69" s="436">
        <f t="shared" si="13"/>
        <v>0.67011534349873358</v>
      </c>
      <c r="O69" s="436">
        <f t="shared" si="10"/>
        <v>0.54733103730967236</v>
      </c>
      <c r="P69" s="436">
        <f t="shared" si="10"/>
        <v>0.46046339703267652</v>
      </c>
      <c r="Q69" s="436">
        <f t="shared" si="10"/>
        <v>0.39344784105089003</v>
      </c>
      <c r="R69" s="436">
        <f t="shared" si="10"/>
        <v>0.34656797702133074</v>
      </c>
      <c r="S69" s="436">
        <f t="shared" si="10"/>
        <v>0.31062710719805847</v>
      </c>
      <c r="T69" s="124"/>
    </row>
    <row r="70" spans="1:20" hidden="1" outlineLevel="1">
      <c r="A70" s="25" t="s">
        <v>115</v>
      </c>
      <c r="B70" s="107">
        <v>5798</v>
      </c>
      <c r="C70" s="107">
        <v>17224</v>
      </c>
      <c r="D70" s="107">
        <v>17192</v>
      </c>
      <c r="E70" s="84">
        <f t="shared" ref="E70:J70" si="16">D70*(1+E16)</f>
        <v>17776.651618307438</v>
      </c>
      <c r="F70" s="84">
        <f t="shared" si="16"/>
        <v>18106.248314083328</v>
      </c>
      <c r="G70" s="84">
        <f t="shared" si="16"/>
        <v>19040.990909190652</v>
      </c>
      <c r="H70" s="84">
        <f t="shared" si="16"/>
        <v>20047.878508468653</v>
      </c>
      <c r="I70" s="84">
        <f t="shared" si="16"/>
        <v>21276.863580734054</v>
      </c>
      <c r="J70" s="84">
        <f t="shared" si="16"/>
        <v>22489.212175276421</v>
      </c>
      <c r="K70" s="286" t="s">
        <v>363</v>
      </c>
      <c r="L70" s="436">
        <f t="shared" si="12"/>
        <v>4.7749311787245348E-2</v>
      </c>
      <c r="M70" s="587"/>
      <c r="N70" s="436">
        <f t="shared" si="13"/>
        <v>0.9210872049421831</v>
      </c>
      <c r="O70" s="436">
        <f t="shared" si="10"/>
        <v>0.90432021412198882</v>
      </c>
      <c r="P70" s="436">
        <f t="shared" si="10"/>
        <v>0.85992616825600454</v>
      </c>
      <c r="Q70" s="436">
        <f t="shared" si="10"/>
        <v>0.81673710988527148</v>
      </c>
      <c r="R70" s="436">
        <f t="shared" si="10"/>
        <v>0.76956109109822257</v>
      </c>
      <c r="S70" s="436">
        <f t="shared" si="10"/>
        <v>0.72807558685129792</v>
      </c>
      <c r="T70" s="124"/>
    </row>
    <row r="71" spans="1:20" hidden="1" outlineLevel="1">
      <c r="A71" s="25" t="s">
        <v>120</v>
      </c>
      <c r="B71" s="107">
        <v>4653</v>
      </c>
      <c r="C71" s="107">
        <v>10108</v>
      </c>
      <c r="D71" s="107">
        <v>14085</v>
      </c>
      <c r="E71" s="84">
        <f t="shared" ref="E71:J71" si="17">D71*(1+E17)</f>
        <v>19589.414764650119</v>
      </c>
      <c r="F71" s="84">
        <f t="shared" si="17"/>
        <v>25795.376498871403</v>
      </c>
      <c r="G71" s="84">
        <f t="shared" si="17"/>
        <v>32167.879729225104</v>
      </c>
      <c r="H71" s="84">
        <f t="shared" si="17"/>
        <v>38487.497807625434</v>
      </c>
      <c r="I71" s="84">
        <f t="shared" si="17"/>
        <v>43899.912628337057</v>
      </c>
      <c r="J71" s="84">
        <f t="shared" si="17"/>
        <v>48683.588853045403</v>
      </c>
      <c r="K71" s="287" t="s">
        <v>367</v>
      </c>
      <c r="L71" s="600">
        <f>(J71/E71)^(1/5)-1</f>
        <v>0.19969880119890138</v>
      </c>
      <c r="M71" s="587"/>
      <c r="N71" s="436">
        <f t="shared" si="13"/>
        <v>0.83585173671880153</v>
      </c>
      <c r="O71" s="436">
        <f t="shared" si="10"/>
        <v>0.63475895973273044</v>
      </c>
      <c r="P71" s="436">
        <f t="shared" si="10"/>
        <v>0.50901229705425055</v>
      </c>
      <c r="Q71" s="436">
        <f t="shared" si="10"/>
        <v>0.42543286222918925</v>
      </c>
      <c r="R71" s="436">
        <f t="shared" si="10"/>
        <v>0.37298129704633037</v>
      </c>
      <c r="S71" s="436">
        <f t="shared" si="10"/>
        <v>0.33633194959729162</v>
      </c>
      <c r="T71" s="124"/>
    </row>
    <row r="72" spans="1:20" ht="15" hidden="1" outlineLevel="1" thickBot="1">
      <c r="A72" s="27" t="s">
        <v>2</v>
      </c>
      <c r="B72" s="85">
        <f>SUM(B66:B71)</f>
        <v>177866</v>
      </c>
      <c r="C72" s="85">
        <f t="shared" ref="C72:J72" si="18">SUM(C66:C71)</f>
        <v>232887</v>
      </c>
      <c r="D72" s="85">
        <f t="shared" si="18"/>
        <v>280522</v>
      </c>
      <c r="E72" s="85">
        <f t="shared" si="18"/>
        <v>372291.26353724505</v>
      </c>
      <c r="F72" s="85">
        <f t="shared" si="18"/>
        <v>443181.30749246554</v>
      </c>
      <c r="G72" s="85">
        <f t="shared" si="18"/>
        <v>520906.56397988886</v>
      </c>
      <c r="H72" s="85">
        <f t="shared" si="18"/>
        <v>600317.2834167832</v>
      </c>
      <c r="I72" s="85">
        <f t="shared" si="18"/>
        <v>750564.23162077204</v>
      </c>
      <c r="J72" s="85">
        <f t="shared" si="18"/>
        <v>846588.26226960053</v>
      </c>
      <c r="K72" s="580">
        <f>(J72/E72)^(1/5)-1</f>
        <v>0.17857677754620749</v>
      </c>
      <c r="L72" s="583" t="s">
        <v>915</v>
      </c>
      <c r="M72" s="482"/>
      <c r="N72" s="124"/>
      <c r="O72" s="289"/>
      <c r="P72" s="289"/>
      <c r="Q72" s="289"/>
      <c r="R72" s="289"/>
      <c r="S72" s="289"/>
      <c r="T72" s="289"/>
    </row>
    <row r="73" spans="1:20" ht="15" hidden="1" outlineLevel="1" thickTop="1">
      <c r="A73" s="19"/>
      <c r="B73" s="77"/>
      <c r="C73" s="77"/>
      <c r="D73" s="77"/>
      <c r="E73" s="77"/>
      <c r="F73" s="77"/>
      <c r="G73" s="77"/>
      <c r="H73" s="77"/>
      <c r="I73" s="77"/>
      <c r="K73" s="578">
        <f>((J66+J67+J70)/(E66+E67+E70))^(1/5)-1</f>
        <v>0.13934121907032004</v>
      </c>
      <c r="L73" s="582" t="s">
        <v>912</v>
      </c>
      <c r="N73" s="124"/>
    </row>
    <row r="74" spans="1:20" ht="15" hidden="1" outlineLevel="1" thickBot="1">
      <c r="A74" s="1" t="s">
        <v>0</v>
      </c>
      <c r="B74" s="108">
        <v>118573</v>
      </c>
      <c r="C74" s="108">
        <v>141915</v>
      </c>
      <c r="D74" s="108">
        <v>160408</v>
      </c>
      <c r="E74" s="110">
        <f t="shared" ref="E74:J74" si="19">E66+E70+E71</f>
        <v>227484.52838295753</v>
      </c>
      <c r="F74" s="110">
        <f t="shared" si="19"/>
        <v>264153.86303995474</v>
      </c>
      <c r="G74" s="110">
        <f t="shared" si="19"/>
        <v>304058.44012301177</v>
      </c>
      <c r="H74" s="110">
        <f t="shared" si="19"/>
        <v>342409.58797644998</v>
      </c>
      <c r="I74" s="110">
        <f t="shared" si="19"/>
        <v>380930.06183888501</v>
      </c>
      <c r="J74" s="110">
        <f t="shared" si="19"/>
        <v>418564.56587824313</v>
      </c>
      <c r="K74" s="584">
        <f>((J68+J71)/(E68+E71))^(1/5)-1</f>
        <v>0.31042054031425304</v>
      </c>
      <c r="L74" s="585" t="s">
        <v>913</v>
      </c>
    </row>
    <row r="75" spans="1:20" ht="15" hidden="1" outlineLevel="1" thickTop="1">
      <c r="A75" s="1" t="s">
        <v>1</v>
      </c>
      <c r="B75" s="108">
        <v>59293</v>
      </c>
      <c r="C75" s="108">
        <v>90972</v>
      </c>
      <c r="D75" s="108">
        <v>120114</v>
      </c>
      <c r="E75" s="110">
        <f t="shared" ref="E75:J75" si="20">E67+E68+E69</f>
        <v>144806.73515428751</v>
      </c>
      <c r="F75" s="110">
        <f t="shared" si="20"/>
        <v>179027.4444525108</v>
      </c>
      <c r="G75" s="110">
        <f t="shared" si="20"/>
        <v>216848.12385687706</v>
      </c>
      <c r="H75" s="110">
        <f t="shared" si="20"/>
        <v>257907.69544033322</v>
      </c>
      <c r="I75" s="110">
        <f t="shared" si="20"/>
        <v>369634.16978188703</v>
      </c>
      <c r="J75" s="110">
        <f t="shared" si="20"/>
        <v>428023.6963913574</v>
      </c>
    </row>
    <row r="76" spans="1:20" s="1" customFormat="1" ht="14.25" hidden="1" customHeight="1" outlineLevel="1" thickBot="1">
      <c r="A76" s="8" t="s">
        <v>2</v>
      </c>
      <c r="B76" s="86">
        <f t="shared" ref="B76:J76" si="21">SUM(B74:B75)</f>
        <v>177866</v>
      </c>
      <c r="C76" s="86">
        <f t="shared" si="21"/>
        <v>232887</v>
      </c>
      <c r="D76" s="86">
        <f t="shared" si="21"/>
        <v>280522</v>
      </c>
      <c r="E76" s="86">
        <f t="shared" si="21"/>
        <v>372291.26353724505</v>
      </c>
      <c r="F76" s="86">
        <f t="shared" si="21"/>
        <v>443181.30749246554</v>
      </c>
      <c r="G76" s="86">
        <f t="shared" si="21"/>
        <v>520906.5639798888</v>
      </c>
      <c r="H76" s="86">
        <f t="shared" si="21"/>
        <v>600317.2834167832</v>
      </c>
      <c r="I76" s="86">
        <f t="shared" si="21"/>
        <v>750564.23162077204</v>
      </c>
      <c r="J76" s="86">
        <f t="shared" si="21"/>
        <v>846588.26226960053</v>
      </c>
      <c r="M76" s="12"/>
    </row>
    <row r="77" spans="1:20" ht="15" hidden="1" outlineLevel="1" thickTop="1">
      <c r="A77" s="1" t="s">
        <v>3</v>
      </c>
      <c r="B77" s="78"/>
      <c r="C77" s="78"/>
      <c r="D77" s="78"/>
      <c r="E77" s="78"/>
      <c r="F77" s="78"/>
      <c r="G77" s="78"/>
      <c r="H77" s="78"/>
      <c r="I77" s="78"/>
      <c r="J77" s="109"/>
    </row>
    <row r="78" spans="1:20" hidden="1" outlineLevel="1">
      <c r="A78" t="s">
        <v>4</v>
      </c>
      <c r="B78" s="108">
        <v>111934</v>
      </c>
      <c r="C78" s="108">
        <v>139156</v>
      </c>
      <c r="D78" s="108">
        <v>165536</v>
      </c>
      <c r="E78" s="110">
        <f t="shared" ref="E78:E83" si="22">E$76*E20</f>
        <v>223018.66073438525</v>
      </c>
      <c r="F78" s="110">
        <f t="shared" ref="F78:J83" si="23">F$76*F20</f>
        <v>261269.49191405036</v>
      </c>
      <c r="G78" s="110">
        <f t="shared" si="23"/>
        <v>302431.98358232924</v>
      </c>
      <c r="H78" s="110">
        <f t="shared" si="23"/>
        <v>346070.22524686635</v>
      </c>
      <c r="I78" s="110">
        <f t="shared" si="23"/>
        <v>429494.69736313593</v>
      </c>
      <c r="J78" s="110">
        <f t="shared" si="23"/>
        <v>490359.8870608912</v>
      </c>
      <c r="K78" s="292"/>
      <c r="L78" s="292"/>
      <c r="M78" s="588"/>
      <c r="N78" s="124"/>
      <c r="O78" s="292"/>
      <c r="P78" s="292"/>
    </row>
    <row r="79" spans="1:20" hidden="1" outlineLevel="1">
      <c r="A79" t="s">
        <v>5</v>
      </c>
      <c r="B79" s="108">
        <v>22620</v>
      </c>
      <c r="C79" s="108">
        <v>28837</v>
      </c>
      <c r="D79" s="108">
        <v>35931</v>
      </c>
      <c r="E79" s="110">
        <f t="shared" si="22"/>
        <v>43881.396433481787</v>
      </c>
      <c r="F79" s="110">
        <f t="shared" si="23"/>
        <v>52260.418594113158</v>
      </c>
      <c r="G79" s="110">
        <f t="shared" si="23"/>
        <v>60845.29118096306</v>
      </c>
      <c r="H79" s="110">
        <f t="shared" si="23"/>
        <v>69493.593288910153</v>
      </c>
      <c r="I79" s="110">
        <f t="shared" si="23"/>
        <v>85550.264329585407</v>
      </c>
      <c r="J79" s="110">
        <f t="shared" si="23"/>
        <v>91982.682294139842</v>
      </c>
      <c r="N79" s="124"/>
    </row>
    <row r="80" spans="1:20" hidden="1" outlineLevel="1">
      <c r="A80" t="s">
        <v>6</v>
      </c>
      <c r="B80" s="108">
        <v>10069</v>
      </c>
      <c r="C80" s="108">
        <v>13814</v>
      </c>
      <c r="D80" s="108">
        <v>18878</v>
      </c>
      <c r="E80" s="110">
        <f t="shared" si="22"/>
        <v>21090.113712644168</v>
      </c>
      <c r="F80" s="110">
        <f t="shared" si="23"/>
        <v>25194.908815347608</v>
      </c>
      <c r="G80" s="110">
        <f t="shared" si="23"/>
        <v>28793.399643393484</v>
      </c>
      <c r="H80" s="110">
        <f t="shared" si="23"/>
        <v>32740.988818325877</v>
      </c>
      <c r="I80" s="110">
        <f t="shared" si="23"/>
        <v>38193.079771668519</v>
      </c>
      <c r="J80" s="110">
        <f t="shared" si="23"/>
        <v>41092.374304992823</v>
      </c>
      <c r="N80" s="124"/>
    </row>
    <row r="81" spans="1:17" hidden="1" outlineLevel="1">
      <c r="A81" t="s">
        <v>140</v>
      </c>
      <c r="B81" s="108">
        <v>25249</v>
      </c>
      <c r="C81" s="108">
        <v>34027</v>
      </c>
      <c r="D81" s="108">
        <v>40232</v>
      </c>
      <c r="E81" s="110">
        <f t="shared" si="22"/>
        <v>56721.917386480643</v>
      </c>
      <c r="F81" s="110">
        <f t="shared" si="23"/>
        <v>67050.487802895281</v>
      </c>
      <c r="G81" s="110">
        <f t="shared" si="23"/>
        <v>77529.151696297093</v>
      </c>
      <c r="H81" s="110">
        <f t="shared" si="23"/>
        <v>89299.424342263679</v>
      </c>
      <c r="I81" s="110">
        <f t="shared" si="23"/>
        <v>109987.74003956789</v>
      </c>
      <c r="J81" s="110">
        <f t="shared" si="23"/>
        <v>119505.23347405087</v>
      </c>
      <c r="N81" s="124"/>
    </row>
    <row r="82" spans="1:17" hidden="1" outlineLevel="1">
      <c r="A82" t="s">
        <v>7</v>
      </c>
      <c r="B82" s="108">
        <v>3674</v>
      </c>
      <c r="C82" s="108">
        <v>4336</v>
      </c>
      <c r="D82" s="108">
        <v>5203</v>
      </c>
      <c r="E82" s="110">
        <f t="shared" si="22"/>
        <v>7053.1230813284392</v>
      </c>
      <c r="F82" s="110">
        <f t="shared" si="23"/>
        <v>8260.9420297693941</v>
      </c>
      <c r="G82" s="110">
        <f t="shared" si="23"/>
        <v>9924.0430143484555</v>
      </c>
      <c r="H82" s="110">
        <f t="shared" si="23"/>
        <v>10366.4894323071</v>
      </c>
      <c r="I82" s="110">
        <f t="shared" si="23"/>
        <v>12458.683891362496</v>
      </c>
      <c r="J82" s="110">
        <f t="shared" si="23"/>
        <v>13752.290564784913</v>
      </c>
      <c r="N82" s="124"/>
    </row>
    <row r="83" spans="1:17" hidden="1" outlineLevel="1">
      <c r="A83" t="s">
        <v>9</v>
      </c>
      <c r="B83" s="108">
        <v>214</v>
      </c>
      <c r="C83" s="108">
        <v>296</v>
      </c>
      <c r="D83" s="108">
        <v>201</v>
      </c>
      <c r="E83" s="110">
        <f t="shared" si="22"/>
        <v>577.52862836856082</v>
      </c>
      <c r="F83" s="110">
        <f t="shared" si="23"/>
        <v>493.69114206043707</v>
      </c>
      <c r="G83" s="110">
        <f t="shared" si="23"/>
        <v>568.27536966581408</v>
      </c>
      <c r="H83" s="110">
        <f t="shared" si="23"/>
        <v>555.8027376389108</v>
      </c>
      <c r="I83" s="110">
        <f t="shared" si="23"/>
        <v>543.17652518797149</v>
      </c>
      <c r="J83" s="110">
        <f t="shared" si="23"/>
        <v>534.55847476877136</v>
      </c>
      <c r="N83" s="124"/>
    </row>
    <row r="84" spans="1:17" ht="15" hidden="1" outlineLevel="1" thickBot="1">
      <c r="A84" s="8" t="s">
        <v>21</v>
      </c>
      <c r="B84" s="86">
        <f t="shared" ref="B84:J84" si="24">SUM(B78:B83)</f>
        <v>173760</v>
      </c>
      <c r="C84" s="86">
        <f t="shared" si="24"/>
        <v>220466</v>
      </c>
      <c r="D84" s="86">
        <f t="shared" si="24"/>
        <v>265981</v>
      </c>
      <c r="E84" s="127">
        <f t="shared" si="24"/>
        <v>352342.73997668887</v>
      </c>
      <c r="F84" s="127">
        <f t="shared" si="24"/>
        <v>414529.94029823621</v>
      </c>
      <c r="G84" s="127">
        <f t="shared" si="24"/>
        <v>480092.14448699716</v>
      </c>
      <c r="H84" s="127">
        <f t="shared" si="24"/>
        <v>548526.52386631211</v>
      </c>
      <c r="I84" s="127">
        <f t="shared" si="24"/>
        <v>676227.64192050835</v>
      </c>
      <c r="J84" s="127">
        <f t="shared" si="24"/>
        <v>757227.0261736284</v>
      </c>
    </row>
    <row r="85" spans="1:17" s="1" customFormat="1" ht="15" hidden="1" outlineLevel="1" thickTop="1">
      <c r="A85" s="5" t="s">
        <v>8</v>
      </c>
      <c r="B85" s="128">
        <f>B76-B84</f>
        <v>4106</v>
      </c>
      <c r="C85" s="128">
        <f>C76-C84</f>
        <v>12421</v>
      </c>
      <c r="D85" s="128">
        <f>D76-D84</f>
        <v>14541</v>
      </c>
      <c r="E85" s="128">
        <f t="shared" ref="E85:J85" si="25">E76-E84</f>
        <v>19948.523560556176</v>
      </c>
      <c r="F85" s="128">
        <f t="shared" si="25"/>
        <v>28651.367194229329</v>
      </c>
      <c r="G85" s="128">
        <f t="shared" si="25"/>
        <v>40814.41949289164</v>
      </c>
      <c r="H85" s="128">
        <f t="shared" si="25"/>
        <v>51790.759550471092</v>
      </c>
      <c r="I85" s="128">
        <f t="shared" si="25"/>
        <v>74336.589700263692</v>
      </c>
      <c r="J85" s="128">
        <f t="shared" si="25"/>
        <v>89361.236095972126</v>
      </c>
      <c r="M85" s="12"/>
      <c r="P85"/>
    </row>
    <row r="86" spans="1:17" hidden="1" outlineLevel="1">
      <c r="A86" t="s">
        <v>10</v>
      </c>
      <c r="B86" s="108">
        <v>-848</v>
      </c>
      <c r="C86" s="108">
        <v>-1417</v>
      </c>
      <c r="D86" s="108">
        <v>-1600</v>
      </c>
      <c r="E86" s="110">
        <f t="shared" ref="E86:J86" si="26">-E193</f>
        <v>-468.28000000000009</v>
      </c>
      <c r="F86" s="110">
        <f t="shared" si="26"/>
        <v>-758.61360000000013</v>
      </c>
      <c r="G86" s="110">
        <f t="shared" si="26"/>
        <v>-758.61360000000013</v>
      </c>
      <c r="H86" s="110">
        <f t="shared" si="26"/>
        <v>-758.61360000000013</v>
      </c>
      <c r="I86" s="110">
        <f t="shared" si="26"/>
        <v>-758.61360000000013</v>
      </c>
      <c r="J86" s="110">
        <f t="shared" si="26"/>
        <v>-758.61360000000013</v>
      </c>
    </row>
    <row r="87" spans="1:17" hidden="1" outlineLevel="1">
      <c r="A87" t="s">
        <v>11</v>
      </c>
      <c r="B87" s="108">
        <v>202</v>
      </c>
      <c r="C87" s="108">
        <v>440</v>
      </c>
      <c r="D87" s="108">
        <v>832</v>
      </c>
      <c r="E87" s="110">
        <f t="shared" ref="E87:J87" si="27">E136*E30</f>
        <v>415.07400000000001</v>
      </c>
      <c r="F87" s="110">
        <f t="shared" si="27"/>
        <v>415.04096223193471</v>
      </c>
      <c r="G87" s="110">
        <f t="shared" si="27"/>
        <v>635.97020988106863</v>
      </c>
      <c r="H87" s="110">
        <f t="shared" si="27"/>
        <v>925.91959099448172</v>
      </c>
      <c r="I87" s="110">
        <f t="shared" si="27"/>
        <v>1382.1065192753833</v>
      </c>
      <c r="J87" s="110">
        <f t="shared" si="27"/>
        <v>2041.9693240749066</v>
      </c>
    </row>
    <row r="88" spans="1:17" hidden="1" outlineLevel="1">
      <c r="A88" t="s">
        <v>13</v>
      </c>
      <c r="B88" s="108">
        <v>346</v>
      </c>
      <c r="C88" s="108">
        <v>-183</v>
      </c>
      <c r="D88" s="108">
        <v>203</v>
      </c>
      <c r="E88" s="165"/>
      <c r="F88" s="165"/>
      <c r="G88" s="165"/>
      <c r="H88" s="165"/>
      <c r="I88" s="165"/>
      <c r="J88" s="165"/>
    </row>
    <row r="89" spans="1:17" ht="15" hidden="1" outlineLevel="1" thickBot="1">
      <c r="A89" s="8" t="s">
        <v>77</v>
      </c>
      <c r="B89" s="86">
        <f t="shared" ref="B89:J89" si="28">SUM(B86:B88)</f>
        <v>-300</v>
      </c>
      <c r="C89" s="86">
        <f t="shared" si="28"/>
        <v>-1160</v>
      </c>
      <c r="D89" s="86">
        <f t="shared" si="28"/>
        <v>-565</v>
      </c>
      <c r="E89" s="86">
        <f t="shared" si="28"/>
        <v>-53.206000000000074</v>
      </c>
      <c r="F89" s="86">
        <f t="shared" si="28"/>
        <v>-343.57263776806542</v>
      </c>
      <c r="G89" s="86">
        <f t="shared" si="28"/>
        <v>-122.64339011893151</v>
      </c>
      <c r="H89" s="86">
        <f t="shared" si="28"/>
        <v>167.30599099448159</v>
      </c>
      <c r="I89" s="86">
        <f t="shared" si="28"/>
        <v>623.4929192753832</v>
      </c>
      <c r="J89" s="86">
        <f t="shared" si="28"/>
        <v>1283.3557240749064</v>
      </c>
    </row>
    <row r="90" spans="1:17" ht="15" hidden="1" outlineLevel="1" thickTop="1">
      <c r="A90" t="s">
        <v>78</v>
      </c>
      <c r="B90" s="108">
        <v>-769</v>
      </c>
      <c r="C90" s="108">
        <v>-1197</v>
      </c>
      <c r="D90" s="108">
        <v>-2374</v>
      </c>
      <c r="E90" s="110">
        <f t="shared" ref="E90:J90" si="29">-E91*E29</f>
        <v>-3521.4712082184433</v>
      </c>
      <c r="F90" s="110">
        <f t="shared" si="29"/>
        <v>-9378.3723365556161</v>
      </c>
      <c r="G90" s="110">
        <f t="shared" si="29"/>
        <v>-13481.185422848599</v>
      </c>
      <c r="H90" s="110">
        <f t="shared" si="29"/>
        <v>-17213.707113887544</v>
      </c>
      <c r="I90" s="110">
        <f t="shared" si="29"/>
        <v>-24834.275371853291</v>
      </c>
      <c r="J90" s="110">
        <f t="shared" si="29"/>
        <v>-30030.553269981581</v>
      </c>
    </row>
    <row r="91" spans="1:17" hidden="1" outlineLevel="1">
      <c r="A91" s="1" t="s">
        <v>12</v>
      </c>
      <c r="B91" s="110">
        <f t="shared" ref="B91:J91" si="30">B85+B89</f>
        <v>3806</v>
      </c>
      <c r="C91" s="110">
        <f t="shared" si="30"/>
        <v>11261</v>
      </c>
      <c r="D91" s="110">
        <f t="shared" si="30"/>
        <v>13976</v>
      </c>
      <c r="E91" s="110">
        <f t="shared" si="30"/>
        <v>19895.317560556177</v>
      </c>
      <c r="F91" s="110">
        <f t="shared" si="30"/>
        <v>28307.794556461264</v>
      </c>
      <c r="G91" s="110">
        <f t="shared" si="30"/>
        <v>40691.77610277271</v>
      </c>
      <c r="H91" s="110">
        <f t="shared" si="30"/>
        <v>51958.06554146557</v>
      </c>
      <c r="I91" s="110">
        <f t="shared" si="30"/>
        <v>74960.082619539069</v>
      </c>
      <c r="J91" s="110">
        <f t="shared" si="30"/>
        <v>90644.591820047033</v>
      </c>
    </row>
    <row r="92" spans="1:17" hidden="1" outlineLevel="1">
      <c r="A92" t="s">
        <v>14</v>
      </c>
      <c r="B92" s="108">
        <v>-4</v>
      </c>
      <c r="C92" s="108">
        <v>9</v>
      </c>
      <c r="D92" s="108">
        <v>-14</v>
      </c>
      <c r="E92" s="165"/>
      <c r="F92" s="165"/>
      <c r="G92" s="165"/>
      <c r="H92" s="165"/>
      <c r="I92" s="165"/>
      <c r="J92" s="165"/>
    </row>
    <row r="93" spans="1:17" ht="15" hidden="1" outlineLevel="1" thickBot="1">
      <c r="A93" s="6" t="s">
        <v>19</v>
      </c>
      <c r="B93" s="86">
        <f>B91+B90+B92</f>
        <v>3033</v>
      </c>
      <c r="C93" s="86">
        <f t="shared" ref="C93:J93" si="31">C91+C90+C92</f>
        <v>10073</v>
      </c>
      <c r="D93" s="86">
        <f t="shared" si="31"/>
        <v>11588</v>
      </c>
      <c r="E93" s="86">
        <f t="shared" si="31"/>
        <v>16373.846352337734</v>
      </c>
      <c r="F93" s="86">
        <f t="shared" si="31"/>
        <v>18929.422219905646</v>
      </c>
      <c r="G93" s="86">
        <f t="shared" si="31"/>
        <v>27210.590679924113</v>
      </c>
      <c r="H93" s="86">
        <f t="shared" si="31"/>
        <v>34744.35842757803</v>
      </c>
      <c r="I93" s="86">
        <f t="shared" si="31"/>
        <v>50125.807247685778</v>
      </c>
      <c r="J93" s="86">
        <f t="shared" si="31"/>
        <v>60614.038550065452</v>
      </c>
      <c r="K93" s="579">
        <f>(J93/E93)^(1/5)-1</f>
        <v>0.29922539859181652</v>
      </c>
      <c r="L93" s="579" t="s">
        <v>914</v>
      </c>
      <c r="M93" s="291"/>
      <c r="N93" s="291"/>
      <c r="O93" s="291"/>
      <c r="P93" s="290"/>
      <c r="Q93" s="290"/>
    </row>
    <row r="94" spans="1:17" ht="15" hidden="1" outlineLevel="1" thickTop="1">
      <c r="A94" t="s">
        <v>15</v>
      </c>
      <c r="B94" s="129">
        <f t="shared" ref="B94:D95" si="32">B$93/B96</f>
        <v>6.3187499999999996</v>
      </c>
      <c r="C94" s="129">
        <f t="shared" si="32"/>
        <v>20.683778234086244</v>
      </c>
      <c r="D94" s="129">
        <f t="shared" si="32"/>
        <v>23.457489878542511</v>
      </c>
      <c r="E94" s="129">
        <f t="shared" ref="E94:J94" si="33">E$93/E96</f>
        <v>32.817265307126576</v>
      </c>
      <c r="F94" s="129">
        <f t="shared" si="33"/>
        <v>37.563639311192496</v>
      </c>
      <c r="G94" s="129">
        <f t="shared" si="33"/>
        <v>53.462208974141966</v>
      </c>
      <c r="H94" s="129">
        <f t="shared" si="33"/>
        <v>67.588351276454205</v>
      </c>
      <c r="I94" s="129">
        <f t="shared" si="33"/>
        <v>96.544505384135022</v>
      </c>
      <c r="J94" s="129">
        <f t="shared" si="33"/>
        <v>115.58940527450194</v>
      </c>
    </row>
    <row r="95" spans="1:17" hidden="1" outlineLevel="1">
      <c r="A95" t="s">
        <v>17</v>
      </c>
      <c r="B95" s="129">
        <f t="shared" si="32"/>
        <v>6.1521298174442194</v>
      </c>
      <c r="C95" s="129">
        <f t="shared" si="32"/>
        <v>20.146000000000001</v>
      </c>
      <c r="D95" s="129">
        <f t="shared" si="32"/>
        <v>22.99206349206349</v>
      </c>
      <c r="E95" s="129">
        <f t="shared" ref="E95:J95" si="34">E$93/E97</f>
        <v>32.16612909071533</v>
      </c>
      <c r="F95" s="129">
        <f t="shared" si="34"/>
        <v>36.818329007398987</v>
      </c>
      <c r="G95" s="129">
        <f t="shared" si="34"/>
        <v>52.401450859575654</v>
      </c>
      <c r="H95" s="129">
        <f t="shared" si="34"/>
        <v>66.247312560651537</v>
      </c>
      <c r="I95" s="129">
        <f t="shared" si="34"/>
        <v>94.628939801116459</v>
      </c>
      <c r="J95" s="129">
        <f t="shared" si="34"/>
        <v>113.29596469365865</v>
      </c>
    </row>
    <row r="96" spans="1:17" hidden="1" outlineLevel="1">
      <c r="A96" t="s">
        <v>16</v>
      </c>
      <c r="B96" s="97">
        <v>480</v>
      </c>
      <c r="C96" s="97">
        <v>487</v>
      </c>
      <c r="D96" s="97">
        <v>494</v>
      </c>
      <c r="E96" s="125">
        <f t="shared" ref="E96:J97" si="35">D96*(1+E55)</f>
        <v>498.94</v>
      </c>
      <c r="F96" s="125">
        <f t="shared" si="35"/>
        <v>503.92939999999999</v>
      </c>
      <c r="G96" s="125">
        <f t="shared" si="35"/>
        <v>508.96869399999997</v>
      </c>
      <c r="H96" s="125">
        <f t="shared" si="35"/>
        <v>514.05838094000001</v>
      </c>
      <c r="I96" s="125">
        <f t="shared" si="35"/>
        <v>519.19896474940003</v>
      </c>
      <c r="J96" s="125">
        <f t="shared" si="35"/>
        <v>524.39095439689402</v>
      </c>
    </row>
    <row r="97" spans="1:13" ht="15" hidden="1" outlineLevel="1" thickBot="1">
      <c r="A97" s="7" t="s">
        <v>18</v>
      </c>
      <c r="B97" s="111">
        <v>493</v>
      </c>
      <c r="C97" s="111">
        <v>500</v>
      </c>
      <c r="D97" s="111">
        <v>504</v>
      </c>
      <c r="E97" s="328">
        <f t="shared" si="35"/>
        <v>509.04</v>
      </c>
      <c r="F97" s="328">
        <f t="shared" si="35"/>
        <v>514.13040000000001</v>
      </c>
      <c r="G97" s="328">
        <f t="shared" si="35"/>
        <v>519.271704</v>
      </c>
      <c r="H97" s="328">
        <f t="shared" si="35"/>
        <v>524.46442104000005</v>
      </c>
      <c r="I97" s="328">
        <f t="shared" si="35"/>
        <v>529.70906525040004</v>
      </c>
      <c r="J97" s="328">
        <f t="shared" si="35"/>
        <v>535.00615590290408</v>
      </c>
      <c r="L97" s="293"/>
    </row>
    <row r="98" spans="1:13" collapsed="1"/>
    <row r="99" spans="1:13">
      <c r="A99" s="3" t="s">
        <v>87</v>
      </c>
      <c r="B99" s="2"/>
      <c r="C99" s="2"/>
      <c r="D99" s="2"/>
      <c r="E99" s="2"/>
      <c r="F99" s="2"/>
      <c r="G99" s="2"/>
      <c r="H99" s="2"/>
      <c r="I99" s="2"/>
      <c r="J99" s="15"/>
    </row>
    <row r="100" spans="1:13" s="22" customFormat="1" hidden="1" outlineLevel="1">
      <c r="J100" s="23"/>
      <c r="M100" s="23"/>
    </row>
    <row r="101" spans="1:13" hidden="1" outlineLevel="1">
      <c r="A101" s="1" t="s">
        <v>22</v>
      </c>
    </row>
    <row r="102" spans="1:13" hidden="1" outlineLevel="1">
      <c r="A102" t="s">
        <v>23</v>
      </c>
      <c r="B102" s="51">
        <v>20522</v>
      </c>
      <c r="C102" s="51">
        <v>31750</v>
      </c>
      <c r="D102" s="51">
        <v>36092</v>
      </c>
      <c r="E102" s="87">
        <f t="shared" ref="E102:J102" si="36">E168</f>
        <v>41451.073294001333</v>
      </c>
      <c r="F102" s="130">
        <f t="shared" si="36"/>
        <v>63515.773577669366</v>
      </c>
      <c r="G102" s="130">
        <f t="shared" si="36"/>
        <v>92473.669645205155</v>
      </c>
      <c r="H102" s="130">
        <f t="shared" si="36"/>
        <v>138034.08300356168</v>
      </c>
      <c r="I102" s="130">
        <f t="shared" si="36"/>
        <v>203936.06371081865</v>
      </c>
      <c r="J102" s="130">
        <f t="shared" si="36"/>
        <v>279395.55695965351</v>
      </c>
    </row>
    <row r="103" spans="1:13" hidden="1" outlineLevel="1">
      <c r="A103" s="9" t="s">
        <v>24</v>
      </c>
      <c r="B103" s="51">
        <v>10464</v>
      </c>
      <c r="C103" s="51">
        <v>9500</v>
      </c>
      <c r="D103" s="51">
        <v>18929</v>
      </c>
      <c r="E103" s="87">
        <f t="shared" ref="E103:J103" si="37">D103*(1+E39)</f>
        <v>33265.579628262502</v>
      </c>
      <c r="F103" s="87">
        <f t="shared" si="37"/>
        <v>34773.487201946104</v>
      </c>
      <c r="G103" s="87">
        <f t="shared" si="37"/>
        <v>36189.022293692207</v>
      </c>
      <c r="H103" s="87">
        <f t="shared" si="37"/>
        <v>33521.011889346009</v>
      </c>
      <c r="I103" s="87">
        <f t="shared" si="37"/>
        <v>35695.782974348615</v>
      </c>
      <c r="J103" s="87">
        <f t="shared" si="37"/>
        <v>36553.171393759207</v>
      </c>
    </row>
    <row r="104" spans="1:13" hidden="1" outlineLevel="1">
      <c r="A104" t="s">
        <v>25</v>
      </c>
      <c r="B104" s="51">
        <v>13164</v>
      </c>
      <c r="C104" s="51">
        <v>16677</v>
      </c>
      <c r="D104" s="51">
        <v>20816</v>
      </c>
      <c r="E104" s="87">
        <f t="shared" ref="E104:J104" si="38">E72/E9*E36</f>
        <v>27464.109605206599</v>
      </c>
      <c r="F104" s="87">
        <f t="shared" si="38"/>
        <v>32783.27480081252</v>
      </c>
      <c r="G104" s="87">
        <f t="shared" si="38"/>
        <v>38532.814321799997</v>
      </c>
      <c r="H104" s="87">
        <f t="shared" si="38"/>
        <v>44407.031923981223</v>
      </c>
      <c r="I104" s="87">
        <f t="shared" si="38"/>
        <v>55369.49249661433</v>
      </c>
      <c r="J104" s="87">
        <f t="shared" si="38"/>
        <v>62624.337208984143</v>
      </c>
    </row>
    <row r="105" spans="1:13" hidden="1" outlineLevel="1">
      <c r="A105" t="s">
        <v>26</v>
      </c>
      <c r="B105" s="51">
        <v>16047</v>
      </c>
      <c r="C105" s="51">
        <v>17174</v>
      </c>
      <c r="D105" s="51">
        <v>20497</v>
      </c>
      <c r="E105" s="87">
        <f t="shared" ref="E105:J105" si="39">E78/E9*E35</f>
        <v>31685.711361169488</v>
      </c>
      <c r="F105" s="87">
        <f t="shared" si="39"/>
        <v>37221.955012412654</v>
      </c>
      <c r="G105" s="87">
        <f t="shared" si="39"/>
        <v>43086.200400770191</v>
      </c>
      <c r="H105" s="87">
        <f t="shared" si="39"/>
        <v>49303.155377635754</v>
      </c>
      <c r="I105" s="87">
        <f t="shared" si="39"/>
        <v>61021.104543396359</v>
      </c>
      <c r="J105" s="87">
        <f t="shared" si="39"/>
        <v>69859.490759359847</v>
      </c>
    </row>
    <row r="106" spans="1:13" ht="15" hidden="1" outlineLevel="1" thickBot="1">
      <c r="A106" s="8" t="s">
        <v>27</v>
      </c>
      <c r="B106" s="54">
        <f>SUM(B102:B105)</f>
        <v>60197</v>
      </c>
      <c r="C106" s="54">
        <f t="shared" ref="C106:J106" si="40">SUM(C102:C105)</f>
        <v>75101</v>
      </c>
      <c r="D106" s="54">
        <f t="shared" si="40"/>
        <v>96334</v>
      </c>
      <c r="E106" s="54">
        <f t="shared" si="40"/>
        <v>133866.47388863991</v>
      </c>
      <c r="F106" s="54">
        <f t="shared" si="40"/>
        <v>168294.49059284062</v>
      </c>
      <c r="G106" s="54">
        <f t="shared" si="40"/>
        <v>210281.70666146756</v>
      </c>
      <c r="H106" s="54">
        <f t="shared" si="40"/>
        <v>265265.28219452465</v>
      </c>
      <c r="I106" s="54">
        <f t="shared" si="40"/>
        <v>356022.4437251779</v>
      </c>
      <c r="J106" s="54">
        <f t="shared" si="40"/>
        <v>448432.55632175668</v>
      </c>
    </row>
    <row r="107" spans="1:13" ht="15" hidden="1" outlineLevel="1" thickTop="1">
      <c r="A107" t="s">
        <v>28</v>
      </c>
      <c r="B107" s="51">
        <v>48866</v>
      </c>
      <c r="C107" s="51">
        <v>61797</v>
      </c>
      <c r="D107" s="51">
        <v>72705</v>
      </c>
      <c r="E107" s="87">
        <f t="shared" ref="E107:J107" si="41">E180</f>
        <v>111732.10786641511</v>
      </c>
      <c r="F107" s="87">
        <f t="shared" si="41"/>
        <v>149863.90701644676</v>
      </c>
      <c r="G107" s="87">
        <f t="shared" si="41"/>
        <v>188151.6712259117</v>
      </c>
      <c r="H107" s="87">
        <f t="shared" si="41"/>
        <v>226579.97210623597</v>
      </c>
      <c r="I107" s="87">
        <f t="shared" si="41"/>
        <v>272648.78510066529</v>
      </c>
      <c r="J107" s="87">
        <f t="shared" si="41"/>
        <v>316858.20652646542</v>
      </c>
    </row>
    <row r="108" spans="1:13" hidden="1" outlineLevel="1">
      <c r="A108" t="s">
        <v>29</v>
      </c>
      <c r="B108" s="51">
        <v>13350</v>
      </c>
      <c r="C108" s="51">
        <v>14548</v>
      </c>
      <c r="D108" s="51">
        <v>14754</v>
      </c>
      <c r="E108" s="87">
        <f t="shared" ref="E108:J108" si="42">D108+E37</f>
        <v>14754</v>
      </c>
      <c r="F108" s="87">
        <f t="shared" si="42"/>
        <v>14754</v>
      </c>
      <c r="G108" s="87">
        <f t="shared" si="42"/>
        <v>14754</v>
      </c>
      <c r="H108" s="87">
        <f t="shared" si="42"/>
        <v>14754</v>
      </c>
      <c r="I108" s="87">
        <f t="shared" si="42"/>
        <v>14754</v>
      </c>
      <c r="J108" s="87">
        <f t="shared" si="42"/>
        <v>14754</v>
      </c>
    </row>
    <row r="109" spans="1:13" hidden="1" outlineLevel="1">
      <c r="A109" t="s">
        <v>80</v>
      </c>
      <c r="B109" s="52"/>
      <c r="C109" s="52"/>
      <c r="D109" s="51">
        <v>25141</v>
      </c>
      <c r="E109" s="101"/>
      <c r="F109" s="101"/>
      <c r="G109" s="101"/>
      <c r="H109" s="101"/>
      <c r="I109" s="101"/>
      <c r="J109" s="166"/>
    </row>
    <row r="110" spans="1:13" hidden="1" outlineLevel="1">
      <c r="A110" t="s">
        <v>30</v>
      </c>
      <c r="B110" s="51">
        <v>8897</v>
      </c>
      <c r="C110" s="51">
        <v>11202</v>
      </c>
      <c r="D110" s="51">
        <v>16314</v>
      </c>
      <c r="E110" s="87">
        <f t="shared" ref="E110:J110" si="43">D110*(1+E38)</f>
        <v>20517.474966469799</v>
      </c>
      <c r="F110" s="87">
        <f t="shared" si="43"/>
        <v>21380.127002363097</v>
      </c>
      <c r="G110" s="87">
        <f t="shared" si="43"/>
        <v>21021.029637263498</v>
      </c>
      <c r="H110" s="87">
        <f t="shared" si="43"/>
        <v>22200.740417219797</v>
      </c>
      <c r="I110" s="87">
        <f t="shared" si="43"/>
        <v>25080.977211747697</v>
      </c>
      <c r="J110" s="87">
        <f t="shared" si="43"/>
        <v>27859.345927317496</v>
      </c>
    </row>
    <row r="111" spans="1:13" s="1" customFormat="1" hidden="1" outlineLevel="1">
      <c r="A111" s="5" t="s">
        <v>79</v>
      </c>
      <c r="B111" s="55">
        <f>SUM(B107:B110)</f>
        <v>71113</v>
      </c>
      <c r="C111" s="55">
        <f t="shared" ref="C111:J111" si="44">SUM(C107:C110)</f>
        <v>87547</v>
      </c>
      <c r="D111" s="55">
        <f t="shared" si="44"/>
        <v>128914</v>
      </c>
      <c r="E111" s="55">
        <f t="shared" si="44"/>
        <v>147003.58283288492</v>
      </c>
      <c r="F111" s="55">
        <f t="shared" si="44"/>
        <v>185998.03401880985</v>
      </c>
      <c r="G111" s="55">
        <f t="shared" si="44"/>
        <v>223926.70086317521</v>
      </c>
      <c r="H111" s="55">
        <f t="shared" si="44"/>
        <v>263534.71252345579</v>
      </c>
      <c r="I111" s="55">
        <f t="shared" si="44"/>
        <v>312483.76231241296</v>
      </c>
      <c r="J111" s="55">
        <f t="shared" si="44"/>
        <v>359471.55245378293</v>
      </c>
      <c r="M111" s="12"/>
    </row>
    <row r="112" spans="1:13" s="10" customFormat="1" ht="15" hidden="1" outlineLevel="1" thickBot="1">
      <c r="A112" s="8" t="s">
        <v>31</v>
      </c>
      <c r="B112" s="54">
        <f>B111+B106</f>
        <v>131310</v>
      </c>
      <c r="C112" s="54">
        <f t="shared" ref="C112:J112" si="45">C111+C106</f>
        <v>162648</v>
      </c>
      <c r="D112" s="54">
        <f t="shared" si="45"/>
        <v>225248</v>
      </c>
      <c r="E112" s="54">
        <f t="shared" si="45"/>
        <v>280870.0567215248</v>
      </c>
      <c r="F112" s="54">
        <f t="shared" si="45"/>
        <v>354292.5246116505</v>
      </c>
      <c r="G112" s="54">
        <f t="shared" si="45"/>
        <v>434208.40752464277</v>
      </c>
      <c r="H112" s="54">
        <f t="shared" si="45"/>
        <v>528799.9947179805</v>
      </c>
      <c r="I112" s="54">
        <f t="shared" si="45"/>
        <v>668506.20603759086</v>
      </c>
      <c r="J112" s="54">
        <f t="shared" si="45"/>
        <v>807904.10877553956</v>
      </c>
      <c r="K112" s="586">
        <f>(J112/E112)^(1/5)-1</f>
        <v>0.23529554443756084</v>
      </c>
      <c r="L112" s="590" t="s">
        <v>916</v>
      </c>
    </row>
    <row r="113" spans="1:10" ht="15" hidden="1" outlineLevel="1" thickTop="1">
      <c r="A113" s="1" t="s">
        <v>32</v>
      </c>
      <c r="B113" s="52"/>
      <c r="C113" s="52"/>
      <c r="D113" s="52"/>
      <c r="E113" s="52"/>
      <c r="F113" s="52"/>
      <c r="G113" s="52"/>
      <c r="H113" s="52"/>
      <c r="I113" s="52"/>
      <c r="J113" s="53"/>
    </row>
    <row r="114" spans="1:10" hidden="1" outlineLevel="1">
      <c r="A114" t="s">
        <v>33</v>
      </c>
      <c r="B114" s="51">
        <v>34616</v>
      </c>
      <c r="C114" s="51">
        <v>38192</v>
      </c>
      <c r="D114" s="51">
        <v>47183</v>
      </c>
      <c r="E114" s="87">
        <f t="shared" ref="E114:J114" si="46">E78/E9*E41</f>
        <v>61599.827435426327</v>
      </c>
      <c r="F114" s="87">
        <f t="shared" si="46"/>
        <v>72262.191914242736</v>
      </c>
      <c r="G114" s="87">
        <f t="shared" si="46"/>
        <v>83998.246858469749</v>
      </c>
      <c r="H114" s="87">
        <f t="shared" si="46"/>
        <v>96563.788802326133</v>
      </c>
      <c r="I114" s="87">
        <f t="shared" si="46"/>
        <v>120065.68207214028</v>
      </c>
      <c r="J114" s="87">
        <f t="shared" si="46"/>
        <v>138048.62398845336</v>
      </c>
    </row>
    <row r="115" spans="1:10" hidden="1" outlineLevel="1">
      <c r="A115" t="s">
        <v>34</v>
      </c>
      <c r="B115" s="51">
        <v>18170</v>
      </c>
      <c r="C115" s="51">
        <v>23663</v>
      </c>
      <c r="D115" s="51">
        <v>32439</v>
      </c>
      <c r="E115" s="87">
        <f t="shared" ref="E115:J115" si="47">E72*E42</f>
        <v>37229.126353724503</v>
      </c>
      <c r="F115" s="87">
        <f t="shared" si="47"/>
        <v>44318.130749246557</v>
      </c>
      <c r="G115" s="87">
        <f t="shared" si="47"/>
        <v>52090.656397988889</v>
      </c>
      <c r="H115" s="87">
        <f t="shared" si="47"/>
        <v>60031.728341678325</v>
      </c>
      <c r="I115" s="87">
        <f t="shared" si="47"/>
        <v>75056.423162077204</v>
      </c>
      <c r="J115" s="87">
        <f t="shared" si="47"/>
        <v>84658.826226960053</v>
      </c>
    </row>
    <row r="116" spans="1:10" hidden="1" outlineLevel="1">
      <c r="A116" t="s">
        <v>35</v>
      </c>
      <c r="B116" s="51">
        <v>5097</v>
      </c>
      <c r="C116" s="51">
        <v>6536</v>
      </c>
      <c r="D116" s="51">
        <v>8190</v>
      </c>
      <c r="E116" s="87">
        <f t="shared" ref="E116:J116" si="48">E72*E43</f>
        <v>16224.876664563266</v>
      </c>
      <c r="F116" s="87">
        <f t="shared" si="48"/>
        <v>17095.572486722856</v>
      </c>
      <c r="G116" s="87">
        <f t="shared" si="48"/>
        <v>13927.131079854064</v>
      </c>
      <c r="H116" s="87">
        <f t="shared" si="48"/>
        <v>16002.517691789402</v>
      </c>
      <c r="I116" s="87">
        <f t="shared" si="48"/>
        <v>19988.426882959822</v>
      </c>
      <c r="J116" s="87">
        <f t="shared" si="48"/>
        <v>23563.538697136566</v>
      </c>
    </row>
    <row r="117" spans="1:10" ht="15" hidden="1" outlineLevel="1" thickBot="1">
      <c r="A117" s="8" t="s">
        <v>36</v>
      </c>
      <c r="B117" s="54">
        <f>SUM(B114:B116)</f>
        <v>57883</v>
      </c>
      <c r="C117" s="54">
        <f t="shared" ref="C117:J117" si="49">SUM(C114:C116)</f>
        <v>68391</v>
      </c>
      <c r="D117" s="54">
        <f t="shared" si="49"/>
        <v>87812</v>
      </c>
      <c r="E117" s="54">
        <f t="shared" si="49"/>
        <v>115053.83045371411</v>
      </c>
      <c r="F117" s="54">
        <f t="shared" si="49"/>
        <v>133675.89515021216</v>
      </c>
      <c r="G117" s="54">
        <f t="shared" si="49"/>
        <v>150016.0343363127</v>
      </c>
      <c r="H117" s="54">
        <f t="shared" si="49"/>
        <v>172598.03483579386</v>
      </c>
      <c r="I117" s="54">
        <f t="shared" si="49"/>
        <v>215110.5321171773</v>
      </c>
      <c r="J117" s="54">
        <f t="shared" si="49"/>
        <v>246270.98891254998</v>
      </c>
    </row>
    <row r="118" spans="1:10" ht="15" hidden="1" outlineLevel="1" thickTop="1">
      <c r="A118" s="1" t="s">
        <v>37</v>
      </c>
      <c r="B118" s="52"/>
      <c r="C118" s="52"/>
      <c r="D118" s="52"/>
      <c r="E118" s="52"/>
      <c r="F118" s="52"/>
      <c r="G118" s="52"/>
      <c r="H118" s="52"/>
      <c r="I118" s="52"/>
      <c r="J118" s="53"/>
    </row>
    <row r="119" spans="1:10" hidden="1" outlineLevel="1">
      <c r="A119" t="s">
        <v>38</v>
      </c>
      <c r="B119" s="52"/>
      <c r="C119" s="51">
        <v>9650</v>
      </c>
      <c r="D119" s="51">
        <v>39791</v>
      </c>
      <c r="E119" s="101"/>
      <c r="F119" s="101"/>
      <c r="G119" s="101"/>
      <c r="H119" s="101"/>
      <c r="I119" s="101"/>
      <c r="J119" s="166"/>
    </row>
    <row r="120" spans="1:10" hidden="1" outlineLevel="1">
      <c r="A120" t="s">
        <v>39</v>
      </c>
      <c r="B120" s="51">
        <v>24743</v>
      </c>
      <c r="C120" s="51">
        <v>23495</v>
      </c>
      <c r="D120" s="51">
        <v>23414</v>
      </c>
      <c r="E120" s="87">
        <f t="shared" ref="E120:J120" si="50">E188</f>
        <v>23414.000000000004</v>
      </c>
      <c r="F120" s="87">
        <f t="shared" si="50"/>
        <v>23414.000000000004</v>
      </c>
      <c r="G120" s="87">
        <f t="shared" si="50"/>
        <v>23414.000000000004</v>
      </c>
      <c r="H120" s="87">
        <f t="shared" si="50"/>
        <v>23414.000000000004</v>
      </c>
      <c r="I120" s="87">
        <f t="shared" si="50"/>
        <v>23414.000000000004</v>
      </c>
      <c r="J120" s="87">
        <f t="shared" si="50"/>
        <v>23414.000000000004</v>
      </c>
    </row>
    <row r="121" spans="1:10" hidden="1" outlineLevel="1">
      <c r="A121" t="s">
        <v>40</v>
      </c>
      <c r="B121" s="51">
        <v>20975</v>
      </c>
      <c r="C121" s="51">
        <v>17563</v>
      </c>
      <c r="D121" s="51">
        <v>12171</v>
      </c>
      <c r="E121" s="87">
        <f t="shared" ref="E121:J121" si="51">E200</f>
        <v>54765.476353724502</v>
      </c>
      <c r="F121" s="87">
        <f t="shared" si="51"/>
        <v>79915.690379167485</v>
      </c>
      <c r="G121" s="87">
        <f t="shared" si="51"/>
        <v>104035.85514444776</v>
      </c>
      <c r="H121" s="87">
        <f t="shared" si="51"/>
        <v>127655.03418556938</v>
      </c>
      <c r="I121" s="87">
        <f t="shared" si="51"/>
        <v>158032.1953826973</v>
      </c>
      <c r="J121" s="87">
        <f t="shared" si="51"/>
        <v>187379.7532257133</v>
      </c>
    </row>
    <row r="122" spans="1:10" ht="15" hidden="1" outlineLevel="1" thickBot="1">
      <c r="A122" s="8" t="s">
        <v>81</v>
      </c>
      <c r="B122" s="54">
        <f t="shared" ref="B122:J122" si="52">SUM(B119:B121)+B117</f>
        <v>103601</v>
      </c>
      <c r="C122" s="54">
        <f t="shared" si="52"/>
        <v>119099</v>
      </c>
      <c r="D122" s="54">
        <f t="shared" si="52"/>
        <v>163188</v>
      </c>
      <c r="E122" s="54">
        <f t="shared" si="52"/>
        <v>193233.30680743861</v>
      </c>
      <c r="F122" s="54">
        <f t="shared" si="52"/>
        <v>237005.58552937966</v>
      </c>
      <c r="G122" s="54">
        <f t="shared" si="52"/>
        <v>277465.88948076044</v>
      </c>
      <c r="H122" s="54">
        <f t="shared" si="52"/>
        <v>323667.06902136328</v>
      </c>
      <c r="I122" s="54">
        <f t="shared" si="52"/>
        <v>396556.7274998746</v>
      </c>
      <c r="J122" s="54">
        <f t="shared" si="52"/>
        <v>457064.7421382633</v>
      </c>
    </row>
    <row r="123" spans="1:10" ht="15" hidden="1" outlineLevel="1" thickTop="1">
      <c r="A123" s="1" t="s">
        <v>41</v>
      </c>
      <c r="B123" s="52"/>
      <c r="C123" s="52"/>
      <c r="D123" s="52"/>
      <c r="E123" s="52"/>
      <c r="F123" s="52"/>
      <c r="G123" s="52"/>
      <c r="H123" s="52"/>
      <c r="I123" s="52"/>
      <c r="J123" s="53"/>
    </row>
    <row r="124" spans="1:10" hidden="1" outlineLevel="1">
      <c r="A124" s="1" t="s">
        <v>42</v>
      </c>
      <c r="B124" s="57">
        <v>0</v>
      </c>
      <c r="C124" s="57">
        <v>0</v>
      </c>
      <c r="D124" s="57">
        <v>0</v>
      </c>
      <c r="E124" s="87">
        <f t="shared" ref="E124:J124" si="53">D1230</f>
        <v>0</v>
      </c>
      <c r="F124" s="87">
        <f t="shared" si="53"/>
        <v>0</v>
      </c>
      <c r="G124" s="87">
        <f t="shared" si="53"/>
        <v>0</v>
      </c>
      <c r="H124" s="87">
        <f t="shared" si="53"/>
        <v>0</v>
      </c>
      <c r="I124" s="87">
        <f t="shared" si="53"/>
        <v>0</v>
      </c>
      <c r="J124" s="87">
        <f t="shared" si="53"/>
        <v>0</v>
      </c>
    </row>
    <row r="125" spans="1:10" hidden="1" outlineLevel="1">
      <c r="A125" t="s">
        <v>43</v>
      </c>
      <c r="B125" s="51">
        <v>5</v>
      </c>
      <c r="C125" s="51">
        <v>5</v>
      </c>
      <c r="D125" s="51">
        <v>5</v>
      </c>
      <c r="E125" s="87">
        <f t="shared" ref="E125:J125" si="54">D125+E51</f>
        <v>5</v>
      </c>
      <c r="F125" s="87">
        <f t="shared" si="54"/>
        <v>5</v>
      </c>
      <c r="G125" s="87">
        <f t="shared" si="54"/>
        <v>5</v>
      </c>
      <c r="H125" s="87">
        <f t="shared" si="54"/>
        <v>5</v>
      </c>
      <c r="I125" s="87">
        <f t="shared" si="54"/>
        <v>5</v>
      </c>
      <c r="J125" s="87">
        <f t="shared" si="54"/>
        <v>5</v>
      </c>
    </row>
    <row r="126" spans="1:10" hidden="1" outlineLevel="1">
      <c r="A126" t="s">
        <v>44</v>
      </c>
      <c r="B126" s="51">
        <v>21389</v>
      </c>
      <c r="C126" s="51">
        <v>26791</v>
      </c>
      <c r="D126" s="51">
        <v>33658</v>
      </c>
      <c r="E126" s="87">
        <f t="shared" ref="E126:J126" si="55">D126+E53+E142</f>
        <v>42860.903561748506</v>
      </c>
      <c r="F126" s="87">
        <f t="shared" si="55"/>
        <v>53581.67051002747</v>
      </c>
      <c r="G126" s="87">
        <f t="shared" si="55"/>
        <v>65826.658791714784</v>
      </c>
      <c r="H126" s="87">
        <f t="shared" si="55"/>
        <v>79472.708016871708</v>
      </c>
      <c r="I126" s="87">
        <f t="shared" si="55"/>
        <v>96163.453610285054</v>
      </c>
      <c r="J126" s="87">
        <f t="shared" si="55"/>
        <v>114439.30315977956</v>
      </c>
    </row>
    <row r="127" spans="1:10" hidden="1" outlineLevel="1">
      <c r="A127" t="s">
        <v>45</v>
      </c>
      <c r="B127" s="51">
        <v>-1837</v>
      </c>
      <c r="C127" s="51">
        <v>-1837</v>
      </c>
      <c r="D127" s="51">
        <v>-1837</v>
      </c>
      <c r="E127" s="87">
        <f t="shared" ref="E127:J127" si="56">D127+E52</f>
        <v>-1837</v>
      </c>
      <c r="F127" s="87">
        <f t="shared" si="56"/>
        <v>-1837</v>
      </c>
      <c r="G127" s="87">
        <f t="shared" si="56"/>
        <v>-1837</v>
      </c>
      <c r="H127" s="87">
        <f t="shared" si="56"/>
        <v>-1837</v>
      </c>
      <c r="I127" s="87">
        <f t="shared" si="56"/>
        <v>-1837</v>
      </c>
      <c r="J127" s="87">
        <f t="shared" si="56"/>
        <v>-1837</v>
      </c>
    </row>
    <row r="128" spans="1:10" hidden="1" outlineLevel="1">
      <c r="A128" t="s">
        <v>46</v>
      </c>
      <c r="B128" s="51">
        <v>-484</v>
      </c>
      <c r="C128" s="51">
        <v>-1035</v>
      </c>
      <c r="D128" s="51">
        <v>-986</v>
      </c>
      <c r="E128" s="87">
        <f t="shared" ref="E128:J128" si="57">D128</f>
        <v>-986</v>
      </c>
      <c r="F128" s="87">
        <f t="shared" si="57"/>
        <v>-986</v>
      </c>
      <c r="G128" s="87">
        <f t="shared" si="57"/>
        <v>-986</v>
      </c>
      <c r="H128" s="87">
        <f t="shared" si="57"/>
        <v>-986</v>
      </c>
      <c r="I128" s="87">
        <f t="shared" si="57"/>
        <v>-986</v>
      </c>
      <c r="J128" s="87">
        <f t="shared" si="57"/>
        <v>-986</v>
      </c>
    </row>
    <row r="129" spans="1:13" hidden="1" outlineLevel="1">
      <c r="A129" t="s">
        <v>47</v>
      </c>
      <c r="B129" s="51">
        <v>8636</v>
      </c>
      <c r="C129" s="51">
        <v>19625</v>
      </c>
      <c r="D129" s="51">
        <v>31220</v>
      </c>
      <c r="E129" s="87">
        <f t="shared" ref="E129:J129" si="58">D129+E93</f>
        <v>47593.846352337736</v>
      </c>
      <c r="F129" s="87">
        <f t="shared" si="58"/>
        <v>66523.268572243382</v>
      </c>
      <c r="G129" s="87">
        <f t="shared" si="58"/>
        <v>93733.859252167487</v>
      </c>
      <c r="H129" s="87">
        <f t="shared" si="58"/>
        <v>128478.21767974552</v>
      </c>
      <c r="I129" s="87">
        <f t="shared" si="58"/>
        <v>178604.02492743131</v>
      </c>
      <c r="J129" s="87">
        <f t="shared" si="58"/>
        <v>239218.06347749676</v>
      </c>
    </row>
    <row r="130" spans="1:13" ht="15" hidden="1" outlineLevel="1" thickBot="1">
      <c r="A130" s="6" t="s">
        <v>48</v>
      </c>
      <c r="B130" s="54">
        <f t="shared" ref="B130:J130" si="59">SUM(B124:B129)</f>
        <v>27709</v>
      </c>
      <c r="C130" s="54">
        <f t="shared" si="59"/>
        <v>43549</v>
      </c>
      <c r="D130" s="54">
        <f t="shared" si="59"/>
        <v>62060</v>
      </c>
      <c r="E130" s="54">
        <f t="shared" si="59"/>
        <v>87636.749914086249</v>
      </c>
      <c r="F130" s="54">
        <f t="shared" si="59"/>
        <v>117286.93908227085</v>
      </c>
      <c r="G130" s="54">
        <f t="shared" si="59"/>
        <v>156742.51804388227</v>
      </c>
      <c r="H130" s="54">
        <f t="shared" si="59"/>
        <v>205132.92569661723</v>
      </c>
      <c r="I130" s="54">
        <f t="shared" si="59"/>
        <v>271949.47853771638</v>
      </c>
      <c r="J130" s="54">
        <f t="shared" si="59"/>
        <v>350839.36663727631</v>
      </c>
    </row>
    <row r="131" spans="1:13" ht="15.6" hidden="1" outlineLevel="1" thickTop="1" thickBot="1">
      <c r="A131" s="6" t="s">
        <v>49</v>
      </c>
      <c r="B131" s="54">
        <f t="shared" ref="B131:J131" si="60">B122+B130</f>
        <v>131310</v>
      </c>
      <c r="C131" s="54">
        <f t="shared" si="60"/>
        <v>162648</v>
      </c>
      <c r="D131" s="54">
        <f t="shared" si="60"/>
        <v>225248</v>
      </c>
      <c r="E131" s="54">
        <f t="shared" si="60"/>
        <v>280870.05672152486</v>
      </c>
      <c r="F131" s="54">
        <f t="shared" si="60"/>
        <v>354292.5246116505</v>
      </c>
      <c r="G131" s="54">
        <f t="shared" si="60"/>
        <v>434208.40752464271</v>
      </c>
      <c r="H131" s="54">
        <f t="shared" si="60"/>
        <v>528799.9947179805</v>
      </c>
      <c r="I131" s="54">
        <f t="shared" si="60"/>
        <v>668506.20603759098</v>
      </c>
      <c r="J131" s="54">
        <f t="shared" si="60"/>
        <v>807904.10877553956</v>
      </c>
    </row>
    <row r="132" spans="1:13" ht="15" hidden="1" outlineLevel="1" thickTop="1">
      <c r="A132" s="12" t="s">
        <v>237</v>
      </c>
      <c r="B132" s="56">
        <f>B131-B112</f>
        <v>0</v>
      </c>
      <c r="C132" s="56">
        <f t="shared" ref="C132:J132" si="61">C131-C112</f>
        <v>0</v>
      </c>
      <c r="D132" s="56">
        <f t="shared" si="61"/>
        <v>0</v>
      </c>
      <c r="E132" s="56">
        <f t="shared" si="61"/>
        <v>0</v>
      </c>
      <c r="F132" s="56">
        <f t="shared" si="61"/>
        <v>0</v>
      </c>
      <c r="G132" s="56">
        <f t="shared" si="61"/>
        <v>0</v>
      </c>
      <c r="H132" s="56">
        <f t="shared" si="61"/>
        <v>0</v>
      </c>
      <c r="I132" s="56">
        <f t="shared" si="61"/>
        <v>0</v>
      </c>
      <c r="J132" s="56">
        <f t="shared" si="61"/>
        <v>0</v>
      </c>
    </row>
    <row r="133" spans="1:13" collapsed="1"/>
    <row r="134" spans="1:13">
      <c r="A134" s="29" t="s">
        <v>50</v>
      </c>
      <c r="B134" s="2"/>
      <c r="C134" s="2"/>
      <c r="D134" s="2"/>
      <c r="E134" s="2"/>
      <c r="F134" s="2"/>
      <c r="G134" s="2"/>
      <c r="H134" s="2"/>
      <c r="I134" s="2"/>
      <c r="J134" s="15"/>
      <c r="K134" s="577"/>
    </row>
    <row r="135" spans="1:13" s="20" customFormat="1">
      <c r="A135" s="100"/>
      <c r="J135" s="21"/>
      <c r="M135" s="21"/>
    </row>
    <row r="136" spans="1:13" ht="15" hidden="1" outlineLevel="1" thickBot="1">
      <c r="A136" s="1" t="s">
        <v>83</v>
      </c>
      <c r="B136" s="51">
        <v>19934</v>
      </c>
      <c r="C136" s="87">
        <f t="shared" ref="C136:J136" si="62">B168</f>
        <v>21856</v>
      </c>
      <c r="D136" s="87">
        <f t="shared" si="62"/>
        <v>32173</v>
      </c>
      <c r="E136" s="87">
        <f t="shared" si="62"/>
        <v>36410</v>
      </c>
      <c r="F136" s="87">
        <f t="shared" si="62"/>
        <v>41451.073294001333</v>
      </c>
      <c r="G136" s="87">
        <f t="shared" si="62"/>
        <v>63515.773577669366</v>
      </c>
      <c r="H136" s="87">
        <f t="shared" si="62"/>
        <v>92473.669645205155</v>
      </c>
      <c r="I136" s="87">
        <f t="shared" si="62"/>
        <v>138034.08300356168</v>
      </c>
      <c r="J136" s="87">
        <f t="shared" si="62"/>
        <v>203936.06371081865</v>
      </c>
      <c r="K136" s="591">
        <f>(J136/E136)^(1/5)-1</f>
        <v>0.41141481171226624</v>
      </c>
      <c r="L136" s="590" t="s">
        <v>917</v>
      </c>
    </row>
    <row r="137" spans="1:13" ht="15" hidden="1" outlineLevel="1" thickTop="1">
      <c r="A137" s="1"/>
      <c r="B137" s="52"/>
      <c r="C137" s="52"/>
      <c r="D137" s="52"/>
      <c r="E137" s="52"/>
      <c r="F137" s="52"/>
      <c r="G137" s="52"/>
      <c r="H137" s="52"/>
      <c r="I137" s="52"/>
      <c r="J137" s="52"/>
    </row>
    <row r="138" spans="1:13" hidden="1" outlineLevel="1">
      <c r="A138" s="1" t="s">
        <v>51</v>
      </c>
      <c r="B138" s="52"/>
      <c r="C138" s="52"/>
      <c r="D138" s="52"/>
      <c r="E138" s="52"/>
      <c r="F138" s="52"/>
      <c r="G138" s="52"/>
      <c r="H138" s="52"/>
      <c r="I138" s="52"/>
      <c r="J138" s="52"/>
    </row>
    <row r="139" spans="1:13" hidden="1" outlineLevel="1">
      <c r="A139" t="s">
        <v>52</v>
      </c>
      <c r="B139" s="87">
        <f t="shared" ref="B139:J139" si="63">B93</f>
        <v>3033</v>
      </c>
      <c r="C139" s="87">
        <f t="shared" si="63"/>
        <v>10073</v>
      </c>
      <c r="D139" s="87">
        <f t="shared" si="63"/>
        <v>11588</v>
      </c>
      <c r="E139" s="87">
        <f t="shared" si="63"/>
        <v>16373.846352337734</v>
      </c>
      <c r="F139" s="87">
        <f t="shared" si="63"/>
        <v>18929.422219905646</v>
      </c>
      <c r="G139" s="87">
        <f t="shared" si="63"/>
        <v>27210.590679924113</v>
      </c>
      <c r="H139" s="87">
        <f t="shared" si="63"/>
        <v>34744.35842757803</v>
      </c>
      <c r="I139" s="87">
        <f t="shared" si="63"/>
        <v>50125.807247685778</v>
      </c>
      <c r="J139" s="87">
        <f t="shared" si="63"/>
        <v>60614.038550065452</v>
      </c>
    </row>
    <row r="140" spans="1:13" hidden="1" outlineLevel="1">
      <c r="A140" t="s">
        <v>82</v>
      </c>
      <c r="B140" s="51">
        <v>11478</v>
      </c>
      <c r="C140" s="51">
        <v>15341</v>
      </c>
      <c r="D140" s="51">
        <v>21789</v>
      </c>
      <c r="E140" s="87">
        <f t="shared" ref="E140:J140" si="64">-E176</f>
        <v>23992.65</v>
      </c>
      <c r="F140" s="87">
        <f t="shared" si="64"/>
        <v>36871.595595916988</v>
      </c>
      <c r="G140" s="87">
        <f t="shared" si="64"/>
        <v>49455.089315427431</v>
      </c>
      <c r="H140" s="87">
        <f t="shared" si="64"/>
        <v>62090.051504550866</v>
      </c>
      <c r="I140" s="87">
        <f t="shared" si="64"/>
        <v>74771.390795057872</v>
      </c>
      <c r="J140" s="87">
        <f t="shared" si="64"/>
        <v>89974.099083219553</v>
      </c>
    </row>
    <row r="141" spans="1:13" hidden="1" outlineLevel="1">
      <c r="A141" t="s">
        <v>53</v>
      </c>
      <c r="B141" s="51">
        <v>-29</v>
      </c>
      <c r="C141" s="51">
        <v>441</v>
      </c>
      <c r="D141" s="51">
        <v>796</v>
      </c>
      <c r="E141" s="52"/>
      <c r="F141" s="52"/>
      <c r="G141" s="52"/>
      <c r="H141" s="52"/>
      <c r="I141" s="52"/>
      <c r="J141" s="52"/>
    </row>
    <row r="142" spans="1:13" hidden="1" outlineLevel="1">
      <c r="A142" t="s">
        <v>54</v>
      </c>
      <c r="B142" s="51">
        <v>4215</v>
      </c>
      <c r="C142" s="51">
        <v>5418</v>
      </c>
      <c r="D142" s="51">
        <v>6864</v>
      </c>
      <c r="E142" s="87">
        <f t="shared" ref="E142:J142" si="65">E76*E28</f>
        <v>9202.9035617485079</v>
      </c>
      <c r="F142" s="87">
        <f t="shared" si="65"/>
        <v>10720.766948278962</v>
      </c>
      <c r="G142" s="87">
        <f t="shared" si="65"/>
        <v>12244.988281687311</v>
      </c>
      <c r="H142" s="87">
        <f t="shared" si="65"/>
        <v>13646.049225156929</v>
      </c>
      <c r="I142" s="87">
        <f t="shared" si="65"/>
        <v>16690.745593413347</v>
      </c>
      <c r="J142" s="87">
        <f t="shared" si="65"/>
        <v>18275.849549494513</v>
      </c>
    </row>
    <row r="143" spans="1:13" hidden="1" outlineLevel="1">
      <c r="A143" t="s">
        <v>55</v>
      </c>
      <c r="B143" s="51">
        <v>-90</v>
      </c>
      <c r="C143" s="51">
        <v>493</v>
      </c>
      <c r="D143" s="51">
        <v>-85</v>
      </c>
      <c r="E143" s="87">
        <f t="shared" ref="E143:J143" si="66">E37</f>
        <v>0</v>
      </c>
      <c r="F143" s="87">
        <f t="shared" si="66"/>
        <v>0</v>
      </c>
      <c r="G143" s="87">
        <f t="shared" si="66"/>
        <v>0</v>
      </c>
      <c r="H143" s="87">
        <f t="shared" si="66"/>
        <v>0</v>
      </c>
      <c r="I143" s="87">
        <f t="shared" si="66"/>
        <v>0</v>
      </c>
      <c r="J143" s="87">
        <f t="shared" si="66"/>
        <v>0</v>
      </c>
    </row>
    <row r="144" spans="1:13" hidden="1" outlineLevel="1">
      <c r="A144" t="s">
        <v>56</v>
      </c>
      <c r="B144" s="51">
        <v>-3583</v>
      </c>
      <c r="C144" s="51">
        <v>-1314</v>
      </c>
      <c r="D144" s="51">
        <v>-3278</v>
      </c>
      <c r="E144" s="87">
        <f t="shared" ref="E144:J144" si="67">-(E105-D105)</f>
        <v>-11188.711361169488</v>
      </c>
      <c r="F144" s="87">
        <f t="shared" si="67"/>
        <v>-5536.2436512431668</v>
      </c>
      <c r="G144" s="87">
        <f t="shared" si="67"/>
        <v>-5864.2453883575363</v>
      </c>
      <c r="H144" s="87">
        <f t="shared" si="67"/>
        <v>-6216.9549768655634</v>
      </c>
      <c r="I144" s="87">
        <f t="shared" si="67"/>
        <v>-11717.949165760605</v>
      </c>
      <c r="J144" s="87">
        <f t="shared" si="67"/>
        <v>-8838.3862159634882</v>
      </c>
    </row>
    <row r="145" spans="1:10" hidden="1" outlineLevel="1">
      <c r="A145" t="s">
        <v>57</v>
      </c>
      <c r="B145" s="51">
        <v>7100</v>
      </c>
      <c r="C145" s="51">
        <v>3263</v>
      </c>
      <c r="D145" s="51">
        <v>8193</v>
      </c>
      <c r="E145" s="87">
        <f t="shared" ref="E145:J145" si="68">(E114-D114)</f>
        <v>14416.827435426327</v>
      </c>
      <c r="F145" s="87">
        <f t="shared" si="68"/>
        <v>10662.364478816409</v>
      </c>
      <c r="G145" s="87">
        <f t="shared" si="68"/>
        <v>11736.054944227013</v>
      </c>
      <c r="H145" s="87">
        <f t="shared" si="68"/>
        <v>12565.541943856384</v>
      </c>
      <c r="I145" s="87">
        <f t="shared" si="68"/>
        <v>23501.893269814143</v>
      </c>
      <c r="J145" s="87">
        <f t="shared" si="68"/>
        <v>17982.941916313081</v>
      </c>
    </row>
    <row r="146" spans="1:10" hidden="1" outlineLevel="1">
      <c r="A146" t="s">
        <v>58</v>
      </c>
      <c r="B146" s="51">
        <v>-4780</v>
      </c>
      <c r="C146" s="51">
        <v>-4615</v>
      </c>
      <c r="D146" s="51">
        <v>-7681</v>
      </c>
      <c r="E146" s="87">
        <f t="shared" ref="E146:J146" si="69">-(E104-D104)</f>
        <v>-6648.1096052065986</v>
      </c>
      <c r="F146" s="87">
        <f t="shared" si="69"/>
        <v>-5319.1651956059213</v>
      </c>
      <c r="G146" s="87">
        <f t="shared" si="69"/>
        <v>-5749.5395209874769</v>
      </c>
      <c r="H146" s="87">
        <f t="shared" si="69"/>
        <v>-5874.2176021812265</v>
      </c>
      <c r="I146" s="87">
        <f t="shared" si="69"/>
        <v>-10962.460572633106</v>
      </c>
      <c r="J146" s="87">
        <f t="shared" si="69"/>
        <v>-7254.8447123698134</v>
      </c>
    </row>
    <row r="147" spans="1:10" hidden="1" outlineLevel="1">
      <c r="A147" t="s">
        <v>59</v>
      </c>
      <c r="B147" s="51">
        <v>283</v>
      </c>
      <c r="C147" s="51">
        <v>472</v>
      </c>
      <c r="D147" s="51">
        <v>-1383</v>
      </c>
      <c r="E147" s="87">
        <f t="shared" ref="E147:J148" si="70">(E115-D115)</f>
        <v>4790.1263537245031</v>
      </c>
      <c r="F147" s="87">
        <f t="shared" si="70"/>
        <v>7089.0043955220535</v>
      </c>
      <c r="G147" s="87">
        <f t="shared" si="70"/>
        <v>7772.5256487423321</v>
      </c>
      <c r="H147" s="87">
        <f t="shared" si="70"/>
        <v>7941.071943689436</v>
      </c>
      <c r="I147" s="87">
        <f t="shared" si="70"/>
        <v>15024.69482039888</v>
      </c>
      <c r="J147" s="87">
        <f t="shared" si="70"/>
        <v>9602.4030648828484</v>
      </c>
    </row>
    <row r="148" spans="1:10" hidden="1" outlineLevel="1">
      <c r="A148" t="s">
        <v>60</v>
      </c>
      <c r="B148" s="51">
        <v>738</v>
      </c>
      <c r="C148" s="51">
        <v>1151</v>
      </c>
      <c r="D148" s="51">
        <v>1711</v>
      </c>
      <c r="E148" s="87">
        <f t="shared" si="70"/>
        <v>8034.8766645632659</v>
      </c>
      <c r="F148" s="87">
        <f t="shared" si="70"/>
        <v>870.69582215959053</v>
      </c>
      <c r="G148" s="87">
        <f t="shared" si="70"/>
        <v>-3168.4414068687929</v>
      </c>
      <c r="H148" s="87">
        <f t="shared" si="70"/>
        <v>2075.3866119353388</v>
      </c>
      <c r="I148" s="87">
        <f t="shared" si="70"/>
        <v>3985.9091911704199</v>
      </c>
      <c r="J148" s="87">
        <f t="shared" si="70"/>
        <v>3575.1118141767438</v>
      </c>
    </row>
    <row r="149" spans="1:10" hidden="1" outlineLevel="1">
      <c r="A149" t="s">
        <v>61</v>
      </c>
      <c r="B149" s="51">
        <v>0</v>
      </c>
      <c r="C149" s="51">
        <v>0</v>
      </c>
      <c r="D149" s="51">
        <v>0</v>
      </c>
      <c r="E149" s="51">
        <v>0</v>
      </c>
      <c r="F149" s="51">
        <v>0</v>
      </c>
      <c r="G149" s="51">
        <v>0</v>
      </c>
      <c r="H149" s="51">
        <v>0</v>
      </c>
      <c r="I149" s="51">
        <v>0</v>
      </c>
      <c r="J149" s="51">
        <v>0</v>
      </c>
    </row>
    <row r="150" spans="1:10" ht="15" hidden="1" outlineLevel="1" thickBot="1">
      <c r="A150" s="8" t="s">
        <v>84</v>
      </c>
      <c r="B150" s="54">
        <f t="shared" ref="B150:J150" si="71">SUM(B139:B149)</f>
        <v>18365</v>
      </c>
      <c r="C150" s="54">
        <f t="shared" si="71"/>
        <v>30723</v>
      </c>
      <c r="D150" s="54">
        <f t="shared" si="71"/>
        <v>38514</v>
      </c>
      <c r="E150" s="54">
        <f t="shared" si="71"/>
        <v>58974.409401424251</v>
      </c>
      <c r="F150" s="54">
        <f t="shared" si="71"/>
        <v>74288.440613750572</v>
      </c>
      <c r="G150" s="54">
        <f t="shared" si="71"/>
        <v>93637.022553794392</v>
      </c>
      <c r="H150" s="54">
        <f t="shared" si="71"/>
        <v>120971.28707772016</v>
      </c>
      <c r="I150" s="54">
        <f t="shared" si="71"/>
        <v>161420.03117914672</v>
      </c>
      <c r="J150" s="54">
        <f t="shared" si="71"/>
        <v>183931.21304981891</v>
      </c>
    </row>
    <row r="151" spans="1:10" ht="15" hidden="1" outlineLevel="1" thickTop="1"/>
    <row r="152" spans="1:10" hidden="1" outlineLevel="1">
      <c r="A152" s="1" t="s">
        <v>62</v>
      </c>
    </row>
    <row r="153" spans="1:10" hidden="1" outlineLevel="1">
      <c r="A153" t="s">
        <v>63</v>
      </c>
      <c r="B153" s="51">
        <v>1897</v>
      </c>
      <c r="C153" s="51">
        <v>2104</v>
      </c>
      <c r="D153" s="51">
        <v>4172</v>
      </c>
      <c r="E153" s="102"/>
      <c r="F153" s="102"/>
      <c r="G153" s="102"/>
      <c r="H153" s="102"/>
      <c r="I153" s="102"/>
      <c r="J153" s="103"/>
    </row>
    <row r="154" spans="1:10" hidden="1" outlineLevel="1">
      <c r="A154" t="s">
        <v>64</v>
      </c>
      <c r="B154" s="51">
        <v>-11955</v>
      </c>
      <c r="C154" s="51">
        <v>-13427</v>
      </c>
      <c r="D154" s="51">
        <v>-16861</v>
      </c>
      <c r="E154" s="87">
        <f t="shared" ref="E154:J154" si="72">-E177</f>
        <v>-25790.631512690619</v>
      </c>
      <c r="F154" s="87">
        <f t="shared" si="72"/>
        <v>-30685.26399670207</v>
      </c>
      <c r="G154" s="87">
        <f t="shared" si="72"/>
        <v>-35652.197126903477</v>
      </c>
      <c r="H154" s="87">
        <f t="shared" si="72"/>
        <v>-40486.624043196818</v>
      </c>
      <c r="I154" s="87">
        <f t="shared" si="72"/>
        <v>-45783.780627409957</v>
      </c>
      <c r="J154" s="87">
        <f t="shared" si="72"/>
        <v>-49524.694282059623</v>
      </c>
    </row>
    <row r="155" spans="1:10" hidden="1" outlineLevel="1">
      <c r="A155" t="s">
        <v>65</v>
      </c>
      <c r="B155" s="51">
        <v>9677</v>
      </c>
      <c r="C155" s="51">
        <v>8240</v>
      </c>
      <c r="D155" s="51">
        <v>22681</v>
      </c>
      <c r="E155" s="102"/>
      <c r="F155" s="102"/>
      <c r="G155" s="102"/>
      <c r="H155" s="102"/>
      <c r="I155" s="102"/>
      <c r="J155" s="102"/>
    </row>
    <row r="156" spans="1:10" hidden="1" outlineLevel="1">
      <c r="A156" t="s">
        <v>66</v>
      </c>
      <c r="B156" s="51">
        <v>-12731</v>
      </c>
      <c r="C156" s="51">
        <v>-7100</v>
      </c>
      <c r="D156" s="51">
        <v>-31812</v>
      </c>
      <c r="E156" s="87">
        <f t="shared" ref="E156:J156" si="73">-(E103-D103)</f>
        <v>-14336.579628262502</v>
      </c>
      <c r="F156" s="87">
        <f t="shared" si="73"/>
        <v>-1507.9075736836021</v>
      </c>
      <c r="G156" s="87">
        <f t="shared" si="73"/>
        <v>-1415.5350917461037</v>
      </c>
      <c r="H156" s="87">
        <f t="shared" si="73"/>
        <v>2668.0104043461979</v>
      </c>
      <c r="I156" s="87">
        <f t="shared" si="73"/>
        <v>-2174.7710850026051</v>
      </c>
      <c r="J156" s="87">
        <f t="shared" si="73"/>
        <v>-857.38841941059218</v>
      </c>
    </row>
    <row r="157" spans="1:10" hidden="1" outlineLevel="1">
      <c r="A157" t="s">
        <v>67</v>
      </c>
      <c r="B157" s="51">
        <v>-13972</v>
      </c>
      <c r="C157" s="51">
        <v>-2186</v>
      </c>
      <c r="D157" s="51">
        <v>-2461</v>
      </c>
      <c r="E157" s="87">
        <f t="shared" ref="E157:J157" si="74">-(E110-D110)</f>
        <v>-4203.4749664697993</v>
      </c>
      <c r="F157" s="87">
        <f t="shared" si="74"/>
        <v>-862.65203589329758</v>
      </c>
      <c r="G157" s="87">
        <f t="shared" si="74"/>
        <v>359.09736509959839</v>
      </c>
      <c r="H157" s="87">
        <f t="shared" si="74"/>
        <v>-1179.7107799562982</v>
      </c>
      <c r="I157" s="87">
        <f t="shared" si="74"/>
        <v>-2880.2367945279002</v>
      </c>
      <c r="J157" s="87">
        <f t="shared" si="74"/>
        <v>-2778.368715569799</v>
      </c>
    </row>
    <row r="158" spans="1:10" ht="15" hidden="1" outlineLevel="1" thickBot="1">
      <c r="A158" s="8" t="s">
        <v>68</v>
      </c>
      <c r="B158" s="54">
        <f t="shared" ref="B158:J158" si="75">SUM(B153:B157)</f>
        <v>-27084</v>
      </c>
      <c r="C158" s="54">
        <f t="shared" si="75"/>
        <v>-12369</v>
      </c>
      <c r="D158" s="54">
        <f t="shared" si="75"/>
        <v>-24281</v>
      </c>
      <c r="E158" s="54">
        <f t="shared" si="75"/>
        <v>-44330.686107422924</v>
      </c>
      <c r="F158" s="54">
        <f t="shared" si="75"/>
        <v>-33055.823606278966</v>
      </c>
      <c r="G158" s="54">
        <f t="shared" si="75"/>
        <v>-36708.634853549986</v>
      </c>
      <c r="H158" s="54">
        <f t="shared" si="75"/>
        <v>-38998.324418806922</v>
      </c>
      <c r="I158" s="54">
        <f t="shared" si="75"/>
        <v>-50838.788506940458</v>
      </c>
      <c r="J158" s="54">
        <f t="shared" si="75"/>
        <v>-53160.451417040014</v>
      </c>
    </row>
    <row r="159" spans="1:10" ht="15" hidden="1" outlineLevel="1" thickTop="1">
      <c r="A159" s="11"/>
      <c r="B159" s="56"/>
      <c r="C159" s="56"/>
      <c r="D159" s="56"/>
      <c r="E159" s="56"/>
      <c r="F159" s="56"/>
      <c r="G159" s="56"/>
      <c r="H159" s="56"/>
      <c r="I159" s="56"/>
      <c r="J159" s="53"/>
    </row>
    <row r="160" spans="1:10" hidden="1" outlineLevel="1">
      <c r="A160" s="1" t="s">
        <v>69</v>
      </c>
      <c r="B160" s="52"/>
      <c r="C160" s="52"/>
      <c r="D160" s="52"/>
      <c r="E160" s="52"/>
      <c r="F160" s="52"/>
      <c r="G160" s="52"/>
      <c r="H160" s="52"/>
      <c r="I160" s="52"/>
      <c r="J160" s="52"/>
    </row>
    <row r="161" spans="1:13" hidden="1" outlineLevel="1">
      <c r="A161" t="s">
        <v>70</v>
      </c>
      <c r="B161" s="51">
        <v>16228</v>
      </c>
      <c r="C161" s="51">
        <v>768</v>
      </c>
      <c r="D161" s="51">
        <v>2273</v>
      </c>
      <c r="E161" s="102"/>
      <c r="F161" s="102"/>
      <c r="G161" s="102"/>
      <c r="H161" s="102"/>
      <c r="I161" s="102"/>
      <c r="J161" s="102"/>
    </row>
    <row r="162" spans="1:13" hidden="1" outlineLevel="1">
      <c r="A162" t="s">
        <v>71</v>
      </c>
      <c r="B162" s="51">
        <v>-1301</v>
      </c>
      <c r="C162" s="51">
        <v>-668</v>
      </c>
      <c r="D162" s="51">
        <v>-2684</v>
      </c>
      <c r="E162" s="87">
        <f t="shared" ref="E162:J162" si="76">E50</f>
        <v>0</v>
      </c>
      <c r="F162" s="87">
        <f t="shared" si="76"/>
        <v>0</v>
      </c>
      <c r="G162" s="87">
        <f t="shared" si="76"/>
        <v>0</v>
      </c>
      <c r="H162" s="87">
        <f t="shared" si="76"/>
        <v>0</v>
      </c>
      <c r="I162" s="87">
        <f t="shared" si="76"/>
        <v>0</v>
      </c>
      <c r="J162" s="87">
        <f t="shared" si="76"/>
        <v>0</v>
      </c>
    </row>
    <row r="163" spans="1:13" hidden="1" outlineLevel="1">
      <c r="A163" t="s">
        <v>75</v>
      </c>
      <c r="B163" s="51">
        <v>-4799</v>
      </c>
      <c r="C163" s="51">
        <v>-7449</v>
      </c>
      <c r="D163" s="51">
        <v>-9628</v>
      </c>
      <c r="E163" s="87">
        <f t="shared" ref="E163:J163" si="77">E198</f>
        <v>-9442.649999999996</v>
      </c>
      <c r="F163" s="87">
        <f t="shared" si="77"/>
        <v>-19167.916723803573</v>
      </c>
      <c r="G163" s="87">
        <f t="shared" si="77"/>
        <v>-27970.491632708618</v>
      </c>
      <c r="H163" s="87">
        <f t="shared" si="77"/>
        <v>-36412.549300556711</v>
      </c>
      <c r="I163" s="87">
        <f t="shared" si="77"/>
        <v>-44679.261964949284</v>
      </c>
      <c r="J163" s="87">
        <f t="shared" si="77"/>
        <v>-55311.268383944051</v>
      </c>
    </row>
    <row r="164" spans="1:13" hidden="1" outlineLevel="1">
      <c r="A164" t="s">
        <v>73</v>
      </c>
      <c r="B164" s="51">
        <v>-200</v>
      </c>
      <c r="C164" s="51">
        <v>-337</v>
      </c>
      <c r="D164" s="51">
        <v>-27</v>
      </c>
      <c r="E164" s="134"/>
      <c r="F164" s="102"/>
      <c r="G164" s="102"/>
      <c r="H164" s="102"/>
      <c r="I164" s="102"/>
      <c r="J164" s="102"/>
    </row>
    <row r="165" spans="1:13" hidden="1" outlineLevel="1">
      <c r="A165" s="13" t="s">
        <v>85</v>
      </c>
      <c r="B165" s="131">
        <f t="shared" ref="B165:J165" si="78">SUM(B161:B164)</f>
        <v>9928</v>
      </c>
      <c r="C165" s="131">
        <f t="shared" si="78"/>
        <v>-7686</v>
      </c>
      <c r="D165" s="131">
        <f t="shared" si="78"/>
        <v>-10066</v>
      </c>
      <c r="E165" s="131">
        <f t="shared" si="78"/>
        <v>-9442.649999999996</v>
      </c>
      <c r="F165" s="131">
        <f t="shared" si="78"/>
        <v>-19167.916723803573</v>
      </c>
      <c r="G165" s="131">
        <f t="shared" si="78"/>
        <v>-27970.491632708618</v>
      </c>
      <c r="H165" s="131">
        <f t="shared" si="78"/>
        <v>-36412.549300556711</v>
      </c>
      <c r="I165" s="131">
        <f t="shared" si="78"/>
        <v>-44679.261964949284</v>
      </c>
      <c r="J165" s="131">
        <f t="shared" si="78"/>
        <v>-55311.268383944051</v>
      </c>
    </row>
    <row r="166" spans="1:13" hidden="1" outlineLevel="1">
      <c r="A166" t="s">
        <v>72</v>
      </c>
      <c r="B166" s="51">
        <v>713</v>
      </c>
      <c r="C166" s="51">
        <v>-351</v>
      </c>
      <c r="D166" s="51">
        <v>70</v>
      </c>
      <c r="E166" s="288">
        <v>-160</v>
      </c>
      <c r="F166" s="103"/>
      <c r="G166" s="103"/>
      <c r="H166" s="103"/>
      <c r="I166" s="103"/>
      <c r="J166" s="103"/>
    </row>
    <row r="167" spans="1:13" hidden="1" outlineLevel="1">
      <c r="A167" t="s">
        <v>74</v>
      </c>
      <c r="B167" s="55">
        <f>B150+B158+B165+B166</f>
        <v>1922</v>
      </c>
      <c r="C167" s="55">
        <f t="shared" ref="C167:J167" si="79">C150+C158+C165+C166</f>
        <v>10317</v>
      </c>
      <c r="D167" s="55">
        <f t="shared" si="79"/>
        <v>4237</v>
      </c>
      <c r="E167" s="55">
        <f t="shared" si="79"/>
        <v>5041.0732940013313</v>
      </c>
      <c r="F167" s="55">
        <f t="shared" si="79"/>
        <v>22064.700283668033</v>
      </c>
      <c r="G167" s="55">
        <f t="shared" si="79"/>
        <v>28957.896067535788</v>
      </c>
      <c r="H167" s="55">
        <f t="shared" si="79"/>
        <v>45560.413358356527</v>
      </c>
      <c r="I167" s="55">
        <f t="shared" si="79"/>
        <v>65901.980707256982</v>
      </c>
      <c r="J167" s="55">
        <f t="shared" si="79"/>
        <v>75459.493248834828</v>
      </c>
    </row>
    <row r="168" spans="1:13" ht="15" hidden="1" outlineLevel="1" thickBot="1">
      <c r="A168" s="6" t="s">
        <v>86</v>
      </c>
      <c r="B168" s="54">
        <f t="shared" ref="B168:J168" si="80">B136+B167</f>
        <v>21856</v>
      </c>
      <c r="C168" s="54">
        <f t="shared" si="80"/>
        <v>32173</v>
      </c>
      <c r="D168" s="54">
        <f t="shared" si="80"/>
        <v>36410</v>
      </c>
      <c r="E168" s="54">
        <f t="shared" si="80"/>
        <v>41451.073294001333</v>
      </c>
      <c r="F168" s="54">
        <f t="shared" si="80"/>
        <v>63515.773577669366</v>
      </c>
      <c r="G168" s="54">
        <f t="shared" si="80"/>
        <v>92473.669645205155</v>
      </c>
      <c r="H168" s="54">
        <f t="shared" si="80"/>
        <v>138034.08300356168</v>
      </c>
      <c r="I168" s="54">
        <f t="shared" si="80"/>
        <v>203936.06371081865</v>
      </c>
      <c r="J168" s="54">
        <f t="shared" si="80"/>
        <v>279395.55695965351</v>
      </c>
    </row>
    <row r="169" spans="1:13" collapsed="1">
      <c r="B169" s="52"/>
      <c r="E169" s="12"/>
      <c r="F169" s="12"/>
      <c r="G169" s="12"/>
      <c r="H169" s="12"/>
      <c r="I169" s="12"/>
    </row>
    <row r="170" spans="1:13">
      <c r="E170" s="12"/>
      <c r="F170" s="12"/>
      <c r="G170" s="12"/>
      <c r="H170" s="12"/>
      <c r="I170" s="12"/>
    </row>
    <row r="172" spans="1:13">
      <c r="A172" s="3" t="s">
        <v>88</v>
      </c>
      <c r="B172" s="2"/>
      <c r="C172" s="2"/>
      <c r="D172" s="2"/>
      <c r="E172" s="2"/>
      <c r="F172" s="2"/>
      <c r="G172" s="2"/>
      <c r="H172" s="2"/>
      <c r="I172" s="2"/>
      <c r="J172" s="15"/>
    </row>
    <row r="173" spans="1:13" s="105" customFormat="1">
      <c r="A173" s="104"/>
      <c r="J173" s="106"/>
      <c r="M173" s="106"/>
    </row>
    <row r="174" spans="1:13" hidden="1" outlineLevel="1">
      <c r="A174" t="s">
        <v>882</v>
      </c>
    </row>
    <row r="175" spans="1:13" hidden="1" outlineLevel="1">
      <c r="A175" t="s">
        <v>209</v>
      </c>
      <c r="C175" s="87">
        <f t="shared" ref="C175:J175" si="81">B180</f>
        <v>48866</v>
      </c>
      <c r="D175" s="87">
        <f t="shared" si="81"/>
        <v>61797</v>
      </c>
      <c r="E175" s="87">
        <f t="shared" si="81"/>
        <v>72705</v>
      </c>
      <c r="F175" s="87">
        <f t="shared" si="81"/>
        <v>111732.10786641511</v>
      </c>
      <c r="G175" s="87">
        <f t="shared" si="81"/>
        <v>149863.90701644676</v>
      </c>
      <c r="H175" s="87">
        <f t="shared" si="81"/>
        <v>188151.6712259117</v>
      </c>
      <c r="I175" s="87">
        <f t="shared" si="81"/>
        <v>226579.97210623597</v>
      </c>
      <c r="J175" s="87">
        <f t="shared" si="81"/>
        <v>272648.78510066529</v>
      </c>
    </row>
    <row r="176" spans="1:13" hidden="1" outlineLevel="1">
      <c r="A176" s="4" t="s">
        <v>210</v>
      </c>
      <c r="C176" s="87">
        <f>-C140</f>
        <v>-15341</v>
      </c>
      <c r="D176" s="87">
        <f>-D140</f>
        <v>-21789</v>
      </c>
      <c r="E176" s="87">
        <f t="shared" ref="E176:J176" si="82">-E175*E47</f>
        <v>-23992.65</v>
      </c>
      <c r="F176" s="87">
        <f t="shared" si="82"/>
        <v>-36871.595595916988</v>
      </c>
      <c r="G176" s="87">
        <f t="shared" si="82"/>
        <v>-49455.089315427431</v>
      </c>
      <c r="H176" s="87">
        <f t="shared" si="82"/>
        <v>-62090.051504550866</v>
      </c>
      <c r="I176" s="87">
        <f t="shared" si="82"/>
        <v>-74771.390795057872</v>
      </c>
      <c r="J176" s="87">
        <f t="shared" si="82"/>
        <v>-89974.099083219553</v>
      </c>
    </row>
    <row r="177" spans="1:10" hidden="1" outlineLevel="1">
      <c r="A177" s="4" t="s">
        <v>211</v>
      </c>
      <c r="C177" s="87">
        <f>-C154</f>
        <v>13427</v>
      </c>
      <c r="D177" s="87">
        <f>-D154</f>
        <v>16861</v>
      </c>
      <c r="E177" s="87">
        <f t="shared" ref="E177:J177" si="83">E72*E45</f>
        <v>25790.631512690619</v>
      </c>
      <c r="F177" s="87">
        <f t="shared" si="83"/>
        <v>30685.26399670207</v>
      </c>
      <c r="G177" s="87">
        <f t="shared" si="83"/>
        <v>35652.197126903477</v>
      </c>
      <c r="H177" s="87">
        <f t="shared" si="83"/>
        <v>40486.624043196818</v>
      </c>
      <c r="I177" s="87">
        <f t="shared" si="83"/>
        <v>45783.780627409957</v>
      </c>
      <c r="J177" s="87">
        <f t="shared" si="83"/>
        <v>49524.694282059623</v>
      </c>
    </row>
    <row r="178" spans="1:10" hidden="1" outlineLevel="1">
      <c r="A178" s="4" t="s">
        <v>212</v>
      </c>
      <c r="C178" s="87">
        <f t="shared" ref="C178:J178" si="84">C199</f>
        <v>12904.999999999993</v>
      </c>
      <c r="D178" s="87">
        <f t="shared" si="84"/>
        <v>12211</v>
      </c>
      <c r="E178" s="87">
        <f t="shared" si="84"/>
        <v>37229.126353724503</v>
      </c>
      <c r="F178" s="87">
        <f t="shared" si="84"/>
        <v>44318.130749246557</v>
      </c>
      <c r="G178" s="87">
        <f t="shared" si="84"/>
        <v>52090.656397988889</v>
      </c>
      <c r="H178" s="87">
        <f t="shared" si="84"/>
        <v>60031.728341678325</v>
      </c>
      <c r="I178" s="87">
        <f t="shared" si="84"/>
        <v>75056.423162077204</v>
      </c>
      <c r="J178" s="87">
        <f t="shared" si="84"/>
        <v>84658.826226960053</v>
      </c>
    </row>
    <row r="179" spans="1:10" hidden="1" outlineLevel="1">
      <c r="A179" s="4" t="s">
        <v>229</v>
      </c>
      <c r="C179" s="51">
        <v>1940.0000000000095</v>
      </c>
      <c r="D179" s="51">
        <v>3624.9999999999927</v>
      </c>
      <c r="E179" s="76">
        <v>0</v>
      </c>
      <c r="F179" s="76">
        <v>0</v>
      </c>
      <c r="G179" s="76">
        <v>0</v>
      </c>
      <c r="H179" s="76">
        <v>0</v>
      </c>
      <c r="I179" s="76">
        <v>0</v>
      </c>
      <c r="J179" s="76">
        <v>0</v>
      </c>
    </row>
    <row r="180" spans="1:10" hidden="1" outlineLevel="1">
      <c r="A180" s="13" t="s">
        <v>213</v>
      </c>
      <c r="B180" s="132">
        <f>B182</f>
        <v>48866</v>
      </c>
      <c r="C180" s="132">
        <f t="shared" ref="C180:J180" si="85">SUM(C175:C179)</f>
        <v>61797</v>
      </c>
      <c r="D180" s="132">
        <f t="shared" si="85"/>
        <v>72705</v>
      </c>
      <c r="E180" s="132">
        <f t="shared" si="85"/>
        <v>111732.10786641511</v>
      </c>
      <c r="F180" s="132">
        <f t="shared" si="85"/>
        <v>149863.90701644676</v>
      </c>
      <c r="G180" s="132">
        <f t="shared" si="85"/>
        <v>188151.6712259117</v>
      </c>
      <c r="H180" s="132">
        <f t="shared" si="85"/>
        <v>226579.97210623597</v>
      </c>
      <c r="I180" s="132">
        <f t="shared" si="85"/>
        <v>272648.78510066529</v>
      </c>
      <c r="J180" s="132">
        <f t="shared" si="85"/>
        <v>316858.20652646542</v>
      </c>
    </row>
    <row r="181" spans="1:10" hidden="1" outlineLevel="1">
      <c r="C181" s="52"/>
      <c r="D181" s="52"/>
      <c r="J181"/>
    </row>
    <row r="182" spans="1:10" hidden="1" outlineLevel="1">
      <c r="A182" s="94" t="s">
        <v>214</v>
      </c>
      <c r="B182" s="87">
        <f t="shared" ref="B182:J182" si="86">B107</f>
        <v>48866</v>
      </c>
      <c r="C182" s="87">
        <f t="shared" si="86"/>
        <v>61797</v>
      </c>
      <c r="D182" s="87">
        <f t="shared" si="86"/>
        <v>72705</v>
      </c>
      <c r="E182" s="87">
        <f t="shared" si="86"/>
        <v>111732.10786641511</v>
      </c>
      <c r="F182" s="87">
        <f t="shared" si="86"/>
        <v>149863.90701644676</v>
      </c>
      <c r="G182" s="87">
        <f t="shared" si="86"/>
        <v>188151.6712259117</v>
      </c>
      <c r="H182" s="87">
        <f t="shared" si="86"/>
        <v>226579.97210623597</v>
      </c>
      <c r="I182" s="87">
        <f t="shared" si="86"/>
        <v>272648.78510066529</v>
      </c>
      <c r="J182" s="87">
        <f t="shared" si="86"/>
        <v>316858.20652646542</v>
      </c>
    </row>
    <row r="183" spans="1:10" hidden="1" outlineLevel="1"/>
    <row r="184" spans="1:10" hidden="1" outlineLevel="1"/>
    <row r="185" spans="1:10" hidden="1" outlineLevel="1">
      <c r="A185" t="s">
        <v>215</v>
      </c>
    </row>
    <row r="186" spans="1:10" hidden="1" outlineLevel="1">
      <c r="A186" t="s">
        <v>216</v>
      </c>
      <c r="C186" s="87">
        <f t="shared" ref="C186:J186" si="87">B188</f>
        <v>24743</v>
      </c>
      <c r="D186" s="87">
        <f t="shared" si="87"/>
        <v>23495.000000000004</v>
      </c>
      <c r="E186" s="87">
        <f t="shared" si="87"/>
        <v>23414.000000000004</v>
      </c>
      <c r="F186" s="87">
        <f t="shared" si="87"/>
        <v>23414.000000000004</v>
      </c>
      <c r="G186" s="87">
        <f t="shared" si="87"/>
        <v>23414.000000000004</v>
      </c>
      <c r="H186" s="87">
        <f t="shared" si="87"/>
        <v>23414.000000000004</v>
      </c>
      <c r="I186" s="87">
        <f t="shared" si="87"/>
        <v>23414.000000000004</v>
      </c>
      <c r="J186" s="87">
        <f t="shared" si="87"/>
        <v>23414.000000000004</v>
      </c>
    </row>
    <row r="187" spans="1:10" hidden="1" outlineLevel="1">
      <c r="A187" t="s">
        <v>217</v>
      </c>
      <c r="C187" s="51">
        <v>-1247.9999999999975</v>
      </c>
      <c r="D187" s="51">
        <v>-81.000000000000512</v>
      </c>
      <c r="E187" s="9">
        <f t="shared" ref="E187:J187" si="88">E50</f>
        <v>0</v>
      </c>
      <c r="F187" s="9">
        <f t="shared" si="88"/>
        <v>0</v>
      </c>
      <c r="G187" s="9">
        <f t="shared" si="88"/>
        <v>0</v>
      </c>
      <c r="H187" s="9">
        <f t="shared" si="88"/>
        <v>0</v>
      </c>
      <c r="I187" s="9">
        <f t="shared" si="88"/>
        <v>0</v>
      </c>
      <c r="J187" s="9">
        <f t="shared" si="88"/>
        <v>0</v>
      </c>
    </row>
    <row r="188" spans="1:10" hidden="1" outlineLevel="1">
      <c r="A188" s="89" t="s">
        <v>218</v>
      </c>
      <c r="B188" s="132">
        <f>B190</f>
        <v>24743</v>
      </c>
      <c r="C188" s="132">
        <f t="shared" ref="C188:J188" si="89">SUM(C186:C187)</f>
        <v>23495.000000000004</v>
      </c>
      <c r="D188" s="132">
        <f t="shared" si="89"/>
        <v>23414.000000000004</v>
      </c>
      <c r="E188" s="132">
        <f t="shared" si="89"/>
        <v>23414.000000000004</v>
      </c>
      <c r="F188" s="132">
        <f t="shared" si="89"/>
        <v>23414.000000000004</v>
      </c>
      <c r="G188" s="132">
        <f t="shared" si="89"/>
        <v>23414.000000000004</v>
      </c>
      <c r="H188" s="132">
        <f t="shared" si="89"/>
        <v>23414.000000000004</v>
      </c>
      <c r="I188" s="132">
        <f t="shared" si="89"/>
        <v>23414.000000000004</v>
      </c>
      <c r="J188" s="132">
        <f t="shared" si="89"/>
        <v>23414.000000000004</v>
      </c>
    </row>
    <row r="189" spans="1:10" hidden="1" outlineLevel="1">
      <c r="J189"/>
    </row>
    <row r="190" spans="1:10" hidden="1" outlineLevel="1">
      <c r="A190" t="s">
        <v>219</v>
      </c>
      <c r="B190" s="87">
        <f t="shared" ref="B190:J190" si="90">B120</f>
        <v>24743</v>
      </c>
      <c r="C190" s="87">
        <f t="shared" si="90"/>
        <v>23495</v>
      </c>
      <c r="D190" s="87">
        <f t="shared" si="90"/>
        <v>23414</v>
      </c>
      <c r="E190" s="87">
        <f t="shared" si="90"/>
        <v>23414.000000000004</v>
      </c>
      <c r="F190" s="87">
        <f t="shared" si="90"/>
        <v>23414.000000000004</v>
      </c>
      <c r="G190" s="87">
        <f t="shared" si="90"/>
        <v>23414.000000000004</v>
      </c>
      <c r="H190" s="87">
        <f t="shared" si="90"/>
        <v>23414.000000000004</v>
      </c>
      <c r="I190" s="87">
        <f t="shared" si="90"/>
        <v>23414.000000000004</v>
      </c>
      <c r="J190" s="87">
        <f t="shared" si="90"/>
        <v>23414.000000000004</v>
      </c>
    </row>
    <row r="191" spans="1:10" hidden="1" outlineLevel="1">
      <c r="J191"/>
    </row>
    <row r="192" spans="1:10" hidden="1" outlineLevel="1">
      <c r="C192" s="52"/>
      <c r="D192" s="52"/>
      <c r="E192" s="52"/>
      <c r="F192" s="52"/>
      <c r="G192" s="52"/>
      <c r="H192" s="52"/>
      <c r="I192" s="52"/>
      <c r="J192" s="52"/>
    </row>
    <row r="193" spans="1:10" hidden="1" outlineLevel="1">
      <c r="A193" t="s">
        <v>220</v>
      </c>
      <c r="B193" s="87">
        <f>-B86</f>
        <v>848</v>
      </c>
      <c r="C193" s="87">
        <f>-C86</f>
        <v>1417</v>
      </c>
      <c r="D193" s="87">
        <f>-D86</f>
        <v>1600</v>
      </c>
      <c r="E193" s="87">
        <f t="shared" ref="E193:J193" si="91">AVERAGE(D188:E188)*E194</f>
        <v>468.28000000000009</v>
      </c>
      <c r="F193" s="87">
        <f t="shared" si="91"/>
        <v>758.61360000000013</v>
      </c>
      <c r="G193" s="87">
        <f t="shared" si="91"/>
        <v>758.61360000000013</v>
      </c>
      <c r="H193" s="87">
        <f t="shared" si="91"/>
        <v>758.61360000000013</v>
      </c>
      <c r="I193" s="87">
        <f t="shared" si="91"/>
        <v>758.61360000000013</v>
      </c>
      <c r="J193" s="87">
        <f t="shared" si="91"/>
        <v>758.61360000000013</v>
      </c>
    </row>
    <row r="194" spans="1:10" hidden="1" outlineLevel="1">
      <c r="A194" t="s">
        <v>221</v>
      </c>
      <c r="C194" s="133">
        <f>C193/AVERAGE(B188:C188)</f>
        <v>5.8750362784526722E-2</v>
      </c>
      <c r="D194" s="133">
        <f>D193/AVERAGE(C188:D188)</f>
        <v>6.8217186467415619E-2</v>
      </c>
      <c r="E194" s="133">
        <f t="shared" ref="E194:J194" si="92">E31</f>
        <v>0.02</v>
      </c>
      <c r="F194" s="133">
        <f t="shared" si="92"/>
        <v>3.2399999999999998E-2</v>
      </c>
      <c r="G194" s="133">
        <f t="shared" si="92"/>
        <v>3.2399999999999998E-2</v>
      </c>
      <c r="H194" s="133">
        <f t="shared" si="92"/>
        <v>3.2399999999999998E-2</v>
      </c>
      <c r="I194" s="133">
        <f t="shared" si="92"/>
        <v>3.2399999999999998E-2</v>
      </c>
      <c r="J194" s="133">
        <f t="shared" si="92"/>
        <v>3.2399999999999998E-2</v>
      </c>
    </row>
    <row r="195" spans="1:10" hidden="1" outlineLevel="1"/>
    <row r="196" spans="1:10" hidden="1" outlineLevel="1">
      <c r="A196" s="88" t="s">
        <v>222</v>
      </c>
    </row>
    <row r="197" spans="1:10" hidden="1" outlineLevel="1">
      <c r="A197" t="s">
        <v>223</v>
      </c>
      <c r="B197" s="51">
        <v>11660</v>
      </c>
      <c r="C197" s="87">
        <f t="shared" ref="C197:J197" si="93">B200</f>
        <v>19304</v>
      </c>
      <c r="D197" s="87">
        <f t="shared" si="93"/>
        <v>24422.999999999993</v>
      </c>
      <c r="E197" s="87">
        <f t="shared" si="93"/>
        <v>26978.999999999993</v>
      </c>
      <c r="F197" s="87">
        <f t="shared" si="93"/>
        <v>54765.476353724502</v>
      </c>
      <c r="G197" s="87">
        <f t="shared" si="93"/>
        <v>79915.690379167485</v>
      </c>
      <c r="H197" s="87">
        <f t="shared" si="93"/>
        <v>104035.85514444776</v>
      </c>
      <c r="I197" s="87">
        <f t="shared" si="93"/>
        <v>127655.03418556938</v>
      </c>
      <c r="J197" s="87">
        <f t="shared" si="93"/>
        <v>158032.1953826973</v>
      </c>
    </row>
    <row r="198" spans="1:10" hidden="1" outlineLevel="1">
      <c r="A198" s="4" t="s">
        <v>224</v>
      </c>
      <c r="B198" s="87">
        <f>SUM(B163:B164)</f>
        <v>-4999</v>
      </c>
      <c r="C198" s="87">
        <f>SUM(C163:C164)</f>
        <v>-7786</v>
      </c>
      <c r="D198" s="87">
        <f>SUM(D163:D164)</f>
        <v>-9655</v>
      </c>
      <c r="E198" s="87">
        <f t="shared" ref="E198:J198" si="94">E197*-E48</f>
        <v>-9442.649999999996</v>
      </c>
      <c r="F198" s="87">
        <f t="shared" si="94"/>
        <v>-19167.916723803573</v>
      </c>
      <c r="G198" s="87">
        <f t="shared" si="94"/>
        <v>-27970.491632708618</v>
      </c>
      <c r="H198" s="87">
        <f t="shared" si="94"/>
        <v>-36412.549300556711</v>
      </c>
      <c r="I198" s="87">
        <f t="shared" si="94"/>
        <v>-44679.261964949284</v>
      </c>
      <c r="J198" s="87">
        <f t="shared" si="94"/>
        <v>-55311.268383944051</v>
      </c>
    </row>
    <row r="199" spans="1:10" hidden="1" outlineLevel="1">
      <c r="A199" s="4" t="s">
        <v>225</v>
      </c>
      <c r="B199" s="51">
        <v>12643</v>
      </c>
      <c r="C199" s="51">
        <v>12904.999999999993</v>
      </c>
      <c r="D199" s="51">
        <v>12211</v>
      </c>
      <c r="E199" s="87">
        <f t="shared" ref="E199:J199" si="95">E72*E46</f>
        <v>37229.126353724503</v>
      </c>
      <c r="F199" s="87">
        <f t="shared" si="95"/>
        <v>44318.130749246557</v>
      </c>
      <c r="G199" s="87">
        <f t="shared" si="95"/>
        <v>52090.656397988889</v>
      </c>
      <c r="H199" s="87">
        <f t="shared" si="95"/>
        <v>60031.728341678325</v>
      </c>
      <c r="I199" s="87">
        <f t="shared" si="95"/>
        <v>75056.423162077204</v>
      </c>
      <c r="J199" s="87">
        <f t="shared" si="95"/>
        <v>84658.826226960053</v>
      </c>
    </row>
    <row r="200" spans="1:10" hidden="1" outlineLevel="1">
      <c r="A200" s="13" t="s">
        <v>226</v>
      </c>
      <c r="B200" s="132">
        <f t="shared" ref="B200:J200" si="96">SUM(B197:B199)</f>
        <v>19304</v>
      </c>
      <c r="C200" s="132">
        <f t="shared" si="96"/>
        <v>24422.999999999993</v>
      </c>
      <c r="D200" s="132">
        <f t="shared" si="96"/>
        <v>26978.999999999993</v>
      </c>
      <c r="E200" s="132">
        <f t="shared" si="96"/>
        <v>54765.476353724502</v>
      </c>
      <c r="F200" s="132">
        <f t="shared" si="96"/>
        <v>79915.690379167485</v>
      </c>
      <c r="G200" s="132">
        <f t="shared" si="96"/>
        <v>104035.85514444776</v>
      </c>
      <c r="H200" s="132">
        <f t="shared" si="96"/>
        <v>127655.03418556938</v>
      </c>
      <c r="I200" s="132">
        <f t="shared" si="96"/>
        <v>158032.1953826973</v>
      </c>
      <c r="J200" s="132">
        <f t="shared" si="96"/>
        <v>187379.7532257133</v>
      </c>
    </row>
    <row r="201" spans="1:10" collapsed="1">
      <c r="B201" s="52"/>
      <c r="C201" s="52"/>
      <c r="D201" s="52"/>
    </row>
    <row r="202" spans="1:10">
      <c r="A202" s="4"/>
    </row>
    <row r="205" spans="1:10">
      <c r="A205" s="29" t="s">
        <v>309</v>
      </c>
      <c r="B205" s="2"/>
      <c r="C205" s="2"/>
      <c r="D205" s="2"/>
      <c r="E205" s="2"/>
      <c r="F205" s="2"/>
      <c r="G205" s="2"/>
      <c r="H205" s="2"/>
      <c r="I205" s="2"/>
      <c r="J205" s="15"/>
    </row>
    <row r="206" spans="1:10" ht="15" outlineLevel="1" thickBot="1"/>
    <row r="207" spans="1:10" outlineLevel="1">
      <c r="A207" s="313" t="s">
        <v>238</v>
      </c>
      <c r="B207" s="314"/>
      <c r="C207" s="315"/>
      <c r="D207" s="315"/>
      <c r="E207" s="315"/>
      <c r="F207" s="315"/>
      <c r="G207" s="315"/>
      <c r="H207" s="315"/>
      <c r="I207" s="315"/>
      <c r="J207" s="316"/>
    </row>
    <row r="208" spans="1:10" outlineLevel="1">
      <c r="A208" s="317" t="s">
        <v>239</v>
      </c>
      <c r="B208" s="318">
        <f>B150</f>
        <v>18365</v>
      </c>
      <c r="C208" s="318">
        <f t="shared" ref="C208:J208" si="97">C150</f>
        <v>30723</v>
      </c>
      <c r="D208" s="318">
        <f t="shared" si="97"/>
        <v>38514</v>
      </c>
      <c r="E208" s="318">
        <f t="shared" si="97"/>
        <v>58974.409401424251</v>
      </c>
      <c r="F208" s="318">
        <f t="shared" si="97"/>
        <v>74288.440613750572</v>
      </c>
      <c r="G208" s="318">
        <f t="shared" si="97"/>
        <v>93637.022553794392</v>
      </c>
      <c r="H208" s="318">
        <f t="shared" si="97"/>
        <v>120971.28707772016</v>
      </c>
      <c r="I208" s="318">
        <f t="shared" si="97"/>
        <v>161420.03117914672</v>
      </c>
      <c r="J208" s="319">
        <f t="shared" si="97"/>
        <v>183931.21304981891</v>
      </c>
    </row>
    <row r="209" spans="1:13" outlineLevel="1">
      <c r="A209" s="317" t="s">
        <v>278</v>
      </c>
      <c r="B209" s="320">
        <f>B154+B153</f>
        <v>-10058</v>
      </c>
      <c r="C209" s="320">
        <f t="shared" ref="C209:J209" si="98">C154+C153</f>
        <v>-11323</v>
      </c>
      <c r="D209" s="320">
        <f t="shared" si="98"/>
        <v>-12689</v>
      </c>
      <c r="E209" s="320">
        <f t="shared" si="98"/>
        <v>-25790.631512690619</v>
      </c>
      <c r="F209" s="320">
        <f t="shared" si="98"/>
        <v>-30685.26399670207</v>
      </c>
      <c r="G209" s="320">
        <f t="shared" si="98"/>
        <v>-35652.197126903477</v>
      </c>
      <c r="H209" s="320">
        <f t="shared" si="98"/>
        <v>-40486.624043196818</v>
      </c>
      <c r="I209" s="320">
        <f t="shared" si="98"/>
        <v>-45783.780627409957</v>
      </c>
      <c r="J209" s="321">
        <f t="shared" si="98"/>
        <v>-49524.694282059623</v>
      </c>
    </row>
    <row r="210" spans="1:13" outlineLevel="1">
      <c r="A210" s="322" t="s">
        <v>240</v>
      </c>
      <c r="B210" s="323">
        <f>SUM(B208:B209)</f>
        <v>8307</v>
      </c>
      <c r="C210" s="323">
        <f t="shared" ref="C210:J210" si="99">SUM(C208:C209)</f>
        <v>19400</v>
      </c>
      <c r="D210" s="323">
        <f t="shared" si="99"/>
        <v>25825</v>
      </c>
      <c r="E210" s="323">
        <f t="shared" si="99"/>
        <v>33183.777888733632</v>
      </c>
      <c r="F210" s="323">
        <f t="shared" si="99"/>
        <v>43603.176617048506</v>
      </c>
      <c r="G210" s="323">
        <f t="shared" si="99"/>
        <v>57984.825426890915</v>
      </c>
      <c r="H210" s="323">
        <f t="shared" si="99"/>
        <v>80484.663034523343</v>
      </c>
      <c r="I210" s="323">
        <f t="shared" si="99"/>
        <v>115636.25055173677</v>
      </c>
      <c r="J210" s="324">
        <f t="shared" si="99"/>
        <v>134406.51876775929</v>
      </c>
    </row>
    <row r="211" spans="1:13" outlineLevel="1">
      <c r="A211" s="317" t="s">
        <v>241</v>
      </c>
      <c r="B211" s="318">
        <f>-B199</f>
        <v>-12643</v>
      </c>
      <c r="C211" s="318">
        <f t="shared" ref="C211:J211" si="100">-C199</f>
        <v>-12904.999999999993</v>
      </c>
      <c r="D211" s="318">
        <f t="shared" si="100"/>
        <v>-12211</v>
      </c>
      <c r="E211" s="318">
        <f t="shared" si="100"/>
        <v>-37229.126353724503</v>
      </c>
      <c r="F211" s="318">
        <f t="shared" si="100"/>
        <v>-44318.130749246557</v>
      </c>
      <c r="G211" s="318">
        <f t="shared" si="100"/>
        <v>-52090.656397988889</v>
      </c>
      <c r="H211" s="318">
        <f t="shared" si="100"/>
        <v>-60031.728341678325</v>
      </c>
      <c r="I211" s="318">
        <f t="shared" si="100"/>
        <v>-75056.423162077204</v>
      </c>
      <c r="J211" s="319">
        <f t="shared" si="100"/>
        <v>-84658.826226960053</v>
      </c>
    </row>
    <row r="212" spans="1:13" ht="15" outlineLevel="1" thickBot="1">
      <c r="A212" s="325" t="s">
        <v>242</v>
      </c>
      <c r="B212" s="326">
        <f>SUM(B210:B211)</f>
        <v>-4336</v>
      </c>
      <c r="C212" s="326">
        <f t="shared" ref="C212:J212" si="101">SUM(C210:C211)</f>
        <v>6495.0000000000073</v>
      </c>
      <c r="D212" s="326">
        <f t="shared" si="101"/>
        <v>13614</v>
      </c>
      <c r="E212" s="326">
        <f t="shared" si="101"/>
        <v>-4045.3484649908714</v>
      </c>
      <c r="F212" s="326">
        <f t="shared" si="101"/>
        <v>-714.9541321980505</v>
      </c>
      <c r="G212" s="326">
        <f t="shared" si="101"/>
        <v>5894.1690289020262</v>
      </c>
      <c r="H212" s="326">
        <f t="shared" si="101"/>
        <v>20452.934692845018</v>
      </c>
      <c r="I212" s="326">
        <f t="shared" si="101"/>
        <v>40579.827389659564</v>
      </c>
      <c r="J212" s="327">
        <f t="shared" si="101"/>
        <v>49747.692540799238</v>
      </c>
    </row>
    <row r="213" spans="1:13" outlineLevel="1">
      <c r="B213" s="136"/>
      <c r="C213" s="308"/>
      <c r="D213" s="308"/>
      <c r="E213" s="308"/>
      <c r="F213" s="308"/>
      <c r="G213" s="308"/>
      <c r="H213" s="308"/>
      <c r="I213" s="308"/>
      <c r="J213" s="308"/>
    </row>
    <row r="214" spans="1:13" outlineLevel="1">
      <c r="A214" t="s">
        <v>243</v>
      </c>
      <c r="B214" s="136">
        <f>B85</f>
        <v>4106</v>
      </c>
      <c r="C214" s="136">
        <f t="shared" ref="C214:J214" si="102">C85</f>
        <v>12421</v>
      </c>
      <c r="D214" s="136">
        <f t="shared" si="102"/>
        <v>14541</v>
      </c>
      <c r="E214" s="136">
        <f t="shared" si="102"/>
        <v>19948.523560556176</v>
      </c>
      <c r="F214" s="136">
        <f t="shared" si="102"/>
        <v>28651.367194229329</v>
      </c>
      <c r="G214" s="136">
        <f t="shared" si="102"/>
        <v>40814.41949289164</v>
      </c>
      <c r="H214" s="136">
        <f t="shared" si="102"/>
        <v>51790.759550471092</v>
      </c>
      <c r="I214" s="136">
        <f t="shared" si="102"/>
        <v>74336.589700263692</v>
      </c>
      <c r="J214" s="136">
        <f t="shared" si="102"/>
        <v>89361.236095972126</v>
      </c>
    </row>
    <row r="215" spans="1:13" outlineLevel="1">
      <c r="A215" t="s">
        <v>244</v>
      </c>
      <c r="B215" s="136">
        <f>B140</f>
        <v>11478</v>
      </c>
      <c r="C215" s="136">
        <f t="shared" ref="C215:J215" si="103">C140</f>
        <v>15341</v>
      </c>
      <c r="D215" s="136">
        <f t="shared" si="103"/>
        <v>21789</v>
      </c>
      <c r="E215" s="136">
        <f t="shared" si="103"/>
        <v>23992.65</v>
      </c>
      <c r="F215" s="136">
        <f t="shared" si="103"/>
        <v>36871.595595916988</v>
      </c>
      <c r="G215" s="136">
        <f t="shared" si="103"/>
        <v>49455.089315427431</v>
      </c>
      <c r="H215" s="136">
        <f t="shared" si="103"/>
        <v>62090.051504550866</v>
      </c>
      <c r="I215" s="136">
        <f t="shared" si="103"/>
        <v>74771.390795057872</v>
      </c>
      <c r="J215" s="136">
        <f t="shared" si="103"/>
        <v>89974.099083219553</v>
      </c>
    </row>
    <row r="216" spans="1:13" outlineLevel="1">
      <c r="A216" s="311" t="s">
        <v>245</v>
      </c>
      <c r="B216" s="312">
        <f>SUM(B214:B215)</f>
        <v>15584</v>
      </c>
      <c r="C216" s="312">
        <f t="shared" ref="C216:J216" si="104">SUM(C214:C215)</f>
        <v>27762</v>
      </c>
      <c r="D216" s="312">
        <f t="shared" si="104"/>
        <v>36330</v>
      </c>
      <c r="E216" s="312">
        <f t="shared" si="104"/>
        <v>43941.173560556177</v>
      </c>
      <c r="F216" s="312">
        <f t="shared" si="104"/>
        <v>65522.962790146317</v>
      </c>
      <c r="G216" s="312">
        <f t="shared" si="104"/>
        <v>90269.508808319079</v>
      </c>
      <c r="H216" s="312">
        <f t="shared" si="104"/>
        <v>113880.81105502196</v>
      </c>
      <c r="I216" s="312">
        <f t="shared" si="104"/>
        <v>149107.98049532156</v>
      </c>
      <c r="J216" s="312">
        <f t="shared" si="104"/>
        <v>179335.33517919166</v>
      </c>
    </row>
    <row r="217" spans="1:13" s="20" customFormat="1" outlineLevel="1">
      <c r="A217" s="153"/>
      <c r="B217" s="154"/>
      <c r="C217" s="154"/>
      <c r="D217" s="154"/>
      <c r="E217" s="154"/>
      <c r="F217" s="154"/>
      <c r="G217" s="154"/>
      <c r="H217" s="154"/>
      <c r="I217" s="154"/>
      <c r="J217" s="154"/>
      <c r="M217" s="21"/>
    </row>
    <row r="218" spans="1:13" outlineLevel="1">
      <c r="A218" t="s">
        <v>246</v>
      </c>
      <c r="B218" s="136">
        <f>B142</f>
        <v>4215</v>
      </c>
      <c r="C218" s="136">
        <f t="shared" ref="C218:J218" si="105">C142</f>
        <v>5418</v>
      </c>
      <c r="D218" s="136">
        <f t="shared" si="105"/>
        <v>6864</v>
      </c>
      <c r="E218" s="136">
        <f t="shared" si="105"/>
        <v>9202.9035617485079</v>
      </c>
      <c r="F218" s="136">
        <f t="shared" si="105"/>
        <v>10720.766948278962</v>
      </c>
      <c r="G218" s="136">
        <f t="shared" si="105"/>
        <v>12244.988281687311</v>
      </c>
      <c r="H218" s="136">
        <f t="shared" si="105"/>
        <v>13646.049225156929</v>
      </c>
      <c r="I218" s="136">
        <f t="shared" si="105"/>
        <v>16690.745593413347</v>
      </c>
      <c r="J218" s="136">
        <f t="shared" si="105"/>
        <v>18275.849549494513</v>
      </c>
    </row>
    <row r="219" spans="1:13" outlineLevel="1">
      <c r="A219" s="333" t="s">
        <v>247</v>
      </c>
      <c r="B219" s="334">
        <f>B216+B218</f>
        <v>19799</v>
      </c>
      <c r="C219" s="334">
        <f t="shared" ref="C219:J219" si="106">C216+C218</f>
        <v>33180</v>
      </c>
      <c r="D219" s="334">
        <f t="shared" si="106"/>
        <v>43194</v>
      </c>
      <c r="E219" s="334">
        <f t="shared" si="106"/>
        <v>53144.077122304683</v>
      </c>
      <c r="F219" s="334">
        <f t="shared" si="106"/>
        <v>76243.729738425274</v>
      </c>
      <c r="G219" s="334">
        <f t="shared" si="106"/>
        <v>102514.49709000639</v>
      </c>
      <c r="H219" s="334">
        <f t="shared" si="106"/>
        <v>127526.86028017888</v>
      </c>
      <c r="I219" s="334">
        <f t="shared" si="106"/>
        <v>165798.72608873493</v>
      </c>
      <c r="J219" s="334">
        <f t="shared" si="106"/>
        <v>197611.18472868617</v>
      </c>
    </row>
    <row r="220" spans="1:13" outlineLevel="1">
      <c r="B220" s="136"/>
      <c r="C220" s="136"/>
      <c r="D220" s="136"/>
      <c r="E220" s="136"/>
      <c r="F220" s="136"/>
      <c r="G220" s="136"/>
      <c r="H220" s="136"/>
      <c r="I220" s="136"/>
      <c r="J220" s="136"/>
    </row>
    <row r="221" spans="1:13" outlineLevel="1">
      <c r="A221" s="135" t="s">
        <v>248</v>
      </c>
      <c r="C221" s="136"/>
      <c r="D221" s="136"/>
      <c r="E221" s="136"/>
      <c r="F221" s="136"/>
      <c r="G221" s="136"/>
      <c r="H221" s="136"/>
      <c r="I221" s="136"/>
      <c r="J221" s="136"/>
    </row>
    <row r="222" spans="1:13" outlineLevel="1">
      <c r="A222" t="s">
        <v>249</v>
      </c>
      <c r="B222" s="87">
        <f>B85</f>
        <v>4106</v>
      </c>
      <c r="C222" s="87">
        <f t="shared" ref="C222:J222" si="107">C85</f>
        <v>12421</v>
      </c>
      <c r="D222" s="87">
        <f t="shared" si="107"/>
        <v>14541</v>
      </c>
      <c r="E222" s="87">
        <f t="shared" si="107"/>
        <v>19948.523560556176</v>
      </c>
      <c r="F222" s="87">
        <f t="shared" si="107"/>
        <v>28651.367194229329</v>
      </c>
      <c r="G222" s="87">
        <f t="shared" si="107"/>
        <v>40814.41949289164</v>
      </c>
      <c r="H222" s="87">
        <f t="shared" si="107"/>
        <v>51790.759550471092</v>
      </c>
      <c r="I222" s="87">
        <f t="shared" si="107"/>
        <v>74336.589700263692</v>
      </c>
      <c r="J222" s="87">
        <f t="shared" si="107"/>
        <v>89361.236095972126</v>
      </c>
    </row>
    <row r="223" spans="1:13" outlineLevel="1">
      <c r="A223" s="24" t="s">
        <v>250</v>
      </c>
      <c r="B223" s="87">
        <f>B222*-B29</f>
        <v>-829.61481870730427</v>
      </c>
      <c r="C223" s="87">
        <f t="shared" ref="C223:J223" si="108">C222*-C29</f>
        <v>-1320.3034366397301</v>
      </c>
      <c r="D223" s="87">
        <f t="shared" si="108"/>
        <v>-2469.9723812249567</v>
      </c>
      <c r="E223" s="87">
        <f t="shared" si="108"/>
        <v>-3530.8886702184427</v>
      </c>
      <c r="F223" s="87">
        <f t="shared" si="108"/>
        <v>-9492.1979514481773</v>
      </c>
      <c r="G223" s="87">
        <f t="shared" si="108"/>
        <v>-13521.817177994999</v>
      </c>
      <c r="H223" s="87">
        <f t="shared" si="108"/>
        <v>-17158.278639071072</v>
      </c>
      <c r="I223" s="87">
        <f t="shared" si="108"/>
        <v>-24627.712167697358</v>
      </c>
      <c r="J223" s="87">
        <f t="shared" si="108"/>
        <v>-29605.377518595564</v>
      </c>
    </row>
    <row r="224" spans="1:13" outlineLevel="1">
      <c r="A224" s="137" t="s">
        <v>251</v>
      </c>
      <c r="B224" s="132">
        <f>SUM(B222:B223)</f>
        <v>3276.385181292696</v>
      </c>
      <c r="C224" s="132">
        <f t="shared" ref="C224:J224" si="109">SUM(C222:C223)</f>
        <v>11100.69656336027</v>
      </c>
      <c r="D224" s="132">
        <f t="shared" si="109"/>
        <v>12071.027618775042</v>
      </c>
      <c r="E224" s="132">
        <f t="shared" si="109"/>
        <v>16417.634890337733</v>
      </c>
      <c r="F224" s="132">
        <f t="shared" si="109"/>
        <v>19159.16924278115</v>
      </c>
      <c r="G224" s="132">
        <f t="shared" si="109"/>
        <v>27292.602314896641</v>
      </c>
      <c r="H224" s="132">
        <f t="shared" si="109"/>
        <v>34632.480911400024</v>
      </c>
      <c r="I224" s="132">
        <f t="shared" si="109"/>
        <v>49708.87753256633</v>
      </c>
      <c r="J224" s="132">
        <f t="shared" si="109"/>
        <v>59755.858577376566</v>
      </c>
    </row>
    <row r="225" spans="1:10" outlineLevel="1">
      <c r="A225" s="24" t="s">
        <v>252</v>
      </c>
      <c r="B225" s="87">
        <f>B140</f>
        <v>11478</v>
      </c>
      <c r="C225" s="87">
        <f t="shared" ref="C225:J225" si="110">C140</f>
        <v>15341</v>
      </c>
      <c r="D225" s="87">
        <f t="shared" si="110"/>
        <v>21789</v>
      </c>
      <c r="E225" s="87">
        <f t="shared" si="110"/>
        <v>23992.65</v>
      </c>
      <c r="F225" s="87">
        <f t="shared" si="110"/>
        <v>36871.595595916988</v>
      </c>
      <c r="G225" s="87">
        <f t="shared" si="110"/>
        <v>49455.089315427431</v>
      </c>
      <c r="H225" s="87">
        <f t="shared" si="110"/>
        <v>62090.051504550866</v>
      </c>
      <c r="I225" s="87">
        <f t="shared" si="110"/>
        <v>74771.390795057872</v>
      </c>
      <c r="J225" s="87">
        <f t="shared" si="110"/>
        <v>89974.099083219553</v>
      </c>
    </row>
    <row r="226" spans="1:10" outlineLevel="1">
      <c r="A226" s="24" t="s">
        <v>253</v>
      </c>
      <c r="B226" s="87">
        <f>B142</f>
        <v>4215</v>
      </c>
      <c r="C226" s="87">
        <f t="shared" ref="C226:J226" si="111">C142</f>
        <v>5418</v>
      </c>
      <c r="D226" s="87">
        <f t="shared" si="111"/>
        <v>6864</v>
      </c>
      <c r="E226" s="87">
        <f t="shared" si="111"/>
        <v>9202.9035617485079</v>
      </c>
      <c r="F226" s="87">
        <f t="shared" si="111"/>
        <v>10720.766948278962</v>
      </c>
      <c r="G226" s="87">
        <f t="shared" si="111"/>
        <v>12244.988281687311</v>
      </c>
      <c r="H226" s="87">
        <f t="shared" si="111"/>
        <v>13646.049225156929</v>
      </c>
      <c r="I226" s="87">
        <f t="shared" si="111"/>
        <v>16690.745593413347</v>
      </c>
      <c r="J226" s="87">
        <f t="shared" si="111"/>
        <v>18275.849549494513</v>
      </c>
    </row>
    <row r="227" spans="1:10" outlineLevel="1">
      <c r="A227" s="24" t="s">
        <v>254</v>
      </c>
      <c r="B227" s="87">
        <f>B143</f>
        <v>-90</v>
      </c>
      <c r="C227" s="87">
        <f t="shared" ref="C227:J227" si="112">C143</f>
        <v>493</v>
      </c>
      <c r="D227" s="87">
        <f t="shared" si="112"/>
        <v>-85</v>
      </c>
      <c r="E227" s="87">
        <f t="shared" si="112"/>
        <v>0</v>
      </c>
      <c r="F227" s="87">
        <f t="shared" si="112"/>
        <v>0</v>
      </c>
      <c r="G227" s="87">
        <f t="shared" si="112"/>
        <v>0</v>
      </c>
      <c r="H227" s="87">
        <f t="shared" si="112"/>
        <v>0</v>
      </c>
      <c r="I227" s="87">
        <f t="shared" si="112"/>
        <v>0</v>
      </c>
      <c r="J227" s="87">
        <f t="shared" si="112"/>
        <v>0</v>
      </c>
    </row>
    <row r="228" spans="1:10" outlineLevel="1">
      <c r="A228" s="24" t="s">
        <v>255</v>
      </c>
      <c r="B228" s="87">
        <f>B209</f>
        <v>-10058</v>
      </c>
      <c r="C228" s="87">
        <f t="shared" ref="C228:J228" si="113">C209</f>
        <v>-11323</v>
      </c>
      <c r="D228" s="87">
        <f t="shared" si="113"/>
        <v>-12689</v>
      </c>
      <c r="E228" s="87">
        <f t="shared" si="113"/>
        <v>-25790.631512690619</v>
      </c>
      <c r="F228" s="87">
        <f t="shared" si="113"/>
        <v>-30685.26399670207</v>
      </c>
      <c r="G228" s="87">
        <f t="shared" si="113"/>
        <v>-35652.197126903477</v>
      </c>
      <c r="H228" s="87">
        <f t="shared" si="113"/>
        <v>-40486.624043196818</v>
      </c>
      <c r="I228" s="87">
        <f t="shared" si="113"/>
        <v>-45783.780627409957</v>
      </c>
      <c r="J228" s="87">
        <f t="shared" si="113"/>
        <v>-49524.694282059623</v>
      </c>
    </row>
    <row r="229" spans="1:10" outlineLevel="1">
      <c r="A229" s="24" t="s">
        <v>256</v>
      </c>
      <c r="B229" s="87">
        <f>SUM(B144:B149)</f>
        <v>-242</v>
      </c>
      <c r="C229" s="87">
        <f t="shared" ref="C229:J229" si="114">SUM(C144:C149)</f>
        <v>-1043</v>
      </c>
      <c r="D229" s="87">
        <f t="shared" si="114"/>
        <v>-2438</v>
      </c>
      <c r="E229" s="87">
        <f t="shared" si="114"/>
        <v>9405.0094873380094</v>
      </c>
      <c r="F229" s="87">
        <f t="shared" si="114"/>
        <v>7766.6558496489652</v>
      </c>
      <c r="G229" s="87">
        <f t="shared" si="114"/>
        <v>4726.3542767555391</v>
      </c>
      <c r="H229" s="87">
        <f t="shared" si="114"/>
        <v>10490.827920434369</v>
      </c>
      <c r="I229" s="87">
        <f t="shared" si="114"/>
        <v>19832.087542989731</v>
      </c>
      <c r="J229" s="87">
        <f t="shared" si="114"/>
        <v>15067.225867039371</v>
      </c>
    </row>
    <row r="230" spans="1:10" outlineLevel="1">
      <c r="A230" s="139" t="s">
        <v>248</v>
      </c>
      <c r="B230" s="132">
        <f>SUM(B224:B229)</f>
        <v>8579.3851812926951</v>
      </c>
      <c r="C230" s="132">
        <f t="shared" ref="C230:J230" si="115">SUM(C224:C229)</f>
        <v>19986.69656336027</v>
      </c>
      <c r="D230" s="132">
        <f t="shared" si="115"/>
        <v>25512.027618775042</v>
      </c>
      <c r="E230" s="132">
        <f t="shared" si="115"/>
        <v>33227.566426733625</v>
      </c>
      <c r="F230" s="132">
        <f t="shared" si="115"/>
        <v>43832.923639923996</v>
      </c>
      <c r="G230" s="132">
        <f t="shared" si="115"/>
        <v>58066.837061863451</v>
      </c>
      <c r="H230" s="132">
        <f t="shared" si="115"/>
        <v>80372.785518345365</v>
      </c>
      <c r="I230" s="132">
        <f t="shared" si="115"/>
        <v>115219.32083661732</v>
      </c>
      <c r="J230" s="132">
        <f t="shared" si="115"/>
        <v>133548.33879507039</v>
      </c>
    </row>
    <row r="231" spans="1:10" outlineLevel="1">
      <c r="A231" s="140"/>
      <c r="B231" s="87"/>
      <c r="C231" s="87"/>
      <c r="D231" s="87"/>
      <c r="E231" s="87"/>
      <c r="F231" s="87"/>
      <c r="G231" s="87"/>
      <c r="H231" s="87"/>
      <c r="I231" s="87"/>
      <c r="J231" s="87"/>
    </row>
    <row r="232" spans="1:10" outlineLevel="1">
      <c r="A232" s="24" t="s">
        <v>257</v>
      </c>
      <c r="B232" s="87">
        <f>-B199</f>
        <v>-12643</v>
      </c>
      <c r="C232" s="87">
        <f t="shared" ref="C232:J232" si="116">-C199</f>
        <v>-12904.999999999993</v>
      </c>
      <c r="D232" s="87">
        <f t="shared" si="116"/>
        <v>-12211</v>
      </c>
      <c r="E232" s="87">
        <f t="shared" si="116"/>
        <v>-37229.126353724503</v>
      </c>
      <c r="F232" s="87">
        <f t="shared" si="116"/>
        <v>-44318.130749246557</v>
      </c>
      <c r="G232" s="87">
        <f t="shared" si="116"/>
        <v>-52090.656397988889</v>
      </c>
      <c r="H232" s="87">
        <f t="shared" si="116"/>
        <v>-60031.728341678325</v>
      </c>
      <c r="I232" s="87">
        <f t="shared" si="116"/>
        <v>-75056.423162077204</v>
      </c>
      <c r="J232" s="87">
        <f t="shared" si="116"/>
        <v>-84658.826226960053</v>
      </c>
    </row>
    <row r="233" spans="1:10" outlineLevel="1">
      <c r="A233" s="139" t="s">
        <v>258</v>
      </c>
      <c r="B233" s="132">
        <f>SUM(B230:B232)</f>
        <v>-4063.6148187073049</v>
      </c>
      <c r="C233" s="132">
        <f t="shared" ref="C233:J233" si="117">SUM(C230:C232)</f>
        <v>7081.6965633602777</v>
      </c>
      <c r="D233" s="132">
        <f t="shared" si="117"/>
        <v>13301.027618775042</v>
      </c>
      <c r="E233" s="132">
        <f t="shared" si="117"/>
        <v>-4001.559926990878</v>
      </c>
      <c r="F233" s="132">
        <f t="shared" si="117"/>
        <v>-485.20710932256043</v>
      </c>
      <c r="G233" s="132">
        <f t="shared" si="117"/>
        <v>5976.180663874562</v>
      </c>
      <c r="H233" s="132">
        <f t="shared" si="117"/>
        <v>20341.05717666704</v>
      </c>
      <c r="I233" s="132">
        <f t="shared" si="117"/>
        <v>40162.897674540116</v>
      </c>
      <c r="J233" s="132">
        <f t="shared" si="117"/>
        <v>48889.512568110338</v>
      </c>
    </row>
    <row r="234" spans="1:10" ht="15" outlineLevel="1" thickBot="1">
      <c r="B234" s="136"/>
      <c r="C234" s="136"/>
      <c r="D234" s="136"/>
      <c r="E234" s="136"/>
      <c r="F234" s="136"/>
      <c r="G234" s="136"/>
      <c r="H234" s="136"/>
      <c r="I234" s="136"/>
      <c r="J234" s="136"/>
    </row>
    <row r="235" spans="1:10" outlineLevel="1">
      <c r="A235" s="442" t="s">
        <v>259</v>
      </c>
      <c r="B235" s="443"/>
      <c r="C235" s="443"/>
      <c r="D235" s="444"/>
      <c r="E235" s="136"/>
      <c r="F235" s="136"/>
      <c r="G235" s="136"/>
      <c r="H235" s="136"/>
      <c r="I235" s="136"/>
      <c r="J235" s="136"/>
    </row>
    <row r="236" spans="1:10" outlineLevel="1">
      <c r="A236" s="445"/>
      <c r="B236" s="141" t="s">
        <v>260</v>
      </c>
      <c r="C236" s="141" t="s">
        <v>261</v>
      </c>
      <c r="D236" s="446" t="s">
        <v>262</v>
      </c>
      <c r="E236" s="136"/>
      <c r="F236" s="136"/>
      <c r="G236" s="136"/>
      <c r="H236" s="136"/>
      <c r="I236" s="136"/>
      <c r="J236" s="136"/>
    </row>
    <row r="237" spans="1:10" outlineLevel="1">
      <c r="A237" s="447" t="s">
        <v>263</v>
      </c>
      <c r="B237" s="142" t="s">
        <v>261</v>
      </c>
      <c r="C237" s="143">
        <v>16</v>
      </c>
      <c r="D237" s="448">
        <v>4.7E-2</v>
      </c>
      <c r="E237" s="308"/>
      <c r="F237" s="136"/>
      <c r="G237" s="136"/>
      <c r="H237" s="136"/>
      <c r="I237" s="136"/>
      <c r="J237" s="136"/>
    </row>
    <row r="238" spans="1:10" outlineLevel="1">
      <c r="A238" s="447" t="s">
        <v>264</v>
      </c>
      <c r="B238" s="449">
        <f>HLOOKUP(B237,C236:D238,3,FALSE)</f>
        <v>3161778.9556589788</v>
      </c>
      <c r="C238" s="449">
        <f>C237*J219</f>
        <v>3161778.9556589788</v>
      </c>
      <c r="D238" s="450">
        <f>(K247*(1+D237))/(B239-D237)</f>
        <v>3251746.7608939232</v>
      </c>
      <c r="E238" s="136"/>
      <c r="F238" s="136"/>
      <c r="G238" s="136"/>
      <c r="H238" s="136"/>
      <c r="I238" s="136"/>
      <c r="J238" s="136"/>
    </row>
    <row r="239" spans="1:10" outlineLevel="1">
      <c r="A239" s="447" t="s">
        <v>265</v>
      </c>
      <c r="B239" s="451">
        <v>0.09</v>
      </c>
      <c r="C239" s="449"/>
      <c r="D239" s="450"/>
      <c r="E239" s="136"/>
      <c r="F239" s="136"/>
      <c r="G239" s="136"/>
      <c r="H239" s="136"/>
      <c r="I239" s="136"/>
      <c r="J239" s="136"/>
    </row>
    <row r="240" spans="1:10" outlineLevel="1">
      <c r="A240" s="447" t="s">
        <v>266</v>
      </c>
      <c r="B240" s="452">
        <v>44155</v>
      </c>
      <c r="C240" s="449"/>
      <c r="D240" s="450"/>
      <c r="E240" s="136"/>
      <c r="F240" s="136"/>
      <c r="G240" s="136"/>
      <c r="H240" s="136"/>
      <c r="I240" s="136"/>
      <c r="J240" s="136"/>
    </row>
    <row r="241" spans="1:13" outlineLevel="1">
      <c r="A241" s="453" t="s">
        <v>267</v>
      </c>
      <c r="B241" s="454">
        <v>509</v>
      </c>
      <c r="C241" s="449"/>
      <c r="D241" s="450"/>
      <c r="E241" s="136"/>
      <c r="F241" s="136"/>
      <c r="G241" s="136"/>
      <c r="H241" s="136"/>
      <c r="I241" s="136"/>
      <c r="J241" s="136"/>
    </row>
    <row r="242" spans="1:13" ht="15" outlineLevel="1" thickBot="1">
      <c r="A242" s="455" t="s">
        <v>268</v>
      </c>
      <c r="B242" s="456">
        <v>3118</v>
      </c>
      <c r="C242" s="159"/>
      <c r="D242" s="457"/>
      <c r="E242" s="136"/>
      <c r="F242" s="136"/>
      <c r="G242" s="136"/>
      <c r="H242" s="136"/>
      <c r="I242" s="136"/>
      <c r="J242" s="136"/>
    </row>
    <row r="243" spans="1:13" outlineLevel="1">
      <c r="E243" s="144" t="s">
        <v>266</v>
      </c>
      <c r="L243" s="144" t="s">
        <v>277</v>
      </c>
    </row>
    <row r="244" spans="1:13" outlineLevel="1">
      <c r="A244" s="145" t="s">
        <v>269</v>
      </c>
      <c r="B244" s="146"/>
      <c r="C244" s="146"/>
      <c r="D244" s="146"/>
      <c r="E244" s="178">
        <f>B240</f>
        <v>44155</v>
      </c>
      <c r="F244" s="178">
        <f t="shared" ref="F244:K244" si="118">E8</f>
        <v>44196</v>
      </c>
      <c r="G244" s="178">
        <f t="shared" si="118"/>
        <v>44561</v>
      </c>
      <c r="H244" s="178">
        <f t="shared" si="118"/>
        <v>44926</v>
      </c>
      <c r="I244" s="178">
        <f t="shared" si="118"/>
        <v>45291</v>
      </c>
      <c r="J244" s="178">
        <f t="shared" si="118"/>
        <v>45657</v>
      </c>
      <c r="K244" s="178">
        <f t="shared" si="118"/>
        <v>46022</v>
      </c>
      <c r="L244" s="178">
        <f>K244</f>
        <v>46022</v>
      </c>
    </row>
    <row r="245" spans="1:13" outlineLevel="1">
      <c r="A245" s="146"/>
      <c r="B245" s="146"/>
      <c r="C245" s="146"/>
      <c r="D245" s="146"/>
      <c r="E245" s="179" t="s">
        <v>279</v>
      </c>
      <c r="F245" s="180">
        <f t="shared" ref="F245:K245" si="119">YEARFRAC(E244,F244)</f>
        <v>0.11388888888888889</v>
      </c>
      <c r="G245" s="180">
        <f t="shared" si="119"/>
        <v>1</v>
      </c>
      <c r="H245" s="180">
        <f t="shared" si="119"/>
        <v>1</v>
      </c>
      <c r="I245" s="180">
        <f t="shared" si="119"/>
        <v>1</v>
      </c>
      <c r="J245" s="180">
        <f t="shared" si="119"/>
        <v>1</v>
      </c>
      <c r="K245" s="180">
        <f t="shared" si="119"/>
        <v>1</v>
      </c>
      <c r="L245" s="180">
        <v>1</v>
      </c>
    </row>
    <row r="246" spans="1:13" outlineLevel="1">
      <c r="A246" s="89"/>
      <c r="B246" s="89"/>
      <c r="C246" s="89"/>
      <c r="D246" s="89"/>
      <c r="E246" s="181"/>
      <c r="F246" s="182"/>
      <c r="G246" s="182"/>
      <c r="H246" s="182"/>
      <c r="I246" s="182"/>
      <c r="J246" s="182"/>
      <c r="K246" s="181"/>
      <c r="L246" s="181"/>
    </row>
    <row r="247" spans="1:13" outlineLevel="1">
      <c r="A247" s="135" t="s">
        <v>248</v>
      </c>
      <c r="B247" s="135"/>
      <c r="C247" s="135"/>
      <c r="D247" s="135"/>
      <c r="E247" s="335">
        <v>0</v>
      </c>
      <c r="F247" s="335">
        <f>F245*E230</f>
        <v>3784.2506208224404</v>
      </c>
      <c r="G247" s="335">
        <f t="shared" ref="G247:K247" si="120">G245*F230</f>
        <v>43832.923639923996</v>
      </c>
      <c r="H247" s="335">
        <f t="shared" si="120"/>
        <v>58066.837061863451</v>
      </c>
      <c r="I247" s="335">
        <f t="shared" si="120"/>
        <v>80372.785518345365</v>
      </c>
      <c r="J247" s="335">
        <f t="shared" si="120"/>
        <v>115219.32083661732</v>
      </c>
      <c r="K247" s="335">
        <f t="shared" si="120"/>
        <v>133548.33879507039</v>
      </c>
      <c r="L247" s="335">
        <f>B238</f>
        <v>3161778.9556589788</v>
      </c>
    </row>
    <row r="248" spans="1:13" ht="15" outlineLevel="1" thickBot="1">
      <c r="E248" s="183"/>
      <c r="F248" s="183"/>
      <c r="G248" s="183"/>
      <c r="H248" s="184"/>
      <c r="I248" s="184"/>
      <c r="J248" s="184"/>
      <c r="K248" s="74"/>
      <c r="L248" s="74"/>
    </row>
    <row r="249" spans="1:13" ht="15" outlineLevel="1" thickBot="1">
      <c r="A249" s="147" t="s">
        <v>270</v>
      </c>
      <c r="B249" s="148"/>
      <c r="C249" s="148"/>
      <c r="D249" s="148"/>
      <c r="E249" s="185">
        <f>XNPV($B$239,E247:$L$247,E244:$L$244)</f>
        <v>2354863.8772573718</v>
      </c>
      <c r="F249" s="185">
        <f>XNPV($B$239,F247:$L$247,F244:$L$244)</f>
        <v>2377770.2019265657</v>
      </c>
      <c r="G249" s="185">
        <f>XNPV($B$239,G247:$L$247,G244:$L$244)</f>
        <v>2587644.6869232608</v>
      </c>
      <c r="H249" s="185">
        <f>XNPV($B$239,H247:$L$247,H244:$L$244)</f>
        <v>2772754.8219788373</v>
      </c>
      <c r="I249" s="185">
        <f>XNPV($B$239,I247:$L$247,I244:$L$244)</f>
        <v>2959009.9035595017</v>
      </c>
      <c r="J249" s="185">
        <f>XNPV($B$239,J247:$L$247,J244:$L$244)</f>
        <v>3138455.3707944602</v>
      </c>
      <c r="K249" s="185">
        <f>XNPV($B$239,K247:$L$247,K244:$L$244)</f>
        <v>3295327.2944540493</v>
      </c>
      <c r="L249" s="185"/>
      <c r="M249" s="154"/>
    </row>
    <row r="250" spans="1:13" outlineLevel="1">
      <c r="B250" s="136"/>
      <c r="C250" s="136"/>
      <c r="D250" s="136"/>
      <c r="E250" s="183"/>
      <c r="F250" s="183"/>
      <c r="G250" s="183"/>
      <c r="H250" s="183"/>
      <c r="I250" s="183"/>
      <c r="J250" s="183"/>
      <c r="K250" s="183"/>
      <c r="L250" s="183"/>
    </row>
    <row r="251" spans="1:13" outlineLevel="1">
      <c r="A251" t="s">
        <v>280</v>
      </c>
      <c r="B251" s="136"/>
      <c r="C251" s="136"/>
      <c r="E251" s="110">
        <f>68402+18929</f>
        <v>87331</v>
      </c>
      <c r="F251" s="110">
        <f t="shared" ref="F251:K251" si="121">E102+E103</f>
        <v>74716.652922263835</v>
      </c>
      <c r="G251" s="110">
        <f t="shared" si="121"/>
        <v>98289.260779615463</v>
      </c>
      <c r="H251" s="110">
        <f t="shared" si="121"/>
        <v>128662.69193889736</v>
      </c>
      <c r="I251" s="110">
        <f t="shared" si="121"/>
        <v>171555.09489290768</v>
      </c>
      <c r="J251" s="110">
        <f t="shared" si="121"/>
        <v>239631.84668516726</v>
      </c>
      <c r="K251" s="110">
        <f t="shared" si="121"/>
        <v>315948.72835341271</v>
      </c>
      <c r="L251" s="110"/>
    </row>
    <row r="252" spans="1:13" outlineLevel="1">
      <c r="A252" t="s">
        <v>281</v>
      </c>
      <c r="B252" s="150"/>
      <c r="C252" s="136"/>
      <c r="E252" s="110">
        <f>-(63205)</f>
        <v>-63205</v>
      </c>
      <c r="F252" s="110">
        <f t="shared" ref="F252:K252" si="122">-(E200+E188)</f>
        <v>-78179.476353724502</v>
      </c>
      <c r="G252" s="110">
        <f t="shared" si="122"/>
        <v>-103329.69037916748</v>
      </c>
      <c r="H252" s="110">
        <f t="shared" si="122"/>
        <v>-127449.85514444776</v>
      </c>
      <c r="I252" s="110">
        <f t="shared" si="122"/>
        <v>-151069.03418556938</v>
      </c>
      <c r="J252" s="110">
        <f t="shared" si="122"/>
        <v>-181446.1953826973</v>
      </c>
      <c r="K252" s="110">
        <f t="shared" si="122"/>
        <v>-210793.7532257133</v>
      </c>
      <c r="L252" s="110"/>
    </row>
    <row r="253" spans="1:13" outlineLevel="1">
      <c r="A253" s="137" t="s">
        <v>271</v>
      </c>
      <c r="B253" s="151"/>
      <c r="C253" s="138"/>
      <c r="D253" s="138"/>
      <c r="E253" s="155">
        <f>SUM(E249:E252)</f>
        <v>2378989.8772573718</v>
      </c>
      <c r="F253" s="155">
        <f t="shared" ref="F253:K253" si="123">SUM(F249:F252)</f>
        <v>2374307.3784951051</v>
      </c>
      <c r="G253" s="155">
        <f>SUM(G249:G252)</f>
        <v>2582604.2573237089</v>
      </c>
      <c r="H253" s="155">
        <f t="shared" si="123"/>
        <v>2773967.6587732872</v>
      </c>
      <c r="I253" s="155">
        <f t="shared" si="123"/>
        <v>2979495.9642668404</v>
      </c>
      <c r="J253" s="155">
        <f t="shared" si="123"/>
        <v>3196641.0220969301</v>
      </c>
      <c r="K253" s="155">
        <f t="shared" si="123"/>
        <v>3400482.2695817486</v>
      </c>
      <c r="L253" s="155"/>
    </row>
    <row r="254" spans="1:13" outlineLevel="1">
      <c r="B254" s="150"/>
      <c r="C254" s="136"/>
      <c r="D254" s="136"/>
      <c r="E254" s="183"/>
      <c r="F254" s="183"/>
      <c r="G254" s="183"/>
      <c r="H254" s="183"/>
      <c r="I254" s="183"/>
      <c r="J254" s="183"/>
      <c r="K254" s="183"/>
      <c r="L254" s="183"/>
    </row>
    <row r="255" spans="1:13" ht="15" outlineLevel="1" thickBot="1">
      <c r="A255" s="156" t="s">
        <v>272</v>
      </c>
      <c r="B255" s="157"/>
      <c r="C255" s="159"/>
      <c r="D255" s="159"/>
      <c r="E255" s="158">
        <f>B241</f>
        <v>509</v>
      </c>
      <c r="F255" s="160">
        <f t="shared" ref="F255:K255" si="124">E97</f>
        <v>509.04</v>
      </c>
      <c r="G255" s="160">
        <f t="shared" si="124"/>
        <v>514.13040000000001</v>
      </c>
      <c r="H255" s="160">
        <f t="shared" si="124"/>
        <v>519.271704</v>
      </c>
      <c r="I255" s="160">
        <f t="shared" si="124"/>
        <v>524.46442104000005</v>
      </c>
      <c r="J255" s="160">
        <f t="shared" si="124"/>
        <v>529.70906525040004</v>
      </c>
      <c r="K255" s="160">
        <f t="shared" si="124"/>
        <v>535.00615590290408</v>
      </c>
      <c r="L255" s="158"/>
    </row>
    <row r="256" spans="1:13" ht="15" outlineLevel="1" thickBot="1">
      <c r="A256" s="147" t="s">
        <v>273</v>
      </c>
      <c r="B256" s="152"/>
      <c r="C256" s="149"/>
      <c r="D256" s="149"/>
      <c r="E256" s="481">
        <f>E253/E255</f>
        <v>4673.8504464781372</v>
      </c>
      <c r="F256" s="161">
        <f t="shared" ref="F256:J256" si="125">F253/F255</f>
        <v>4664.2844933504339</v>
      </c>
      <c r="G256" s="161">
        <f t="shared" si="125"/>
        <v>5023.2475211030287</v>
      </c>
      <c r="H256" s="161">
        <f t="shared" si="125"/>
        <v>5342.035079911243</v>
      </c>
      <c r="I256" s="161">
        <f t="shared" si="125"/>
        <v>5681.0259089807714</v>
      </c>
      <c r="J256" s="161">
        <f t="shared" si="125"/>
        <v>6034.7108097646742</v>
      </c>
      <c r="K256" s="161">
        <f t="shared" ref="K256" si="126">K253/K255</f>
        <v>6355.9684913212241</v>
      </c>
      <c r="L256" s="186"/>
    </row>
    <row r="257" spans="1:15" outlineLevel="1">
      <c r="B257" s="150"/>
      <c r="E257" s="183"/>
      <c r="F257" s="78"/>
      <c r="G257" s="78"/>
      <c r="H257" s="78"/>
      <c r="I257" s="78"/>
      <c r="J257" s="78"/>
      <c r="K257" s="78"/>
      <c r="L257" s="78"/>
    </row>
    <row r="258" spans="1:15" ht="15" outlineLevel="1" thickBot="1">
      <c r="A258" s="135" t="s">
        <v>274</v>
      </c>
      <c r="E258" s="74"/>
      <c r="F258" s="78"/>
      <c r="G258" s="78"/>
      <c r="H258" s="78"/>
      <c r="I258" s="78"/>
      <c r="J258" s="78"/>
      <c r="K258" s="78"/>
      <c r="L258" s="78"/>
    </row>
    <row r="259" spans="1:15" ht="15" outlineLevel="1" thickBot="1">
      <c r="A259" s="147" t="s">
        <v>275</v>
      </c>
      <c r="B259" s="152"/>
      <c r="C259" s="149"/>
      <c r="D259" s="149"/>
      <c r="E259" s="161">
        <f>-B242</f>
        <v>-3118</v>
      </c>
      <c r="F259" s="186"/>
      <c r="G259" s="186"/>
      <c r="H259" s="186"/>
      <c r="I259" s="186"/>
      <c r="J259" s="186"/>
      <c r="K259" s="186">
        <f>K256</f>
        <v>6355.9684913212241</v>
      </c>
      <c r="L259" s="186"/>
    </row>
    <row r="260" spans="1:15" ht="15" outlineLevel="1" thickBot="1">
      <c r="A260" s="147" t="s">
        <v>276</v>
      </c>
      <c r="B260" s="152"/>
      <c r="C260" s="149"/>
      <c r="D260" s="149"/>
      <c r="E260" s="162">
        <f>XIRR(E259:K259,E244:K244)</f>
        <v>0.14939551949501037</v>
      </c>
      <c r="F260" s="187"/>
      <c r="G260" s="188"/>
      <c r="H260" s="188"/>
      <c r="I260" s="188"/>
      <c r="J260" s="188"/>
      <c r="K260" s="74"/>
      <c r="L260" s="74"/>
    </row>
    <row r="261" spans="1:15" outlineLevel="1">
      <c r="E261" s="292"/>
      <c r="F261" s="99"/>
      <c r="G261" s="99"/>
      <c r="H261" s="99"/>
      <c r="I261" s="99"/>
      <c r="J261" s="99"/>
      <c r="K261" s="99"/>
      <c r="L261" s="74"/>
    </row>
    <row r="262" spans="1:15" outlineLevel="1">
      <c r="E262" s="74"/>
      <c r="F262" s="74"/>
      <c r="G262" s="74"/>
      <c r="H262" s="74"/>
      <c r="I262" s="189"/>
      <c r="J262" s="189"/>
      <c r="K262" s="189"/>
      <c r="L262" s="189"/>
      <c r="N262" s="10"/>
      <c r="O262" s="10"/>
    </row>
    <row r="263" spans="1:15" ht="15" outlineLevel="1" thickBot="1">
      <c r="I263" s="10"/>
      <c r="K263" s="10"/>
      <c r="L263" s="10"/>
      <c r="N263" s="10"/>
      <c r="O263" s="10"/>
    </row>
    <row r="264" spans="1:15" outlineLevel="1">
      <c r="A264" s="492"/>
      <c r="B264" s="493"/>
      <c r="C264" s="493"/>
      <c r="D264" s="493"/>
      <c r="E264" s="493"/>
      <c r="F264" s="493"/>
      <c r="G264" s="494"/>
      <c r="I264" s="492"/>
      <c r="J264" s="493"/>
      <c r="K264" s="493"/>
      <c r="L264" s="493"/>
      <c r="M264" s="493"/>
      <c r="N264" s="493"/>
      <c r="O264" s="494"/>
    </row>
    <row r="265" spans="1:15" outlineLevel="1">
      <c r="A265" s="447"/>
      <c r="B265" s="495"/>
      <c r="C265" s="495"/>
      <c r="D265" s="495"/>
      <c r="E265" s="496" t="s">
        <v>886</v>
      </c>
      <c r="F265" s="495"/>
      <c r="G265" s="497"/>
      <c r="I265" s="526" t="s">
        <v>283</v>
      </c>
      <c r="J265" s="495"/>
      <c r="K265" s="495"/>
      <c r="L265" s="495"/>
      <c r="M265" s="495"/>
      <c r="N265" s="495"/>
      <c r="O265" s="497"/>
    </row>
    <row r="266" spans="1:15" outlineLevel="1">
      <c r="A266" s="447"/>
      <c r="B266" s="10"/>
      <c r="C266" s="498" t="s">
        <v>265</v>
      </c>
      <c r="D266" s="498"/>
      <c r="E266" s="498"/>
      <c r="F266" s="498"/>
      <c r="G266" s="499"/>
      <c r="I266" s="447"/>
      <c r="K266" s="498" t="s">
        <v>282</v>
      </c>
      <c r="L266" s="498"/>
      <c r="M266" s="498"/>
      <c r="N266" s="498"/>
      <c r="O266" s="499"/>
    </row>
    <row r="267" spans="1:15" outlineLevel="1">
      <c r="A267" s="447"/>
      <c r="B267" s="650">
        <f>E256</f>
        <v>4673.8504464781372</v>
      </c>
      <c r="C267" s="303">
        <v>0.11</v>
      </c>
      <c r="D267" s="304">
        <f>C267-0.01</f>
        <v>0.1</v>
      </c>
      <c r="E267" s="304">
        <f>D267-0.01</f>
        <v>9.0000000000000011E-2</v>
      </c>
      <c r="F267" s="304">
        <f>E267-0.01</f>
        <v>8.0000000000000016E-2</v>
      </c>
      <c r="G267" s="500">
        <f>F267-0.01</f>
        <v>7.0000000000000021E-2</v>
      </c>
      <c r="I267" s="447"/>
      <c r="J267" s="527">
        <f>E260</f>
        <v>0.14939551949501037</v>
      </c>
      <c r="K267" s="301">
        <v>3600</v>
      </c>
      <c r="L267" s="302">
        <f>K267-220</f>
        <v>3380</v>
      </c>
      <c r="M267" s="302">
        <f>L267-250</f>
        <v>3130</v>
      </c>
      <c r="N267" s="302">
        <f>M267-250</f>
        <v>2880</v>
      </c>
      <c r="O267" s="528">
        <f>N267-250</f>
        <v>2630</v>
      </c>
    </row>
    <row r="268" spans="1:15" outlineLevel="1">
      <c r="A268" s="501" t="s">
        <v>261</v>
      </c>
      <c r="B268" s="163">
        <v>12</v>
      </c>
      <c r="C268" s="299">
        <f t="dataTable" ref="C268:G272" dt2D="1" dtr="1" r1="B239" r2="C237" ca="1"/>
        <v>3370.0026022513375</v>
      </c>
      <c r="D268" s="300">
        <v>3518.1189296057687</v>
      </c>
      <c r="E268" s="300">
        <v>3674.5073183389914</v>
      </c>
      <c r="F268" s="300">
        <v>3839.7161572785012</v>
      </c>
      <c r="G268" s="502">
        <v>4014.3358892675778</v>
      </c>
      <c r="I268" s="501" t="s">
        <v>261</v>
      </c>
      <c r="J268" s="163">
        <v>12</v>
      </c>
      <c r="K268" s="298">
        <f t="dataTable" ref="K268:O272" dt2D="1" dtr="1" r1="B242" r2="C237"/>
        <v>6.1214718222618106E-2</v>
      </c>
      <c r="L268" s="589">
        <v>7.4378260970115684E-2</v>
      </c>
      <c r="M268" s="589">
        <v>9.0640285611152657E-2</v>
      </c>
      <c r="N268" s="589">
        <v>0.10853459239006041</v>
      </c>
      <c r="O268" s="529">
        <v>0.12838984131813053</v>
      </c>
    </row>
    <row r="269" spans="1:15" outlineLevel="1">
      <c r="A269" s="503"/>
      <c r="B269" s="164">
        <f>B268+2</f>
        <v>14</v>
      </c>
      <c r="C269" s="109">
        <v>3825.2983501839335</v>
      </c>
      <c r="D269" s="504">
        <v>3994.9859800461131</v>
      </c>
      <c r="E269" s="504">
        <v>4174.1788824085643</v>
      </c>
      <c r="F269" s="504">
        <v>4363.5082483732258</v>
      </c>
      <c r="G269" s="505">
        <v>4563.6537243038138</v>
      </c>
      <c r="I269" s="503"/>
      <c r="J269" s="164">
        <f>J268+2</f>
        <v>14</v>
      </c>
      <c r="K269" s="530">
        <v>9.0874555706977847E-2</v>
      </c>
      <c r="L269" s="531">
        <v>0.10440600514411927</v>
      </c>
      <c r="M269" s="531">
        <v>0.12112253308296203</v>
      </c>
      <c r="N269" s="531">
        <v>0.1395169794559479</v>
      </c>
      <c r="O269" s="532">
        <v>0.15992714762687688</v>
      </c>
    </row>
    <row r="270" spans="1:15" outlineLevel="1">
      <c r="A270" s="503"/>
      <c r="B270" s="164">
        <f>B269+2</f>
        <v>16</v>
      </c>
      <c r="C270" s="109">
        <v>4280.5940981165295</v>
      </c>
      <c r="D270" s="504">
        <v>4471.8530304864571</v>
      </c>
      <c r="E270" s="506">
        <v>4673.8504464781372</v>
      </c>
      <c r="F270" s="504">
        <v>4887.3003394679499</v>
      </c>
      <c r="G270" s="505">
        <v>5112.9715593400497</v>
      </c>
      <c r="I270" s="503"/>
      <c r="J270" s="164">
        <f>J269+2</f>
        <v>16</v>
      </c>
      <c r="K270" s="530">
        <v>0.11754518151283266</v>
      </c>
      <c r="L270" s="531">
        <v>0.13140745759010314</v>
      </c>
      <c r="M270" s="533">
        <v>0.14853268265724182</v>
      </c>
      <c r="N270" s="531">
        <v>0.16737684607505801</v>
      </c>
      <c r="O270" s="532">
        <v>0.18828602433204653</v>
      </c>
    </row>
    <row r="271" spans="1:15" outlineLevel="1">
      <c r="A271" s="503"/>
      <c r="B271" s="164">
        <f>B270+2</f>
        <v>18</v>
      </c>
      <c r="C271" s="109">
        <v>4735.8898460491255</v>
      </c>
      <c r="D271" s="504">
        <v>4948.7200809268015</v>
      </c>
      <c r="E271" s="504">
        <v>5173.5220105477101</v>
      </c>
      <c r="F271" s="504">
        <v>5411.0924305626741</v>
      </c>
      <c r="G271" s="505">
        <v>5662.2893943762874</v>
      </c>
      <c r="I271" s="503"/>
      <c r="J271" s="164">
        <f>J270+2</f>
        <v>18</v>
      </c>
      <c r="K271" s="530">
        <v>0.14182782769203187</v>
      </c>
      <c r="L271" s="531">
        <v>0.15599130988121032</v>
      </c>
      <c r="M271" s="531">
        <v>0.17348864674568182</v>
      </c>
      <c r="N271" s="531">
        <v>0.19274225831031805</v>
      </c>
      <c r="O271" s="532">
        <v>0.21410576701164247</v>
      </c>
    </row>
    <row r="272" spans="1:15" ht="15" outlineLevel="1" thickBot="1">
      <c r="A272" s="507"/>
      <c r="B272" s="508">
        <f>B271+2</f>
        <v>20</v>
      </c>
      <c r="C272" s="509">
        <v>5191.1855939817224</v>
      </c>
      <c r="D272" s="509">
        <v>5425.587131367146</v>
      </c>
      <c r="E272" s="509">
        <v>5673.1935746172821</v>
      </c>
      <c r="F272" s="509">
        <v>5934.8845216573982</v>
      </c>
      <c r="G272" s="510">
        <v>6211.6072294125242</v>
      </c>
      <c r="I272" s="507"/>
      <c r="J272" s="508">
        <f>J271+2</f>
        <v>20</v>
      </c>
      <c r="K272" s="534">
        <v>0.16415448784828188</v>
      </c>
      <c r="L272" s="534">
        <v>0.17859490513801576</v>
      </c>
      <c r="M272" s="534">
        <v>0.19643438458442691</v>
      </c>
      <c r="N272" s="534">
        <v>0.21606447100639342</v>
      </c>
      <c r="O272" s="535">
        <v>0.2378457009792328</v>
      </c>
    </row>
    <row r="273" spans="1:18" outlineLevel="1">
      <c r="I273" s="10"/>
      <c r="J273"/>
    </row>
    <row r="274" spans="1:18" outlineLevel="1"/>
    <row r="280" spans="1:18" ht="15" thickBot="1">
      <c r="N280" s="646"/>
      <c r="O280" s="647"/>
      <c r="P280" s="647"/>
      <c r="Q280" s="647"/>
      <c r="R280" s="647"/>
    </row>
    <row r="281" spans="1:18">
      <c r="A281" s="552" t="s">
        <v>897</v>
      </c>
      <c r="B281" s="553">
        <f>B3</f>
        <v>2017</v>
      </c>
      <c r="C281" s="553">
        <f t="shared" ref="C281:J281" si="127">C3</f>
        <v>2018</v>
      </c>
      <c r="D281" s="553">
        <f t="shared" si="127"/>
        <v>2019</v>
      </c>
      <c r="E281" s="554">
        <f t="shared" si="127"/>
        <v>2020</v>
      </c>
      <c r="F281" s="555">
        <f t="shared" si="127"/>
        <v>2021</v>
      </c>
      <c r="G281" s="555">
        <f t="shared" si="127"/>
        <v>2022</v>
      </c>
      <c r="H281" s="555">
        <f t="shared" si="127"/>
        <v>2023</v>
      </c>
      <c r="I281" s="555">
        <f t="shared" si="127"/>
        <v>2024</v>
      </c>
      <c r="J281" s="556">
        <f t="shared" si="127"/>
        <v>2025</v>
      </c>
      <c r="N281" s="648"/>
      <c r="O281" s="10"/>
      <c r="P281" s="10"/>
      <c r="Q281" s="10"/>
      <c r="R281" s="10"/>
    </row>
    <row r="282" spans="1:18">
      <c r="A282" s="557" t="s">
        <v>888</v>
      </c>
      <c r="B282" s="558"/>
      <c r="C282" s="558"/>
      <c r="D282" s="558"/>
      <c r="E282" s="558"/>
      <c r="F282" s="558"/>
      <c r="G282" s="558"/>
      <c r="H282" s="558"/>
      <c r="I282" s="558"/>
      <c r="J282" s="559"/>
      <c r="N282" s="649"/>
      <c r="O282" s="10"/>
      <c r="P282" s="10"/>
      <c r="Q282" s="10"/>
      <c r="R282" s="10"/>
    </row>
    <row r="283" spans="1:18">
      <c r="A283" s="447" t="s">
        <v>889</v>
      </c>
      <c r="B283" s="482">
        <f>(B72-B78)/B76</f>
        <v>0.3706835482891615</v>
      </c>
      <c r="C283" s="482">
        <f t="shared" ref="C283:J283" si="128">(C72-C78)/C76</f>
        <v>0.40247416128852193</v>
      </c>
      <c r="D283" s="482">
        <f t="shared" si="128"/>
        <v>0.40990011478600608</v>
      </c>
      <c r="E283" s="482">
        <f t="shared" si="128"/>
        <v>0.40095650213378203</v>
      </c>
      <c r="F283" s="482">
        <f t="shared" si="128"/>
        <v>0.41046815942594289</v>
      </c>
      <c r="G283" s="482">
        <f t="shared" si="128"/>
        <v>0.41941222381293414</v>
      </c>
      <c r="H283" s="482">
        <f t="shared" si="128"/>
        <v>0.42352113656104812</v>
      </c>
      <c r="I283" s="482">
        <f t="shared" si="128"/>
        <v>0.42777089652182998</v>
      </c>
      <c r="J283" s="560">
        <f t="shared" si="128"/>
        <v>0.42078114129967292</v>
      </c>
      <c r="N283" s="649"/>
      <c r="O283" s="10"/>
      <c r="P283" s="10"/>
      <c r="Q283" s="10"/>
      <c r="R283" s="10"/>
    </row>
    <row r="284" spans="1:18">
      <c r="A284" s="447" t="s">
        <v>890</v>
      </c>
      <c r="B284" s="482">
        <f>B85/B72</f>
        <v>2.3084794170892695E-2</v>
      </c>
      <c r="C284" s="482">
        <f t="shared" ref="C284:J284" si="129">C85/C72</f>
        <v>5.3334879147397665E-2</v>
      </c>
      <c r="D284" s="482">
        <f t="shared" si="129"/>
        <v>5.1835506662579051E-2</v>
      </c>
      <c r="E284" s="482">
        <f t="shared" si="129"/>
        <v>5.3583109555189627E-2</v>
      </c>
      <c r="F284" s="482">
        <f t="shared" si="129"/>
        <v>6.4649313294235511E-2</v>
      </c>
      <c r="G284" s="482">
        <f t="shared" si="129"/>
        <v>7.8352668818485849E-2</v>
      </c>
      <c r="H284" s="482">
        <f t="shared" si="129"/>
        <v>8.6272311294616252E-2</v>
      </c>
      <c r="I284" s="482">
        <f t="shared" si="129"/>
        <v>9.904094355754324E-2</v>
      </c>
      <c r="J284" s="560">
        <f t="shared" si="129"/>
        <v>0.1055545417750129</v>
      </c>
      <c r="N284" s="649"/>
      <c r="O284" s="10"/>
      <c r="P284" s="10"/>
      <c r="Q284" s="10"/>
      <c r="R284" s="10"/>
    </row>
    <row r="285" spans="1:18">
      <c r="A285" s="447" t="s">
        <v>891</v>
      </c>
      <c r="B285" s="482">
        <f>B91/B85</f>
        <v>0.92693619094008772</v>
      </c>
      <c r="C285" s="482">
        <f t="shared" ref="C285:J285" si="130">C91/C85</f>
        <v>0.90660977377022789</v>
      </c>
      <c r="D285" s="482">
        <f t="shared" si="130"/>
        <v>0.9611443504573276</v>
      </c>
      <c r="E285" s="482">
        <f t="shared" si="130"/>
        <v>0.9973328351926154</v>
      </c>
      <c r="F285" s="482">
        <f t="shared" si="130"/>
        <v>0.98800850809530427</v>
      </c>
      <c r="G285" s="482">
        <f t="shared" si="130"/>
        <v>0.9969950965457125</v>
      </c>
      <c r="H285" s="482">
        <f t="shared" si="130"/>
        <v>1.0032304216514036</v>
      </c>
      <c r="I285" s="482">
        <f t="shared" si="130"/>
        <v>1.0083874296869064</v>
      </c>
      <c r="J285" s="560">
        <f t="shared" si="130"/>
        <v>1.0143614365707365</v>
      </c>
      <c r="N285" s="649"/>
      <c r="O285" s="10"/>
      <c r="P285" s="10"/>
      <c r="Q285" s="10"/>
      <c r="R285" s="10"/>
    </row>
    <row r="286" spans="1:18">
      <c r="A286" s="447" t="s">
        <v>892</v>
      </c>
      <c r="B286" s="482">
        <f>B93/B91</f>
        <v>0.79689963215974779</v>
      </c>
      <c r="C286" s="482">
        <f t="shared" ref="C286:J286" si="131">C93/C91</f>
        <v>0.89450315247313739</v>
      </c>
      <c r="D286" s="482">
        <f t="shared" si="131"/>
        <v>0.82913566113337145</v>
      </c>
      <c r="E286" s="482">
        <f t="shared" si="131"/>
        <v>0.82299999999999995</v>
      </c>
      <c r="F286" s="482">
        <f t="shared" si="131"/>
        <v>0.66869999999999996</v>
      </c>
      <c r="G286" s="482">
        <f t="shared" si="131"/>
        <v>0.66870000000000007</v>
      </c>
      <c r="H286" s="482">
        <f t="shared" si="131"/>
        <v>0.66870000000000007</v>
      </c>
      <c r="I286" s="482">
        <f t="shared" si="131"/>
        <v>0.66870000000000007</v>
      </c>
      <c r="J286" s="560">
        <f t="shared" si="131"/>
        <v>0.66869999999999996</v>
      </c>
    </row>
    <row r="287" spans="1:18">
      <c r="A287" s="447" t="s">
        <v>893</v>
      </c>
      <c r="B287" s="482">
        <f>B93/B76</f>
        <v>1.7052162864178651E-2</v>
      </c>
      <c r="C287" s="482">
        <f t="shared" ref="C287:J287" si="132">C93/C76</f>
        <v>4.3252736305590261E-2</v>
      </c>
      <c r="D287" s="482">
        <f t="shared" si="132"/>
        <v>4.1308703060722513E-2</v>
      </c>
      <c r="E287" s="482">
        <f t="shared" si="132"/>
        <v>4.3981280132026651E-2</v>
      </c>
      <c r="F287" s="482">
        <f t="shared" si="132"/>
        <v>4.2712591663689382E-2</v>
      </c>
      <c r="G287" s="482">
        <f t="shared" si="132"/>
        <v>5.2236989436314073E-2</v>
      </c>
      <c r="H287" s="482">
        <f t="shared" si="132"/>
        <v>5.7876658539341125E-2</v>
      </c>
      <c r="I287" s="482">
        <f t="shared" si="132"/>
        <v>6.6784167344937112E-2</v>
      </c>
      <c r="J287" s="560">
        <f t="shared" si="132"/>
        <v>7.1598014349462585E-2</v>
      </c>
    </row>
    <row r="288" spans="1:18">
      <c r="A288" s="447" t="s">
        <v>894</v>
      </c>
      <c r="B288" s="561">
        <f>B72/B112</f>
        <v>1.3545503008148656</v>
      </c>
      <c r="C288" s="561">
        <f t="shared" ref="C288:J288" si="133">C72/C112</f>
        <v>1.431846687324775</v>
      </c>
      <c r="D288" s="561">
        <f t="shared" si="133"/>
        <v>1.2453917459866459</v>
      </c>
      <c r="E288" s="561">
        <f t="shared" si="133"/>
        <v>1.3254928912068471</v>
      </c>
      <c r="F288" s="561">
        <f t="shared" si="133"/>
        <v>1.2508909353316116</v>
      </c>
      <c r="G288" s="561">
        <f t="shared" si="133"/>
        <v>1.1996694558484009</v>
      </c>
      <c r="H288" s="561">
        <f t="shared" si="133"/>
        <v>1.1352444958645362</v>
      </c>
      <c r="I288" s="561">
        <f t="shared" si="133"/>
        <v>1.1227483377746936</v>
      </c>
      <c r="J288" s="562">
        <f t="shared" si="133"/>
        <v>1.0478821101091944</v>
      </c>
    </row>
    <row r="289" spans="1:10">
      <c r="A289" s="447" t="s">
        <v>895</v>
      </c>
      <c r="B289" s="482">
        <f>B93/B112</f>
        <v>2.3098012337217273E-2</v>
      </c>
      <c r="C289" s="482">
        <f t="shared" ref="C289:J289" si="134">C93/C112</f>
        <v>6.1931287196891449E-2</v>
      </c>
      <c r="D289" s="482">
        <f t="shared" si="134"/>
        <v>5.1445517829237106E-2</v>
      </c>
      <c r="E289" s="482">
        <f t="shared" si="134"/>
        <v>5.8296874161178271E-2</v>
      </c>
      <c r="F289" s="482">
        <f t="shared" si="134"/>
        <v>5.3428793736629614E-2</v>
      </c>
      <c r="G289" s="482">
        <f t="shared" si="134"/>
        <v>6.2667120692221565E-2</v>
      </c>
      <c r="H289" s="482">
        <f t="shared" si="134"/>
        <v>6.5704158045818223E-2</v>
      </c>
      <c r="I289" s="482">
        <f t="shared" si="134"/>
        <v>7.4981812876195125E-2</v>
      </c>
      <c r="J289" s="560">
        <f t="shared" si="134"/>
        <v>7.5026278356143228E-2</v>
      </c>
    </row>
    <row r="290" spans="1:10">
      <c r="A290" s="447" t="s">
        <v>896</v>
      </c>
      <c r="B290" s="482">
        <f>B93/B130</f>
        <v>0.10945902053484427</v>
      </c>
      <c r="C290" s="482">
        <f t="shared" ref="C290:J290" si="135">C93/C130</f>
        <v>0.231302670555007</v>
      </c>
      <c r="D290" s="482">
        <f t="shared" si="135"/>
        <v>0.1867225265871737</v>
      </c>
      <c r="E290" s="482">
        <f t="shared" si="135"/>
        <v>0.18683767219105751</v>
      </c>
      <c r="F290" s="482">
        <f t="shared" si="135"/>
        <v>0.16139411914081597</v>
      </c>
      <c r="G290" s="482">
        <f t="shared" si="135"/>
        <v>0.17360057130322562</v>
      </c>
      <c r="H290" s="482">
        <f t="shared" si="135"/>
        <v>0.16937484954981552</v>
      </c>
      <c r="I290" s="482">
        <f t="shared" si="135"/>
        <v>0.18432029183219736</v>
      </c>
      <c r="J290" s="560">
        <f t="shared" si="135"/>
        <v>0.17276863520487634</v>
      </c>
    </row>
    <row r="291" spans="1:10">
      <c r="A291" s="557" t="s">
        <v>898</v>
      </c>
      <c r="B291" s="558"/>
      <c r="C291" s="558"/>
      <c r="D291" s="558"/>
      <c r="E291" s="558"/>
      <c r="F291" s="558"/>
      <c r="G291" s="558"/>
      <c r="H291" s="558"/>
      <c r="I291" s="558"/>
      <c r="J291" s="559"/>
    </row>
    <row r="292" spans="1:10">
      <c r="A292" s="447" t="s">
        <v>899</v>
      </c>
      <c r="B292" s="561">
        <f>B106/B117</f>
        <v>1.039977195376881</v>
      </c>
      <c r="C292" s="561">
        <f t="shared" ref="C292:J292" si="136">C106/C117</f>
        <v>1.0981123247210891</v>
      </c>
      <c r="D292" s="561">
        <f t="shared" si="136"/>
        <v>1.0970482394205803</v>
      </c>
      <c r="E292" s="561">
        <f t="shared" si="136"/>
        <v>1.1635116654590139</v>
      </c>
      <c r="F292" s="561">
        <f t="shared" si="136"/>
        <v>1.2589741060175987</v>
      </c>
      <c r="G292" s="561">
        <f t="shared" si="136"/>
        <v>1.4017282058666378</v>
      </c>
      <c r="H292" s="561">
        <f t="shared" si="136"/>
        <v>1.5368963061884944</v>
      </c>
      <c r="I292" s="561">
        <f t="shared" si="136"/>
        <v>1.6550674679714965</v>
      </c>
      <c r="J292" s="562">
        <f t="shared" si="136"/>
        <v>1.8208907119018944</v>
      </c>
    </row>
    <row r="293" spans="1:10">
      <c r="A293" s="447" t="s">
        <v>900</v>
      </c>
      <c r="B293" s="561">
        <f>(B102+B103+B104)/B117</f>
        <v>0.76274553841369663</v>
      </c>
      <c r="C293" s="561">
        <f t="shared" ref="C293:J293" si="137">(C102+C103+C104)/C117</f>
        <v>0.84699741194016753</v>
      </c>
      <c r="D293" s="561">
        <f t="shared" si="137"/>
        <v>0.86362911674941922</v>
      </c>
      <c r="E293" s="561">
        <f t="shared" si="137"/>
        <v>0.88811265235169656</v>
      </c>
      <c r="F293" s="561">
        <f t="shared" si="137"/>
        <v>0.98052483907544596</v>
      </c>
      <c r="G293" s="561">
        <f t="shared" si="137"/>
        <v>1.1145175714075399</v>
      </c>
      <c r="H293" s="561">
        <f t="shared" si="137"/>
        <v>1.2512432544342162</v>
      </c>
      <c r="I293" s="561">
        <f t="shared" si="137"/>
        <v>1.3713942143059983</v>
      </c>
      <c r="J293" s="562">
        <f t="shared" si="137"/>
        <v>1.5372215267175742</v>
      </c>
    </row>
    <row r="294" spans="1:10">
      <c r="A294" s="447" t="s">
        <v>908</v>
      </c>
      <c r="B294" s="561">
        <f>(B102+B103)/B117</f>
        <v>0.53532125149007481</v>
      </c>
      <c r="C294" s="561">
        <f t="shared" ref="C294:J294" si="138">(C102+C103)/C117</f>
        <v>0.60314953721980957</v>
      </c>
      <c r="D294" s="561">
        <f t="shared" si="138"/>
        <v>0.62657723317997538</v>
      </c>
      <c r="E294" s="561">
        <f t="shared" si="138"/>
        <v>0.64940604435001559</v>
      </c>
      <c r="F294" s="561">
        <f t="shared" si="138"/>
        <v>0.73528036351780113</v>
      </c>
      <c r="G294" s="561">
        <f t="shared" si="138"/>
        <v>0.85765959957623961</v>
      </c>
      <c r="H294" s="561">
        <f t="shared" si="138"/>
        <v>0.99395740546015832</v>
      </c>
      <c r="I294" s="561">
        <f t="shared" si="138"/>
        <v>1.1139940212440758</v>
      </c>
      <c r="J294" s="562">
        <f t="shared" si="138"/>
        <v>1.2829311716679916</v>
      </c>
    </row>
    <row r="295" spans="1:10">
      <c r="A295" s="557" t="s">
        <v>901</v>
      </c>
      <c r="B295" s="563"/>
      <c r="C295" s="563"/>
      <c r="D295" s="563"/>
      <c r="E295" s="563"/>
      <c r="F295" s="563"/>
      <c r="G295" s="563"/>
      <c r="H295" s="563"/>
      <c r="I295" s="563"/>
      <c r="J295" s="564"/>
    </row>
    <row r="296" spans="1:10">
      <c r="A296" s="447" t="s">
        <v>902</v>
      </c>
      <c r="B296" s="561">
        <f>B122/B130</f>
        <v>3.7388935003067596</v>
      </c>
      <c r="C296" s="561">
        <f t="shared" ref="C296:J296" si="139">C122/C130</f>
        <v>2.734827435762015</v>
      </c>
      <c r="D296" s="561">
        <f t="shared" si="139"/>
        <v>2.6295198195294875</v>
      </c>
      <c r="E296" s="561">
        <f t="shared" si="139"/>
        <v>2.2049346535200454</v>
      </c>
      <c r="F296" s="561">
        <f t="shared" si="139"/>
        <v>2.0207329766115922</v>
      </c>
      <c r="G296" s="561">
        <f t="shared" si="139"/>
        <v>1.7702018121405958</v>
      </c>
      <c r="H296" s="561">
        <f t="shared" si="139"/>
        <v>1.5778406509935561</v>
      </c>
      <c r="I296" s="561">
        <f t="shared" si="139"/>
        <v>1.4581999922639182</v>
      </c>
      <c r="J296" s="562">
        <f t="shared" si="139"/>
        <v>1.3027749608578294</v>
      </c>
    </row>
    <row r="297" spans="1:10">
      <c r="A297" s="447" t="s">
        <v>903</v>
      </c>
      <c r="B297" s="561">
        <f>((B102+B103)-B188)/B130</f>
        <v>0.22530585730268143</v>
      </c>
      <c r="C297" s="561">
        <f t="shared" ref="C297:J297" si="140">((C102+C103)-C188)/C130</f>
        <v>0.40770166938391228</v>
      </c>
      <c r="D297" s="561">
        <f t="shared" si="140"/>
        <v>0.50929745407669991</v>
      </c>
      <c r="E297" s="561">
        <f t="shared" si="140"/>
        <v>0.58540113562584006</v>
      </c>
      <c r="F297" s="561">
        <f t="shared" si="140"/>
        <v>0.63839385157024398</v>
      </c>
      <c r="G297" s="561">
        <f t="shared" si="140"/>
        <v>0.67147506147267277</v>
      </c>
      <c r="H297" s="561">
        <f t="shared" si="140"/>
        <v>0.72217121844204568</v>
      </c>
      <c r="I297" s="561">
        <f t="shared" si="140"/>
        <v>0.79506623012399058</v>
      </c>
      <c r="J297" s="562">
        <f t="shared" si="140"/>
        <v>0.83381386518080436</v>
      </c>
    </row>
    <row r="298" spans="1:10">
      <c r="A298" s="557" t="s">
        <v>904</v>
      </c>
      <c r="B298" s="558"/>
      <c r="C298" s="558"/>
      <c r="D298" s="558"/>
      <c r="E298" s="558"/>
      <c r="F298" s="558"/>
      <c r="G298" s="558"/>
      <c r="H298" s="558"/>
      <c r="I298" s="558"/>
      <c r="J298" s="559"/>
    </row>
    <row r="299" spans="1:10">
      <c r="A299" s="447" t="s">
        <v>905</v>
      </c>
      <c r="B299" s="482">
        <f>B150/B76</f>
        <v>0.10325188625144772</v>
      </c>
      <c r="C299" s="482">
        <f t="shared" ref="C299:J299" si="141">C150/C76</f>
        <v>0.13192234860683508</v>
      </c>
      <c r="D299" s="482">
        <f t="shared" si="141"/>
        <v>0.13729404467385803</v>
      </c>
      <c r="E299" s="482">
        <f t="shared" si="141"/>
        <v>0.15840932940808666</v>
      </c>
      <c r="F299" s="482">
        <f t="shared" si="141"/>
        <v>0.16762539249246999</v>
      </c>
      <c r="G299" s="482">
        <f t="shared" si="141"/>
        <v>0.17975780884460027</v>
      </c>
      <c r="H299" s="482">
        <f t="shared" si="141"/>
        <v>0.20151225097034769</v>
      </c>
      <c r="I299" s="482">
        <f t="shared" si="141"/>
        <v>0.21506491300628</v>
      </c>
      <c r="J299" s="560">
        <f t="shared" si="141"/>
        <v>0.21726170943679471</v>
      </c>
    </row>
    <row r="300" spans="1:10">
      <c r="A300" s="447" t="s">
        <v>906</v>
      </c>
      <c r="B300" s="482">
        <f>B150/B93</f>
        <v>6.0550609957138146</v>
      </c>
      <c r="C300" s="482">
        <f t="shared" ref="C300:J300" si="142">C150/C93</f>
        <v>3.0500347463516331</v>
      </c>
      <c r="D300" s="482">
        <f t="shared" si="142"/>
        <v>3.323610631687953</v>
      </c>
      <c r="E300" s="482">
        <f t="shared" si="142"/>
        <v>3.6017443997209813</v>
      </c>
      <c r="F300" s="482">
        <f t="shared" si="142"/>
        <v>3.9244959381608036</v>
      </c>
      <c r="G300" s="482">
        <f t="shared" si="142"/>
        <v>3.4411977180223245</v>
      </c>
      <c r="H300" s="482">
        <f t="shared" si="142"/>
        <v>3.4817533709789346</v>
      </c>
      <c r="I300" s="482">
        <f t="shared" si="142"/>
        <v>3.2202978873043326</v>
      </c>
      <c r="J300" s="560">
        <f t="shared" si="142"/>
        <v>3.0344655701813537</v>
      </c>
    </row>
    <row r="301" spans="1:10">
      <c r="A301" s="557" t="s">
        <v>907</v>
      </c>
      <c r="B301" s="558"/>
      <c r="C301" s="558"/>
      <c r="D301" s="558"/>
      <c r="E301" s="558"/>
      <c r="F301" s="558"/>
      <c r="G301" s="558"/>
      <c r="H301" s="558"/>
      <c r="I301" s="558"/>
      <c r="J301" s="559"/>
    </row>
    <row r="302" spans="1:10">
      <c r="A302" s="447" t="s">
        <v>909</v>
      </c>
      <c r="B302" s="482">
        <f>-B154/B72</f>
        <v>6.7213520290555814E-2</v>
      </c>
      <c r="C302" s="482">
        <f t="shared" ref="C302:J302" si="143">-C154/C72</f>
        <v>5.7654570671613274E-2</v>
      </c>
      <c r="D302" s="482">
        <f t="shared" si="143"/>
        <v>6.0105802753438235E-2</v>
      </c>
      <c r="E302" s="482">
        <f t="shared" si="143"/>
        <v>6.92754142754963E-2</v>
      </c>
      <c r="F302" s="482">
        <f t="shared" si="143"/>
        <v>6.9238624188191294E-2</v>
      </c>
      <c r="G302" s="482">
        <f t="shared" si="143"/>
        <v>6.8442595260289202E-2</v>
      </c>
      <c r="H302" s="482">
        <f t="shared" si="143"/>
        <v>6.7442043002263696E-2</v>
      </c>
      <c r="I302" s="482">
        <f t="shared" si="143"/>
        <v>6.0999150637040402E-2</v>
      </c>
      <c r="J302" s="560">
        <f t="shared" si="143"/>
        <v>5.8499150637040392E-2</v>
      </c>
    </row>
    <row r="303" spans="1:10" ht="15" thickBot="1">
      <c r="A303" s="455" t="s">
        <v>910</v>
      </c>
      <c r="B303" s="565">
        <f>B150/-B154</f>
        <v>1.5361773316603931</v>
      </c>
      <c r="C303" s="565">
        <f t="shared" ref="C303:J303" si="144">C150/-C154</f>
        <v>2.2881507410441646</v>
      </c>
      <c r="D303" s="565">
        <f t="shared" si="144"/>
        <v>2.2842061562184925</v>
      </c>
      <c r="E303" s="565">
        <f t="shared" si="144"/>
        <v>2.2866601530251449</v>
      </c>
      <c r="F303" s="565">
        <f t="shared" si="144"/>
        <v>2.4209809836322345</v>
      </c>
      <c r="G303" s="565">
        <f t="shared" si="144"/>
        <v>2.6264025810385481</v>
      </c>
      <c r="H303" s="565">
        <f t="shared" si="144"/>
        <v>2.9879321859153039</v>
      </c>
      <c r="I303" s="565">
        <f t="shared" si="144"/>
        <v>3.5257034034124159</v>
      </c>
      <c r="J303" s="566">
        <f t="shared" si="144"/>
        <v>3.7139292976200804</v>
      </c>
    </row>
    <row r="304" spans="1:10">
      <c r="J304"/>
    </row>
    <row r="305" spans="1:10">
      <c r="J305"/>
    </row>
    <row r="306" spans="1:10">
      <c r="J306"/>
    </row>
    <row r="307" spans="1:10">
      <c r="J307"/>
    </row>
    <row r="308" spans="1:10">
      <c r="J308"/>
    </row>
    <row r="309" spans="1:10">
      <c r="J309"/>
    </row>
    <row r="310" spans="1:10">
      <c r="J310"/>
    </row>
    <row r="311" spans="1:10">
      <c r="J311"/>
    </row>
    <row r="312" spans="1:10">
      <c r="J312"/>
    </row>
    <row r="313" spans="1:10" ht="13.5" customHeight="1">
      <c r="J313"/>
    </row>
    <row r="314" spans="1:10">
      <c r="J314"/>
    </row>
    <row r="315" spans="1:10">
      <c r="J315"/>
    </row>
    <row r="316" spans="1:10">
      <c r="A316" s="20"/>
      <c r="B316" s="20"/>
      <c r="C316" s="20"/>
      <c r="D316" s="20"/>
      <c r="E316" s="20"/>
      <c r="F316" s="20"/>
      <c r="G316" s="20"/>
      <c r="H316" s="20"/>
      <c r="I316" s="20"/>
      <c r="J316" s="21"/>
    </row>
    <row r="317" spans="1:10">
      <c r="A317" s="20"/>
      <c r="B317" s="230"/>
      <c r="C317" s="20"/>
      <c r="D317" s="20"/>
      <c r="E317" s="20"/>
      <c r="F317" s="20"/>
      <c r="G317" s="20"/>
      <c r="H317" s="20"/>
      <c r="I317" s="20"/>
      <c r="J317" s="21"/>
    </row>
    <row r="318" spans="1:10">
      <c r="A318" s="20"/>
      <c r="B318" s="305"/>
      <c r="C318" s="20"/>
      <c r="D318" s="20"/>
      <c r="E318" s="20"/>
      <c r="F318" s="20"/>
      <c r="G318" s="20"/>
      <c r="H318" s="20"/>
      <c r="I318" s="20"/>
      <c r="J318" s="21"/>
    </row>
    <row r="319" spans="1:10">
      <c r="A319" s="20"/>
      <c r="B319" s="230"/>
      <c r="C319" s="20"/>
      <c r="D319" s="20"/>
      <c r="E319" s="20"/>
      <c r="F319" s="20"/>
      <c r="G319" s="20"/>
      <c r="H319" s="20"/>
      <c r="I319" s="20"/>
      <c r="J319" s="21"/>
    </row>
    <row r="320" spans="1:10">
      <c r="A320" s="20"/>
      <c r="B320" s="77"/>
      <c r="C320" s="20"/>
      <c r="D320" s="20"/>
      <c r="E320" s="20"/>
      <c r="F320" s="20"/>
      <c r="G320" s="20"/>
      <c r="H320" s="20"/>
      <c r="I320" s="20"/>
      <c r="J320" s="21"/>
    </row>
    <row r="321" spans="1:10">
      <c r="A321" s="20"/>
      <c r="B321" s="305"/>
      <c r="C321" s="20"/>
      <c r="D321" s="20"/>
      <c r="E321" s="20"/>
      <c r="F321" s="20"/>
      <c r="G321" s="20"/>
      <c r="H321" s="20"/>
      <c r="I321" s="20"/>
      <c r="J321" s="21"/>
    </row>
    <row r="322" spans="1:10">
      <c r="A322" s="20"/>
      <c r="B322" s="305"/>
      <c r="C322" s="20"/>
      <c r="D322" s="20"/>
      <c r="E322" s="20"/>
      <c r="F322" s="20"/>
      <c r="G322" s="20"/>
      <c r="H322" s="20"/>
      <c r="I322" s="20"/>
      <c r="J322" s="21"/>
    </row>
    <row r="323" spans="1:10">
      <c r="A323" s="20"/>
      <c r="B323" s="230"/>
      <c r="C323" s="20"/>
      <c r="D323" s="20"/>
      <c r="E323" s="20"/>
      <c r="F323" s="20"/>
      <c r="G323" s="20"/>
      <c r="H323" s="20"/>
      <c r="I323" s="20"/>
      <c r="J323" s="21"/>
    </row>
    <row r="324" spans="1:10">
      <c r="A324" s="20"/>
      <c r="B324" s="20"/>
      <c r="C324" s="20"/>
      <c r="D324" s="20"/>
      <c r="E324" s="20"/>
      <c r="F324" s="20"/>
      <c r="G324" s="20"/>
      <c r="H324" s="20"/>
      <c r="I324" s="20"/>
      <c r="J324" s="21"/>
    </row>
    <row r="329" spans="1:10">
      <c r="A329" s="437">
        <f t="shared" ref="A329:I329" si="145">B3</f>
        <v>2017</v>
      </c>
      <c r="B329" s="437">
        <f t="shared" si="145"/>
        <v>2018</v>
      </c>
      <c r="C329" s="437">
        <f t="shared" si="145"/>
        <v>2019</v>
      </c>
      <c r="D329" s="438">
        <f t="shared" si="145"/>
        <v>2020</v>
      </c>
      <c r="E329" s="438">
        <f t="shared" si="145"/>
        <v>2021</v>
      </c>
      <c r="F329" s="438">
        <f t="shared" si="145"/>
        <v>2022</v>
      </c>
      <c r="G329" s="438">
        <f t="shared" si="145"/>
        <v>2023</v>
      </c>
      <c r="H329" s="438">
        <f t="shared" si="145"/>
        <v>2024</v>
      </c>
      <c r="I329" s="438">
        <f t="shared" si="145"/>
        <v>2025</v>
      </c>
    </row>
    <row r="330" spans="1:10">
      <c r="A330" s="436">
        <f t="shared" ref="A330:I330" si="146">B66/B$72</f>
        <v>0.60918893998853074</v>
      </c>
      <c r="B330" s="436">
        <f t="shared" si="146"/>
        <v>0.52809731758320555</v>
      </c>
      <c r="C330" s="436">
        <f t="shared" si="146"/>
        <v>0.50351487583861521</v>
      </c>
      <c r="D330" s="436">
        <f t="shared" si="146"/>
        <v>0.5106712958924432</v>
      </c>
      <c r="E330" s="436">
        <f t="shared" si="146"/>
        <v>0.4969799820150233</v>
      </c>
      <c r="F330" s="436">
        <f t="shared" si="146"/>
        <v>0.48540292438003912</v>
      </c>
      <c r="G330" s="436">
        <f t="shared" si="146"/>
        <v>0.47287362783335046</v>
      </c>
      <c r="H330" s="436">
        <f t="shared" si="146"/>
        <v>0.42068789362367393</v>
      </c>
      <c r="I330" s="436">
        <f t="shared" si="146"/>
        <v>0.4103432333429784</v>
      </c>
    </row>
    <row r="331" spans="1:10">
      <c r="A331" s="436">
        <f t="shared" ref="A331:I331" si="147">B67/B$72</f>
        <v>0.17924167631812712</v>
      </c>
      <c r="B331" s="436">
        <f t="shared" si="147"/>
        <v>0.18354395049959851</v>
      </c>
      <c r="C331" s="436">
        <f t="shared" si="147"/>
        <v>0.19164985277447044</v>
      </c>
      <c r="D331" s="436">
        <f t="shared" si="147"/>
        <v>0.20182002706353253</v>
      </c>
      <c r="E331" s="436">
        <f t="shared" si="147"/>
        <v>0.20743866110473944</v>
      </c>
      <c r="F331" s="436">
        <f t="shared" si="147"/>
        <v>0.21262775454926386</v>
      </c>
      <c r="G331" s="436">
        <f t="shared" si="147"/>
        <v>0.21800285858893886</v>
      </c>
      <c r="H331" s="436">
        <f t="shared" si="147"/>
        <v>0.20191138373000289</v>
      </c>
      <c r="I331" s="436">
        <f t="shared" si="147"/>
        <v>0.2049380820887042</v>
      </c>
    </row>
    <row r="332" spans="1:10">
      <c r="A332" s="436">
        <f t="shared" ref="A332:I332" si="148">B68/B$72</f>
        <v>9.8158164011109481E-2</v>
      </c>
      <c r="B332" s="436">
        <f t="shared" si="148"/>
        <v>0.11016072172341093</v>
      </c>
      <c r="C332" s="436">
        <f t="shared" si="148"/>
        <v>0.12486008227518697</v>
      </c>
      <c r="D332" s="436">
        <f t="shared" si="148"/>
        <v>0.12150844390701783</v>
      </c>
      <c r="E332" s="436">
        <f t="shared" si="148"/>
        <v>0.12901876840868562</v>
      </c>
      <c r="F332" s="436">
        <f t="shared" si="148"/>
        <v>0.13539747748515893</v>
      </c>
      <c r="G332" s="436">
        <f t="shared" si="148"/>
        <v>0.14229226180776211</v>
      </c>
      <c r="H332" s="436">
        <f t="shared" si="148"/>
        <v>0.22761677271832684</v>
      </c>
      <c r="I332" s="436">
        <f t="shared" si="148"/>
        <v>0.23838423511489948</v>
      </c>
    </row>
    <row r="333" spans="1:10">
      <c r="A333" s="436">
        <f t="shared" ref="A333:I333" si="149">B69/B$72</f>
        <v>5.465350319903748E-2</v>
      </c>
      <c r="B333" s="436">
        <f t="shared" si="149"/>
        <v>6.0836371287362544E-2</v>
      </c>
      <c r="C333" s="436">
        <f t="shared" si="149"/>
        <v>6.8479477545433154E-2</v>
      </c>
      <c r="D333" s="436">
        <f t="shared" si="149"/>
        <v>6.5632402777701465E-2</v>
      </c>
      <c r="E333" s="436">
        <f t="shared" si="149"/>
        <v>6.7502397821021826E-2</v>
      </c>
      <c r="F333" s="436">
        <f t="shared" si="149"/>
        <v>6.8264634232743565E-2</v>
      </c>
      <c r="G333" s="436">
        <f t="shared" si="149"/>
        <v>6.9323853710488298E-2</v>
      </c>
      <c r="H333" s="436">
        <f t="shared" si="149"/>
        <v>6.2946909921003186E-2</v>
      </c>
      <c r="I333" s="436">
        <f t="shared" si="149"/>
        <v>6.2264300834163296E-2</v>
      </c>
    </row>
    <row r="334" spans="1:10">
      <c r="A334" s="436">
        <f t="shared" ref="A334:I334" si="150">B70/B$72</f>
        <v>3.2597573454173363E-2</v>
      </c>
      <c r="B334" s="436">
        <f t="shared" si="150"/>
        <v>7.3958615122355478E-2</v>
      </c>
      <c r="C334" s="436">
        <f t="shared" si="150"/>
        <v>6.1285745859504782E-2</v>
      </c>
      <c r="D334" s="436">
        <f t="shared" si="150"/>
        <v>4.7749311787245348E-2</v>
      </c>
      <c r="E334" s="436">
        <f t="shared" si="150"/>
        <v>4.0855171479431476E-2</v>
      </c>
      <c r="F334" s="436">
        <f t="shared" si="150"/>
        <v>3.6553563010823922E-2</v>
      </c>
      <c r="G334" s="436">
        <f t="shared" si="150"/>
        <v>3.3395471132137942E-2</v>
      </c>
      <c r="H334" s="436">
        <f t="shared" si="150"/>
        <v>2.8347825121893554E-2</v>
      </c>
      <c r="I334" s="436">
        <f t="shared" si="150"/>
        <v>2.6564521595167843E-2</v>
      </c>
    </row>
    <row r="335" spans="1:10">
      <c r="A335" s="436">
        <f t="shared" ref="A335:I335" si="151">B71/B$72</f>
        <v>2.6160143029021848E-2</v>
      </c>
      <c r="B335" s="436">
        <f t="shared" si="151"/>
        <v>4.3403023784066949E-2</v>
      </c>
      <c r="C335" s="436">
        <f t="shared" si="151"/>
        <v>5.0209965706789483E-2</v>
      </c>
      <c r="D335" s="436">
        <f t="shared" si="151"/>
        <v>5.261851857205975E-2</v>
      </c>
      <c r="E335" s="436">
        <f t="shared" si="151"/>
        <v>5.8205019171098382E-2</v>
      </c>
      <c r="F335" s="436">
        <f t="shared" si="151"/>
        <v>6.1753646341970538E-2</v>
      </c>
      <c r="G335" s="436">
        <f t="shared" si="151"/>
        <v>6.4111926927322302E-2</v>
      </c>
      <c r="H335" s="436">
        <f t="shared" si="151"/>
        <v>5.8489214885099672E-2</v>
      </c>
      <c r="I335" s="436">
        <f t="shared" si="151"/>
        <v>5.7505627024086778E-2</v>
      </c>
    </row>
  </sheetData>
  <phoneticPr fontId="10" type="noConversion"/>
  <dataValidations count="1">
    <dataValidation type="list" allowBlank="1" showInputMessage="1" showErrorMessage="1" sqref="B237" xr:uid="{00000000-0002-0000-0200-000000000000}">
      <formula1>$C$236:$D$236</formula1>
    </dataValidation>
  </dataValidations>
  <pageMargins left="0.70866141732283472" right="0.70866141732283472" top="0.74803149606299213" bottom="0.74803149606299213" header="0.31496062992125984" footer="0.31496062992125984"/>
  <pageSetup paperSize="9" scale="39" fitToHeight="4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86" r:id="rId4" name="Drop Down 38">
              <controlPr defaultSize="0" autoLine="0" autoPict="0">
                <anchor moveWithCells="1">
                  <from>
                    <xdr:col>0</xdr:col>
                    <xdr:colOff>2057400</xdr:colOff>
                    <xdr:row>0</xdr:row>
                    <xdr:rowOff>30480</xdr:rowOff>
                  </from>
                  <to>
                    <xdr:col>0</xdr:col>
                    <xdr:colOff>4411980</xdr:colOff>
                    <xdr:row>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XFA210"/>
  <sheetViews>
    <sheetView showGridLines="0" zoomScaleNormal="100" workbookViewId="0">
      <pane ySplit="3" topLeftCell="A4" activePane="bottomLeft" state="frozen"/>
      <selection activeCell="A71" sqref="A71"/>
      <selection pane="bottomLeft" activeCell="D13" sqref="D13"/>
    </sheetView>
  </sheetViews>
  <sheetFormatPr defaultColWidth="9" defaultRowHeight="14.4"/>
  <cols>
    <col min="1" max="1" width="57.44140625" customWidth="1"/>
    <col min="2" max="2" width="13.44140625" customWidth="1"/>
    <col min="3" max="3" width="11.109375" customWidth="1"/>
    <col min="4" max="4" width="11.88671875" customWidth="1"/>
    <col min="5" max="5" width="12.109375" customWidth="1"/>
    <col min="6" max="9" width="11.44140625" customWidth="1"/>
    <col min="10" max="10" width="11.44140625" style="10" customWidth="1"/>
    <col min="11" max="11" width="11.44140625" style="20" customWidth="1"/>
    <col min="12" max="12" width="13" style="20" customWidth="1"/>
    <col min="13" max="16384" width="9" style="20"/>
  </cols>
  <sheetData>
    <row r="1" spans="1:10">
      <c r="A1" s="2"/>
      <c r="B1" s="2"/>
      <c r="C1" s="2"/>
      <c r="D1" s="2"/>
      <c r="E1" s="175" t="s">
        <v>199</v>
      </c>
      <c r="F1" s="176">
        <f>'SOTP COMPS'!G56</f>
        <v>1557446.7056175363</v>
      </c>
      <c r="G1" s="2"/>
      <c r="H1" s="2"/>
      <c r="I1" s="2"/>
      <c r="J1" s="14"/>
    </row>
    <row r="2" spans="1:10">
      <c r="A2" s="3" t="s">
        <v>285</v>
      </c>
      <c r="B2" s="2"/>
      <c r="C2" s="2"/>
      <c r="D2" s="2"/>
      <c r="E2" s="2"/>
      <c r="F2" s="2"/>
      <c r="G2" s="2"/>
      <c r="H2" s="2"/>
      <c r="I2" s="2"/>
      <c r="J2" s="15"/>
    </row>
    <row r="3" spans="1:10">
      <c r="A3" s="3" t="s">
        <v>108</v>
      </c>
      <c r="B3" s="16">
        <v>2017</v>
      </c>
      <c r="C3" s="16">
        <f>B3+1</f>
        <v>2018</v>
      </c>
      <c r="D3" s="16">
        <f t="shared" ref="D3:J3" si="0">C3+1</f>
        <v>2019</v>
      </c>
      <c r="E3" s="17">
        <f t="shared" si="0"/>
        <v>2020</v>
      </c>
      <c r="F3" s="17">
        <f t="shared" si="0"/>
        <v>2021</v>
      </c>
      <c r="G3" s="17">
        <f t="shared" si="0"/>
        <v>2022</v>
      </c>
      <c r="H3" s="17">
        <f t="shared" si="0"/>
        <v>2023</v>
      </c>
      <c r="I3" s="17">
        <f t="shared" si="0"/>
        <v>2024</v>
      </c>
      <c r="J3" s="18">
        <f t="shared" si="0"/>
        <v>2025</v>
      </c>
    </row>
    <row r="5" spans="1:10">
      <c r="A5" s="3" t="s">
        <v>109</v>
      </c>
      <c r="B5" s="2"/>
      <c r="C5" s="2"/>
      <c r="D5" s="2"/>
      <c r="E5" s="2"/>
      <c r="F5" s="2"/>
      <c r="G5" s="2"/>
      <c r="H5" s="2"/>
      <c r="I5" s="2"/>
      <c r="J5" s="15"/>
    </row>
    <row r="6" spans="1:10">
      <c r="A6" s="19" t="s">
        <v>110</v>
      </c>
    </row>
    <row r="7" spans="1:10">
      <c r="A7" s="25" t="s">
        <v>111</v>
      </c>
      <c r="B7" s="26">
        <v>42736</v>
      </c>
      <c r="C7" s="118">
        <f>DATE(YEAR(B7)+1,MONTH(B7),DAY(B7))</f>
        <v>43101</v>
      </c>
      <c r="D7" s="118">
        <f t="shared" ref="D7:J7" si="1">DATE(YEAR(C7)+1,MONTH(C7),DAY(C7))</f>
        <v>43466</v>
      </c>
      <c r="E7" s="118">
        <f t="shared" si="1"/>
        <v>43831</v>
      </c>
      <c r="F7" s="118">
        <f t="shared" si="1"/>
        <v>44197</v>
      </c>
      <c r="G7" s="118">
        <f t="shared" si="1"/>
        <v>44562</v>
      </c>
      <c r="H7" s="118">
        <f t="shared" si="1"/>
        <v>44927</v>
      </c>
      <c r="I7" s="118">
        <f t="shared" si="1"/>
        <v>45292</v>
      </c>
      <c r="J7" s="118">
        <f t="shared" si="1"/>
        <v>45658</v>
      </c>
    </row>
    <row r="8" spans="1:10">
      <c r="A8" t="s">
        <v>112</v>
      </c>
      <c r="B8" s="26">
        <v>43100</v>
      </c>
      <c r="C8" s="118">
        <f t="shared" ref="C8:J8" si="2">DATE(YEAR(B8)+1,MONTH(B8),DAY(B8))</f>
        <v>43465</v>
      </c>
      <c r="D8" s="118">
        <f t="shared" si="2"/>
        <v>43830</v>
      </c>
      <c r="E8" s="118">
        <f t="shared" si="2"/>
        <v>44196</v>
      </c>
      <c r="F8" s="118">
        <f t="shared" si="2"/>
        <v>44561</v>
      </c>
      <c r="G8" s="118">
        <f t="shared" si="2"/>
        <v>44926</v>
      </c>
      <c r="H8" s="118">
        <f t="shared" si="2"/>
        <v>45291</v>
      </c>
      <c r="I8" s="118">
        <f t="shared" si="2"/>
        <v>45657</v>
      </c>
      <c r="J8" s="118">
        <f t="shared" si="2"/>
        <v>46022</v>
      </c>
    </row>
    <row r="9" spans="1:10">
      <c r="A9" t="s">
        <v>113</v>
      </c>
      <c r="B9" s="1">
        <f>B8-B7+1</f>
        <v>365</v>
      </c>
      <c r="C9" s="1">
        <f t="shared" ref="C9:J9" si="3">C8-C7+1</f>
        <v>365</v>
      </c>
      <c r="D9" s="1">
        <f t="shared" si="3"/>
        <v>365</v>
      </c>
      <c r="E9" s="1">
        <f t="shared" si="3"/>
        <v>366</v>
      </c>
      <c r="F9" s="1">
        <f t="shared" si="3"/>
        <v>365</v>
      </c>
      <c r="G9" s="1">
        <f t="shared" si="3"/>
        <v>365</v>
      </c>
      <c r="H9" s="1">
        <f t="shared" si="3"/>
        <v>365</v>
      </c>
      <c r="I9" s="1">
        <f t="shared" si="3"/>
        <v>366</v>
      </c>
      <c r="J9" s="1">
        <f t="shared" si="3"/>
        <v>365</v>
      </c>
    </row>
    <row r="10" spans="1:10"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B11" s="1"/>
      <c r="C11" s="216" t="s">
        <v>290</v>
      </c>
      <c r="D11" s="216"/>
      <c r="E11" s="1"/>
      <c r="F11" s="1"/>
      <c r="G11" s="1"/>
      <c r="H11" s="1"/>
      <c r="I11" s="1"/>
      <c r="J11" s="1"/>
    </row>
    <row r="12" spans="1:10"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B13" s="1"/>
      <c r="C13" s="216" t="s">
        <v>286</v>
      </c>
      <c r="D13" s="216" t="s">
        <v>291</v>
      </c>
      <c r="E13" s="1"/>
      <c r="F13" s="216" t="s">
        <v>292</v>
      </c>
      <c r="G13" s="1"/>
      <c r="H13" s="1" t="s">
        <v>293</v>
      </c>
      <c r="I13" s="1"/>
      <c r="J13" s="1"/>
    </row>
    <row r="14" spans="1:10">
      <c r="B14" s="1"/>
      <c r="C14" s="216" t="s">
        <v>287</v>
      </c>
      <c r="D14" s="1"/>
      <c r="E14" s="1"/>
      <c r="F14" s="216">
        <v>1</v>
      </c>
      <c r="G14" s="1"/>
      <c r="H14" s="216" t="s">
        <v>292</v>
      </c>
      <c r="I14" s="216">
        <v>1</v>
      </c>
      <c r="J14" s="1"/>
    </row>
    <row r="15" spans="1:10">
      <c r="B15" s="1"/>
      <c r="C15" s="216" t="s">
        <v>288</v>
      </c>
      <c r="D15" s="1"/>
      <c r="E15" s="1"/>
      <c r="F15" s="216">
        <v>2</v>
      </c>
      <c r="G15" s="1"/>
      <c r="H15" s="216" t="s">
        <v>294</v>
      </c>
      <c r="I15" s="61">
        <f>'Financial Analysis'!E256</f>
        <v>4673.8504464781372</v>
      </c>
      <c r="J15" s="1"/>
    </row>
    <row r="16" spans="1:10">
      <c r="B16" s="1"/>
      <c r="C16" s="216" t="s">
        <v>289</v>
      </c>
      <c r="D16" s="1"/>
      <c r="E16" s="1"/>
      <c r="F16" s="216">
        <v>3</v>
      </c>
      <c r="G16" s="1"/>
      <c r="H16" s="1"/>
      <c r="I16" s="1"/>
      <c r="J16" s="1"/>
    </row>
    <row r="17" spans="1:10">
      <c r="B17" s="1"/>
      <c r="C17" s="1"/>
      <c r="D17" s="1"/>
      <c r="E17" s="1"/>
      <c r="F17" s="216"/>
      <c r="G17" s="1"/>
      <c r="H17" s="1"/>
      <c r="I17" s="1"/>
      <c r="J17" s="1"/>
    </row>
    <row r="18" spans="1:10">
      <c r="A18" s="214" t="s">
        <v>295</v>
      </c>
      <c r="B18" s="3"/>
      <c r="C18" s="3"/>
      <c r="D18" s="3"/>
      <c r="E18" s="3"/>
      <c r="F18" s="3"/>
      <c r="G18" s="3"/>
      <c r="H18" s="3"/>
      <c r="I18" s="3"/>
      <c r="J18" s="215"/>
    </row>
    <row r="19" spans="1:10">
      <c r="A19" s="19" t="s">
        <v>117</v>
      </c>
    </row>
    <row r="20" spans="1:10">
      <c r="A20" s="25" t="s">
        <v>114</v>
      </c>
      <c r="B20" s="69"/>
      <c r="C20" s="119"/>
      <c r="D20" s="119"/>
      <c r="E20" s="120">
        <f t="shared" ref="E20:J20" si="4">CHOOSE($I$14,E68,E117,E166)</f>
        <v>0.34599999999999997</v>
      </c>
      <c r="F20" s="120">
        <f t="shared" si="4"/>
        <v>0.1585</v>
      </c>
      <c r="G20" s="120">
        <f t="shared" si="4"/>
        <v>0.14799999999999999</v>
      </c>
      <c r="H20" s="120">
        <f t="shared" si="4"/>
        <v>0.1227</v>
      </c>
      <c r="I20" s="120">
        <f t="shared" si="4"/>
        <v>0.1123</v>
      </c>
      <c r="J20" s="120">
        <f t="shared" si="4"/>
        <v>0.1002</v>
      </c>
    </row>
    <row r="21" spans="1:10">
      <c r="A21" s="25" t="s">
        <v>118</v>
      </c>
      <c r="B21" s="69"/>
      <c r="C21" s="119"/>
      <c r="D21" s="119"/>
      <c r="E21" s="120">
        <f t="shared" ref="E21:J21" si="5">CHOOSE($I$14,E69,E118,E167)</f>
        <v>0.39756394633018699</v>
      </c>
      <c r="F21" s="120">
        <f t="shared" si="5"/>
        <v>0.22355650461113699</v>
      </c>
      <c r="G21" s="120">
        <f t="shared" si="5"/>
        <v>0.20478249232156501</v>
      </c>
      <c r="H21" s="120">
        <f t="shared" si="5"/>
        <v>0.18158032995888601</v>
      </c>
      <c r="I21" s="120">
        <f t="shared" si="5"/>
        <v>0.15799219912083701</v>
      </c>
      <c r="J21" s="120">
        <f t="shared" si="5"/>
        <v>0.14484381215727801</v>
      </c>
    </row>
    <row r="22" spans="1:10" ht="15.75" customHeight="1">
      <c r="A22" s="25" t="s">
        <v>116</v>
      </c>
      <c r="B22" s="69"/>
      <c r="C22" s="119"/>
      <c r="D22" s="119"/>
      <c r="E22" s="120">
        <f t="shared" ref="E22:J22" si="6">CHOOSE($I$14,E70,E119,E168)</f>
        <v>0.291512936464002</v>
      </c>
      <c r="F22" s="120">
        <f t="shared" si="6"/>
        <v>0.26399402881100997</v>
      </c>
      <c r="G22" s="120">
        <f t="shared" si="6"/>
        <v>0.233491261294626</v>
      </c>
      <c r="H22" s="120">
        <f t="shared" si="6"/>
        <v>0.21113269006391799</v>
      </c>
      <c r="I22" s="120">
        <f t="shared" si="6"/>
        <v>0.19507357705713299</v>
      </c>
      <c r="J22" s="120">
        <f t="shared" si="6"/>
        <v>0.18129304889974601</v>
      </c>
    </row>
    <row r="23" spans="1:10">
      <c r="A23" s="25" t="s">
        <v>119</v>
      </c>
      <c r="B23" s="69"/>
      <c r="C23" s="119"/>
      <c r="D23" s="119"/>
      <c r="E23" s="120">
        <f t="shared" ref="E23:J23" si="7">CHOOSE($I$14,E71,E120,E169)</f>
        <v>0.27196096611639098</v>
      </c>
      <c r="F23" s="120">
        <f t="shared" si="7"/>
        <v>0.22433280376824599</v>
      </c>
      <c r="G23" s="120">
        <f t="shared" si="7"/>
        <v>0.18865265043169399</v>
      </c>
      <c r="H23" s="120">
        <f t="shared" si="7"/>
        <v>0.170328945770269</v>
      </c>
      <c r="I23" s="120">
        <f t="shared" si="7"/>
        <v>0.135268885580487</v>
      </c>
      <c r="J23" s="120">
        <f t="shared" si="7"/>
        <v>0.1157042286086</v>
      </c>
    </row>
    <row r="24" spans="1:10">
      <c r="A24" s="25" t="s">
        <v>115</v>
      </c>
      <c r="B24" s="71"/>
      <c r="C24" s="119"/>
      <c r="D24" s="119"/>
      <c r="E24" s="120">
        <f t="shared" ref="E24:J24" si="8">CHOOSE($I$14,E72,E121,E170)</f>
        <v>3.4007190455295502E-2</v>
      </c>
      <c r="F24" s="120">
        <f t="shared" si="8"/>
        <v>1.8540988643578501E-2</v>
      </c>
      <c r="G24" s="120">
        <f t="shared" si="8"/>
        <v>5.1625415651693402E-2</v>
      </c>
      <c r="H24" s="120">
        <f t="shared" si="8"/>
        <v>5.2880000000000003E-2</v>
      </c>
      <c r="I24" s="120">
        <f t="shared" si="8"/>
        <v>6.1302500000000003E-2</v>
      </c>
      <c r="J24" s="120">
        <f t="shared" si="8"/>
        <v>5.6979666666666699E-2</v>
      </c>
    </row>
    <row r="25" spans="1:10">
      <c r="A25" s="25" t="s">
        <v>120</v>
      </c>
      <c r="B25" s="69"/>
      <c r="C25" s="119"/>
      <c r="D25" s="119"/>
      <c r="E25" s="120">
        <f t="shared" ref="E25:J25" si="9">CHOOSE($I$14,E73,E122,E171)</f>
        <v>0.39079977029819801</v>
      </c>
      <c r="F25" s="120">
        <f t="shared" si="9"/>
        <v>0.31680179366155398</v>
      </c>
      <c r="G25" s="120">
        <f t="shared" si="9"/>
        <v>0.247040520251081</v>
      </c>
      <c r="H25" s="120">
        <f t="shared" si="9"/>
        <v>0.19645740196730599</v>
      </c>
      <c r="I25" s="120">
        <f t="shared" si="9"/>
        <v>0.14062786954259399</v>
      </c>
      <c r="J25" s="120">
        <f t="shared" si="9"/>
        <v>0.10896778463336899</v>
      </c>
    </row>
    <row r="26" spans="1:10" ht="15" thickBot="1">
      <c r="A26" s="193" t="s">
        <v>122</v>
      </c>
      <c r="B26" s="194"/>
      <c r="C26" s="195"/>
      <c r="D26" s="195"/>
      <c r="E26" s="196"/>
      <c r="F26" s="196"/>
      <c r="G26" s="196"/>
      <c r="H26" s="196"/>
      <c r="I26" s="196"/>
      <c r="J26" s="196"/>
    </row>
    <row r="27" spans="1:10" ht="15" thickTop="1">
      <c r="A27" s="28" t="s">
        <v>123</v>
      </c>
      <c r="B27" s="72"/>
      <c r="C27" s="73"/>
      <c r="D27" s="73"/>
      <c r="E27" s="197"/>
      <c r="F27" s="197"/>
      <c r="G27" s="197"/>
      <c r="H27" s="197"/>
      <c r="I27" s="197"/>
      <c r="J27" s="197"/>
    </row>
    <row r="28" spans="1:10">
      <c r="A28" t="s">
        <v>4</v>
      </c>
      <c r="B28" s="119"/>
      <c r="C28" s="119"/>
      <c r="D28" s="119"/>
      <c r="E28" s="120">
        <f t="shared" ref="E28:J28" si="10">CHOOSE($I$14,E76,E125,E174)</f>
        <v>0.59904349786621802</v>
      </c>
      <c r="F28" s="120">
        <f t="shared" si="10"/>
        <v>0.58953184057405705</v>
      </c>
      <c r="G28" s="120">
        <f t="shared" si="10"/>
        <v>0.58058777618706592</v>
      </c>
      <c r="H28" s="120">
        <f t="shared" si="10"/>
        <v>0.57647886343895194</v>
      </c>
      <c r="I28" s="120">
        <f t="shared" si="10"/>
        <v>0.57222910347817002</v>
      </c>
      <c r="J28" s="120">
        <f t="shared" si="10"/>
        <v>0.57921885870032708</v>
      </c>
    </row>
    <row r="29" spans="1:10">
      <c r="A29" t="s">
        <v>141</v>
      </c>
      <c r="B29" s="119"/>
      <c r="C29" s="119"/>
      <c r="D29" s="119"/>
      <c r="E29" s="120">
        <f t="shared" ref="E29:J29" si="11">CHOOSE($I$14,E77,E126,E175)</f>
        <v>0.117868456048504</v>
      </c>
      <c r="F29" s="120">
        <f t="shared" si="11"/>
        <v>0.117921080403423</v>
      </c>
      <c r="G29" s="120">
        <f t="shared" si="11"/>
        <v>0.11680653573663199</v>
      </c>
      <c r="H29" s="120">
        <f t="shared" si="11"/>
        <v>0.115761440172734</v>
      </c>
      <c r="I29" s="120">
        <f t="shared" si="11"/>
        <v>0.11398126999050801</v>
      </c>
      <c r="J29" s="120">
        <f t="shared" si="11"/>
        <v>0.108651024817596</v>
      </c>
    </row>
    <row r="30" spans="1:10">
      <c r="A30" t="s">
        <v>6</v>
      </c>
      <c r="B30" s="119"/>
      <c r="C30" s="119"/>
      <c r="D30" s="119"/>
      <c r="E30" s="120">
        <f t="shared" ref="E30:J30" si="12">CHOOSE($I$14,E78,E127,E176)</f>
        <v>5.6649499406085997E-2</v>
      </c>
      <c r="F30" s="120">
        <f t="shared" si="12"/>
        <v>5.6850116170064198E-2</v>
      </c>
      <c r="G30" s="120">
        <f t="shared" si="12"/>
        <v>5.52755554151649E-2</v>
      </c>
      <c r="H30" s="120">
        <f t="shared" si="12"/>
        <v>5.4539473912822101E-2</v>
      </c>
      <c r="I30" s="120">
        <f t="shared" si="12"/>
        <v>5.0885824507243299E-2</v>
      </c>
      <c r="J30" s="120">
        <f t="shared" si="12"/>
        <v>4.8538795228307501E-2</v>
      </c>
    </row>
    <row r="31" spans="1:10">
      <c r="A31" t="s">
        <v>140</v>
      </c>
      <c r="B31" s="119"/>
      <c r="C31" s="119"/>
      <c r="D31" s="119"/>
      <c r="E31" s="120">
        <f t="shared" ref="E31:J31" si="13">CHOOSE($I$14,E79,E128,E177)</f>
        <v>0.15235898056685401</v>
      </c>
      <c r="F31" s="120">
        <f t="shared" si="13"/>
        <v>0.15129358271509499</v>
      </c>
      <c r="G31" s="120">
        <f t="shared" si="13"/>
        <v>0.14883504462671801</v>
      </c>
      <c r="H31" s="120">
        <f t="shared" si="13"/>
        <v>0.14875371209371899</v>
      </c>
      <c r="I31" s="120">
        <f t="shared" si="13"/>
        <v>0.14654007665947499</v>
      </c>
      <c r="J31" s="120">
        <f t="shared" si="13"/>
        <v>0.14116098557009499</v>
      </c>
    </row>
    <row r="32" spans="1:10">
      <c r="A32" t="s">
        <v>7</v>
      </c>
      <c r="B32" s="119"/>
      <c r="C32" s="119"/>
      <c r="D32" s="119"/>
      <c r="E32" s="120">
        <f t="shared" ref="E32:J32" si="14">CHOOSE($I$14,E80,E129,E178)</f>
        <v>1.8945174845938401E-2</v>
      </c>
      <c r="F32" s="120">
        <f t="shared" si="14"/>
        <v>1.8640095803024899E-2</v>
      </c>
      <c r="G32" s="120">
        <f t="shared" si="14"/>
        <v>1.9051483894780799E-2</v>
      </c>
      <c r="H32" s="120">
        <f t="shared" si="14"/>
        <v>1.7268350784946401E-2</v>
      </c>
      <c r="I32" s="120">
        <f t="shared" si="14"/>
        <v>1.6599090879216499E-2</v>
      </c>
      <c r="J32" s="120">
        <f t="shared" si="14"/>
        <v>1.6244367158973701E-2</v>
      </c>
    </row>
    <row r="33" spans="1:10">
      <c r="A33" t="s">
        <v>9</v>
      </c>
      <c r="B33" s="119"/>
      <c r="C33" s="119"/>
      <c r="D33" s="119"/>
      <c r="E33" s="120">
        <f t="shared" ref="E33:J33" si="15">CHOOSE($I$14,E81,E130,E179)</f>
        <v>1.55128171120992E-3</v>
      </c>
      <c r="F33" s="120">
        <f t="shared" si="15"/>
        <v>1.1139710401004001E-3</v>
      </c>
      <c r="G33" s="120">
        <f t="shared" si="15"/>
        <v>1.0909353211524401E-3</v>
      </c>
      <c r="H33" s="120">
        <f t="shared" si="15"/>
        <v>9.2584830221027097E-4</v>
      </c>
      <c r="I33" s="120">
        <f t="shared" si="15"/>
        <v>7.2369092784375498E-4</v>
      </c>
      <c r="J33" s="120">
        <f t="shared" si="15"/>
        <v>6.3142674968784103E-4</v>
      </c>
    </row>
    <row r="34" spans="1:10" s="21" customFormat="1">
      <c r="A34" s="190" t="s">
        <v>208</v>
      </c>
      <c r="B34" s="191"/>
      <c r="C34" s="191"/>
      <c r="D34" s="191"/>
      <c r="E34" s="192"/>
      <c r="F34" s="192"/>
      <c r="G34" s="192"/>
      <c r="H34" s="192"/>
      <c r="I34" s="192"/>
      <c r="J34" s="192"/>
    </row>
    <row r="35" spans="1:10" ht="13.5" customHeight="1">
      <c r="B35" s="70"/>
      <c r="C35" s="70"/>
      <c r="D35" s="70"/>
      <c r="E35" s="120"/>
      <c r="F35" s="120"/>
      <c r="G35" s="120"/>
      <c r="H35" s="120"/>
      <c r="I35" s="120"/>
      <c r="J35" s="120"/>
    </row>
    <row r="36" spans="1:10">
      <c r="A36" s="20" t="s">
        <v>142</v>
      </c>
      <c r="B36" s="124"/>
      <c r="C36" s="124"/>
      <c r="D36" s="124"/>
      <c r="E36" s="120">
        <f t="shared" ref="E36:J36" si="16">CHOOSE($I$14,E84,E133,E182)</f>
        <v>2.4719633424403E-2</v>
      </c>
      <c r="F36" s="120">
        <f t="shared" si="16"/>
        <v>2.4190476373964001E-2</v>
      </c>
      <c r="G36" s="120">
        <f t="shared" si="16"/>
        <v>2.3507072339676E-2</v>
      </c>
      <c r="H36" s="120">
        <f t="shared" si="16"/>
        <v>2.2731394884199702E-2</v>
      </c>
      <c r="I36" s="120">
        <f t="shared" si="16"/>
        <v>2.2237597916664999E-2</v>
      </c>
      <c r="J36" s="120">
        <f t="shared" si="16"/>
        <v>2.1587648168543201E-2</v>
      </c>
    </row>
    <row r="37" spans="1:10">
      <c r="A37" s="9" t="s">
        <v>153</v>
      </c>
      <c r="B37" s="119"/>
      <c r="C37" s="119"/>
      <c r="D37" s="119"/>
      <c r="E37" s="120">
        <f t="shared" ref="E37:J37" si="17">CHOOSE($I$14,E85,E134,E183)</f>
        <v>0.17699999999999999</v>
      </c>
      <c r="F37" s="120">
        <f t="shared" si="17"/>
        <v>0.33129999999999998</v>
      </c>
      <c r="G37" s="120">
        <f t="shared" si="17"/>
        <v>0.33129999999999998</v>
      </c>
      <c r="H37" s="120">
        <f t="shared" si="17"/>
        <v>0.33129999999999998</v>
      </c>
      <c r="I37" s="120">
        <f t="shared" si="17"/>
        <v>0.33129999999999998</v>
      </c>
      <c r="J37" s="120">
        <f t="shared" si="17"/>
        <v>0.33129999999999998</v>
      </c>
    </row>
    <row r="38" spans="1:10">
      <c r="A38" s="105" t="s">
        <v>207</v>
      </c>
      <c r="B38" s="119"/>
      <c r="C38" s="119"/>
      <c r="D38" s="119"/>
      <c r="E38" s="120">
        <f t="shared" ref="E38:J38" si="18">CHOOSE($I$14,E86,E135,E184)</f>
        <v>1.14E-2</v>
      </c>
      <c r="F38" s="120">
        <f t="shared" si="18"/>
        <v>1.0012791690293774E-2</v>
      </c>
      <c r="G38" s="120">
        <f t="shared" si="18"/>
        <v>1.0012791690293774E-2</v>
      </c>
      <c r="H38" s="120">
        <f t="shared" si="18"/>
        <v>1.0012791690293774E-2</v>
      </c>
      <c r="I38" s="120">
        <f t="shared" si="18"/>
        <v>1.0012791690293774E-2</v>
      </c>
      <c r="J38" s="197">
        <f t="shared" si="18"/>
        <v>1.0012791690293774E-2</v>
      </c>
    </row>
    <row r="39" spans="1:10">
      <c r="A39" s="105" t="s">
        <v>227</v>
      </c>
      <c r="B39" s="70"/>
      <c r="C39" s="119"/>
      <c r="D39" s="119"/>
      <c r="E39" s="120">
        <f t="shared" ref="E39:J39" si="19">CHOOSE($I$14,E87,E136,E185)</f>
        <v>3.2399999999999998E-2</v>
      </c>
      <c r="F39" s="120">
        <f t="shared" si="19"/>
        <v>3.2399999999999998E-2</v>
      </c>
      <c r="G39" s="120">
        <f t="shared" si="19"/>
        <v>3.2399999999999998E-2</v>
      </c>
      <c r="H39" s="120">
        <f t="shared" si="19"/>
        <v>3.2399999999999998E-2</v>
      </c>
      <c r="I39" s="120">
        <f t="shared" si="19"/>
        <v>3.2399999999999998E-2</v>
      </c>
      <c r="J39" s="120">
        <f t="shared" si="19"/>
        <v>3.2399999999999998E-2</v>
      </c>
    </row>
    <row r="40" spans="1:10">
      <c r="B40" s="70"/>
      <c r="C40" s="70"/>
      <c r="D40" s="70"/>
      <c r="E40" s="120"/>
      <c r="F40" s="120"/>
      <c r="G40" s="120"/>
      <c r="H40" s="120"/>
      <c r="I40" s="120"/>
      <c r="J40" s="197"/>
    </row>
    <row r="41" spans="1:10">
      <c r="B41" s="74"/>
      <c r="C41" s="74"/>
      <c r="D41" s="74"/>
      <c r="E41" s="198"/>
      <c r="F41" s="198"/>
      <c r="G41" s="198"/>
      <c r="H41" s="198"/>
      <c r="I41" s="198"/>
      <c r="J41" s="199"/>
    </row>
    <row r="42" spans="1:10">
      <c r="A42" s="1" t="s">
        <v>87</v>
      </c>
      <c r="B42" s="74"/>
      <c r="C42" s="74"/>
      <c r="D42" s="74"/>
      <c r="E42" s="198"/>
      <c r="F42" s="198"/>
      <c r="G42" s="198"/>
      <c r="H42" s="198"/>
      <c r="I42" s="198"/>
      <c r="J42" s="199"/>
    </row>
    <row r="43" spans="1:10">
      <c r="A43" s="112" t="s">
        <v>124</v>
      </c>
      <c r="B43" s="75"/>
      <c r="C43" s="75"/>
      <c r="D43" s="75"/>
      <c r="E43" s="198">
        <f t="shared" ref="E43:J43" si="20">CHOOSE($I$14,E91,E140,E189)</f>
        <v>52</v>
      </c>
      <c r="F43" s="198">
        <f t="shared" si="20"/>
        <v>52</v>
      </c>
      <c r="G43" s="198">
        <f t="shared" si="20"/>
        <v>52</v>
      </c>
      <c r="H43" s="198">
        <f t="shared" si="20"/>
        <v>52</v>
      </c>
      <c r="I43" s="198">
        <f t="shared" si="20"/>
        <v>52</v>
      </c>
      <c r="J43" s="198">
        <f t="shared" si="20"/>
        <v>52</v>
      </c>
    </row>
    <row r="44" spans="1:10">
      <c r="A44" s="112" t="s">
        <v>125</v>
      </c>
      <c r="B44" s="75"/>
      <c r="C44" s="75"/>
      <c r="D44" s="75"/>
      <c r="E44" s="198">
        <f t="shared" ref="E44:J44" si="21">CHOOSE($I$14,E92,E141,E190)</f>
        <v>27</v>
      </c>
      <c r="F44" s="198">
        <f t="shared" si="21"/>
        <v>27</v>
      </c>
      <c r="G44" s="198">
        <f t="shared" si="21"/>
        <v>27</v>
      </c>
      <c r="H44" s="198">
        <f t="shared" si="21"/>
        <v>27</v>
      </c>
      <c r="I44" s="198">
        <f t="shared" si="21"/>
        <v>27</v>
      </c>
      <c r="J44" s="198">
        <f t="shared" si="21"/>
        <v>27</v>
      </c>
    </row>
    <row r="45" spans="1:10">
      <c r="A45" s="24" t="s">
        <v>137</v>
      </c>
      <c r="B45" s="76"/>
      <c r="C45" s="122"/>
      <c r="D45" s="122"/>
      <c r="E45" s="200">
        <f t="shared" ref="E45:J45" si="22">CHOOSE($I$14,E93,E142,E191)</f>
        <v>0</v>
      </c>
      <c r="F45" s="200">
        <f t="shared" si="22"/>
        <v>0</v>
      </c>
      <c r="G45" s="200">
        <f t="shared" si="22"/>
        <v>0</v>
      </c>
      <c r="H45" s="200">
        <f t="shared" si="22"/>
        <v>0</v>
      </c>
      <c r="I45" s="200">
        <f t="shared" si="22"/>
        <v>0</v>
      </c>
      <c r="J45" s="200">
        <f t="shared" si="22"/>
        <v>0</v>
      </c>
    </row>
    <row r="46" spans="1:10">
      <c r="A46" s="24" t="s">
        <v>206</v>
      </c>
      <c r="B46" s="69"/>
      <c r="C46" s="123"/>
      <c r="D46" s="123"/>
      <c r="E46" s="120">
        <f t="shared" ref="E46:J46" si="23">CHOOSE($I$14,E94,E143,E192)</f>
        <v>0.25766059620386161</v>
      </c>
      <c r="F46" s="121">
        <f t="shared" si="23"/>
        <v>4.2044746602740712E-2</v>
      </c>
      <c r="G46" s="121">
        <f t="shared" si="23"/>
        <v>-1.6795848081721299E-2</v>
      </c>
      <c r="H46" s="121">
        <f t="shared" si="23"/>
        <v>5.6120504100572344E-2</v>
      </c>
      <c r="I46" s="121">
        <f t="shared" si="23"/>
        <v>0.12973606917604741</v>
      </c>
      <c r="J46" s="121">
        <f t="shared" si="23"/>
        <v>0.11077593556715315</v>
      </c>
    </row>
    <row r="47" spans="1:10">
      <c r="A47" s="24" t="s">
        <v>126</v>
      </c>
      <c r="B47" s="69"/>
      <c r="C47" s="123"/>
      <c r="D47" s="123"/>
      <c r="E47" s="120">
        <f t="shared" ref="E47:J47" si="24">CHOOSE($I$14,E95,E144,E193)</f>
        <v>0.7573870583899045</v>
      </c>
      <c r="F47" s="120">
        <f t="shared" si="24"/>
        <v>4.5329364181662335E-2</v>
      </c>
      <c r="G47" s="120">
        <f t="shared" si="24"/>
        <v>4.0707309092281152E-2</v>
      </c>
      <c r="H47" s="120">
        <f t="shared" si="24"/>
        <v>-7.3724301880662813E-2</v>
      </c>
      <c r="I47" s="120">
        <f t="shared" si="24"/>
        <v>6.4877847130080601E-2</v>
      </c>
      <c r="J47" s="197">
        <f t="shared" si="24"/>
        <v>2.4019319593766131E-2</v>
      </c>
    </row>
    <row r="48" spans="1:10">
      <c r="A48" s="24"/>
      <c r="B48" s="74"/>
      <c r="C48" s="74"/>
      <c r="D48" s="74"/>
      <c r="E48" s="198"/>
      <c r="F48" s="198"/>
      <c r="G48" s="198"/>
      <c r="H48" s="198"/>
      <c r="I48" s="198"/>
      <c r="J48" s="199"/>
    </row>
    <row r="49" spans="1:10">
      <c r="A49" s="24" t="s">
        <v>127</v>
      </c>
      <c r="B49" s="75"/>
      <c r="C49" s="75"/>
      <c r="D49" s="75"/>
      <c r="E49" s="201">
        <f t="shared" ref="E49:J49" si="25">CHOOSE($I$14,E97,E146,E195)</f>
        <v>101.09260259713299</v>
      </c>
      <c r="F49" s="201">
        <f t="shared" si="25"/>
        <v>100.952085356278</v>
      </c>
      <c r="G49" s="201">
        <f t="shared" si="25"/>
        <v>101.376050707928</v>
      </c>
      <c r="H49" s="201">
        <f t="shared" si="25"/>
        <v>101.845753669524</v>
      </c>
      <c r="I49" s="201">
        <f t="shared" si="25"/>
        <v>102.315674461631</v>
      </c>
      <c r="J49" s="201">
        <f t="shared" si="25"/>
        <v>102.75666726697099</v>
      </c>
    </row>
    <row r="50" spans="1:10">
      <c r="A50" s="112" t="s">
        <v>139</v>
      </c>
      <c r="B50" s="123"/>
      <c r="C50" s="123"/>
      <c r="D50" s="123"/>
      <c r="E50" s="202">
        <f t="shared" ref="E50:J50" si="26">CHOOSE($I$14,E98,E147,E196)</f>
        <v>0.1</v>
      </c>
      <c r="F50" s="202">
        <f t="shared" si="26"/>
        <v>0.1</v>
      </c>
      <c r="G50" s="202">
        <f t="shared" si="26"/>
        <v>0.1</v>
      </c>
      <c r="H50" s="202">
        <f t="shared" si="26"/>
        <v>0.1</v>
      </c>
      <c r="I50" s="202">
        <f t="shared" si="26"/>
        <v>0.1</v>
      </c>
      <c r="J50" s="202">
        <f t="shared" si="26"/>
        <v>0.1</v>
      </c>
    </row>
    <row r="51" spans="1:10">
      <c r="A51" s="24" t="s">
        <v>138</v>
      </c>
      <c r="B51" s="123"/>
      <c r="C51" s="123"/>
      <c r="D51" s="123"/>
      <c r="E51" s="203">
        <f t="shared" ref="E51:J51" si="27">CHOOSE($I$14,E99,E148,E197)</f>
        <v>4.3581137280542401E-2</v>
      </c>
      <c r="F51" s="203">
        <f t="shared" si="27"/>
        <v>3.8574669548790699E-2</v>
      </c>
      <c r="G51" s="203">
        <f t="shared" si="27"/>
        <v>2.6736332469006401E-2</v>
      </c>
      <c r="H51" s="203">
        <f t="shared" si="27"/>
        <v>2.66567665696863E-2</v>
      </c>
      <c r="I51" s="203">
        <f t="shared" si="27"/>
        <v>2.66312009563748E-2</v>
      </c>
      <c r="J51" s="203">
        <f t="shared" si="27"/>
        <v>2.7833528702566199E-2</v>
      </c>
    </row>
    <row r="52" spans="1:10">
      <c r="A52" s="24"/>
      <c r="B52" s="74"/>
      <c r="C52" s="74"/>
      <c r="D52" s="74"/>
      <c r="E52" s="198"/>
      <c r="F52" s="198"/>
      <c r="G52" s="198"/>
      <c r="H52" s="198"/>
      <c r="I52" s="198"/>
      <c r="J52" s="199"/>
    </row>
    <row r="53" spans="1:10">
      <c r="A53" s="24" t="s">
        <v>128</v>
      </c>
      <c r="B53" s="123"/>
      <c r="C53" s="123"/>
      <c r="D53" s="123"/>
      <c r="E53" s="203">
        <f t="shared" ref="E53:J53" si="28">CHOOSE($I$14,E101,E150,E199)</f>
        <v>6.92754142754963E-2</v>
      </c>
      <c r="F53" s="203">
        <f t="shared" si="28"/>
        <v>6.9238624188191294E-2</v>
      </c>
      <c r="G53" s="203">
        <f t="shared" si="28"/>
        <v>6.8442595260289202E-2</v>
      </c>
      <c r="H53" s="203">
        <f t="shared" si="28"/>
        <v>6.7442043002263696E-2</v>
      </c>
      <c r="I53" s="203">
        <f t="shared" si="28"/>
        <v>6.0999150637040402E-2</v>
      </c>
      <c r="J53" s="203">
        <f t="shared" si="28"/>
        <v>5.8499150637040399E-2</v>
      </c>
    </row>
    <row r="54" spans="1:10">
      <c r="A54" s="112" t="s">
        <v>230</v>
      </c>
      <c r="B54" s="74"/>
      <c r="C54" s="119"/>
      <c r="D54" s="119"/>
      <c r="E54" s="203">
        <f t="shared" ref="E54:J54" si="29">CHOOSE($I$14,E102,E151,E200)</f>
        <v>0.1</v>
      </c>
      <c r="F54" s="203">
        <f t="shared" si="29"/>
        <v>0.1</v>
      </c>
      <c r="G54" s="203">
        <f t="shared" si="29"/>
        <v>0.1</v>
      </c>
      <c r="H54" s="203">
        <f t="shared" si="29"/>
        <v>0.1</v>
      </c>
      <c r="I54" s="203">
        <f t="shared" si="29"/>
        <v>0.1</v>
      </c>
      <c r="J54" s="203">
        <f t="shared" si="29"/>
        <v>0.1</v>
      </c>
    </row>
    <row r="55" spans="1:10">
      <c r="A55" s="112" t="s">
        <v>129</v>
      </c>
      <c r="B55" s="77"/>
      <c r="C55" s="124"/>
      <c r="D55" s="124"/>
      <c r="E55" s="204">
        <f t="shared" ref="E55:J55" si="30">CHOOSE($I$14,E103,E152,E201)</f>
        <v>0.33</v>
      </c>
      <c r="F55" s="204">
        <f t="shared" si="30"/>
        <v>0.33</v>
      </c>
      <c r="G55" s="204">
        <f t="shared" si="30"/>
        <v>0.33</v>
      </c>
      <c r="H55" s="204">
        <f t="shared" si="30"/>
        <v>0.33</v>
      </c>
      <c r="I55" s="204">
        <f t="shared" si="30"/>
        <v>0.33</v>
      </c>
      <c r="J55" s="204">
        <f t="shared" si="30"/>
        <v>0.33</v>
      </c>
    </row>
    <row r="56" spans="1:10">
      <c r="A56" s="112" t="s">
        <v>130</v>
      </c>
      <c r="B56" s="74"/>
      <c r="C56" s="119"/>
      <c r="D56" s="119"/>
      <c r="E56" s="204">
        <f t="shared" ref="E56:J56" si="31">CHOOSE($I$14,E104,E153,E202)</f>
        <v>0.35</v>
      </c>
      <c r="F56" s="204">
        <f t="shared" si="31"/>
        <v>0.35</v>
      </c>
      <c r="G56" s="204">
        <f t="shared" si="31"/>
        <v>0.35</v>
      </c>
      <c r="H56" s="204">
        <f t="shared" si="31"/>
        <v>0.35</v>
      </c>
      <c r="I56" s="204">
        <f t="shared" si="31"/>
        <v>0.35</v>
      </c>
      <c r="J56" s="204">
        <f t="shared" si="31"/>
        <v>0.35</v>
      </c>
    </row>
    <row r="57" spans="1:10">
      <c r="A57" s="24"/>
      <c r="B57" s="74"/>
      <c r="C57" s="74"/>
      <c r="D57" s="74"/>
      <c r="E57" s="198"/>
      <c r="F57" s="198"/>
      <c r="G57" s="198"/>
      <c r="H57" s="198"/>
      <c r="I57" s="198"/>
      <c r="J57" s="199"/>
    </row>
    <row r="58" spans="1:10">
      <c r="A58" s="24" t="s">
        <v>131</v>
      </c>
      <c r="B58" s="125"/>
      <c r="C58" s="125"/>
      <c r="D58" s="125"/>
      <c r="E58" s="198">
        <f t="shared" ref="E58:J58" si="32">CHOOSE($I$14,E106,E155,E204)</f>
        <v>0</v>
      </c>
      <c r="F58" s="198">
        <f t="shared" si="32"/>
        <v>0</v>
      </c>
      <c r="G58" s="198">
        <f t="shared" si="32"/>
        <v>0</v>
      </c>
      <c r="H58" s="198">
        <f t="shared" si="32"/>
        <v>0</v>
      </c>
      <c r="I58" s="198">
        <f t="shared" si="32"/>
        <v>0</v>
      </c>
      <c r="J58" s="199">
        <f t="shared" si="32"/>
        <v>0</v>
      </c>
    </row>
    <row r="59" spans="1:10">
      <c r="A59" s="24" t="s">
        <v>132</v>
      </c>
      <c r="B59" s="78"/>
      <c r="C59" s="126"/>
      <c r="D59" s="126"/>
      <c r="E59" s="198">
        <f t="shared" ref="E59:J59" si="33">CHOOSE($I$14,E107,E156,E205)</f>
        <v>0</v>
      </c>
      <c r="F59" s="198">
        <f t="shared" si="33"/>
        <v>0</v>
      </c>
      <c r="G59" s="198">
        <f t="shared" si="33"/>
        <v>0</v>
      </c>
      <c r="H59" s="198">
        <f t="shared" si="33"/>
        <v>0</v>
      </c>
      <c r="I59" s="198">
        <f t="shared" si="33"/>
        <v>0</v>
      </c>
      <c r="J59" s="199">
        <f t="shared" si="33"/>
        <v>0</v>
      </c>
    </row>
    <row r="60" spans="1:10">
      <c r="A60" s="24" t="s">
        <v>133</v>
      </c>
      <c r="B60" s="126"/>
      <c r="C60" s="126"/>
      <c r="D60" s="126"/>
      <c r="E60" s="198">
        <f t="shared" ref="E60:J60" si="34">CHOOSE($I$14,E108,E157,E206)</f>
        <v>0</v>
      </c>
      <c r="F60" s="198">
        <f t="shared" si="34"/>
        <v>0</v>
      </c>
      <c r="G60" s="198">
        <f t="shared" si="34"/>
        <v>0</v>
      </c>
      <c r="H60" s="198">
        <f t="shared" si="34"/>
        <v>0</v>
      </c>
      <c r="I60" s="198">
        <f t="shared" si="34"/>
        <v>0</v>
      </c>
      <c r="J60" s="199">
        <f t="shared" si="34"/>
        <v>0</v>
      </c>
    </row>
    <row r="61" spans="1:10">
      <c r="A61" s="24" t="s">
        <v>134</v>
      </c>
      <c r="B61" s="122"/>
      <c r="C61" s="122"/>
      <c r="D61" s="122"/>
      <c r="E61" s="198">
        <f t="shared" ref="E61:J61" si="35">CHOOSE($I$14,E109,E158,E207)</f>
        <v>0</v>
      </c>
      <c r="F61" s="198">
        <f t="shared" si="35"/>
        <v>0</v>
      </c>
      <c r="G61" s="198">
        <f t="shared" si="35"/>
        <v>0</v>
      </c>
      <c r="H61" s="198">
        <f t="shared" si="35"/>
        <v>0</v>
      </c>
      <c r="I61" s="198">
        <f t="shared" si="35"/>
        <v>0</v>
      </c>
      <c r="J61" s="199">
        <f t="shared" si="35"/>
        <v>0</v>
      </c>
    </row>
    <row r="62" spans="1:10">
      <c r="A62" s="24"/>
      <c r="B62" s="74"/>
      <c r="C62" s="74"/>
      <c r="D62" s="74"/>
      <c r="E62" s="198"/>
      <c r="F62" s="198"/>
      <c r="G62" s="198"/>
      <c r="H62" s="198"/>
      <c r="I62" s="198"/>
      <c r="J62" s="199"/>
    </row>
    <row r="63" spans="1:10">
      <c r="A63" s="24" t="s">
        <v>135</v>
      </c>
      <c r="B63" s="74"/>
      <c r="C63" s="123"/>
      <c r="D63" s="123"/>
      <c r="E63" s="203">
        <f t="shared" ref="E63:J63" si="36">CHOOSE($I$14,E111,E160,E209)</f>
        <v>0.01</v>
      </c>
      <c r="F63" s="203">
        <f t="shared" si="36"/>
        <v>0.01</v>
      </c>
      <c r="G63" s="203">
        <f t="shared" si="36"/>
        <v>0.01</v>
      </c>
      <c r="H63" s="203">
        <f t="shared" si="36"/>
        <v>0.01</v>
      </c>
      <c r="I63" s="203">
        <f t="shared" si="36"/>
        <v>0.01</v>
      </c>
      <c r="J63" s="205">
        <f t="shared" si="36"/>
        <v>0.01</v>
      </c>
    </row>
    <row r="64" spans="1:10">
      <c r="A64" s="24" t="s">
        <v>136</v>
      </c>
      <c r="B64" s="74"/>
      <c r="C64" s="123"/>
      <c r="D64" s="123"/>
      <c r="E64" s="203">
        <f t="shared" ref="E64:J64" si="37">CHOOSE($I$14,E112,E161,E210)</f>
        <v>0.01</v>
      </c>
      <c r="F64" s="203">
        <f t="shared" si="37"/>
        <v>0.01</v>
      </c>
      <c r="G64" s="203">
        <f t="shared" si="37"/>
        <v>0.01</v>
      </c>
      <c r="H64" s="203">
        <f t="shared" si="37"/>
        <v>0.01</v>
      </c>
      <c r="I64" s="203">
        <f t="shared" si="37"/>
        <v>0.01</v>
      </c>
      <c r="J64" s="205">
        <f t="shared" si="37"/>
        <v>0.01</v>
      </c>
    </row>
    <row r="65" spans="1:10">
      <c r="E65" s="9"/>
      <c r="F65" s="9"/>
      <c r="G65" s="9"/>
      <c r="H65" s="9"/>
      <c r="I65" s="9"/>
      <c r="J65" s="217"/>
    </row>
    <row r="66" spans="1:10">
      <c r="A66" s="214" t="s">
        <v>296</v>
      </c>
      <c r="B66" s="3"/>
      <c r="C66" s="3"/>
      <c r="D66" s="3"/>
      <c r="E66" s="3"/>
      <c r="F66" s="3"/>
      <c r="G66" s="3"/>
      <c r="H66" s="3"/>
      <c r="I66" s="3"/>
      <c r="J66" s="215"/>
    </row>
    <row r="67" spans="1:10">
      <c r="A67" s="19" t="s">
        <v>117</v>
      </c>
    </row>
    <row r="68" spans="1:10">
      <c r="A68" s="25" t="s">
        <v>114</v>
      </c>
      <c r="B68" s="69"/>
      <c r="C68" s="119"/>
      <c r="D68" s="119"/>
      <c r="E68" s="79">
        <v>0.34599999999999997</v>
      </c>
      <c r="F68" s="79">
        <v>0.1585</v>
      </c>
      <c r="G68" s="79">
        <v>0.14799999999999999</v>
      </c>
      <c r="H68" s="79">
        <v>0.1227</v>
      </c>
      <c r="I68" s="79">
        <v>0.1123</v>
      </c>
      <c r="J68" s="79">
        <v>0.1002</v>
      </c>
    </row>
    <row r="69" spans="1:10">
      <c r="A69" s="25" t="s">
        <v>118</v>
      </c>
      <c r="B69" s="69"/>
      <c r="C69" s="119"/>
      <c r="D69" s="119"/>
      <c r="E69" s="79">
        <v>0.39756394633018699</v>
      </c>
      <c r="F69" s="79">
        <v>0.22355650461113699</v>
      </c>
      <c r="G69" s="79">
        <v>0.20478249232156501</v>
      </c>
      <c r="H69" s="79">
        <v>0.18158032995888601</v>
      </c>
      <c r="I69" s="79">
        <v>0.15799219912083701</v>
      </c>
      <c r="J69" s="79">
        <v>0.14484381215727801</v>
      </c>
    </row>
    <row r="70" spans="1:10" ht="15.75" customHeight="1">
      <c r="A70" s="25" t="s">
        <v>116</v>
      </c>
      <c r="B70" s="69"/>
      <c r="C70" s="119"/>
      <c r="D70" s="119"/>
      <c r="E70" s="79">
        <v>0.291512936464002</v>
      </c>
      <c r="F70" s="79">
        <v>0.26399402881100997</v>
      </c>
      <c r="G70" s="79">
        <v>0.233491261294626</v>
      </c>
      <c r="H70" s="79">
        <v>0.21113269006391799</v>
      </c>
      <c r="I70" s="79">
        <v>0.19507357705713299</v>
      </c>
      <c r="J70" s="79">
        <v>0.18129304889974601</v>
      </c>
    </row>
    <row r="71" spans="1:10">
      <c r="A71" s="25" t="s">
        <v>119</v>
      </c>
      <c r="B71" s="69"/>
      <c r="C71" s="119"/>
      <c r="D71" s="119"/>
      <c r="E71" s="79">
        <v>0.27196096611639098</v>
      </c>
      <c r="F71" s="79">
        <v>0.22433280376824599</v>
      </c>
      <c r="G71" s="79">
        <v>0.18865265043169399</v>
      </c>
      <c r="H71" s="79">
        <v>0.170328945770269</v>
      </c>
      <c r="I71" s="79">
        <v>0.135268885580487</v>
      </c>
      <c r="J71" s="79">
        <v>0.1157042286086</v>
      </c>
    </row>
    <row r="72" spans="1:10">
      <c r="A72" s="25" t="s">
        <v>115</v>
      </c>
      <c r="B72" s="71"/>
      <c r="C72" s="119"/>
      <c r="D72" s="119"/>
      <c r="E72" s="79">
        <v>3.4007190455295502E-2</v>
      </c>
      <c r="F72" s="79">
        <v>1.8540988643578501E-2</v>
      </c>
      <c r="G72" s="79">
        <v>5.1625415651693402E-2</v>
      </c>
      <c r="H72" s="79">
        <v>5.2880000000000003E-2</v>
      </c>
      <c r="I72" s="79">
        <v>6.1302500000000003E-2</v>
      </c>
      <c r="J72" s="79">
        <v>5.6979666666666699E-2</v>
      </c>
    </row>
    <row r="73" spans="1:10">
      <c r="A73" s="25" t="s">
        <v>120</v>
      </c>
      <c r="B73" s="69"/>
      <c r="C73" s="119"/>
      <c r="D73" s="119"/>
      <c r="E73" s="79">
        <v>0.39079977029819801</v>
      </c>
      <c r="F73" s="79">
        <v>0.31680179366155398</v>
      </c>
      <c r="G73" s="79">
        <v>0.247040520251081</v>
      </c>
      <c r="H73" s="79">
        <v>0.19645740196730599</v>
      </c>
      <c r="I73" s="79">
        <v>0.14062786954259399</v>
      </c>
      <c r="J73" s="79">
        <v>0.10896778463336899</v>
      </c>
    </row>
    <row r="74" spans="1:10" ht="15" thickBot="1">
      <c r="A74" s="193" t="s">
        <v>122</v>
      </c>
      <c r="B74" s="194"/>
      <c r="C74" s="195"/>
      <c r="D74" s="195"/>
      <c r="E74" s="196"/>
      <c r="F74" s="196"/>
      <c r="G74" s="196"/>
      <c r="H74" s="196"/>
      <c r="I74" s="196"/>
      <c r="J74" s="196"/>
    </row>
    <row r="75" spans="1:10" ht="15" thickTop="1">
      <c r="A75" s="28" t="s">
        <v>123</v>
      </c>
      <c r="B75" s="72"/>
      <c r="C75" s="73"/>
      <c r="D75" s="73"/>
      <c r="E75" s="80"/>
      <c r="F75" s="80"/>
      <c r="G75" s="80"/>
      <c r="H75" s="80"/>
      <c r="I75" s="80"/>
      <c r="J75" s="80"/>
    </row>
    <row r="76" spans="1:10">
      <c r="A76" t="s">
        <v>4</v>
      </c>
      <c r="B76" s="119"/>
      <c r="C76" s="119"/>
      <c r="D76" s="119"/>
      <c r="E76" s="79">
        <v>0.59904349786621802</v>
      </c>
      <c r="F76" s="79">
        <v>0.58953184057405705</v>
      </c>
      <c r="G76" s="79">
        <v>0.58058777618706592</v>
      </c>
      <c r="H76" s="79">
        <v>0.57647886343895194</v>
      </c>
      <c r="I76" s="79">
        <v>0.57222910347817002</v>
      </c>
      <c r="J76" s="79">
        <v>0.57921885870032708</v>
      </c>
    </row>
    <row r="77" spans="1:10">
      <c r="A77" t="s">
        <v>141</v>
      </c>
      <c r="B77" s="119"/>
      <c r="C77" s="119"/>
      <c r="D77" s="119"/>
      <c r="E77" s="79">
        <v>0.117868456048504</v>
      </c>
      <c r="F77" s="79">
        <v>0.117921080403423</v>
      </c>
      <c r="G77" s="79">
        <v>0.11680653573663199</v>
      </c>
      <c r="H77" s="79">
        <v>0.115761440172734</v>
      </c>
      <c r="I77" s="79">
        <v>0.11398126999050801</v>
      </c>
      <c r="J77" s="79">
        <v>0.108651024817596</v>
      </c>
    </row>
    <row r="78" spans="1:10">
      <c r="A78" t="s">
        <v>6</v>
      </c>
      <c r="B78" s="119"/>
      <c r="C78" s="119"/>
      <c r="D78" s="119"/>
      <c r="E78" s="79">
        <v>5.6649499406085997E-2</v>
      </c>
      <c r="F78" s="79">
        <v>5.6850116170064198E-2</v>
      </c>
      <c r="G78" s="79">
        <v>5.52755554151649E-2</v>
      </c>
      <c r="H78" s="79">
        <v>5.4539473912822101E-2</v>
      </c>
      <c r="I78" s="79">
        <v>5.0885824507243299E-2</v>
      </c>
      <c r="J78" s="79">
        <v>4.8538795228307501E-2</v>
      </c>
    </row>
    <row r="79" spans="1:10">
      <c r="A79" t="s">
        <v>140</v>
      </c>
      <c r="B79" s="119"/>
      <c r="C79" s="119"/>
      <c r="D79" s="119"/>
      <c r="E79" s="79">
        <v>0.15235898056685401</v>
      </c>
      <c r="F79" s="79">
        <v>0.15129358271509499</v>
      </c>
      <c r="G79" s="79">
        <v>0.14883504462671801</v>
      </c>
      <c r="H79" s="79">
        <v>0.14875371209371899</v>
      </c>
      <c r="I79" s="79">
        <v>0.14654007665947499</v>
      </c>
      <c r="J79" s="79">
        <v>0.14116098557009499</v>
      </c>
    </row>
    <row r="80" spans="1:10">
      <c r="A80" t="s">
        <v>7</v>
      </c>
      <c r="B80" s="119"/>
      <c r="C80" s="119"/>
      <c r="D80" s="119"/>
      <c r="E80" s="79">
        <v>1.8945174845938401E-2</v>
      </c>
      <c r="F80" s="79">
        <v>1.8640095803024899E-2</v>
      </c>
      <c r="G80" s="79">
        <v>1.9051483894780799E-2</v>
      </c>
      <c r="H80" s="79">
        <v>1.7268350784946401E-2</v>
      </c>
      <c r="I80" s="79">
        <v>1.6599090879216499E-2</v>
      </c>
      <c r="J80" s="79">
        <v>1.6244367158973701E-2</v>
      </c>
    </row>
    <row r="81" spans="1:10">
      <c r="A81" t="s">
        <v>9</v>
      </c>
      <c r="B81" s="119"/>
      <c r="C81" s="119"/>
      <c r="D81" s="119"/>
      <c r="E81" s="79">
        <v>1.55128171120992E-3</v>
      </c>
      <c r="F81" s="79">
        <v>1.1139710401004001E-3</v>
      </c>
      <c r="G81" s="79">
        <v>1.0909353211524401E-3</v>
      </c>
      <c r="H81" s="79">
        <v>9.2584830221027097E-4</v>
      </c>
      <c r="I81" s="79">
        <v>7.2369092784375498E-4</v>
      </c>
      <c r="J81" s="79">
        <v>6.3142674968784103E-4</v>
      </c>
    </row>
    <row r="82" spans="1:10" s="21" customFormat="1">
      <c r="A82" s="190" t="s">
        <v>208</v>
      </c>
      <c r="B82" s="191"/>
      <c r="C82" s="191"/>
      <c r="D82" s="191"/>
      <c r="E82" s="192">
        <f t="shared" ref="E82:J82" si="38">SUM(E76:E81)</f>
        <v>0.94641689044481037</v>
      </c>
      <c r="F82" s="192">
        <f t="shared" si="38"/>
        <v>0.93535068670576449</v>
      </c>
      <c r="G82" s="192">
        <f t="shared" si="38"/>
        <v>0.92164733118151421</v>
      </c>
      <c r="H82" s="192">
        <f t="shared" si="38"/>
        <v>0.91372768870538379</v>
      </c>
      <c r="I82" s="192">
        <f t="shared" si="38"/>
        <v>0.90095905644245655</v>
      </c>
      <c r="J82" s="192">
        <f t="shared" si="38"/>
        <v>0.89444545822498711</v>
      </c>
    </row>
    <row r="83" spans="1:10" ht="13.5" customHeight="1">
      <c r="B83" s="70"/>
      <c r="C83" s="70"/>
      <c r="D83" s="70"/>
      <c r="E83" s="79"/>
      <c r="F83" s="79"/>
      <c r="G83" s="79"/>
      <c r="H83" s="79"/>
      <c r="I83" s="79"/>
      <c r="J83" s="79"/>
    </row>
    <row r="84" spans="1:10">
      <c r="A84" s="20" t="s">
        <v>142</v>
      </c>
      <c r="B84" s="124"/>
      <c r="C84" s="124"/>
      <c r="D84" s="124"/>
      <c r="E84" s="79">
        <v>2.4719633424403E-2</v>
      </c>
      <c r="F84" s="79">
        <v>2.4190476373964001E-2</v>
      </c>
      <c r="G84" s="79">
        <v>2.3507072339676E-2</v>
      </c>
      <c r="H84" s="79">
        <v>2.2731394884199702E-2</v>
      </c>
      <c r="I84" s="79">
        <v>2.2237597916664999E-2</v>
      </c>
      <c r="J84" s="79">
        <v>2.1587648168543201E-2</v>
      </c>
    </row>
    <row r="85" spans="1:10">
      <c r="A85" s="9" t="s">
        <v>153</v>
      </c>
      <c r="B85" s="119"/>
      <c r="C85" s="119"/>
      <c r="D85" s="119"/>
      <c r="E85" s="79">
        <v>0.17699999999999999</v>
      </c>
      <c r="F85" s="79">
        <v>0.33129999999999998</v>
      </c>
      <c r="G85" s="79">
        <v>0.33129999999999998</v>
      </c>
      <c r="H85" s="79">
        <v>0.33129999999999998</v>
      </c>
      <c r="I85" s="79">
        <v>0.33129999999999998</v>
      </c>
      <c r="J85" s="79">
        <v>0.33129999999999998</v>
      </c>
    </row>
    <row r="86" spans="1:10">
      <c r="A86" s="105" t="s">
        <v>207</v>
      </c>
      <c r="B86" s="119"/>
      <c r="C86" s="119"/>
      <c r="D86" s="119"/>
      <c r="E86" s="79">
        <v>1.14E-2</v>
      </c>
      <c r="F86" s="79">
        <v>1.0012791690293774E-2</v>
      </c>
      <c r="G86" s="79">
        <v>1.0012791690293774E-2</v>
      </c>
      <c r="H86" s="79">
        <v>1.0012791690293774E-2</v>
      </c>
      <c r="I86" s="79">
        <v>1.0012791690293774E-2</v>
      </c>
      <c r="J86" s="90">
        <v>1.0012791690293774E-2</v>
      </c>
    </row>
    <row r="87" spans="1:10">
      <c r="A87" s="105" t="s">
        <v>227</v>
      </c>
      <c r="B87" s="70"/>
      <c r="C87" s="119"/>
      <c r="D87" s="119"/>
      <c r="E87" s="79">
        <v>3.2399999999999998E-2</v>
      </c>
      <c r="F87" s="79">
        <v>3.2399999999999998E-2</v>
      </c>
      <c r="G87" s="79">
        <v>3.2399999999999998E-2</v>
      </c>
      <c r="H87" s="79">
        <v>3.2399999999999998E-2</v>
      </c>
      <c r="I87" s="79">
        <v>3.2399999999999998E-2</v>
      </c>
      <c r="J87" s="79">
        <v>3.2399999999999998E-2</v>
      </c>
    </row>
    <row r="88" spans="1:10">
      <c r="B88" s="70"/>
      <c r="C88" s="70"/>
      <c r="D88" s="70"/>
      <c r="E88" s="81"/>
      <c r="F88" s="81"/>
      <c r="G88" s="81"/>
      <c r="H88" s="81"/>
      <c r="I88" s="81"/>
      <c r="J88" s="80"/>
    </row>
    <row r="89" spans="1:10">
      <c r="B89" s="74"/>
      <c r="C89" s="74"/>
      <c r="D89" s="74"/>
      <c r="E89" s="82"/>
      <c r="F89" s="82"/>
      <c r="G89" s="82"/>
      <c r="H89" s="82"/>
      <c r="I89" s="82"/>
      <c r="J89" s="83"/>
    </row>
    <row r="90" spans="1:10">
      <c r="A90" s="1" t="s">
        <v>87</v>
      </c>
      <c r="B90" s="74"/>
      <c r="C90" s="74"/>
      <c r="D90" s="74"/>
      <c r="E90" s="82"/>
      <c r="F90" s="82"/>
      <c r="G90" s="82"/>
      <c r="H90" s="82"/>
      <c r="I90" s="82"/>
      <c r="J90" s="83"/>
    </row>
    <row r="91" spans="1:10">
      <c r="A91" s="112" t="s">
        <v>124</v>
      </c>
      <c r="B91" s="75"/>
      <c r="C91" s="75"/>
      <c r="D91" s="75"/>
      <c r="E91" s="91">
        <v>52</v>
      </c>
      <c r="F91" s="91">
        <v>52</v>
      </c>
      <c r="G91" s="91">
        <v>52</v>
      </c>
      <c r="H91" s="91">
        <v>52</v>
      </c>
      <c r="I91" s="91">
        <v>52</v>
      </c>
      <c r="J91" s="91">
        <v>52</v>
      </c>
    </row>
    <row r="92" spans="1:10">
      <c r="A92" s="112" t="s">
        <v>125</v>
      </c>
      <c r="B92" s="75"/>
      <c r="C92" s="75"/>
      <c r="D92" s="75"/>
      <c r="E92" s="91">
        <v>27</v>
      </c>
      <c r="F92" s="91">
        <v>27</v>
      </c>
      <c r="G92" s="91">
        <v>27</v>
      </c>
      <c r="H92" s="91">
        <v>27</v>
      </c>
      <c r="I92" s="91">
        <v>27</v>
      </c>
      <c r="J92" s="91">
        <v>27</v>
      </c>
    </row>
    <row r="93" spans="1:10">
      <c r="A93" s="24" t="s">
        <v>137</v>
      </c>
      <c r="B93" s="76"/>
      <c r="C93" s="122"/>
      <c r="D93" s="122"/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</row>
    <row r="94" spans="1:10">
      <c r="A94" s="24" t="s">
        <v>206</v>
      </c>
      <c r="B94" s="69"/>
      <c r="C94" s="123"/>
      <c r="D94" s="123"/>
      <c r="E94" s="79">
        <v>0.25766059620386161</v>
      </c>
      <c r="F94" s="92">
        <v>4.2044746602740712E-2</v>
      </c>
      <c r="G94" s="92">
        <v>-1.6795848081721299E-2</v>
      </c>
      <c r="H94" s="92">
        <v>5.6120504100572344E-2</v>
      </c>
      <c r="I94" s="92">
        <v>0.12973606917604741</v>
      </c>
      <c r="J94" s="92">
        <v>0.11077593556715315</v>
      </c>
    </row>
    <row r="95" spans="1:10">
      <c r="A95" s="24" t="s">
        <v>126</v>
      </c>
      <c r="B95" s="69"/>
      <c r="C95" s="123"/>
      <c r="D95" s="123"/>
      <c r="E95" s="79">
        <v>0.7573870583899045</v>
      </c>
      <c r="F95" s="79">
        <v>4.5329364181662335E-2</v>
      </c>
      <c r="G95" s="79">
        <v>4.0707309092281152E-2</v>
      </c>
      <c r="H95" s="79">
        <v>-7.3724301880662813E-2</v>
      </c>
      <c r="I95" s="79">
        <v>6.4877847130080601E-2</v>
      </c>
      <c r="J95" s="90">
        <v>2.4019319593766131E-2</v>
      </c>
    </row>
    <row r="96" spans="1:10">
      <c r="A96" s="24"/>
      <c r="B96" s="74"/>
      <c r="C96" s="74"/>
      <c r="D96" s="74"/>
      <c r="E96" s="82"/>
      <c r="F96" s="82"/>
      <c r="G96" s="82"/>
      <c r="H96" s="82"/>
      <c r="I96" s="82"/>
      <c r="J96" s="83"/>
    </row>
    <row r="97" spans="1:10">
      <c r="A97" s="24" t="s">
        <v>127</v>
      </c>
      <c r="B97" s="75"/>
      <c r="C97" s="75"/>
      <c r="D97" s="75"/>
      <c r="E97" s="113">
        <v>101.09260259713299</v>
      </c>
      <c r="F97" s="113">
        <v>100.952085356278</v>
      </c>
      <c r="G97" s="113">
        <v>101.376050707928</v>
      </c>
      <c r="H97" s="113">
        <v>101.845753669524</v>
      </c>
      <c r="I97" s="113">
        <v>102.315674461631</v>
      </c>
      <c r="J97" s="113">
        <v>102.75666726697099</v>
      </c>
    </row>
    <row r="98" spans="1:10">
      <c r="A98" s="112" t="s">
        <v>139</v>
      </c>
      <c r="B98" s="123"/>
      <c r="C98" s="123"/>
      <c r="D98" s="123"/>
      <c r="E98" s="93">
        <v>0.1</v>
      </c>
      <c r="F98" s="93">
        <v>0.1</v>
      </c>
      <c r="G98" s="93">
        <v>0.1</v>
      </c>
      <c r="H98" s="93">
        <v>0.1</v>
      </c>
      <c r="I98" s="93">
        <v>0.1</v>
      </c>
      <c r="J98" s="93">
        <v>0.1</v>
      </c>
    </row>
    <row r="99" spans="1:10">
      <c r="A99" s="24" t="s">
        <v>138</v>
      </c>
      <c r="B99" s="123"/>
      <c r="C99" s="123"/>
      <c r="D99" s="123"/>
      <c r="E99" s="114">
        <v>4.3581137280542401E-2</v>
      </c>
      <c r="F99" s="114">
        <v>3.8574669548790699E-2</v>
      </c>
      <c r="G99" s="114">
        <v>2.6736332469006401E-2</v>
      </c>
      <c r="H99" s="114">
        <v>2.66567665696863E-2</v>
      </c>
      <c r="I99" s="114">
        <v>2.66312009563748E-2</v>
      </c>
      <c r="J99" s="114">
        <v>2.7833528702566199E-2</v>
      </c>
    </row>
    <row r="100" spans="1:10">
      <c r="A100" s="24"/>
      <c r="B100" s="74"/>
      <c r="C100" s="74"/>
      <c r="D100" s="74"/>
      <c r="E100" s="82"/>
      <c r="F100" s="82"/>
      <c r="G100" s="82"/>
      <c r="H100" s="82"/>
      <c r="I100" s="82"/>
      <c r="J100" s="83"/>
    </row>
    <row r="101" spans="1:10">
      <c r="A101" s="24" t="s">
        <v>128</v>
      </c>
      <c r="B101" s="123"/>
      <c r="C101" s="123"/>
      <c r="D101" s="123"/>
      <c r="E101" s="114">
        <v>6.92754142754963E-2</v>
      </c>
      <c r="F101" s="114">
        <v>6.9238624188191294E-2</v>
      </c>
      <c r="G101" s="114">
        <v>6.8442595260289202E-2</v>
      </c>
      <c r="H101" s="114">
        <v>6.7442043002263696E-2</v>
      </c>
      <c r="I101" s="114">
        <v>6.0999150637040402E-2</v>
      </c>
      <c r="J101" s="114">
        <v>5.8499150637040399E-2</v>
      </c>
    </row>
    <row r="102" spans="1:10">
      <c r="A102" s="112" t="s">
        <v>230</v>
      </c>
      <c r="B102" s="74"/>
      <c r="C102" s="119"/>
      <c r="D102" s="119"/>
      <c r="E102" s="114">
        <v>0.1</v>
      </c>
      <c r="F102" s="114">
        <v>0.1</v>
      </c>
      <c r="G102" s="114">
        <v>0.1</v>
      </c>
      <c r="H102" s="114">
        <v>0.1</v>
      </c>
      <c r="I102" s="114">
        <v>0.1</v>
      </c>
      <c r="J102" s="114">
        <v>0.1</v>
      </c>
    </row>
    <row r="103" spans="1:10">
      <c r="A103" s="112" t="s">
        <v>129</v>
      </c>
      <c r="B103" s="77"/>
      <c r="C103" s="124"/>
      <c r="D103" s="124"/>
      <c r="E103" s="115">
        <v>0.33</v>
      </c>
      <c r="F103" s="115">
        <v>0.33</v>
      </c>
      <c r="G103" s="115">
        <v>0.33</v>
      </c>
      <c r="H103" s="115">
        <v>0.33</v>
      </c>
      <c r="I103" s="115">
        <v>0.33</v>
      </c>
      <c r="J103" s="115">
        <v>0.33</v>
      </c>
    </row>
    <row r="104" spans="1:10">
      <c r="A104" s="112" t="s">
        <v>130</v>
      </c>
      <c r="B104" s="74"/>
      <c r="C104" s="119"/>
      <c r="D104" s="119"/>
      <c r="E104" s="115">
        <v>0.35</v>
      </c>
      <c r="F104" s="115">
        <v>0.35</v>
      </c>
      <c r="G104" s="115">
        <v>0.35</v>
      </c>
      <c r="H104" s="115">
        <v>0.35</v>
      </c>
      <c r="I104" s="115">
        <v>0.35</v>
      </c>
      <c r="J104" s="115">
        <v>0.35</v>
      </c>
    </row>
    <row r="105" spans="1:10">
      <c r="A105" s="24"/>
      <c r="B105" s="74"/>
      <c r="C105" s="74"/>
      <c r="D105" s="74"/>
      <c r="E105" s="82"/>
      <c r="F105" s="82"/>
      <c r="G105" s="82"/>
      <c r="H105" s="82"/>
      <c r="I105" s="82"/>
      <c r="J105" s="83"/>
    </row>
    <row r="106" spans="1:10">
      <c r="A106" s="24" t="s">
        <v>131</v>
      </c>
      <c r="B106" s="125"/>
      <c r="C106" s="125"/>
      <c r="D106" s="125"/>
      <c r="E106" s="91">
        <v>0</v>
      </c>
      <c r="F106" s="91">
        <v>0</v>
      </c>
      <c r="G106" s="91">
        <v>0</v>
      </c>
      <c r="H106" s="91">
        <v>0</v>
      </c>
      <c r="I106" s="91">
        <v>0</v>
      </c>
      <c r="J106" s="116">
        <v>0</v>
      </c>
    </row>
    <row r="107" spans="1:10">
      <c r="A107" s="24" t="s">
        <v>132</v>
      </c>
      <c r="B107" s="78"/>
      <c r="C107" s="126"/>
      <c r="D107" s="126"/>
      <c r="E107" s="91">
        <v>0</v>
      </c>
      <c r="F107" s="91">
        <v>0</v>
      </c>
      <c r="G107" s="91">
        <v>0</v>
      </c>
      <c r="H107" s="91">
        <v>0</v>
      </c>
      <c r="I107" s="91">
        <v>0</v>
      </c>
      <c r="J107" s="116">
        <v>0</v>
      </c>
    </row>
    <row r="108" spans="1:10">
      <c r="A108" s="24" t="s">
        <v>133</v>
      </c>
      <c r="B108" s="126"/>
      <c r="C108" s="126"/>
      <c r="D108" s="126"/>
      <c r="E108" s="91">
        <v>0</v>
      </c>
      <c r="F108" s="91">
        <v>0</v>
      </c>
      <c r="G108" s="91">
        <v>0</v>
      </c>
      <c r="H108" s="91">
        <v>0</v>
      </c>
      <c r="I108" s="91">
        <v>0</v>
      </c>
      <c r="J108" s="116">
        <v>0</v>
      </c>
    </row>
    <row r="109" spans="1:10">
      <c r="A109" s="24" t="s">
        <v>134</v>
      </c>
      <c r="B109" s="122"/>
      <c r="C109" s="122"/>
      <c r="D109" s="122"/>
      <c r="E109" s="91">
        <v>0</v>
      </c>
      <c r="F109" s="91">
        <v>0</v>
      </c>
      <c r="G109" s="91">
        <v>0</v>
      </c>
      <c r="H109" s="91">
        <v>0</v>
      </c>
      <c r="I109" s="91">
        <v>0</v>
      </c>
      <c r="J109" s="116">
        <v>0</v>
      </c>
    </row>
    <row r="110" spans="1:10">
      <c r="A110" s="24"/>
      <c r="B110" s="74"/>
      <c r="C110" s="74"/>
      <c r="D110" s="74"/>
      <c r="E110" s="82"/>
      <c r="F110" s="82"/>
      <c r="G110" s="82"/>
      <c r="H110" s="82"/>
      <c r="I110" s="82"/>
      <c r="J110" s="83"/>
    </row>
    <row r="111" spans="1:10">
      <c r="A111" s="24" t="s">
        <v>135</v>
      </c>
      <c r="B111" s="74"/>
      <c r="C111" s="123"/>
      <c r="D111" s="123"/>
      <c r="E111" s="114">
        <v>0.01</v>
      </c>
      <c r="F111" s="114">
        <v>0.01</v>
      </c>
      <c r="G111" s="114">
        <v>0.01</v>
      </c>
      <c r="H111" s="114">
        <v>0.01</v>
      </c>
      <c r="I111" s="114">
        <v>0.01</v>
      </c>
      <c r="J111" s="117">
        <v>0.01</v>
      </c>
    </row>
    <row r="112" spans="1:10">
      <c r="A112" s="24" t="s">
        <v>136</v>
      </c>
      <c r="B112" s="74"/>
      <c r="C112" s="123"/>
      <c r="D112" s="123"/>
      <c r="E112" s="114">
        <v>0.01</v>
      </c>
      <c r="F112" s="114">
        <v>0.01</v>
      </c>
      <c r="G112" s="114">
        <v>0.01</v>
      </c>
      <c r="H112" s="114">
        <v>0.01</v>
      </c>
      <c r="I112" s="114">
        <v>0.01</v>
      </c>
      <c r="J112" s="117">
        <v>0.01</v>
      </c>
    </row>
    <row r="115" spans="1:1021 1030:2041 2050:3071 3080:4091 4100:6141 6150:7161 7170:8191 8200:9211 9220:11261 11270:12281 12290:13311 13320:14331 14340:16381">
      <c r="A115" s="3" t="s">
        <v>918</v>
      </c>
      <c r="B115" s="2"/>
      <c r="C115" s="2"/>
      <c r="D115" s="2"/>
      <c r="E115" s="2"/>
      <c r="F115" s="2"/>
      <c r="G115" s="2"/>
      <c r="H115" s="2"/>
      <c r="I115" s="2"/>
      <c r="J115" s="15"/>
      <c r="K115" s="22"/>
      <c r="T115" s="21"/>
      <c r="U115" s="22"/>
      <c r="AD115" s="21"/>
      <c r="AE115" s="22"/>
      <c r="AN115" s="21"/>
      <c r="AO115" s="22"/>
      <c r="AX115" s="21"/>
      <c r="AY115" s="22"/>
      <c r="BH115" s="21"/>
      <c r="BI115" s="22"/>
      <c r="BR115" s="21"/>
      <c r="BS115" s="22"/>
      <c r="CB115" s="21"/>
      <c r="CC115" s="22"/>
      <c r="CL115" s="21"/>
      <c r="CM115" s="22"/>
      <c r="CV115" s="21"/>
      <c r="CW115" s="22"/>
      <c r="DF115" s="21"/>
      <c r="DG115" s="22"/>
      <c r="DP115" s="21"/>
      <c r="DQ115" s="22"/>
      <c r="DZ115" s="21"/>
      <c r="EA115" s="22"/>
      <c r="EJ115" s="21"/>
      <c r="EK115" s="22"/>
      <c r="ET115" s="21"/>
      <c r="EU115" s="22"/>
      <c r="FD115" s="21"/>
      <c r="FE115" s="22"/>
      <c r="FN115" s="21"/>
      <c r="FO115" s="22"/>
      <c r="FX115" s="21"/>
      <c r="FY115" s="22"/>
      <c r="GH115" s="21"/>
      <c r="GI115" s="22"/>
      <c r="GR115" s="21"/>
      <c r="GS115" s="22"/>
      <c r="HB115" s="21"/>
      <c r="HC115" s="22"/>
      <c r="HL115" s="21"/>
      <c r="HM115" s="22"/>
      <c r="HV115" s="21"/>
      <c r="HW115" s="22"/>
      <c r="IF115" s="21"/>
      <c r="IG115" s="22"/>
      <c r="IP115" s="21"/>
      <c r="IQ115" s="22"/>
      <c r="IZ115" s="21"/>
      <c r="JA115" s="22"/>
      <c r="JJ115" s="21"/>
      <c r="JK115" s="22"/>
      <c r="JT115" s="21"/>
      <c r="JU115" s="22"/>
      <c r="KD115" s="21"/>
      <c r="KE115" s="22"/>
      <c r="KN115" s="21"/>
      <c r="KO115" s="22"/>
      <c r="KX115" s="21"/>
      <c r="KY115" s="22"/>
      <c r="LH115" s="21"/>
      <c r="LI115" s="22"/>
      <c r="LR115" s="21"/>
      <c r="LS115" s="22"/>
      <c r="MB115" s="21"/>
      <c r="MC115" s="22"/>
      <c r="ML115" s="21"/>
      <c r="MM115" s="22"/>
      <c r="MV115" s="21"/>
      <c r="MW115" s="22"/>
      <c r="NF115" s="21"/>
      <c r="NG115" s="22"/>
      <c r="NP115" s="21"/>
      <c r="NQ115" s="22"/>
      <c r="NZ115" s="21"/>
      <c r="OA115" s="22"/>
      <c r="OJ115" s="21"/>
      <c r="OK115" s="22"/>
      <c r="OT115" s="21"/>
      <c r="OU115" s="22"/>
      <c r="PD115" s="21"/>
      <c r="PE115" s="22"/>
      <c r="PN115" s="21"/>
      <c r="PO115" s="22"/>
      <c r="PX115" s="21"/>
      <c r="PY115" s="22"/>
      <c r="QH115" s="21"/>
      <c r="QI115" s="22"/>
      <c r="QR115" s="21"/>
      <c r="QS115" s="22"/>
      <c r="RB115" s="21"/>
      <c r="RC115" s="22"/>
      <c r="RL115" s="21"/>
      <c r="RM115" s="22"/>
      <c r="RV115" s="21"/>
      <c r="RW115" s="22"/>
      <c r="SF115" s="21"/>
      <c r="SG115" s="22"/>
      <c r="SP115" s="21"/>
      <c r="SQ115" s="22"/>
      <c r="SZ115" s="21"/>
      <c r="TA115" s="22"/>
      <c r="TJ115" s="21"/>
      <c r="TK115" s="22"/>
      <c r="TT115" s="21"/>
      <c r="TU115" s="22"/>
      <c r="UD115" s="21"/>
      <c r="UE115" s="22"/>
      <c r="UN115" s="21"/>
      <c r="UO115" s="22"/>
      <c r="UX115" s="21"/>
      <c r="UY115" s="22"/>
      <c r="VH115" s="21"/>
      <c r="VI115" s="22"/>
      <c r="VR115" s="21"/>
      <c r="VS115" s="22"/>
      <c r="WB115" s="21"/>
      <c r="WC115" s="22"/>
      <c r="WL115" s="21"/>
      <c r="WM115" s="22"/>
      <c r="WV115" s="21"/>
      <c r="WW115" s="22"/>
      <c r="XF115" s="21"/>
      <c r="XG115" s="22"/>
      <c r="XP115" s="21"/>
      <c r="XQ115" s="22"/>
      <c r="XZ115" s="21"/>
      <c r="YA115" s="22"/>
      <c r="YJ115" s="21"/>
      <c r="YK115" s="22"/>
      <c r="YT115" s="21"/>
      <c r="YU115" s="22"/>
      <c r="ZD115" s="21"/>
      <c r="ZE115" s="22"/>
      <c r="ZN115" s="21"/>
      <c r="ZO115" s="22"/>
      <c r="ZX115" s="21"/>
      <c r="ZY115" s="22"/>
      <c r="AAH115" s="21"/>
      <c r="AAI115" s="22"/>
      <c r="AAR115" s="21"/>
      <c r="AAS115" s="22"/>
      <c r="ABB115" s="21"/>
      <c r="ABC115" s="22"/>
      <c r="ABL115" s="21"/>
      <c r="ABM115" s="22"/>
      <c r="ABV115" s="21"/>
      <c r="ABW115" s="22"/>
      <c r="ACF115" s="21"/>
      <c r="ACG115" s="22"/>
      <c r="ACP115" s="21"/>
      <c r="ACQ115" s="22"/>
      <c r="ACZ115" s="21"/>
      <c r="ADA115" s="22"/>
      <c r="ADJ115" s="21"/>
      <c r="ADK115" s="22"/>
      <c r="ADT115" s="21"/>
      <c r="ADU115" s="22"/>
      <c r="AED115" s="21"/>
      <c r="AEE115" s="22"/>
      <c r="AEN115" s="21"/>
      <c r="AEO115" s="22"/>
      <c r="AEX115" s="21"/>
      <c r="AEY115" s="22"/>
      <c r="AFH115" s="21"/>
      <c r="AFI115" s="22"/>
      <c r="AFR115" s="21"/>
      <c r="AFS115" s="22"/>
      <c r="AGB115" s="21"/>
      <c r="AGC115" s="22"/>
      <c r="AGL115" s="21"/>
      <c r="AGM115" s="22"/>
      <c r="AGV115" s="21"/>
      <c r="AGW115" s="22"/>
      <c r="AHF115" s="21"/>
      <c r="AHG115" s="22"/>
      <c r="AHP115" s="21"/>
      <c r="AHQ115" s="22"/>
      <c r="AHZ115" s="21"/>
      <c r="AIA115" s="22"/>
      <c r="AIJ115" s="21"/>
      <c r="AIK115" s="22"/>
      <c r="AIT115" s="21"/>
      <c r="AIU115" s="22"/>
      <c r="AJD115" s="21"/>
      <c r="AJE115" s="22"/>
      <c r="AJN115" s="21"/>
      <c r="AJO115" s="22"/>
      <c r="AJX115" s="21"/>
      <c r="AJY115" s="22"/>
      <c r="AKH115" s="21"/>
      <c r="AKI115" s="22"/>
      <c r="AKR115" s="21"/>
      <c r="AKS115" s="22"/>
      <c r="ALB115" s="21"/>
      <c r="ALC115" s="22"/>
      <c r="ALL115" s="21"/>
      <c r="ALM115" s="22"/>
      <c r="ALV115" s="21"/>
      <c r="ALW115" s="22"/>
      <c r="AMF115" s="21"/>
      <c r="AMG115" s="22"/>
      <c r="AMP115" s="21"/>
      <c r="AMQ115" s="22"/>
      <c r="AMZ115" s="21"/>
      <c r="ANA115" s="22"/>
      <c r="ANJ115" s="21"/>
      <c r="ANK115" s="22"/>
      <c r="ANT115" s="21"/>
      <c r="ANU115" s="22"/>
      <c r="AOD115" s="21"/>
      <c r="AOE115" s="22"/>
      <c r="AON115" s="21"/>
      <c r="AOO115" s="22"/>
      <c r="AOX115" s="21"/>
      <c r="AOY115" s="22"/>
      <c r="APH115" s="21"/>
      <c r="API115" s="22"/>
      <c r="APR115" s="21"/>
      <c r="APS115" s="22"/>
      <c r="AQB115" s="21"/>
      <c r="AQC115" s="22"/>
      <c r="AQL115" s="21"/>
      <c r="AQM115" s="22"/>
      <c r="AQV115" s="21"/>
      <c r="AQW115" s="22"/>
      <c r="ARF115" s="21"/>
      <c r="ARG115" s="22"/>
      <c r="ARP115" s="21"/>
      <c r="ARQ115" s="22"/>
      <c r="ARZ115" s="21"/>
      <c r="ASA115" s="22"/>
      <c r="ASJ115" s="21"/>
      <c r="ASK115" s="22"/>
      <c r="AST115" s="21"/>
      <c r="ASU115" s="22"/>
      <c r="ATD115" s="21"/>
      <c r="ATE115" s="22"/>
      <c r="ATN115" s="21"/>
      <c r="ATO115" s="22"/>
      <c r="ATX115" s="21"/>
      <c r="ATY115" s="22"/>
      <c r="AUH115" s="21"/>
      <c r="AUI115" s="22"/>
      <c r="AUR115" s="21"/>
      <c r="AUS115" s="22"/>
      <c r="AVB115" s="21"/>
      <c r="AVC115" s="22"/>
      <c r="AVL115" s="21"/>
      <c r="AVM115" s="22"/>
      <c r="AVV115" s="21"/>
      <c r="AVW115" s="22"/>
      <c r="AWF115" s="21"/>
      <c r="AWG115" s="22"/>
      <c r="AWP115" s="21"/>
      <c r="AWQ115" s="22"/>
      <c r="AWZ115" s="21"/>
      <c r="AXA115" s="22"/>
      <c r="AXJ115" s="21"/>
      <c r="AXK115" s="22"/>
      <c r="AXT115" s="21"/>
      <c r="AXU115" s="22"/>
      <c r="AYD115" s="21"/>
      <c r="AYE115" s="22"/>
      <c r="AYN115" s="21"/>
      <c r="AYO115" s="22"/>
      <c r="AYX115" s="21"/>
      <c r="AYY115" s="22"/>
      <c r="AZH115" s="21"/>
      <c r="AZI115" s="22"/>
      <c r="AZR115" s="21"/>
      <c r="AZS115" s="22"/>
      <c r="BAB115" s="21"/>
      <c r="BAC115" s="22"/>
      <c r="BAL115" s="21"/>
      <c r="BAM115" s="22"/>
      <c r="BAV115" s="21"/>
      <c r="BAW115" s="22"/>
      <c r="BBF115" s="21"/>
      <c r="BBG115" s="22"/>
      <c r="BBP115" s="21"/>
      <c r="BBQ115" s="22"/>
      <c r="BBZ115" s="21"/>
      <c r="BCA115" s="22"/>
      <c r="BCJ115" s="21"/>
      <c r="BCK115" s="22"/>
      <c r="BCT115" s="21"/>
      <c r="BCU115" s="22"/>
      <c r="BDD115" s="21"/>
      <c r="BDE115" s="22"/>
      <c r="BDN115" s="21"/>
      <c r="BDO115" s="22"/>
      <c r="BDX115" s="21"/>
      <c r="BDY115" s="22"/>
      <c r="BEH115" s="21"/>
      <c r="BEI115" s="22"/>
      <c r="BER115" s="21"/>
      <c r="BES115" s="22"/>
      <c r="BFB115" s="21"/>
      <c r="BFC115" s="22"/>
      <c r="BFL115" s="21"/>
      <c r="BFM115" s="22"/>
      <c r="BFV115" s="21"/>
      <c r="BFW115" s="22"/>
      <c r="BGF115" s="21"/>
      <c r="BGG115" s="22"/>
      <c r="BGP115" s="21"/>
      <c r="BGQ115" s="22"/>
      <c r="BGZ115" s="21"/>
      <c r="BHA115" s="22"/>
      <c r="BHJ115" s="21"/>
      <c r="BHK115" s="22"/>
      <c r="BHT115" s="21"/>
      <c r="BHU115" s="22"/>
      <c r="BID115" s="21"/>
      <c r="BIE115" s="22"/>
      <c r="BIN115" s="21"/>
      <c r="BIO115" s="22"/>
      <c r="BIX115" s="21"/>
      <c r="BIY115" s="22"/>
      <c r="BJH115" s="21"/>
      <c r="BJI115" s="22"/>
      <c r="BJR115" s="21"/>
      <c r="BJS115" s="22"/>
      <c r="BKB115" s="21"/>
      <c r="BKC115" s="22"/>
      <c r="BKL115" s="21"/>
      <c r="BKM115" s="22"/>
      <c r="BKV115" s="21"/>
      <c r="BKW115" s="22"/>
      <c r="BLF115" s="21"/>
      <c r="BLG115" s="22"/>
      <c r="BLP115" s="21"/>
      <c r="BLQ115" s="22"/>
      <c r="BLZ115" s="21"/>
      <c r="BMA115" s="22"/>
      <c r="BMJ115" s="21"/>
      <c r="BMK115" s="22"/>
      <c r="BMT115" s="21"/>
      <c r="BMU115" s="22"/>
      <c r="BND115" s="21"/>
      <c r="BNE115" s="22"/>
      <c r="BNN115" s="21"/>
      <c r="BNO115" s="22"/>
      <c r="BNX115" s="21"/>
      <c r="BNY115" s="22"/>
      <c r="BOH115" s="21"/>
      <c r="BOI115" s="22"/>
      <c r="BOR115" s="21"/>
      <c r="BOS115" s="22"/>
      <c r="BPB115" s="21"/>
      <c r="BPC115" s="22"/>
      <c r="BPL115" s="21"/>
      <c r="BPM115" s="22"/>
      <c r="BPV115" s="21"/>
      <c r="BPW115" s="22"/>
      <c r="BQF115" s="21"/>
      <c r="BQG115" s="22"/>
      <c r="BQP115" s="21"/>
      <c r="BQQ115" s="22"/>
      <c r="BQZ115" s="21"/>
      <c r="BRA115" s="22"/>
      <c r="BRJ115" s="21"/>
      <c r="BRK115" s="22"/>
      <c r="BRT115" s="21"/>
      <c r="BRU115" s="22"/>
      <c r="BSD115" s="21"/>
      <c r="BSE115" s="22"/>
      <c r="BSN115" s="21"/>
      <c r="BSO115" s="22"/>
      <c r="BSX115" s="21"/>
      <c r="BSY115" s="22"/>
      <c r="BTH115" s="21"/>
      <c r="BTI115" s="22"/>
      <c r="BTR115" s="21"/>
      <c r="BTS115" s="22"/>
      <c r="BUB115" s="21"/>
      <c r="BUC115" s="22"/>
      <c r="BUL115" s="21"/>
      <c r="BUM115" s="22"/>
      <c r="BUV115" s="21"/>
      <c r="BUW115" s="22"/>
      <c r="BVF115" s="21"/>
      <c r="BVG115" s="22"/>
      <c r="BVP115" s="21"/>
      <c r="BVQ115" s="22"/>
      <c r="BVZ115" s="21"/>
      <c r="BWA115" s="22"/>
      <c r="BWJ115" s="21"/>
      <c r="BWK115" s="22"/>
      <c r="BWT115" s="21"/>
      <c r="BWU115" s="22"/>
      <c r="BXD115" s="21"/>
      <c r="BXE115" s="22"/>
      <c r="BXN115" s="21"/>
      <c r="BXO115" s="22"/>
      <c r="BXX115" s="21"/>
      <c r="BXY115" s="22"/>
      <c r="BYH115" s="21"/>
      <c r="BYI115" s="22"/>
      <c r="BYR115" s="21"/>
      <c r="BYS115" s="22"/>
      <c r="BZB115" s="21"/>
      <c r="BZC115" s="22"/>
      <c r="BZL115" s="21"/>
      <c r="BZM115" s="22"/>
      <c r="BZV115" s="21"/>
      <c r="BZW115" s="22"/>
      <c r="CAF115" s="21"/>
      <c r="CAG115" s="22"/>
      <c r="CAP115" s="21"/>
      <c r="CAQ115" s="22"/>
      <c r="CAZ115" s="21"/>
      <c r="CBA115" s="22"/>
      <c r="CBJ115" s="21"/>
      <c r="CBK115" s="22"/>
      <c r="CBT115" s="21"/>
      <c r="CBU115" s="22"/>
      <c r="CCD115" s="21"/>
      <c r="CCE115" s="22"/>
      <c r="CCN115" s="21"/>
      <c r="CCO115" s="22"/>
      <c r="CCX115" s="21"/>
      <c r="CCY115" s="22"/>
      <c r="CDH115" s="21"/>
      <c r="CDI115" s="22"/>
      <c r="CDR115" s="21"/>
      <c r="CDS115" s="22"/>
      <c r="CEB115" s="21"/>
      <c r="CEC115" s="22"/>
      <c r="CEL115" s="21"/>
      <c r="CEM115" s="22"/>
      <c r="CEV115" s="21"/>
      <c r="CEW115" s="22"/>
      <c r="CFF115" s="21"/>
      <c r="CFG115" s="22"/>
      <c r="CFP115" s="21"/>
      <c r="CFQ115" s="22"/>
      <c r="CFZ115" s="21"/>
      <c r="CGA115" s="22"/>
      <c r="CGJ115" s="21"/>
      <c r="CGK115" s="22"/>
      <c r="CGT115" s="21"/>
      <c r="CGU115" s="22"/>
      <c r="CHD115" s="21"/>
      <c r="CHE115" s="22"/>
      <c r="CHN115" s="21"/>
      <c r="CHO115" s="22"/>
      <c r="CHX115" s="21"/>
      <c r="CHY115" s="22"/>
      <c r="CIH115" s="21"/>
      <c r="CII115" s="22"/>
      <c r="CIR115" s="21"/>
      <c r="CIS115" s="22"/>
      <c r="CJB115" s="21"/>
      <c r="CJC115" s="22"/>
      <c r="CJL115" s="21"/>
      <c r="CJM115" s="22"/>
      <c r="CJV115" s="21"/>
      <c r="CJW115" s="22"/>
      <c r="CKF115" s="21"/>
      <c r="CKG115" s="22"/>
      <c r="CKP115" s="21"/>
      <c r="CKQ115" s="22"/>
      <c r="CKZ115" s="21"/>
      <c r="CLA115" s="22"/>
      <c r="CLJ115" s="21"/>
      <c r="CLK115" s="22"/>
      <c r="CLT115" s="21"/>
      <c r="CLU115" s="22"/>
      <c r="CMD115" s="21"/>
      <c r="CME115" s="22"/>
      <c r="CMN115" s="21"/>
      <c r="CMO115" s="22"/>
      <c r="CMX115" s="21"/>
      <c r="CMY115" s="22"/>
      <c r="CNH115" s="21"/>
      <c r="CNI115" s="22"/>
      <c r="CNR115" s="21"/>
      <c r="CNS115" s="22"/>
      <c r="COB115" s="21"/>
      <c r="COC115" s="22"/>
      <c r="COL115" s="21"/>
      <c r="COM115" s="22"/>
      <c r="COV115" s="21"/>
      <c r="COW115" s="22"/>
      <c r="CPF115" s="21"/>
      <c r="CPG115" s="22"/>
      <c r="CPP115" s="21"/>
      <c r="CPQ115" s="22"/>
      <c r="CPZ115" s="21"/>
      <c r="CQA115" s="22"/>
      <c r="CQJ115" s="21"/>
      <c r="CQK115" s="22"/>
      <c r="CQT115" s="21"/>
      <c r="CQU115" s="22"/>
      <c r="CRD115" s="21"/>
      <c r="CRE115" s="22"/>
      <c r="CRN115" s="21"/>
      <c r="CRO115" s="22"/>
      <c r="CRX115" s="21"/>
      <c r="CRY115" s="22"/>
      <c r="CSH115" s="21"/>
      <c r="CSI115" s="22"/>
      <c r="CSR115" s="21"/>
      <c r="CSS115" s="22"/>
      <c r="CTB115" s="21"/>
      <c r="CTC115" s="22"/>
      <c r="CTL115" s="21"/>
      <c r="CTM115" s="22"/>
      <c r="CTV115" s="21"/>
      <c r="CTW115" s="22"/>
      <c r="CUF115" s="21"/>
      <c r="CUG115" s="22"/>
      <c r="CUP115" s="21"/>
      <c r="CUQ115" s="22"/>
      <c r="CUZ115" s="21"/>
      <c r="CVA115" s="22"/>
      <c r="CVJ115" s="21"/>
      <c r="CVK115" s="22"/>
      <c r="CVT115" s="21"/>
      <c r="CVU115" s="22"/>
      <c r="CWD115" s="21"/>
      <c r="CWE115" s="22"/>
      <c r="CWN115" s="21"/>
      <c r="CWO115" s="22"/>
      <c r="CWX115" s="21"/>
      <c r="CWY115" s="22"/>
      <c r="CXH115" s="21"/>
      <c r="CXI115" s="22"/>
      <c r="CXR115" s="21"/>
      <c r="CXS115" s="22"/>
      <c r="CYB115" s="21"/>
      <c r="CYC115" s="22"/>
      <c r="CYL115" s="21"/>
      <c r="CYM115" s="22"/>
      <c r="CYV115" s="21"/>
      <c r="CYW115" s="22"/>
      <c r="CZF115" s="21"/>
      <c r="CZG115" s="22"/>
      <c r="CZP115" s="21"/>
      <c r="CZQ115" s="22"/>
      <c r="CZZ115" s="21"/>
      <c r="DAA115" s="22"/>
      <c r="DAJ115" s="21"/>
      <c r="DAK115" s="22"/>
      <c r="DAT115" s="21"/>
      <c r="DAU115" s="22"/>
      <c r="DBD115" s="21"/>
      <c r="DBE115" s="22"/>
      <c r="DBN115" s="21"/>
      <c r="DBO115" s="22"/>
      <c r="DBX115" s="21"/>
      <c r="DBY115" s="22"/>
      <c r="DCH115" s="21"/>
      <c r="DCI115" s="22"/>
      <c r="DCR115" s="21"/>
      <c r="DCS115" s="22"/>
      <c r="DDB115" s="21"/>
      <c r="DDC115" s="22"/>
      <c r="DDL115" s="21"/>
      <c r="DDM115" s="22"/>
      <c r="DDV115" s="21"/>
      <c r="DDW115" s="22"/>
      <c r="DEF115" s="21"/>
      <c r="DEG115" s="22"/>
      <c r="DEP115" s="21"/>
      <c r="DEQ115" s="22"/>
      <c r="DEZ115" s="21"/>
      <c r="DFA115" s="22"/>
      <c r="DFJ115" s="21"/>
      <c r="DFK115" s="22"/>
      <c r="DFT115" s="21"/>
      <c r="DFU115" s="22"/>
      <c r="DGD115" s="21"/>
      <c r="DGE115" s="22"/>
      <c r="DGN115" s="21"/>
      <c r="DGO115" s="22"/>
      <c r="DGX115" s="21"/>
      <c r="DGY115" s="22"/>
      <c r="DHH115" s="21"/>
      <c r="DHI115" s="22"/>
      <c r="DHR115" s="21"/>
      <c r="DHS115" s="22"/>
      <c r="DIB115" s="21"/>
      <c r="DIC115" s="22"/>
      <c r="DIL115" s="21"/>
      <c r="DIM115" s="22"/>
      <c r="DIV115" s="21"/>
      <c r="DIW115" s="22"/>
      <c r="DJF115" s="21"/>
      <c r="DJG115" s="22"/>
      <c r="DJP115" s="21"/>
      <c r="DJQ115" s="22"/>
      <c r="DJZ115" s="21"/>
      <c r="DKA115" s="22"/>
      <c r="DKJ115" s="21"/>
      <c r="DKK115" s="22"/>
      <c r="DKT115" s="21"/>
      <c r="DKU115" s="22"/>
      <c r="DLD115" s="21"/>
      <c r="DLE115" s="22"/>
      <c r="DLN115" s="21"/>
      <c r="DLO115" s="22"/>
      <c r="DLX115" s="21"/>
      <c r="DLY115" s="22"/>
      <c r="DMH115" s="21"/>
      <c r="DMI115" s="22"/>
      <c r="DMR115" s="21"/>
      <c r="DMS115" s="22"/>
      <c r="DNB115" s="21"/>
      <c r="DNC115" s="22"/>
      <c r="DNL115" s="21"/>
      <c r="DNM115" s="22"/>
      <c r="DNV115" s="21"/>
      <c r="DNW115" s="22"/>
      <c r="DOF115" s="21"/>
      <c r="DOG115" s="22"/>
      <c r="DOP115" s="21"/>
      <c r="DOQ115" s="22"/>
      <c r="DOZ115" s="21"/>
      <c r="DPA115" s="22"/>
      <c r="DPJ115" s="21"/>
      <c r="DPK115" s="22"/>
      <c r="DPT115" s="21"/>
      <c r="DPU115" s="22"/>
      <c r="DQD115" s="21"/>
      <c r="DQE115" s="22"/>
      <c r="DQN115" s="21"/>
      <c r="DQO115" s="22"/>
      <c r="DQX115" s="21"/>
      <c r="DQY115" s="22"/>
      <c r="DRH115" s="21"/>
      <c r="DRI115" s="22"/>
      <c r="DRR115" s="21"/>
      <c r="DRS115" s="22"/>
      <c r="DSB115" s="21"/>
      <c r="DSC115" s="22"/>
      <c r="DSL115" s="21"/>
      <c r="DSM115" s="22"/>
      <c r="DSV115" s="21"/>
      <c r="DSW115" s="22"/>
      <c r="DTF115" s="21"/>
      <c r="DTG115" s="22"/>
      <c r="DTP115" s="21"/>
      <c r="DTQ115" s="22"/>
      <c r="DTZ115" s="21"/>
      <c r="DUA115" s="22"/>
      <c r="DUJ115" s="21"/>
      <c r="DUK115" s="22"/>
      <c r="DUT115" s="21"/>
      <c r="DUU115" s="22"/>
      <c r="DVD115" s="21"/>
      <c r="DVE115" s="22"/>
      <c r="DVN115" s="21"/>
      <c r="DVO115" s="22"/>
      <c r="DVX115" s="21"/>
      <c r="DVY115" s="22"/>
      <c r="DWH115" s="21"/>
      <c r="DWI115" s="22"/>
      <c r="DWR115" s="21"/>
      <c r="DWS115" s="22"/>
      <c r="DXB115" s="21"/>
      <c r="DXC115" s="22"/>
      <c r="DXL115" s="21"/>
      <c r="DXM115" s="22"/>
      <c r="DXV115" s="21"/>
      <c r="DXW115" s="22"/>
      <c r="DYF115" s="21"/>
      <c r="DYG115" s="22"/>
      <c r="DYP115" s="21"/>
      <c r="DYQ115" s="22"/>
      <c r="DYZ115" s="21"/>
      <c r="DZA115" s="22"/>
      <c r="DZJ115" s="21"/>
      <c r="DZK115" s="22"/>
      <c r="DZT115" s="21"/>
      <c r="DZU115" s="22"/>
      <c r="EAD115" s="21"/>
      <c r="EAE115" s="22"/>
      <c r="EAN115" s="21"/>
      <c r="EAO115" s="22"/>
      <c r="EAX115" s="21"/>
      <c r="EAY115" s="22"/>
      <c r="EBH115" s="21"/>
      <c r="EBI115" s="22"/>
      <c r="EBR115" s="21"/>
      <c r="EBS115" s="22"/>
      <c r="ECB115" s="21"/>
      <c r="ECC115" s="22"/>
      <c r="ECL115" s="21"/>
      <c r="ECM115" s="22"/>
      <c r="ECV115" s="21"/>
      <c r="ECW115" s="22"/>
      <c r="EDF115" s="21"/>
      <c r="EDG115" s="22"/>
      <c r="EDP115" s="21"/>
      <c r="EDQ115" s="22"/>
      <c r="EDZ115" s="21"/>
      <c r="EEA115" s="22"/>
      <c r="EEJ115" s="21"/>
      <c r="EEK115" s="22"/>
      <c r="EET115" s="21"/>
      <c r="EEU115" s="22"/>
      <c r="EFD115" s="21"/>
      <c r="EFE115" s="22"/>
      <c r="EFN115" s="21"/>
      <c r="EFO115" s="22"/>
      <c r="EFX115" s="21"/>
      <c r="EFY115" s="22"/>
      <c r="EGH115" s="21"/>
      <c r="EGI115" s="22"/>
      <c r="EGR115" s="21"/>
      <c r="EGS115" s="22"/>
      <c r="EHB115" s="21"/>
      <c r="EHC115" s="22"/>
      <c r="EHL115" s="21"/>
      <c r="EHM115" s="22"/>
      <c r="EHV115" s="21"/>
      <c r="EHW115" s="22"/>
      <c r="EIF115" s="21"/>
      <c r="EIG115" s="22"/>
      <c r="EIP115" s="21"/>
      <c r="EIQ115" s="22"/>
      <c r="EIZ115" s="21"/>
      <c r="EJA115" s="22"/>
      <c r="EJJ115" s="21"/>
      <c r="EJK115" s="22"/>
      <c r="EJT115" s="21"/>
      <c r="EJU115" s="22"/>
      <c r="EKD115" s="21"/>
      <c r="EKE115" s="22"/>
      <c r="EKN115" s="21"/>
      <c r="EKO115" s="22"/>
      <c r="EKX115" s="21"/>
      <c r="EKY115" s="22"/>
      <c r="ELH115" s="21"/>
      <c r="ELI115" s="22"/>
      <c r="ELR115" s="21"/>
      <c r="ELS115" s="22"/>
      <c r="EMB115" s="21"/>
      <c r="EMC115" s="22"/>
      <c r="EML115" s="21"/>
      <c r="EMM115" s="22"/>
      <c r="EMV115" s="21"/>
      <c r="EMW115" s="22"/>
      <c r="ENF115" s="21"/>
      <c r="ENG115" s="22"/>
      <c r="ENP115" s="21"/>
      <c r="ENQ115" s="22"/>
      <c r="ENZ115" s="21"/>
      <c r="EOA115" s="22"/>
      <c r="EOJ115" s="21"/>
      <c r="EOK115" s="22"/>
      <c r="EOT115" s="21"/>
      <c r="EOU115" s="22"/>
      <c r="EPD115" s="21"/>
      <c r="EPE115" s="22"/>
      <c r="EPN115" s="21"/>
      <c r="EPO115" s="22"/>
      <c r="EPX115" s="21"/>
      <c r="EPY115" s="22"/>
      <c r="EQH115" s="21"/>
      <c r="EQI115" s="22"/>
      <c r="EQR115" s="21"/>
      <c r="EQS115" s="22"/>
      <c r="ERB115" s="21"/>
      <c r="ERC115" s="22"/>
      <c r="ERL115" s="21"/>
      <c r="ERM115" s="22"/>
      <c r="ERV115" s="21"/>
      <c r="ERW115" s="22"/>
      <c r="ESF115" s="21"/>
      <c r="ESG115" s="22"/>
      <c r="ESP115" s="21"/>
      <c r="ESQ115" s="22"/>
      <c r="ESZ115" s="21"/>
      <c r="ETA115" s="22"/>
      <c r="ETJ115" s="21"/>
      <c r="ETK115" s="22"/>
      <c r="ETT115" s="21"/>
      <c r="ETU115" s="22"/>
      <c r="EUD115" s="21"/>
      <c r="EUE115" s="22"/>
      <c r="EUN115" s="21"/>
      <c r="EUO115" s="22"/>
      <c r="EUX115" s="21"/>
      <c r="EUY115" s="22"/>
      <c r="EVH115" s="21"/>
      <c r="EVI115" s="22"/>
      <c r="EVR115" s="21"/>
      <c r="EVS115" s="22"/>
      <c r="EWB115" s="21"/>
      <c r="EWC115" s="22"/>
      <c r="EWL115" s="21"/>
      <c r="EWM115" s="22"/>
      <c r="EWV115" s="21"/>
      <c r="EWW115" s="22"/>
      <c r="EXF115" s="21"/>
      <c r="EXG115" s="22"/>
      <c r="EXP115" s="21"/>
      <c r="EXQ115" s="22"/>
      <c r="EXZ115" s="21"/>
      <c r="EYA115" s="22"/>
      <c r="EYJ115" s="21"/>
      <c r="EYK115" s="22"/>
      <c r="EYT115" s="21"/>
      <c r="EYU115" s="22"/>
      <c r="EZD115" s="21"/>
      <c r="EZE115" s="22"/>
      <c r="EZN115" s="21"/>
      <c r="EZO115" s="22"/>
      <c r="EZX115" s="21"/>
      <c r="EZY115" s="22"/>
      <c r="FAH115" s="21"/>
      <c r="FAI115" s="22"/>
      <c r="FAR115" s="21"/>
      <c r="FAS115" s="22"/>
      <c r="FBB115" s="21"/>
      <c r="FBC115" s="22"/>
      <c r="FBL115" s="21"/>
      <c r="FBM115" s="22"/>
      <c r="FBV115" s="21"/>
      <c r="FBW115" s="22"/>
      <c r="FCF115" s="21"/>
      <c r="FCG115" s="22"/>
      <c r="FCP115" s="21"/>
      <c r="FCQ115" s="22"/>
      <c r="FCZ115" s="21"/>
      <c r="FDA115" s="22"/>
      <c r="FDJ115" s="21"/>
      <c r="FDK115" s="22"/>
      <c r="FDT115" s="21"/>
      <c r="FDU115" s="22"/>
      <c r="FED115" s="21"/>
      <c r="FEE115" s="22"/>
      <c r="FEN115" s="21"/>
      <c r="FEO115" s="22"/>
      <c r="FEX115" s="21"/>
      <c r="FEY115" s="22"/>
      <c r="FFH115" s="21"/>
      <c r="FFI115" s="22"/>
      <c r="FFR115" s="21"/>
      <c r="FFS115" s="22"/>
      <c r="FGB115" s="21"/>
      <c r="FGC115" s="22"/>
      <c r="FGL115" s="21"/>
      <c r="FGM115" s="22"/>
      <c r="FGV115" s="21"/>
      <c r="FGW115" s="22"/>
      <c r="FHF115" s="21"/>
      <c r="FHG115" s="22"/>
      <c r="FHP115" s="21"/>
      <c r="FHQ115" s="22"/>
      <c r="FHZ115" s="21"/>
      <c r="FIA115" s="22"/>
      <c r="FIJ115" s="21"/>
      <c r="FIK115" s="22"/>
      <c r="FIT115" s="21"/>
      <c r="FIU115" s="22"/>
      <c r="FJD115" s="21"/>
      <c r="FJE115" s="22"/>
      <c r="FJN115" s="21"/>
      <c r="FJO115" s="22"/>
      <c r="FJX115" s="21"/>
      <c r="FJY115" s="22"/>
      <c r="FKH115" s="21"/>
      <c r="FKI115" s="22"/>
      <c r="FKR115" s="21"/>
      <c r="FKS115" s="22"/>
      <c r="FLB115" s="21"/>
      <c r="FLC115" s="22"/>
      <c r="FLL115" s="21"/>
      <c r="FLM115" s="22"/>
      <c r="FLV115" s="21"/>
      <c r="FLW115" s="22"/>
      <c r="FMF115" s="21"/>
      <c r="FMG115" s="22"/>
      <c r="FMP115" s="21"/>
      <c r="FMQ115" s="22"/>
      <c r="FMZ115" s="21"/>
      <c r="FNA115" s="22"/>
      <c r="FNJ115" s="21"/>
      <c r="FNK115" s="22"/>
      <c r="FNT115" s="21"/>
      <c r="FNU115" s="22"/>
      <c r="FOD115" s="21"/>
      <c r="FOE115" s="22"/>
      <c r="FON115" s="21"/>
      <c r="FOO115" s="22"/>
      <c r="FOX115" s="21"/>
      <c r="FOY115" s="22"/>
      <c r="FPH115" s="21"/>
      <c r="FPI115" s="22"/>
      <c r="FPR115" s="21"/>
      <c r="FPS115" s="22"/>
      <c r="FQB115" s="21"/>
      <c r="FQC115" s="22"/>
      <c r="FQL115" s="21"/>
      <c r="FQM115" s="22"/>
      <c r="FQV115" s="21"/>
      <c r="FQW115" s="22"/>
      <c r="FRF115" s="21"/>
      <c r="FRG115" s="22"/>
      <c r="FRP115" s="21"/>
      <c r="FRQ115" s="22"/>
      <c r="FRZ115" s="21"/>
      <c r="FSA115" s="22"/>
      <c r="FSJ115" s="21"/>
      <c r="FSK115" s="22"/>
      <c r="FST115" s="21"/>
      <c r="FSU115" s="22"/>
      <c r="FTD115" s="21"/>
      <c r="FTE115" s="22"/>
      <c r="FTN115" s="21"/>
      <c r="FTO115" s="22"/>
      <c r="FTX115" s="21"/>
      <c r="FTY115" s="22"/>
      <c r="FUH115" s="21"/>
      <c r="FUI115" s="22"/>
      <c r="FUR115" s="21"/>
      <c r="FUS115" s="22"/>
      <c r="FVB115" s="21"/>
      <c r="FVC115" s="22"/>
      <c r="FVL115" s="21"/>
      <c r="FVM115" s="22"/>
      <c r="FVV115" s="21"/>
      <c r="FVW115" s="22"/>
      <c r="FWF115" s="21"/>
      <c r="FWG115" s="22"/>
      <c r="FWP115" s="21"/>
      <c r="FWQ115" s="22"/>
      <c r="FWZ115" s="21"/>
      <c r="FXA115" s="22"/>
      <c r="FXJ115" s="21"/>
      <c r="FXK115" s="22"/>
      <c r="FXT115" s="21"/>
      <c r="FXU115" s="22"/>
      <c r="FYD115" s="21"/>
      <c r="FYE115" s="22"/>
      <c r="FYN115" s="21"/>
      <c r="FYO115" s="22"/>
      <c r="FYX115" s="21"/>
      <c r="FYY115" s="22"/>
      <c r="FZH115" s="21"/>
      <c r="FZI115" s="22"/>
      <c r="FZR115" s="21"/>
      <c r="FZS115" s="22"/>
      <c r="GAB115" s="21"/>
      <c r="GAC115" s="22"/>
      <c r="GAL115" s="21"/>
      <c r="GAM115" s="22"/>
      <c r="GAV115" s="21"/>
      <c r="GAW115" s="22"/>
      <c r="GBF115" s="21"/>
      <c r="GBG115" s="22"/>
      <c r="GBP115" s="21"/>
      <c r="GBQ115" s="22"/>
      <c r="GBZ115" s="21"/>
      <c r="GCA115" s="22"/>
      <c r="GCJ115" s="21"/>
      <c r="GCK115" s="22"/>
      <c r="GCT115" s="21"/>
      <c r="GCU115" s="22"/>
      <c r="GDD115" s="21"/>
      <c r="GDE115" s="22"/>
      <c r="GDN115" s="21"/>
      <c r="GDO115" s="22"/>
      <c r="GDX115" s="21"/>
      <c r="GDY115" s="22"/>
      <c r="GEH115" s="21"/>
      <c r="GEI115" s="22"/>
      <c r="GER115" s="21"/>
      <c r="GES115" s="22"/>
      <c r="GFB115" s="21"/>
      <c r="GFC115" s="22"/>
      <c r="GFL115" s="21"/>
      <c r="GFM115" s="22"/>
      <c r="GFV115" s="21"/>
      <c r="GFW115" s="22"/>
      <c r="GGF115" s="21"/>
      <c r="GGG115" s="22"/>
      <c r="GGP115" s="21"/>
      <c r="GGQ115" s="22"/>
      <c r="GGZ115" s="21"/>
      <c r="GHA115" s="22"/>
      <c r="GHJ115" s="21"/>
      <c r="GHK115" s="22"/>
      <c r="GHT115" s="21"/>
      <c r="GHU115" s="22"/>
      <c r="GID115" s="21"/>
      <c r="GIE115" s="22"/>
      <c r="GIN115" s="21"/>
      <c r="GIO115" s="22"/>
      <c r="GIX115" s="21"/>
      <c r="GIY115" s="22"/>
      <c r="GJH115" s="21"/>
      <c r="GJI115" s="22"/>
      <c r="GJR115" s="21"/>
      <c r="GJS115" s="22"/>
      <c r="GKB115" s="21"/>
      <c r="GKC115" s="22"/>
      <c r="GKL115" s="21"/>
      <c r="GKM115" s="22"/>
      <c r="GKV115" s="21"/>
      <c r="GKW115" s="22"/>
      <c r="GLF115" s="21"/>
      <c r="GLG115" s="22"/>
      <c r="GLP115" s="21"/>
      <c r="GLQ115" s="22"/>
      <c r="GLZ115" s="21"/>
      <c r="GMA115" s="22"/>
      <c r="GMJ115" s="21"/>
      <c r="GMK115" s="22"/>
      <c r="GMT115" s="21"/>
      <c r="GMU115" s="22"/>
      <c r="GND115" s="21"/>
      <c r="GNE115" s="22"/>
      <c r="GNN115" s="21"/>
      <c r="GNO115" s="22"/>
      <c r="GNX115" s="21"/>
      <c r="GNY115" s="22"/>
      <c r="GOH115" s="21"/>
      <c r="GOI115" s="22"/>
      <c r="GOR115" s="21"/>
      <c r="GOS115" s="22"/>
      <c r="GPB115" s="21"/>
      <c r="GPC115" s="22"/>
      <c r="GPL115" s="21"/>
      <c r="GPM115" s="22"/>
      <c r="GPV115" s="21"/>
      <c r="GPW115" s="22"/>
      <c r="GQF115" s="21"/>
      <c r="GQG115" s="22"/>
      <c r="GQP115" s="21"/>
      <c r="GQQ115" s="22"/>
      <c r="GQZ115" s="21"/>
      <c r="GRA115" s="22"/>
      <c r="GRJ115" s="21"/>
      <c r="GRK115" s="22"/>
      <c r="GRT115" s="21"/>
      <c r="GRU115" s="22"/>
      <c r="GSD115" s="21"/>
      <c r="GSE115" s="22"/>
      <c r="GSN115" s="21"/>
      <c r="GSO115" s="22"/>
      <c r="GSX115" s="21"/>
      <c r="GSY115" s="22"/>
      <c r="GTH115" s="21"/>
      <c r="GTI115" s="22"/>
      <c r="GTR115" s="21"/>
      <c r="GTS115" s="22"/>
      <c r="GUB115" s="21"/>
      <c r="GUC115" s="22"/>
      <c r="GUL115" s="21"/>
      <c r="GUM115" s="22"/>
      <c r="GUV115" s="21"/>
      <c r="GUW115" s="22"/>
      <c r="GVF115" s="21"/>
      <c r="GVG115" s="22"/>
      <c r="GVP115" s="21"/>
      <c r="GVQ115" s="22"/>
      <c r="GVZ115" s="21"/>
      <c r="GWA115" s="22"/>
      <c r="GWJ115" s="21"/>
      <c r="GWK115" s="22"/>
      <c r="GWT115" s="21"/>
      <c r="GWU115" s="22"/>
      <c r="GXD115" s="21"/>
      <c r="GXE115" s="22"/>
      <c r="GXN115" s="21"/>
      <c r="GXO115" s="22"/>
      <c r="GXX115" s="21"/>
      <c r="GXY115" s="22"/>
      <c r="GYH115" s="21"/>
      <c r="GYI115" s="22"/>
      <c r="GYR115" s="21"/>
      <c r="GYS115" s="22"/>
      <c r="GZB115" s="21"/>
      <c r="GZC115" s="22"/>
      <c r="GZL115" s="21"/>
      <c r="GZM115" s="22"/>
      <c r="GZV115" s="21"/>
      <c r="GZW115" s="22"/>
      <c r="HAF115" s="21"/>
      <c r="HAG115" s="22"/>
      <c r="HAP115" s="21"/>
      <c r="HAQ115" s="22"/>
      <c r="HAZ115" s="21"/>
      <c r="HBA115" s="22"/>
      <c r="HBJ115" s="21"/>
      <c r="HBK115" s="22"/>
      <c r="HBT115" s="21"/>
      <c r="HBU115" s="22"/>
      <c r="HCD115" s="21"/>
      <c r="HCE115" s="22"/>
      <c r="HCN115" s="21"/>
      <c r="HCO115" s="22"/>
      <c r="HCX115" s="21"/>
      <c r="HCY115" s="22"/>
      <c r="HDH115" s="21"/>
      <c r="HDI115" s="22"/>
      <c r="HDR115" s="21"/>
      <c r="HDS115" s="22"/>
      <c r="HEB115" s="21"/>
      <c r="HEC115" s="22"/>
      <c r="HEL115" s="21"/>
      <c r="HEM115" s="22"/>
      <c r="HEV115" s="21"/>
      <c r="HEW115" s="22"/>
      <c r="HFF115" s="21"/>
      <c r="HFG115" s="22"/>
      <c r="HFP115" s="21"/>
      <c r="HFQ115" s="22"/>
      <c r="HFZ115" s="21"/>
      <c r="HGA115" s="22"/>
      <c r="HGJ115" s="21"/>
      <c r="HGK115" s="22"/>
      <c r="HGT115" s="21"/>
      <c r="HGU115" s="22"/>
      <c r="HHD115" s="21"/>
      <c r="HHE115" s="22"/>
      <c r="HHN115" s="21"/>
      <c r="HHO115" s="22"/>
      <c r="HHX115" s="21"/>
      <c r="HHY115" s="22"/>
      <c r="HIH115" s="21"/>
      <c r="HII115" s="22"/>
      <c r="HIR115" s="21"/>
      <c r="HIS115" s="22"/>
      <c r="HJB115" s="21"/>
      <c r="HJC115" s="22"/>
      <c r="HJL115" s="21"/>
      <c r="HJM115" s="22"/>
      <c r="HJV115" s="21"/>
      <c r="HJW115" s="22"/>
      <c r="HKF115" s="21"/>
      <c r="HKG115" s="22"/>
      <c r="HKP115" s="21"/>
      <c r="HKQ115" s="22"/>
      <c r="HKZ115" s="21"/>
      <c r="HLA115" s="22"/>
      <c r="HLJ115" s="21"/>
      <c r="HLK115" s="22"/>
      <c r="HLT115" s="21"/>
      <c r="HLU115" s="22"/>
      <c r="HMD115" s="21"/>
      <c r="HME115" s="22"/>
      <c r="HMN115" s="21"/>
      <c r="HMO115" s="22"/>
      <c r="HMX115" s="21"/>
      <c r="HMY115" s="22"/>
      <c r="HNH115" s="21"/>
      <c r="HNI115" s="22"/>
      <c r="HNR115" s="21"/>
      <c r="HNS115" s="22"/>
      <c r="HOB115" s="21"/>
      <c r="HOC115" s="22"/>
      <c r="HOL115" s="21"/>
      <c r="HOM115" s="22"/>
      <c r="HOV115" s="21"/>
      <c r="HOW115" s="22"/>
      <c r="HPF115" s="21"/>
      <c r="HPG115" s="22"/>
      <c r="HPP115" s="21"/>
      <c r="HPQ115" s="22"/>
      <c r="HPZ115" s="21"/>
      <c r="HQA115" s="22"/>
      <c r="HQJ115" s="21"/>
      <c r="HQK115" s="22"/>
      <c r="HQT115" s="21"/>
      <c r="HQU115" s="22"/>
      <c r="HRD115" s="21"/>
      <c r="HRE115" s="22"/>
      <c r="HRN115" s="21"/>
      <c r="HRO115" s="22"/>
      <c r="HRX115" s="21"/>
      <c r="HRY115" s="22"/>
      <c r="HSH115" s="21"/>
      <c r="HSI115" s="22"/>
      <c r="HSR115" s="21"/>
      <c r="HSS115" s="22"/>
      <c r="HTB115" s="21"/>
      <c r="HTC115" s="22"/>
      <c r="HTL115" s="21"/>
      <c r="HTM115" s="22"/>
      <c r="HTV115" s="21"/>
      <c r="HTW115" s="22"/>
      <c r="HUF115" s="21"/>
      <c r="HUG115" s="22"/>
      <c r="HUP115" s="21"/>
      <c r="HUQ115" s="22"/>
      <c r="HUZ115" s="21"/>
      <c r="HVA115" s="22"/>
      <c r="HVJ115" s="21"/>
      <c r="HVK115" s="22"/>
      <c r="HVT115" s="21"/>
      <c r="HVU115" s="22"/>
      <c r="HWD115" s="21"/>
      <c r="HWE115" s="22"/>
      <c r="HWN115" s="21"/>
      <c r="HWO115" s="22"/>
      <c r="HWX115" s="21"/>
      <c r="HWY115" s="22"/>
      <c r="HXH115" s="21"/>
      <c r="HXI115" s="22"/>
      <c r="HXR115" s="21"/>
      <c r="HXS115" s="22"/>
      <c r="HYB115" s="21"/>
      <c r="HYC115" s="22"/>
      <c r="HYL115" s="21"/>
      <c r="HYM115" s="22"/>
      <c r="HYV115" s="21"/>
      <c r="HYW115" s="22"/>
      <c r="HZF115" s="21"/>
      <c r="HZG115" s="22"/>
      <c r="HZP115" s="21"/>
      <c r="HZQ115" s="22"/>
      <c r="HZZ115" s="21"/>
      <c r="IAA115" s="22"/>
      <c r="IAJ115" s="21"/>
      <c r="IAK115" s="22"/>
      <c r="IAT115" s="21"/>
      <c r="IAU115" s="22"/>
      <c r="IBD115" s="21"/>
      <c r="IBE115" s="22"/>
      <c r="IBN115" s="21"/>
      <c r="IBO115" s="22"/>
      <c r="IBX115" s="21"/>
      <c r="IBY115" s="22"/>
      <c r="ICH115" s="21"/>
      <c r="ICI115" s="22"/>
      <c r="ICR115" s="21"/>
      <c r="ICS115" s="22"/>
      <c r="IDB115" s="21"/>
      <c r="IDC115" s="22"/>
      <c r="IDL115" s="21"/>
      <c r="IDM115" s="22"/>
      <c r="IDV115" s="21"/>
      <c r="IDW115" s="22"/>
      <c r="IEF115" s="21"/>
      <c r="IEG115" s="22"/>
      <c r="IEP115" s="21"/>
      <c r="IEQ115" s="22"/>
      <c r="IEZ115" s="21"/>
      <c r="IFA115" s="22"/>
      <c r="IFJ115" s="21"/>
      <c r="IFK115" s="22"/>
      <c r="IFT115" s="21"/>
      <c r="IFU115" s="22"/>
      <c r="IGD115" s="21"/>
      <c r="IGE115" s="22"/>
      <c r="IGN115" s="21"/>
      <c r="IGO115" s="22"/>
      <c r="IGX115" s="21"/>
      <c r="IGY115" s="22"/>
      <c r="IHH115" s="21"/>
      <c r="IHI115" s="22"/>
      <c r="IHR115" s="21"/>
      <c r="IHS115" s="22"/>
      <c r="IIB115" s="21"/>
      <c r="IIC115" s="22"/>
      <c r="IIL115" s="21"/>
      <c r="IIM115" s="22"/>
      <c r="IIV115" s="21"/>
      <c r="IIW115" s="22"/>
      <c r="IJF115" s="21"/>
      <c r="IJG115" s="22"/>
      <c r="IJP115" s="21"/>
      <c r="IJQ115" s="22"/>
      <c r="IJZ115" s="21"/>
      <c r="IKA115" s="22"/>
      <c r="IKJ115" s="21"/>
      <c r="IKK115" s="22"/>
      <c r="IKT115" s="21"/>
      <c r="IKU115" s="22"/>
      <c r="ILD115" s="21"/>
      <c r="ILE115" s="22"/>
      <c r="ILN115" s="21"/>
      <c r="ILO115" s="22"/>
      <c r="ILX115" s="21"/>
      <c r="ILY115" s="22"/>
      <c r="IMH115" s="21"/>
      <c r="IMI115" s="22"/>
      <c r="IMR115" s="21"/>
      <c r="IMS115" s="22"/>
      <c r="INB115" s="21"/>
      <c r="INC115" s="22"/>
      <c r="INL115" s="21"/>
      <c r="INM115" s="22"/>
      <c r="INV115" s="21"/>
      <c r="INW115" s="22"/>
      <c r="IOF115" s="21"/>
      <c r="IOG115" s="22"/>
      <c r="IOP115" s="21"/>
      <c r="IOQ115" s="22"/>
      <c r="IOZ115" s="21"/>
      <c r="IPA115" s="22"/>
      <c r="IPJ115" s="21"/>
      <c r="IPK115" s="22"/>
      <c r="IPT115" s="21"/>
      <c r="IPU115" s="22"/>
      <c r="IQD115" s="21"/>
      <c r="IQE115" s="22"/>
      <c r="IQN115" s="21"/>
      <c r="IQO115" s="22"/>
      <c r="IQX115" s="21"/>
      <c r="IQY115" s="22"/>
      <c r="IRH115" s="21"/>
      <c r="IRI115" s="22"/>
      <c r="IRR115" s="21"/>
      <c r="IRS115" s="22"/>
      <c r="ISB115" s="21"/>
      <c r="ISC115" s="22"/>
      <c r="ISL115" s="21"/>
      <c r="ISM115" s="22"/>
      <c r="ISV115" s="21"/>
      <c r="ISW115" s="22"/>
      <c r="ITF115" s="21"/>
      <c r="ITG115" s="22"/>
      <c r="ITP115" s="21"/>
      <c r="ITQ115" s="22"/>
      <c r="ITZ115" s="21"/>
      <c r="IUA115" s="22"/>
      <c r="IUJ115" s="21"/>
      <c r="IUK115" s="22"/>
      <c r="IUT115" s="21"/>
      <c r="IUU115" s="22"/>
      <c r="IVD115" s="21"/>
      <c r="IVE115" s="22"/>
      <c r="IVN115" s="21"/>
      <c r="IVO115" s="22"/>
      <c r="IVX115" s="21"/>
      <c r="IVY115" s="22"/>
      <c r="IWH115" s="21"/>
      <c r="IWI115" s="22"/>
      <c r="IWR115" s="21"/>
      <c r="IWS115" s="22"/>
      <c r="IXB115" s="21"/>
      <c r="IXC115" s="22"/>
      <c r="IXL115" s="21"/>
      <c r="IXM115" s="22"/>
      <c r="IXV115" s="21"/>
      <c r="IXW115" s="22"/>
      <c r="IYF115" s="21"/>
      <c r="IYG115" s="22"/>
      <c r="IYP115" s="21"/>
      <c r="IYQ115" s="22"/>
      <c r="IYZ115" s="21"/>
      <c r="IZA115" s="22"/>
      <c r="IZJ115" s="21"/>
      <c r="IZK115" s="22"/>
      <c r="IZT115" s="21"/>
      <c r="IZU115" s="22"/>
      <c r="JAD115" s="21"/>
      <c r="JAE115" s="22"/>
      <c r="JAN115" s="21"/>
      <c r="JAO115" s="22"/>
      <c r="JAX115" s="21"/>
      <c r="JAY115" s="22"/>
      <c r="JBH115" s="21"/>
      <c r="JBI115" s="22"/>
      <c r="JBR115" s="21"/>
      <c r="JBS115" s="22"/>
      <c r="JCB115" s="21"/>
      <c r="JCC115" s="22"/>
      <c r="JCL115" s="21"/>
      <c r="JCM115" s="22"/>
      <c r="JCV115" s="21"/>
      <c r="JCW115" s="22"/>
      <c r="JDF115" s="21"/>
      <c r="JDG115" s="22"/>
      <c r="JDP115" s="21"/>
      <c r="JDQ115" s="22"/>
      <c r="JDZ115" s="21"/>
      <c r="JEA115" s="22"/>
      <c r="JEJ115" s="21"/>
      <c r="JEK115" s="22"/>
      <c r="JET115" s="21"/>
      <c r="JEU115" s="22"/>
      <c r="JFD115" s="21"/>
      <c r="JFE115" s="22"/>
      <c r="JFN115" s="21"/>
      <c r="JFO115" s="22"/>
      <c r="JFX115" s="21"/>
      <c r="JFY115" s="22"/>
      <c r="JGH115" s="21"/>
      <c r="JGI115" s="22"/>
      <c r="JGR115" s="21"/>
      <c r="JGS115" s="22"/>
      <c r="JHB115" s="21"/>
      <c r="JHC115" s="22"/>
      <c r="JHL115" s="21"/>
      <c r="JHM115" s="22"/>
      <c r="JHV115" s="21"/>
      <c r="JHW115" s="22"/>
      <c r="JIF115" s="21"/>
      <c r="JIG115" s="22"/>
      <c r="JIP115" s="21"/>
      <c r="JIQ115" s="22"/>
      <c r="JIZ115" s="21"/>
      <c r="JJA115" s="22"/>
      <c r="JJJ115" s="21"/>
      <c r="JJK115" s="22"/>
      <c r="JJT115" s="21"/>
      <c r="JJU115" s="22"/>
      <c r="JKD115" s="21"/>
      <c r="JKE115" s="22"/>
      <c r="JKN115" s="21"/>
      <c r="JKO115" s="22"/>
      <c r="JKX115" s="21"/>
      <c r="JKY115" s="22"/>
      <c r="JLH115" s="21"/>
      <c r="JLI115" s="22"/>
      <c r="JLR115" s="21"/>
      <c r="JLS115" s="22"/>
      <c r="JMB115" s="21"/>
      <c r="JMC115" s="22"/>
      <c r="JML115" s="21"/>
      <c r="JMM115" s="22"/>
      <c r="JMV115" s="21"/>
      <c r="JMW115" s="22"/>
      <c r="JNF115" s="21"/>
      <c r="JNG115" s="22"/>
      <c r="JNP115" s="21"/>
      <c r="JNQ115" s="22"/>
      <c r="JNZ115" s="21"/>
      <c r="JOA115" s="22"/>
      <c r="JOJ115" s="21"/>
      <c r="JOK115" s="22"/>
      <c r="JOT115" s="21"/>
      <c r="JOU115" s="22"/>
      <c r="JPD115" s="21"/>
      <c r="JPE115" s="22"/>
      <c r="JPN115" s="21"/>
      <c r="JPO115" s="22"/>
      <c r="JPX115" s="21"/>
      <c r="JPY115" s="22"/>
      <c r="JQH115" s="21"/>
      <c r="JQI115" s="22"/>
      <c r="JQR115" s="21"/>
      <c r="JQS115" s="22"/>
      <c r="JRB115" s="21"/>
      <c r="JRC115" s="22"/>
      <c r="JRL115" s="21"/>
      <c r="JRM115" s="22"/>
      <c r="JRV115" s="21"/>
      <c r="JRW115" s="22"/>
      <c r="JSF115" s="21"/>
      <c r="JSG115" s="22"/>
      <c r="JSP115" s="21"/>
      <c r="JSQ115" s="22"/>
      <c r="JSZ115" s="21"/>
      <c r="JTA115" s="22"/>
      <c r="JTJ115" s="21"/>
      <c r="JTK115" s="22"/>
      <c r="JTT115" s="21"/>
      <c r="JTU115" s="22"/>
      <c r="JUD115" s="21"/>
      <c r="JUE115" s="22"/>
      <c r="JUN115" s="21"/>
      <c r="JUO115" s="22"/>
      <c r="JUX115" s="21"/>
      <c r="JUY115" s="22"/>
      <c r="JVH115" s="21"/>
      <c r="JVI115" s="22"/>
      <c r="JVR115" s="21"/>
      <c r="JVS115" s="22"/>
      <c r="JWB115" s="21"/>
      <c r="JWC115" s="22"/>
      <c r="JWL115" s="21"/>
      <c r="JWM115" s="22"/>
      <c r="JWV115" s="21"/>
      <c r="JWW115" s="22"/>
      <c r="JXF115" s="21"/>
      <c r="JXG115" s="22"/>
      <c r="JXP115" s="21"/>
      <c r="JXQ115" s="22"/>
      <c r="JXZ115" s="21"/>
      <c r="JYA115" s="22"/>
      <c r="JYJ115" s="21"/>
      <c r="JYK115" s="22"/>
      <c r="JYT115" s="21"/>
      <c r="JYU115" s="22"/>
      <c r="JZD115" s="21"/>
      <c r="JZE115" s="22"/>
      <c r="JZN115" s="21"/>
      <c r="JZO115" s="22"/>
      <c r="JZX115" s="21"/>
      <c r="JZY115" s="22"/>
      <c r="KAH115" s="21"/>
      <c r="KAI115" s="22"/>
      <c r="KAR115" s="21"/>
      <c r="KAS115" s="22"/>
      <c r="KBB115" s="21"/>
      <c r="KBC115" s="22"/>
      <c r="KBL115" s="21"/>
      <c r="KBM115" s="22"/>
      <c r="KBV115" s="21"/>
      <c r="KBW115" s="22"/>
      <c r="KCF115" s="21"/>
      <c r="KCG115" s="22"/>
      <c r="KCP115" s="21"/>
      <c r="KCQ115" s="22"/>
      <c r="KCZ115" s="21"/>
      <c r="KDA115" s="22"/>
      <c r="KDJ115" s="21"/>
      <c r="KDK115" s="22"/>
      <c r="KDT115" s="21"/>
      <c r="KDU115" s="22"/>
      <c r="KED115" s="21"/>
      <c r="KEE115" s="22"/>
      <c r="KEN115" s="21"/>
      <c r="KEO115" s="22"/>
      <c r="KEX115" s="21"/>
      <c r="KEY115" s="22"/>
      <c r="KFH115" s="21"/>
      <c r="KFI115" s="22"/>
      <c r="KFR115" s="21"/>
      <c r="KFS115" s="22"/>
      <c r="KGB115" s="21"/>
      <c r="KGC115" s="22"/>
      <c r="KGL115" s="21"/>
      <c r="KGM115" s="22"/>
      <c r="KGV115" s="21"/>
      <c r="KGW115" s="22"/>
      <c r="KHF115" s="21"/>
      <c r="KHG115" s="22"/>
      <c r="KHP115" s="21"/>
      <c r="KHQ115" s="22"/>
      <c r="KHZ115" s="21"/>
      <c r="KIA115" s="22"/>
      <c r="KIJ115" s="21"/>
      <c r="KIK115" s="22"/>
      <c r="KIT115" s="21"/>
      <c r="KIU115" s="22"/>
      <c r="KJD115" s="21"/>
      <c r="KJE115" s="22"/>
      <c r="KJN115" s="21"/>
      <c r="KJO115" s="22"/>
      <c r="KJX115" s="21"/>
      <c r="KJY115" s="22"/>
      <c r="KKH115" s="21"/>
      <c r="KKI115" s="22"/>
      <c r="KKR115" s="21"/>
      <c r="KKS115" s="22"/>
      <c r="KLB115" s="21"/>
      <c r="KLC115" s="22"/>
      <c r="KLL115" s="21"/>
      <c r="KLM115" s="22"/>
      <c r="KLV115" s="21"/>
      <c r="KLW115" s="22"/>
      <c r="KMF115" s="21"/>
      <c r="KMG115" s="22"/>
      <c r="KMP115" s="21"/>
      <c r="KMQ115" s="22"/>
      <c r="KMZ115" s="21"/>
      <c r="KNA115" s="22"/>
      <c r="KNJ115" s="21"/>
      <c r="KNK115" s="22"/>
      <c r="KNT115" s="21"/>
      <c r="KNU115" s="22"/>
      <c r="KOD115" s="21"/>
      <c r="KOE115" s="22"/>
      <c r="KON115" s="21"/>
      <c r="KOO115" s="22"/>
      <c r="KOX115" s="21"/>
      <c r="KOY115" s="22"/>
      <c r="KPH115" s="21"/>
      <c r="KPI115" s="22"/>
      <c r="KPR115" s="21"/>
      <c r="KPS115" s="22"/>
      <c r="KQB115" s="21"/>
      <c r="KQC115" s="22"/>
      <c r="KQL115" s="21"/>
      <c r="KQM115" s="22"/>
      <c r="KQV115" s="21"/>
      <c r="KQW115" s="22"/>
      <c r="KRF115" s="21"/>
      <c r="KRG115" s="22"/>
      <c r="KRP115" s="21"/>
      <c r="KRQ115" s="22"/>
      <c r="KRZ115" s="21"/>
      <c r="KSA115" s="22"/>
      <c r="KSJ115" s="21"/>
      <c r="KSK115" s="22"/>
      <c r="KST115" s="21"/>
      <c r="KSU115" s="22"/>
      <c r="KTD115" s="21"/>
      <c r="KTE115" s="22"/>
      <c r="KTN115" s="21"/>
      <c r="KTO115" s="22"/>
      <c r="KTX115" s="21"/>
      <c r="KTY115" s="22"/>
      <c r="KUH115" s="21"/>
      <c r="KUI115" s="22"/>
      <c r="KUR115" s="21"/>
      <c r="KUS115" s="22"/>
      <c r="KVB115" s="21"/>
      <c r="KVC115" s="22"/>
      <c r="KVL115" s="21"/>
      <c r="KVM115" s="22"/>
      <c r="KVV115" s="21"/>
      <c r="KVW115" s="22"/>
      <c r="KWF115" s="21"/>
      <c r="KWG115" s="22"/>
      <c r="KWP115" s="21"/>
      <c r="KWQ115" s="22"/>
      <c r="KWZ115" s="21"/>
      <c r="KXA115" s="22"/>
      <c r="KXJ115" s="21"/>
      <c r="KXK115" s="22"/>
      <c r="KXT115" s="21"/>
      <c r="KXU115" s="22"/>
      <c r="KYD115" s="21"/>
      <c r="KYE115" s="22"/>
      <c r="KYN115" s="21"/>
      <c r="KYO115" s="22"/>
      <c r="KYX115" s="21"/>
      <c r="KYY115" s="22"/>
      <c r="KZH115" s="21"/>
      <c r="KZI115" s="22"/>
      <c r="KZR115" s="21"/>
      <c r="KZS115" s="22"/>
      <c r="LAB115" s="21"/>
      <c r="LAC115" s="22"/>
      <c r="LAL115" s="21"/>
      <c r="LAM115" s="22"/>
      <c r="LAV115" s="21"/>
      <c r="LAW115" s="22"/>
      <c r="LBF115" s="21"/>
      <c r="LBG115" s="22"/>
      <c r="LBP115" s="21"/>
      <c r="LBQ115" s="22"/>
      <c r="LBZ115" s="21"/>
      <c r="LCA115" s="22"/>
      <c r="LCJ115" s="21"/>
      <c r="LCK115" s="22"/>
      <c r="LCT115" s="21"/>
      <c r="LCU115" s="22"/>
      <c r="LDD115" s="21"/>
      <c r="LDE115" s="22"/>
      <c r="LDN115" s="21"/>
      <c r="LDO115" s="22"/>
      <c r="LDX115" s="21"/>
      <c r="LDY115" s="22"/>
      <c r="LEH115" s="21"/>
      <c r="LEI115" s="22"/>
      <c r="LER115" s="21"/>
      <c r="LES115" s="22"/>
      <c r="LFB115" s="21"/>
      <c r="LFC115" s="22"/>
      <c r="LFL115" s="21"/>
      <c r="LFM115" s="22"/>
      <c r="LFV115" s="21"/>
      <c r="LFW115" s="22"/>
      <c r="LGF115" s="21"/>
      <c r="LGG115" s="22"/>
      <c r="LGP115" s="21"/>
      <c r="LGQ115" s="22"/>
      <c r="LGZ115" s="21"/>
      <c r="LHA115" s="22"/>
      <c r="LHJ115" s="21"/>
      <c r="LHK115" s="22"/>
      <c r="LHT115" s="21"/>
      <c r="LHU115" s="22"/>
      <c r="LID115" s="21"/>
      <c r="LIE115" s="22"/>
      <c r="LIN115" s="21"/>
      <c r="LIO115" s="22"/>
      <c r="LIX115" s="21"/>
      <c r="LIY115" s="22"/>
      <c r="LJH115" s="21"/>
      <c r="LJI115" s="22"/>
      <c r="LJR115" s="21"/>
      <c r="LJS115" s="22"/>
      <c r="LKB115" s="21"/>
      <c r="LKC115" s="22"/>
      <c r="LKL115" s="21"/>
      <c r="LKM115" s="22"/>
      <c r="LKV115" s="21"/>
      <c r="LKW115" s="22"/>
      <c r="LLF115" s="21"/>
      <c r="LLG115" s="22"/>
      <c r="LLP115" s="21"/>
      <c r="LLQ115" s="22"/>
      <c r="LLZ115" s="21"/>
      <c r="LMA115" s="22"/>
      <c r="LMJ115" s="21"/>
      <c r="LMK115" s="22"/>
      <c r="LMT115" s="21"/>
      <c r="LMU115" s="22"/>
      <c r="LND115" s="21"/>
      <c r="LNE115" s="22"/>
      <c r="LNN115" s="21"/>
      <c r="LNO115" s="22"/>
      <c r="LNX115" s="21"/>
      <c r="LNY115" s="22"/>
      <c r="LOH115" s="21"/>
      <c r="LOI115" s="22"/>
      <c r="LOR115" s="21"/>
      <c r="LOS115" s="22"/>
      <c r="LPB115" s="21"/>
      <c r="LPC115" s="22"/>
      <c r="LPL115" s="21"/>
      <c r="LPM115" s="22"/>
      <c r="LPV115" s="21"/>
      <c r="LPW115" s="22"/>
      <c r="LQF115" s="21"/>
      <c r="LQG115" s="22"/>
      <c r="LQP115" s="21"/>
      <c r="LQQ115" s="22"/>
      <c r="LQZ115" s="21"/>
      <c r="LRA115" s="22"/>
      <c r="LRJ115" s="21"/>
      <c r="LRK115" s="22"/>
      <c r="LRT115" s="21"/>
      <c r="LRU115" s="22"/>
      <c r="LSD115" s="21"/>
      <c r="LSE115" s="22"/>
      <c r="LSN115" s="21"/>
      <c r="LSO115" s="22"/>
      <c r="LSX115" s="21"/>
      <c r="LSY115" s="22"/>
      <c r="LTH115" s="21"/>
      <c r="LTI115" s="22"/>
      <c r="LTR115" s="21"/>
      <c r="LTS115" s="22"/>
      <c r="LUB115" s="21"/>
      <c r="LUC115" s="22"/>
      <c r="LUL115" s="21"/>
      <c r="LUM115" s="22"/>
      <c r="LUV115" s="21"/>
      <c r="LUW115" s="22"/>
      <c r="LVF115" s="21"/>
      <c r="LVG115" s="22"/>
      <c r="LVP115" s="21"/>
      <c r="LVQ115" s="22"/>
      <c r="LVZ115" s="21"/>
      <c r="LWA115" s="22"/>
      <c r="LWJ115" s="21"/>
      <c r="LWK115" s="22"/>
      <c r="LWT115" s="21"/>
      <c r="LWU115" s="22"/>
      <c r="LXD115" s="21"/>
      <c r="LXE115" s="22"/>
      <c r="LXN115" s="21"/>
      <c r="LXO115" s="22"/>
      <c r="LXX115" s="21"/>
      <c r="LXY115" s="22"/>
      <c r="LYH115" s="21"/>
      <c r="LYI115" s="22"/>
      <c r="LYR115" s="21"/>
      <c r="LYS115" s="22"/>
      <c r="LZB115" s="21"/>
      <c r="LZC115" s="22"/>
      <c r="LZL115" s="21"/>
      <c r="LZM115" s="22"/>
      <c r="LZV115" s="21"/>
      <c r="LZW115" s="22"/>
      <c r="MAF115" s="21"/>
      <c r="MAG115" s="22"/>
      <c r="MAP115" s="21"/>
      <c r="MAQ115" s="22"/>
      <c r="MAZ115" s="21"/>
      <c r="MBA115" s="22"/>
      <c r="MBJ115" s="21"/>
      <c r="MBK115" s="22"/>
      <c r="MBT115" s="21"/>
      <c r="MBU115" s="22"/>
      <c r="MCD115" s="21"/>
      <c r="MCE115" s="22"/>
      <c r="MCN115" s="21"/>
      <c r="MCO115" s="22"/>
      <c r="MCX115" s="21"/>
      <c r="MCY115" s="22"/>
      <c r="MDH115" s="21"/>
      <c r="MDI115" s="22"/>
      <c r="MDR115" s="21"/>
      <c r="MDS115" s="22"/>
      <c r="MEB115" s="21"/>
      <c r="MEC115" s="22"/>
      <c r="MEL115" s="21"/>
      <c r="MEM115" s="22"/>
      <c r="MEV115" s="21"/>
      <c r="MEW115" s="22"/>
      <c r="MFF115" s="21"/>
      <c r="MFG115" s="22"/>
      <c r="MFP115" s="21"/>
      <c r="MFQ115" s="22"/>
      <c r="MFZ115" s="21"/>
      <c r="MGA115" s="22"/>
      <c r="MGJ115" s="21"/>
      <c r="MGK115" s="22"/>
      <c r="MGT115" s="21"/>
      <c r="MGU115" s="22"/>
      <c r="MHD115" s="21"/>
      <c r="MHE115" s="22"/>
      <c r="MHN115" s="21"/>
      <c r="MHO115" s="22"/>
      <c r="MHX115" s="21"/>
      <c r="MHY115" s="22"/>
      <c r="MIH115" s="21"/>
      <c r="MII115" s="22"/>
      <c r="MIR115" s="21"/>
      <c r="MIS115" s="22"/>
      <c r="MJB115" s="21"/>
      <c r="MJC115" s="22"/>
      <c r="MJL115" s="21"/>
      <c r="MJM115" s="22"/>
      <c r="MJV115" s="21"/>
      <c r="MJW115" s="22"/>
      <c r="MKF115" s="21"/>
      <c r="MKG115" s="22"/>
      <c r="MKP115" s="21"/>
      <c r="MKQ115" s="22"/>
      <c r="MKZ115" s="21"/>
      <c r="MLA115" s="22"/>
      <c r="MLJ115" s="21"/>
      <c r="MLK115" s="22"/>
      <c r="MLT115" s="21"/>
      <c r="MLU115" s="22"/>
      <c r="MMD115" s="21"/>
      <c r="MME115" s="22"/>
      <c r="MMN115" s="21"/>
      <c r="MMO115" s="22"/>
      <c r="MMX115" s="21"/>
      <c r="MMY115" s="22"/>
      <c r="MNH115" s="21"/>
      <c r="MNI115" s="22"/>
      <c r="MNR115" s="21"/>
      <c r="MNS115" s="22"/>
      <c r="MOB115" s="21"/>
      <c r="MOC115" s="22"/>
      <c r="MOL115" s="21"/>
      <c r="MOM115" s="22"/>
      <c r="MOV115" s="21"/>
      <c r="MOW115" s="22"/>
      <c r="MPF115" s="21"/>
      <c r="MPG115" s="22"/>
      <c r="MPP115" s="21"/>
      <c r="MPQ115" s="22"/>
      <c r="MPZ115" s="21"/>
      <c r="MQA115" s="22"/>
      <c r="MQJ115" s="21"/>
      <c r="MQK115" s="22"/>
      <c r="MQT115" s="21"/>
      <c r="MQU115" s="22"/>
      <c r="MRD115" s="21"/>
      <c r="MRE115" s="22"/>
      <c r="MRN115" s="21"/>
      <c r="MRO115" s="22"/>
      <c r="MRX115" s="21"/>
      <c r="MRY115" s="22"/>
      <c r="MSH115" s="21"/>
      <c r="MSI115" s="22"/>
      <c r="MSR115" s="21"/>
      <c r="MSS115" s="22"/>
      <c r="MTB115" s="21"/>
      <c r="MTC115" s="22"/>
      <c r="MTL115" s="21"/>
      <c r="MTM115" s="22"/>
      <c r="MTV115" s="21"/>
      <c r="MTW115" s="22"/>
      <c r="MUF115" s="21"/>
      <c r="MUG115" s="22"/>
      <c r="MUP115" s="21"/>
      <c r="MUQ115" s="22"/>
      <c r="MUZ115" s="21"/>
      <c r="MVA115" s="22"/>
      <c r="MVJ115" s="21"/>
      <c r="MVK115" s="22"/>
      <c r="MVT115" s="21"/>
      <c r="MVU115" s="22"/>
      <c r="MWD115" s="21"/>
      <c r="MWE115" s="22"/>
      <c r="MWN115" s="21"/>
      <c r="MWO115" s="22"/>
      <c r="MWX115" s="21"/>
      <c r="MWY115" s="22"/>
      <c r="MXH115" s="21"/>
      <c r="MXI115" s="22"/>
      <c r="MXR115" s="21"/>
      <c r="MXS115" s="22"/>
      <c r="MYB115" s="21"/>
      <c r="MYC115" s="22"/>
      <c r="MYL115" s="21"/>
      <c r="MYM115" s="22"/>
      <c r="MYV115" s="21"/>
      <c r="MYW115" s="22"/>
      <c r="MZF115" s="21"/>
      <c r="MZG115" s="22"/>
      <c r="MZP115" s="21"/>
      <c r="MZQ115" s="22"/>
      <c r="MZZ115" s="21"/>
      <c r="NAA115" s="22"/>
      <c r="NAJ115" s="21"/>
      <c r="NAK115" s="22"/>
      <c r="NAT115" s="21"/>
      <c r="NAU115" s="22"/>
      <c r="NBD115" s="21"/>
      <c r="NBE115" s="22"/>
      <c r="NBN115" s="21"/>
      <c r="NBO115" s="22"/>
      <c r="NBX115" s="21"/>
      <c r="NBY115" s="22"/>
      <c r="NCH115" s="21"/>
      <c r="NCI115" s="22"/>
      <c r="NCR115" s="21"/>
      <c r="NCS115" s="22"/>
      <c r="NDB115" s="21"/>
      <c r="NDC115" s="22"/>
      <c r="NDL115" s="21"/>
      <c r="NDM115" s="22"/>
      <c r="NDV115" s="21"/>
      <c r="NDW115" s="22"/>
      <c r="NEF115" s="21"/>
      <c r="NEG115" s="22"/>
      <c r="NEP115" s="21"/>
      <c r="NEQ115" s="22"/>
      <c r="NEZ115" s="21"/>
      <c r="NFA115" s="22"/>
      <c r="NFJ115" s="21"/>
      <c r="NFK115" s="22"/>
      <c r="NFT115" s="21"/>
      <c r="NFU115" s="22"/>
      <c r="NGD115" s="21"/>
      <c r="NGE115" s="22"/>
      <c r="NGN115" s="21"/>
      <c r="NGO115" s="22"/>
      <c r="NGX115" s="21"/>
      <c r="NGY115" s="22"/>
      <c r="NHH115" s="21"/>
      <c r="NHI115" s="22"/>
      <c r="NHR115" s="21"/>
      <c r="NHS115" s="22"/>
      <c r="NIB115" s="21"/>
      <c r="NIC115" s="22"/>
      <c r="NIL115" s="21"/>
      <c r="NIM115" s="22"/>
      <c r="NIV115" s="21"/>
      <c r="NIW115" s="22"/>
      <c r="NJF115" s="21"/>
      <c r="NJG115" s="22"/>
      <c r="NJP115" s="21"/>
      <c r="NJQ115" s="22"/>
      <c r="NJZ115" s="21"/>
      <c r="NKA115" s="22"/>
      <c r="NKJ115" s="21"/>
      <c r="NKK115" s="22"/>
      <c r="NKT115" s="21"/>
      <c r="NKU115" s="22"/>
      <c r="NLD115" s="21"/>
      <c r="NLE115" s="22"/>
      <c r="NLN115" s="21"/>
      <c r="NLO115" s="22"/>
      <c r="NLX115" s="21"/>
      <c r="NLY115" s="22"/>
      <c r="NMH115" s="21"/>
      <c r="NMI115" s="22"/>
      <c r="NMR115" s="21"/>
      <c r="NMS115" s="22"/>
      <c r="NNB115" s="21"/>
      <c r="NNC115" s="22"/>
      <c r="NNL115" s="21"/>
      <c r="NNM115" s="22"/>
      <c r="NNV115" s="21"/>
      <c r="NNW115" s="22"/>
      <c r="NOF115" s="21"/>
      <c r="NOG115" s="22"/>
      <c r="NOP115" s="21"/>
      <c r="NOQ115" s="22"/>
      <c r="NOZ115" s="21"/>
      <c r="NPA115" s="22"/>
      <c r="NPJ115" s="21"/>
      <c r="NPK115" s="22"/>
      <c r="NPT115" s="21"/>
      <c r="NPU115" s="22"/>
      <c r="NQD115" s="21"/>
      <c r="NQE115" s="22"/>
      <c r="NQN115" s="21"/>
      <c r="NQO115" s="22"/>
      <c r="NQX115" s="21"/>
      <c r="NQY115" s="22"/>
      <c r="NRH115" s="21"/>
      <c r="NRI115" s="22"/>
      <c r="NRR115" s="21"/>
      <c r="NRS115" s="22"/>
      <c r="NSB115" s="21"/>
      <c r="NSC115" s="22"/>
      <c r="NSL115" s="21"/>
      <c r="NSM115" s="22"/>
      <c r="NSV115" s="21"/>
      <c r="NSW115" s="22"/>
      <c r="NTF115" s="21"/>
      <c r="NTG115" s="22"/>
      <c r="NTP115" s="21"/>
      <c r="NTQ115" s="22"/>
      <c r="NTZ115" s="21"/>
      <c r="NUA115" s="22"/>
      <c r="NUJ115" s="21"/>
      <c r="NUK115" s="22"/>
      <c r="NUT115" s="21"/>
      <c r="NUU115" s="22"/>
      <c r="NVD115" s="21"/>
      <c r="NVE115" s="22"/>
      <c r="NVN115" s="21"/>
      <c r="NVO115" s="22"/>
      <c r="NVX115" s="21"/>
      <c r="NVY115" s="22"/>
      <c r="NWH115" s="21"/>
      <c r="NWI115" s="22"/>
      <c r="NWR115" s="21"/>
      <c r="NWS115" s="22"/>
      <c r="NXB115" s="21"/>
      <c r="NXC115" s="22"/>
      <c r="NXL115" s="21"/>
      <c r="NXM115" s="22"/>
      <c r="NXV115" s="21"/>
      <c r="NXW115" s="22"/>
      <c r="NYF115" s="21"/>
      <c r="NYG115" s="22"/>
      <c r="NYP115" s="21"/>
      <c r="NYQ115" s="22"/>
      <c r="NYZ115" s="21"/>
      <c r="NZA115" s="22"/>
      <c r="NZJ115" s="21"/>
      <c r="NZK115" s="22"/>
      <c r="NZT115" s="21"/>
      <c r="NZU115" s="22"/>
      <c r="OAD115" s="21"/>
      <c r="OAE115" s="22"/>
      <c r="OAN115" s="21"/>
      <c r="OAO115" s="22"/>
      <c r="OAX115" s="21"/>
      <c r="OAY115" s="22"/>
      <c r="OBH115" s="21"/>
      <c r="OBI115" s="22"/>
      <c r="OBR115" s="21"/>
      <c r="OBS115" s="22"/>
      <c r="OCB115" s="21"/>
      <c r="OCC115" s="22"/>
      <c r="OCL115" s="21"/>
      <c r="OCM115" s="22"/>
      <c r="OCV115" s="21"/>
      <c r="OCW115" s="22"/>
      <c r="ODF115" s="21"/>
      <c r="ODG115" s="22"/>
      <c r="ODP115" s="21"/>
      <c r="ODQ115" s="22"/>
      <c r="ODZ115" s="21"/>
      <c r="OEA115" s="22"/>
      <c r="OEJ115" s="21"/>
      <c r="OEK115" s="22"/>
      <c r="OET115" s="21"/>
      <c r="OEU115" s="22"/>
      <c r="OFD115" s="21"/>
      <c r="OFE115" s="22"/>
      <c r="OFN115" s="21"/>
      <c r="OFO115" s="22"/>
      <c r="OFX115" s="21"/>
      <c r="OFY115" s="22"/>
      <c r="OGH115" s="21"/>
      <c r="OGI115" s="22"/>
      <c r="OGR115" s="21"/>
      <c r="OGS115" s="22"/>
      <c r="OHB115" s="21"/>
      <c r="OHC115" s="22"/>
      <c r="OHL115" s="21"/>
      <c r="OHM115" s="22"/>
      <c r="OHV115" s="21"/>
      <c r="OHW115" s="22"/>
      <c r="OIF115" s="21"/>
      <c r="OIG115" s="22"/>
      <c r="OIP115" s="21"/>
      <c r="OIQ115" s="22"/>
      <c r="OIZ115" s="21"/>
      <c r="OJA115" s="22"/>
      <c r="OJJ115" s="21"/>
      <c r="OJK115" s="22"/>
      <c r="OJT115" s="21"/>
      <c r="OJU115" s="22"/>
      <c r="OKD115" s="21"/>
      <c r="OKE115" s="22"/>
      <c r="OKN115" s="21"/>
      <c r="OKO115" s="22"/>
      <c r="OKX115" s="21"/>
      <c r="OKY115" s="22"/>
      <c r="OLH115" s="21"/>
      <c r="OLI115" s="22"/>
      <c r="OLR115" s="21"/>
      <c r="OLS115" s="22"/>
      <c r="OMB115" s="21"/>
      <c r="OMC115" s="22"/>
      <c r="OML115" s="21"/>
      <c r="OMM115" s="22"/>
      <c r="OMV115" s="21"/>
      <c r="OMW115" s="22"/>
      <c r="ONF115" s="21"/>
      <c r="ONG115" s="22"/>
      <c r="ONP115" s="21"/>
      <c r="ONQ115" s="22"/>
      <c r="ONZ115" s="21"/>
      <c r="OOA115" s="22"/>
      <c r="OOJ115" s="21"/>
      <c r="OOK115" s="22"/>
      <c r="OOT115" s="21"/>
      <c r="OOU115" s="22"/>
      <c r="OPD115" s="21"/>
      <c r="OPE115" s="22"/>
      <c r="OPN115" s="21"/>
      <c r="OPO115" s="22"/>
      <c r="OPX115" s="21"/>
      <c r="OPY115" s="22"/>
      <c r="OQH115" s="21"/>
      <c r="OQI115" s="22"/>
      <c r="OQR115" s="21"/>
      <c r="OQS115" s="22"/>
      <c r="ORB115" s="21"/>
      <c r="ORC115" s="22"/>
      <c r="ORL115" s="21"/>
      <c r="ORM115" s="22"/>
      <c r="ORV115" s="21"/>
      <c r="ORW115" s="22"/>
      <c r="OSF115" s="21"/>
      <c r="OSG115" s="22"/>
      <c r="OSP115" s="21"/>
      <c r="OSQ115" s="22"/>
      <c r="OSZ115" s="21"/>
      <c r="OTA115" s="22"/>
      <c r="OTJ115" s="21"/>
      <c r="OTK115" s="22"/>
      <c r="OTT115" s="21"/>
      <c r="OTU115" s="22"/>
      <c r="OUD115" s="21"/>
      <c r="OUE115" s="22"/>
      <c r="OUN115" s="21"/>
      <c r="OUO115" s="22"/>
      <c r="OUX115" s="21"/>
      <c r="OUY115" s="22"/>
      <c r="OVH115" s="21"/>
      <c r="OVI115" s="22"/>
      <c r="OVR115" s="21"/>
      <c r="OVS115" s="22"/>
      <c r="OWB115" s="21"/>
      <c r="OWC115" s="22"/>
      <c r="OWL115" s="21"/>
      <c r="OWM115" s="22"/>
      <c r="OWV115" s="21"/>
      <c r="OWW115" s="22"/>
      <c r="OXF115" s="21"/>
      <c r="OXG115" s="22"/>
      <c r="OXP115" s="21"/>
      <c r="OXQ115" s="22"/>
      <c r="OXZ115" s="21"/>
      <c r="OYA115" s="22"/>
      <c r="OYJ115" s="21"/>
      <c r="OYK115" s="22"/>
      <c r="OYT115" s="21"/>
      <c r="OYU115" s="22"/>
      <c r="OZD115" s="21"/>
      <c r="OZE115" s="22"/>
      <c r="OZN115" s="21"/>
      <c r="OZO115" s="22"/>
      <c r="OZX115" s="21"/>
      <c r="OZY115" s="22"/>
      <c r="PAH115" s="21"/>
      <c r="PAI115" s="22"/>
      <c r="PAR115" s="21"/>
      <c r="PAS115" s="22"/>
      <c r="PBB115" s="21"/>
      <c r="PBC115" s="22"/>
      <c r="PBL115" s="21"/>
      <c r="PBM115" s="22"/>
      <c r="PBV115" s="21"/>
      <c r="PBW115" s="22"/>
      <c r="PCF115" s="21"/>
      <c r="PCG115" s="22"/>
      <c r="PCP115" s="21"/>
      <c r="PCQ115" s="22"/>
      <c r="PCZ115" s="21"/>
      <c r="PDA115" s="22"/>
      <c r="PDJ115" s="21"/>
      <c r="PDK115" s="22"/>
      <c r="PDT115" s="21"/>
      <c r="PDU115" s="22"/>
      <c r="PED115" s="21"/>
      <c r="PEE115" s="22"/>
      <c r="PEN115" s="21"/>
      <c r="PEO115" s="22"/>
      <c r="PEX115" s="21"/>
      <c r="PEY115" s="22"/>
      <c r="PFH115" s="21"/>
      <c r="PFI115" s="22"/>
      <c r="PFR115" s="21"/>
      <c r="PFS115" s="22"/>
      <c r="PGB115" s="21"/>
      <c r="PGC115" s="22"/>
      <c r="PGL115" s="21"/>
      <c r="PGM115" s="22"/>
      <c r="PGV115" s="21"/>
      <c r="PGW115" s="22"/>
      <c r="PHF115" s="21"/>
      <c r="PHG115" s="22"/>
      <c r="PHP115" s="21"/>
      <c r="PHQ115" s="22"/>
      <c r="PHZ115" s="21"/>
      <c r="PIA115" s="22"/>
      <c r="PIJ115" s="21"/>
      <c r="PIK115" s="22"/>
      <c r="PIT115" s="21"/>
      <c r="PIU115" s="22"/>
      <c r="PJD115" s="21"/>
      <c r="PJE115" s="22"/>
      <c r="PJN115" s="21"/>
      <c r="PJO115" s="22"/>
      <c r="PJX115" s="21"/>
      <c r="PJY115" s="22"/>
      <c r="PKH115" s="21"/>
      <c r="PKI115" s="22"/>
      <c r="PKR115" s="21"/>
      <c r="PKS115" s="22"/>
      <c r="PLB115" s="21"/>
      <c r="PLC115" s="22"/>
      <c r="PLL115" s="21"/>
      <c r="PLM115" s="22"/>
      <c r="PLV115" s="21"/>
      <c r="PLW115" s="22"/>
      <c r="PMF115" s="21"/>
      <c r="PMG115" s="22"/>
      <c r="PMP115" s="21"/>
      <c r="PMQ115" s="22"/>
      <c r="PMZ115" s="21"/>
      <c r="PNA115" s="22"/>
      <c r="PNJ115" s="21"/>
      <c r="PNK115" s="22"/>
      <c r="PNT115" s="21"/>
      <c r="PNU115" s="22"/>
      <c r="POD115" s="21"/>
      <c r="POE115" s="22"/>
      <c r="PON115" s="21"/>
      <c r="POO115" s="22"/>
      <c r="POX115" s="21"/>
      <c r="POY115" s="22"/>
      <c r="PPH115" s="21"/>
      <c r="PPI115" s="22"/>
      <c r="PPR115" s="21"/>
      <c r="PPS115" s="22"/>
      <c r="PQB115" s="21"/>
      <c r="PQC115" s="22"/>
      <c r="PQL115" s="21"/>
      <c r="PQM115" s="22"/>
      <c r="PQV115" s="21"/>
      <c r="PQW115" s="22"/>
      <c r="PRF115" s="21"/>
      <c r="PRG115" s="22"/>
      <c r="PRP115" s="21"/>
      <c r="PRQ115" s="22"/>
      <c r="PRZ115" s="21"/>
      <c r="PSA115" s="22"/>
      <c r="PSJ115" s="21"/>
      <c r="PSK115" s="22"/>
      <c r="PST115" s="21"/>
      <c r="PSU115" s="22"/>
      <c r="PTD115" s="21"/>
      <c r="PTE115" s="22"/>
      <c r="PTN115" s="21"/>
      <c r="PTO115" s="22"/>
      <c r="PTX115" s="21"/>
      <c r="PTY115" s="22"/>
      <c r="PUH115" s="21"/>
      <c r="PUI115" s="22"/>
      <c r="PUR115" s="21"/>
      <c r="PUS115" s="22"/>
      <c r="PVB115" s="21"/>
      <c r="PVC115" s="22"/>
      <c r="PVL115" s="21"/>
      <c r="PVM115" s="22"/>
      <c r="PVV115" s="21"/>
      <c r="PVW115" s="22"/>
      <c r="PWF115" s="21"/>
      <c r="PWG115" s="22"/>
      <c r="PWP115" s="21"/>
      <c r="PWQ115" s="22"/>
      <c r="PWZ115" s="21"/>
      <c r="PXA115" s="22"/>
      <c r="PXJ115" s="21"/>
      <c r="PXK115" s="22"/>
      <c r="PXT115" s="21"/>
      <c r="PXU115" s="22"/>
      <c r="PYD115" s="21"/>
      <c r="PYE115" s="22"/>
      <c r="PYN115" s="21"/>
      <c r="PYO115" s="22"/>
      <c r="PYX115" s="21"/>
      <c r="PYY115" s="22"/>
      <c r="PZH115" s="21"/>
      <c r="PZI115" s="22"/>
      <c r="PZR115" s="21"/>
      <c r="PZS115" s="22"/>
      <c r="QAB115" s="21"/>
      <c r="QAC115" s="22"/>
      <c r="QAL115" s="21"/>
      <c r="QAM115" s="22"/>
      <c r="QAV115" s="21"/>
      <c r="QAW115" s="22"/>
      <c r="QBF115" s="21"/>
      <c r="QBG115" s="22"/>
      <c r="QBP115" s="21"/>
      <c r="QBQ115" s="22"/>
      <c r="QBZ115" s="21"/>
      <c r="QCA115" s="22"/>
      <c r="QCJ115" s="21"/>
      <c r="QCK115" s="22"/>
      <c r="QCT115" s="21"/>
      <c r="QCU115" s="22"/>
      <c r="QDD115" s="21"/>
      <c r="QDE115" s="22"/>
      <c r="QDN115" s="21"/>
      <c r="QDO115" s="22"/>
      <c r="QDX115" s="21"/>
      <c r="QDY115" s="22"/>
      <c r="QEH115" s="21"/>
      <c r="QEI115" s="22"/>
      <c r="QER115" s="21"/>
      <c r="QES115" s="22"/>
      <c r="QFB115" s="21"/>
      <c r="QFC115" s="22"/>
      <c r="QFL115" s="21"/>
      <c r="QFM115" s="22"/>
      <c r="QFV115" s="21"/>
      <c r="QFW115" s="22"/>
      <c r="QGF115" s="21"/>
      <c r="QGG115" s="22"/>
      <c r="QGP115" s="21"/>
      <c r="QGQ115" s="22"/>
      <c r="QGZ115" s="21"/>
      <c r="QHA115" s="22"/>
      <c r="QHJ115" s="21"/>
      <c r="QHK115" s="22"/>
      <c r="QHT115" s="21"/>
      <c r="QHU115" s="22"/>
      <c r="QID115" s="21"/>
      <c r="QIE115" s="22"/>
      <c r="QIN115" s="21"/>
      <c r="QIO115" s="22"/>
      <c r="QIX115" s="21"/>
      <c r="QIY115" s="22"/>
      <c r="QJH115" s="21"/>
      <c r="QJI115" s="22"/>
      <c r="QJR115" s="21"/>
      <c r="QJS115" s="22"/>
      <c r="QKB115" s="21"/>
      <c r="QKC115" s="22"/>
      <c r="QKL115" s="21"/>
      <c r="QKM115" s="22"/>
      <c r="QKV115" s="21"/>
      <c r="QKW115" s="22"/>
      <c r="QLF115" s="21"/>
      <c r="QLG115" s="22"/>
      <c r="QLP115" s="21"/>
      <c r="QLQ115" s="22"/>
      <c r="QLZ115" s="21"/>
      <c r="QMA115" s="22"/>
      <c r="QMJ115" s="21"/>
      <c r="QMK115" s="22"/>
      <c r="QMT115" s="21"/>
      <c r="QMU115" s="22"/>
      <c r="QND115" s="21"/>
      <c r="QNE115" s="22"/>
      <c r="QNN115" s="21"/>
      <c r="QNO115" s="22"/>
      <c r="QNX115" s="21"/>
      <c r="QNY115" s="22"/>
      <c r="QOH115" s="21"/>
      <c r="QOI115" s="22"/>
      <c r="QOR115" s="21"/>
      <c r="QOS115" s="22"/>
      <c r="QPB115" s="21"/>
      <c r="QPC115" s="22"/>
      <c r="QPL115" s="21"/>
      <c r="QPM115" s="22"/>
      <c r="QPV115" s="21"/>
      <c r="QPW115" s="22"/>
      <c r="QQF115" s="21"/>
      <c r="QQG115" s="22"/>
      <c r="QQP115" s="21"/>
      <c r="QQQ115" s="22"/>
      <c r="QQZ115" s="21"/>
      <c r="QRA115" s="22"/>
      <c r="QRJ115" s="21"/>
      <c r="QRK115" s="22"/>
      <c r="QRT115" s="21"/>
      <c r="QRU115" s="22"/>
      <c r="QSD115" s="21"/>
      <c r="QSE115" s="22"/>
      <c r="QSN115" s="21"/>
      <c r="QSO115" s="22"/>
      <c r="QSX115" s="21"/>
      <c r="QSY115" s="22"/>
      <c r="QTH115" s="21"/>
      <c r="QTI115" s="22"/>
      <c r="QTR115" s="21"/>
      <c r="QTS115" s="22"/>
      <c r="QUB115" s="21"/>
      <c r="QUC115" s="22"/>
      <c r="QUL115" s="21"/>
      <c r="QUM115" s="22"/>
      <c r="QUV115" s="21"/>
      <c r="QUW115" s="22"/>
      <c r="QVF115" s="21"/>
      <c r="QVG115" s="22"/>
      <c r="QVP115" s="21"/>
      <c r="QVQ115" s="22"/>
      <c r="QVZ115" s="21"/>
      <c r="QWA115" s="22"/>
      <c r="QWJ115" s="21"/>
      <c r="QWK115" s="22"/>
      <c r="QWT115" s="21"/>
      <c r="QWU115" s="22"/>
      <c r="QXD115" s="21"/>
      <c r="QXE115" s="22"/>
      <c r="QXN115" s="21"/>
      <c r="QXO115" s="22"/>
      <c r="QXX115" s="21"/>
      <c r="QXY115" s="22"/>
      <c r="QYH115" s="21"/>
      <c r="QYI115" s="22"/>
      <c r="QYR115" s="21"/>
      <c r="QYS115" s="22"/>
      <c r="QZB115" s="21"/>
      <c r="QZC115" s="22"/>
      <c r="QZL115" s="21"/>
      <c r="QZM115" s="22"/>
      <c r="QZV115" s="21"/>
      <c r="QZW115" s="22"/>
      <c r="RAF115" s="21"/>
      <c r="RAG115" s="22"/>
      <c r="RAP115" s="21"/>
      <c r="RAQ115" s="22"/>
      <c r="RAZ115" s="21"/>
      <c r="RBA115" s="22"/>
      <c r="RBJ115" s="21"/>
      <c r="RBK115" s="22"/>
      <c r="RBT115" s="21"/>
      <c r="RBU115" s="22"/>
      <c r="RCD115" s="21"/>
      <c r="RCE115" s="22"/>
      <c r="RCN115" s="21"/>
      <c r="RCO115" s="22"/>
      <c r="RCX115" s="21"/>
      <c r="RCY115" s="22"/>
      <c r="RDH115" s="21"/>
      <c r="RDI115" s="22"/>
      <c r="RDR115" s="21"/>
      <c r="RDS115" s="22"/>
      <c r="REB115" s="21"/>
      <c r="REC115" s="22"/>
      <c r="REL115" s="21"/>
      <c r="REM115" s="22"/>
      <c r="REV115" s="21"/>
      <c r="REW115" s="22"/>
      <c r="RFF115" s="21"/>
      <c r="RFG115" s="22"/>
      <c r="RFP115" s="21"/>
      <c r="RFQ115" s="22"/>
      <c r="RFZ115" s="21"/>
      <c r="RGA115" s="22"/>
      <c r="RGJ115" s="21"/>
      <c r="RGK115" s="22"/>
      <c r="RGT115" s="21"/>
      <c r="RGU115" s="22"/>
      <c r="RHD115" s="21"/>
      <c r="RHE115" s="22"/>
      <c r="RHN115" s="21"/>
      <c r="RHO115" s="22"/>
      <c r="RHX115" s="21"/>
      <c r="RHY115" s="22"/>
      <c r="RIH115" s="21"/>
      <c r="RII115" s="22"/>
      <c r="RIR115" s="21"/>
      <c r="RIS115" s="22"/>
      <c r="RJB115" s="21"/>
      <c r="RJC115" s="22"/>
      <c r="RJL115" s="21"/>
      <c r="RJM115" s="22"/>
      <c r="RJV115" s="21"/>
      <c r="RJW115" s="22"/>
      <c r="RKF115" s="21"/>
      <c r="RKG115" s="22"/>
      <c r="RKP115" s="21"/>
      <c r="RKQ115" s="22"/>
      <c r="RKZ115" s="21"/>
      <c r="RLA115" s="22"/>
      <c r="RLJ115" s="21"/>
      <c r="RLK115" s="22"/>
      <c r="RLT115" s="21"/>
      <c r="RLU115" s="22"/>
      <c r="RMD115" s="21"/>
      <c r="RME115" s="22"/>
      <c r="RMN115" s="21"/>
      <c r="RMO115" s="22"/>
      <c r="RMX115" s="21"/>
      <c r="RMY115" s="22"/>
      <c r="RNH115" s="21"/>
      <c r="RNI115" s="22"/>
      <c r="RNR115" s="21"/>
      <c r="RNS115" s="22"/>
      <c r="ROB115" s="21"/>
      <c r="ROC115" s="22"/>
      <c r="ROL115" s="21"/>
      <c r="ROM115" s="22"/>
      <c r="ROV115" s="21"/>
      <c r="ROW115" s="22"/>
      <c r="RPF115" s="21"/>
      <c r="RPG115" s="22"/>
      <c r="RPP115" s="21"/>
      <c r="RPQ115" s="22"/>
      <c r="RPZ115" s="21"/>
      <c r="RQA115" s="22"/>
      <c r="RQJ115" s="21"/>
      <c r="RQK115" s="22"/>
      <c r="RQT115" s="21"/>
      <c r="RQU115" s="22"/>
      <c r="RRD115" s="21"/>
      <c r="RRE115" s="22"/>
      <c r="RRN115" s="21"/>
      <c r="RRO115" s="22"/>
      <c r="RRX115" s="21"/>
      <c r="RRY115" s="22"/>
      <c r="RSH115" s="21"/>
      <c r="RSI115" s="22"/>
      <c r="RSR115" s="21"/>
      <c r="RSS115" s="22"/>
      <c r="RTB115" s="21"/>
      <c r="RTC115" s="22"/>
      <c r="RTL115" s="21"/>
      <c r="RTM115" s="22"/>
      <c r="RTV115" s="21"/>
      <c r="RTW115" s="22"/>
      <c r="RUF115" s="21"/>
      <c r="RUG115" s="22"/>
      <c r="RUP115" s="21"/>
      <c r="RUQ115" s="22"/>
      <c r="RUZ115" s="21"/>
      <c r="RVA115" s="22"/>
      <c r="RVJ115" s="21"/>
      <c r="RVK115" s="22"/>
      <c r="RVT115" s="21"/>
      <c r="RVU115" s="22"/>
      <c r="RWD115" s="21"/>
      <c r="RWE115" s="22"/>
      <c r="RWN115" s="21"/>
      <c r="RWO115" s="22"/>
      <c r="RWX115" s="21"/>
      <c r="RWY115" s="22"/>
      <c r="RXH115" s="21"/>
      <c r="RXI115" s="22"/>
      <c r="RXR115" s="21"/>
      <c r="RXS115" s="22"/>
      <c r="RYB115" s="21"/>
      <c r="RYC115" s="22"/>
      <c r="RYL115" s="21"/>
      <c r="RYM115" s="22"/>
      <c r="RYV115" s="21"/>
      <c r="RYW115" s="22"/>
      <c r="RZF115" s="21"/>
      <c r="RZG115" s="22"/>
      <c r="RZP115" s="21"/>
      <c r="RZQ115" s="22"/>
      <c r="RZZ115" s="21"/>
      <c r="SAA115" s="22"/>
      <c r="SAJ115" s="21"/>
      <c r="SAK115" s="22"/>
      <c r="SAT115" s="21"/>
      <c r="SAU115" s="22"/>
      <c r="SBD115" s="21"/>
      <c r="SBE115" s="22"/>
      <c r="SBN115" s="21"/>
      <c r="SBO115" s="22"/>
      <c r="SBX115" s="21"/>
      <c r="SBY115" s="22"/>
      <c r="SCH115" s="21"/>
      <c r="SCI115" s="22"/>
      <c r="SCR115" s="21"/>
      <c r="SCS115" s="22"/>
      <c r="SDB115" s="21"/>
      <c r="SDC115" s="22"/>
      <c r="SDL115" s="21"/>
      <c r="SDM115" s="22"/>
      <c r="SDV115" s="21"/>
      <c r="SDW115" s="22"/>
      <c r="SEF115" s="21"/>
      <c r="SEG115" s="22"/>
      <c r="SEP115" s="21"/>
      <c r="SEQ115" s="22"/>
      <c r="SEZ115" s="21"/>
      <c r="SFA115" s="22"/>
      <c r="SFJ115" s="21"/>
      <c r="SFK115" s="22"/>
      <c r="SFT115" s="21"/>
      <c r="SFU115" s="22"/>
      <c r="SGD115" s="21"/>
      <c r="SGE115" s="22"/>
      <c r="SGN115" s="21"/>
      <c r="SGO115" s="22"/>
      <c r="SGX115" s="21"/>
      <c r="SGY115" s="22"/>
      <c r="SHH115" s="21"/>
      <c r="SHI115" s="22"/>
      <c r="SHR115" s="21"/>
      <c r="SHS115" s="22"/>
      <c r="SIB115" s="21"/>
      <c r="SIC115" s="22"/>
      <c r="SIL115" s="21"/>
      <c r="SIM115" s="22"/>
      <c r="SIV115" s="21"/>
      <c r="SIW115" s="22"/>
      <c r="SJF115" s="21"/>
      <c r="SJG115" s="22"/>
      <c r="SJP115" s="21"/>
      <c r="SJQ115" s="22"/>
      <c r="SJZ115" s="21"/>
      <c r="SKA115" s="22"/>
      <c r="SKJ115" s="21"/>
      <c r="SKK115" s="22"/>
      <c r="SKT115" s="21"/>
      <c r="SKU115" s="22"/>
      <c r="SLD115" s="21"/>
      <c r="SLE115" s="22"/>
      <c r="SLN115" s="21"/>
      <c r="SLO115" s="22"/>
      <c r="SLX115" s="21"/>
      <c r="SLY115" s="22"/>
      <c r="SMH115" s="21"/>
      <c r="SMI115" s="22"/>
      <c r="SMR115" s="21"/>
      <c r="SMS115" s="22"/>
      <c r="SNB115" s="21"/>
      <c r="SNC115" s="22"/>
      <c r="SNL115" s="21"/>
      <c r="SNM115" s="22"/>
      <c r="SNV115" s="21"/>
      <c r="SNW115" s="22"/>
      <c r="SOF115" s="21"/>
      <c r="SOG115" s="22"/>
      <c r="SOP115" s="21"/>
      <c r="SOQ115" s="22"/>
      <c r="SOZ115" s="21"/>
      <c r="SPA115" s="22"/>
      <c r="SPJ115" s="21"/>
      <c r="SPK115" s="22"/>
      <c r="SPT115" s="21"/>
      <c r="SPU115" s="22"/>
      <c r="SQD115" s="21"/>
      <c r="SQE115" s="22"/>
      <c r="SQN115" s="21"/>
      <c r="SQO115" s="22"/>
      <c r="SQX115" s="21"/>
      <c r="SQY115" s="22"/>
      <c r="SRH115" s="21"/>
      <c r="SRI115" s="22"/>
      <c r="SRR115" s="21"/>
      <c r="SRS115" s="22"/>
      <c r="SSB115" s="21"/>
      <c r="SSC115" s="22"/>
      <c r="SSL115" s="21"/>
      <c r="SSM115" s="22"/>
      <c r="SSV115" s="21"/>
      <c r="SSW115" s="22"/>
      <c r="STF115" s="21"/>
      <c r="STG115" s="22"/>
      <c r="STP115" s="21"/>
      <c r="STQ115" s="22"/>
      <c r="STZ115" s="21"/>
      <c r="SUA115" s="22"/>
      <c r="SUJ115" s="21"/>
      <c r="SUK115" s="22"/>
      <c r="SUT115" s="21"/>
      <c r="SUU115" s="22"/>
      <c r="SVD115" s="21"/>
      <c r="SVE115" s="22"/>
      <c r="SVN115" s="21"/>
      <c r="SVO115" s="22"/>
      <c r="SVX115" s="21"/>
      <c r="SVY115" s="22"/>
      <c r="SWH115" s="21"/>
      <c r="SWI115" s="22"/>
      <c r="SWR115" s="21"/>
      <c r="SWS115" s="22"/>
      <c r="SXB115" s="21"/>
      <c r="SXC115" s="22"/>
      <c r="SXL115" s="21"/>
      <c r="SXM115" s="22"/>
      <c r="SXV115" s="21"/>
      <c r="SXW115" s="22"/>
      <c r="SYF115" s="21"/>
      <c r="SYG115" s="22"/>
      <c r="SYP115" s="21"/>
      <c r="SYQ115" s="22"/>
      <c r="SYZ115" s="21"/>
      <c r="SZA115" s="22"/>
      <c r="SZJ115" s="21"/>
      <c r="SZK115" s="22"/>
      <c r="SZT115" s="21"/>
      <c r="SZU115" s="22"/>
      <c r="TAD115" s="21"/>
      <c r="TAE115" s="22"/>
      <c r="TAN115" s="21"/>
      <c r="TAO115" s="22"/>
      <c r="TAX115" s="21"/>
      <c r="TAY115" s="22"/>
      <c r="TBH115" s="21"/>
      <c r="TBI115" s="22"/>
      <c r="TBR115" s="21"/>
      <c r="TBS115" s="22"/>
      <c r="TCB115" s="21"/>
      <c r="TCC115" s="22"/>
      <c r="TCL115" s="21"/>
      <c r="TCM115" s="22"/>
      <c r="TCV115" s="21"/>
      <c r="TCW115" s="22"/>
      <c r="TDF115" s="21"/>
      <c r="TDG115" s="22"/>
      <c r="TDP115" s="21"/>
      <c r="TDQ115" s="22"/>
      <c r="TDZ115" s="21"/>
      <c r="TEA115" s="22"/>
      <c r="TEJ115" s="21"/>
      <c r="TEK115" s="22"/>
      <c r="TET115" s="21"/>
      <c r="TEU115" s="22"/>
      <c r="TFD115" s="21"/>
      <c r="TFE115" s="22"/>
      <c r="TFN115" s="21"/>
      <c r="TFO115" s="22"/>
      <c r="TFX115" s="21"/>
      <c r="TFY115" s="22"/>
      <c r="TGH115" s="21"/>
      <c r="TGI115" s="22"/>
      <c r="TGR115" s="21"/>
      <c r="TGS115" s="22"/>
      <c r="THB115" s="21"/>
      <c r="THC115" s="22"/>
      <c r="THL115" s="21"/>
      <c r="THM115" s="22"/>
      <c r="THV115" s="21"/>
      <c r="THW115" s="22"/>
      <c r="TIF115" s="21"/>
      <c r="TIG115" s="22"/>
      <c r="TIP115" s="21"/>
      <c r="TIQ115" s="22"/>
      <c r="TIZ115" s="21"/>
      <c r="TJA115" s="22"/>
      <c r="TJJ115" s="21"/>
      <c r="TJK115" s="22"/>
      <c r="TJT115" s="21"/>
      <c r="TJU115" s="22"/>
      <c r="TKD115" s="21"/>
      <c r="TKE115" s="22"/>
      <c r="TKN115" s="21"/>
      <c r="TKO115" s="22"/>
      <c r="TKX115" s="21"/>
      <c r="TKY115" s="22"/>
      <c r="TLH115" s="21"/>
      <c r="TLI115" s="22"/>
      <c r="TLR115" s="21"/>
      <c r="TLS115" s="22"/>
      <c r="TMB115" s="21"/>
      <c r="TMC115" s="22"/>
      <c r="TML115" s="21"/>
      <c r="TMM115" s="22"/>
      <c r="TMV115" s="21"/>
      <c r="TMW115" s="22"/>
      <c r="TNF115" s="21"/>
      <c r="TNG115" s="22"/>
      <c r="TNP115" s="21"/>
      <c r="TNQ115" s="22"/>
      <c r="TNZ115" s="21"/>
      <c r="TOA115" s="22"/>
      <c r="TOJ115" s="21"/>
      <c r="TOK115" s="22"/>
      <c r="TOT115" s="21"/>
      <c r="TOU115" s="22"/>
      <c r="TPD115" s="21"/>
      <c r="TPE115" s="22"/>
      <c r="TPN115" s="21"/>
      <c r="TPO115" s="22"/>
      <c r="TPX115" s="21"/>
      <c r="TPY115" s="22"/>
      <c r="TQH115" s="21"/>
      <c r="TQI115" s="22"/>
      <c r="TQR115" s="21"/>
      <c r="TQS115" s="22"/>
      <c r="TRB115" s="21"/>
      <c r="TRC115" s="22"/>
      <c r="TRL115" s="21"/>
      <c r="TRM115" s="22"/>
      <c r="TRV115" s="21"/>
      <c r="TRW115" s="22"/>
      <c r="TSF115" s="21"/>
      <c r="TSG115" s="22"/>
      <c r="TSP115" s="21"/>
      <c r="TSQ115" s="22"/>
      <c r="TSZ115" s="21"/>
      <c r="TTA115" s="22"/>
      <c r="TTJ115" s="21"/>
      <c r="TTK115" s="22"/>
      <c r="TTT115" s="21"/>
      <c r="TTU115" s="22"/>
      <c r="TUD115" s="21"/>
      <c r="TUE115" s="22"/>
      <c r="TUN115" s="21"/>
      <c r="TUO115" s="22"/>
      <c r="TUX115" s="21"/>
      <c r="TUY115" s="22"/>
      <c r="TVH115" s="21"/>
      <c r="TVI115" s="22"/>
      <c r="TVR115" s="21"/>
      <c r="TVS115" s="22"/>
      <c r="TWB115" s="21"/>
      <c r="TWC115" s="22"/>
      <c r="TWL115" s="21"/>
      <c r="TWM115" s="22"/>
      <c r="TWV115" s="21"/>
      <c r="TWW115" s="22"/>
      <c r="TXF115" s="21"/>
      <c r="TXG115" s="22"/>
      <c r="TXP115" s="21"/>
      <c r="TXQ115" s="22"/>
      <c r="TXZ115" s="21"/>
      <c r="TYA115" s="22"/>
      <c r="TYJ115" s="21"/>
      <c r="TYK115" s="22"/>
      <c r="TYT115" s="21"/>
      <c r="TYU115" s="22"/>
      <c r="TZD115" s="21"/>
      <c r="TZE115" s="22"/>
      <c r="TZN115" s="21"/>
      <c r="TZO115" s="22"/>
      <c r="TZX115" s="21"/>
      <c r="TZY115" s="22"/>
      <c r="UAH115" s="21"/>
      <c r="UAI115" s="22"/>
      <c r="UAR115" s="21"/>
      <c r="UAS115" s="22"/>
      <c r="UBB115" s="21"/>
      <c r="UBC115" s="22"/>
      <c r="UBL115" s="21"/>
      <c r="UBM115" s="22"/>
      <c r="UBV115" s="21"/>
      <c r="UBW115" s="22"/>
      <c r="UCF115" s="21"/>
      <c r="UCG115" s="22"/>
      <c r="UCP115" s="21"/>
      <c r="UCQ115" s="22"/>
      <c r="UCZ115" s="21"/>
      <c r="UDA115" s="22"/>
      <c r="UDJ115" s="21"/>
      <c r="UDK115" s="22"/>
      <c r="UDT115" s="21"/>
      <c r="UDU115" s="22"/>
      <c r="UED115" s="21"/>
      <c r="UEE115" s="22"/>
      <c r="UEN115" s="21"/>
      <c r="UEO115" s="22"/>
      <c r="UEX115" s="21"/>
      <c r="UEY115" s="22"/>
      <c r="UFH115" s="21"/>
      <c r="UFI115" s="22"/>
      <c r="UFR115" s="21"/>
      <c r="UFS115" s="22"/>
      <c r="UGB115" s="21"/>
      <c r="UGC115" s="22"/>
      <c r="UGL115" s="21"/>
      <c r="UGM115" s="22"/>
      <c r="UGV115" s="21"/>
      <c r="UGW115" s="22"/>
      <c r="UHF115" s="21"/>
      <c r="UHG115" s="22"/>
      <c r="UHP115" s="21"/>
      <c r="UHQ115" s="22"/>
      <c r="UHZ115" s="21"/>
      <c r="UIA115" s="22"/>
      <c r="UIJ115" s="21"/>
      <c r="UIK115" s="22"/>
      <c r="UIT115" s="21"/>
      <c r="UIU115" s="22"/>
      <c r="UJD115" s="21"/>
      <c r="UJE115" s="22"/>
      <c r="UJN115" s="21"/>
      <c r="UJO115" s="22"/>
      <c r="UJX115" s="21"/>
      <c r="UJY115" s="22"/>
      <c r="UKH115" s="21"/>
      <c r="UKI115" s="22"/>
      <c r="UKR115" s="21"/>
      <c r="UKS115" s="22"/>
      <c r="ULB115" s="21"/>
      <c r="ULC115" s="22"/>
      <c r="ULL115" s="21"/>
      <c r="ULM115" s="22"/>
      <c r="ULV115" s="21"/>
      <c r="ULW115" s="22"/>
      <c r="UMF115" s="21"/>
      <c r="UMG115" s="22"/>
      <c r="UMP115" s="21"/>
      <c r="UMQ115" s="22"/>
      <c r="UMZ115" s="21"/>
      <c r="UNA115" s="22"/>
      <c r="UNJ115" s="21"/>
      <c r="UNK115" s="22"/>
      <c r="UNT115" s="21"/>
      <c r="UNU115" s="22"/>
      <c r="UOD115" s="21"/>
      <c r="UOE115" s="22"/>
      <c r="UON115" s="21"/>
      <c r="UOO115" s="22"/>
      <c r="UOX115" s="21"/>
      <c r="UOY115" s="22"/>
      <c r="UPH115" s="21"/>
      <c r="UPI115" s="22"/>
      <c r="UPR115" s="21"/>
      <c r="UPS115" s="22"/>
      <c r="UQB115" s="21"/>
      <c r="UQC115" s="22"/>
      <c r="UQL115" s="21"/>
      <c r="UQM115" s="22"/>
      <c r="UQV115" s="21"/>
      <c r="UQW115" s="22"/>
      <c r="URF115" s="21"/>
      <c r="URG115" s="22"/>
      <c r="URP115" s="21"/>
      <c r="URQ115" s="22"/>
      <c r="URZ115" s="21"/>
      <c r="USA115" s="22"/>
      <c r="USJ115" s="21"/>
      <c r="USK115" s="22"/>
      <c r="UST115" s="21"/>
      <c r="USU115" s="22"/>
      <c r="UTD115" s="21"/>
      <c r="UTE115" s="22"/>
      <c r="UTN115" s="21"/>
      <c r="UTO115" s="22"/>
      <c r="UTX115" s="21"/>
      <c r="UTY115" s="22"/>
      <c r="UUH115" s="21"/>
      <c r="UUI115" s="22"/>
      <c r="UUR115" s="21"/>
      <c r="UUS115" s="22"/>
      <c r="UVB115" s="21"/>
      <c r="UVC115" s="22"/>
      <c r="UVL115" s="21"/>
      <c r="UVM115" s="22"/>
      <c r="UVV115" s="21"/>
      <c r="UVW115" s="22"/>
      <c r="UWF115" s="21"/>
      <c r="UWG115" s="22"/>
      <c r="UWP115" s="21"/>
      <c r="UWQ115" s="22"/>
      <c r="UWZ115" s="21"/>
      <c r="UXA115" s="22"/>
      <c r="UXJ115" s="21"/>
      <c r="UXK115" s="22"/>
      <c r="UXT115" s="21"/>
      <c r="UXU115" s="22"/>
      <c r="UYD115" s="21"/>
      <c r="UYE115" s="22"/>
      <c r="UYN115" s="21"/>
      <c r="UYO115" s="22"/>
      <c r="UYX115" s="21"/>
      <c r="UYY115" s="22"/>
      <c r="UZH115" s="21"/>
      <c r="UZI115" s="22"/>
      <c r="UZR115" s="21"/>
      <c r="UZS115" s="22"/>
      <c r="VAB115" s="21"/>
      <c r="VAC115" s="22"/>
      <c r="VAL115" s="21"/>
      <c r="VAM115" s="22"/>
      <c r="VAV115" s="21"/>
      <c r="VAW115" s="22"/>
      <c r="VBF115" s="21"/>
      <c r="VBG115" s="22"/>
      <c r="VBP115" s="21"/>
      <c r="VBQ115" s="22"/>
      <c r="VBZ115" s="21"/>
      <c r="VCA115" s="22"/>
      <c r="VCJ115" s="21"/>
      <c r="VCK115" s="22"/>
      <c r="VCT115" s="21"/>
      <c r="VCU115" s="22"/>
      <c r="VDD115" s="21"/>
      <c r="VDE115" s="22"/>
      <c r="VDN115" s="21"/>
      <c r="VDO115" s="22"/>
      <c r="VDX115" s="21"/>
      <c r="VDY115" s="22"/>
      <c r="VEH115" s="21"/>
      <c r="VEI115" s="22"/>
      <c r="VER115" s="21"/>
      <c r="VES115" s="22"/>
      <c r="VFB115" s="21"/>
      <c r="VFC115" s="22"/>
      <c r="VFL115" s="21"/>
      <c r="VFM115" s="22"/>
      <c r="VFV115" s="21"/>
      <c r="VFW115" s="22"/>
      <c r="VGF115" s="21"/>
      <c r="VGG115" s="22"/>
      <c r="VGP115" s="21"/>
      <c r="VGQ115" s="22"/>
      <c r="VGZ115" s="21"/>
      <c r="VHA115" s="22"/>
      <c r="VHJ115" s="21"/>
      <c r="VHK115" s="22"/>
      <c r="VHT115" s="21"/>
      <c r="VHU115" s="22"/>
      <c r="VID115" s="21"/>
      <c r="VIE115" s="22"/>
      <c r="VIN115" s="21"/>
      <c r="VIO115" s="22"/>
      <c r="VIX115" s="21"/>
      <c r="VIY115" s="22"/>
      <c r="VJH115" s="21"/>
      <c r="VJI115" s="22"/>
      <c r="VJR115" s="21"/>
      <c r="VJS115" s="22"/>
      <c r="VKB115" s="21"/>
      <c r="VKC115" s="22"/>
      <c r="VKL115" s="21"/>
      <c r="VKM115" s="22"/>
      <c r="VKV115" s="21"/>
      <c r="VKW115" s="22"/>
      <c r="VLF115" s="21"/>
      <c r="VLG115" s="22"/>
      <c r="VLP115" s="21"/>
      <c r="VLQ115" s="22"/>
      <c r="VLZ115" s="21"/>
      <c r="VMA115" s="22"/>
      <c r="VMJ115" s="21"/>
      <c r="VMK115" s="22"/>
      <c r="VMT115" s="21"/>
      <c r="VMU115" s="22"/>
      <c r="VND115" s="21"/>
      <c r="VNE115" s="22"/>
      <c r="VNN115" s="21"/>
      <c r="VNO115" s="22"/>
      <c r="VNX115" s="21"/>
      <c r="VNY115" s="22"/>
      <c r="VOH115" s="21"/>
      <c r="VOI115" s="22"/>
      <c r="VOR115" s="21"/>
      <c r="VOS115" s="22"/>
      <c r="VPB115" s="21"/>
      <c r="VPC115" s="22"/>
      <c r="VPL115" s="21"/>
      <c r="VPM115" s="22"/>
      <c r="VPV115" s="21"/>
      <c r="VPW115" s="22"/>
      <c r="VQF115" s="21"/>
      <c r="VQG115" s="22"/>
      <c r="VQP115" s="21"/>
      <c r="VQQ115" s="22"/>
      <c r="VQZ115" s="21"/>
      <c r="VRA115" s="22"/>
      <c r="VRJ115" s="21"/>
      <c r="VRK115" s="22"/>
      <c r="VRT115" s="21"/>
      <c r="VRU115" s="22"/>
      <c r="VSD115" s="21"/>
      <c r="VSE115" s="22"/>
      <c r="VSN115" s="21"/>
      <c r="VSO115" s="22"/>
      <c r="VSX115" s="21"/>
      <c r="VSY115" s="22"/>
      <c r="VTH115" s="21"/>
      <c r="VTI115" s="22"/>
      <c r="VTR115" s="21"/>
      <c r="VTS115" s="22"/>
      <c r="VUB115" s="21"/>
      <c r="VUC115" s="22"/>
      <c r="VUL115" s="21"/>
      <c r="VUM115" s="22"/>
      <c r="VUV115" s="21"/>
      <c r="VUW115" s="22"/>
      <c r="VVF115" s="21"/>
      <c r="VVG115" s="22"/>
      <c r="VVP115" s="21"/>
      <c r="VVQ115" s="22"/>
      <c r="VVZ115" s="21"/>
      <c r="VWA115" s="22"/>
      <c r="VWJ115" s="21"/>
      <c r="VWK115" s="22"/>
      <c r="VWT115" s="21"/>
      <c r="VWU115" s="22"/>
      <c r="VXD115" s="21"/>
      <c r="VXE115" s="22"/>
      <c r="VXN115" s="21"/>
      <c r="VXO115" s="22"/>
      <c r="VXX115" s="21"/>
      <c r="VXY115" s="22"/>
      <c r="VYH115" s="21"/>
      <c r="VYI115" s="22"/>
      <c r="VYR115" s="21"/>
      <c r="VYS115" s="22"/>
      <c r="VZB115" s="21"/>
      <c r="VZC115" s="22"/>
      <c r="VZL115" s="21"/>
      <c r="VZM115" s="22"/>
      <c r="VZV115" s="21"/>
      <c r="VZW115" s="22"/>
      <c r="WAF115" s="21"/>
      <c r="WAG115" s="22"/>
      <c r="WAP115" s="21"/>
      <c r="WAQ115" s="22"/>
      <c r="WAZ115" s="21"/>
      <c r="WBA115" s="22"/>
      <c r="WBJ115" s="21"/>
      <c r="WBK115" s="22"/>
      <c r="WBT115" s="21"/>
      <c r="WBU115" s="22"/>
      <c r="WCD115" s="21"/>
      <c r="WCE115" s="22"/>
      <c r="WCN115" s="21"/>
      <c r="WCO115" s="22"/>
      <c r="WCX115" s="21"/>
      <c r="WCY115" s="22"/>
      <c r="WDH115" s="21"/>
      <c r="WDI115" s="22"/>
      <c r="WDR115" s="21"/>
      <c r="WDS115" s="22"/>
      <c r="WEB115" s="21"/>
      <c r="WEC115" s="22"/>
      <c r="WEL115" s="21"/>
      <c r="WEM115" s="22"/>
      <c r="WEV115" s="21"/>
      <c r="WEW115" s="22"/>
      <c r="WFF115" s="21"/>
      <c r="WFG115" s="22"/>
      <c r="WFP115" s="21"/>
      <c r="WFQ115" s="22"/>
      <c r="WFZ115" s="21"/>
      <c r="WGA115" s="22"/>
      <c r="WGJ115" s="21"/>
      <c r="WGK115" s="22"/>
      <c r="WGT115" s="21"/>
      <c r="WGU115" s="22"/>
      <c r="WHD115" s="21"/>
      <c r="WHE115" s="22"/>
      <c r="WHN115" s="21"/>
      <c r="WHO115" s="22"/>
      <c r="WHX115" s="21"/>
      <c r="WHY115" s="22"/>
      <c r="WIH115" s="21"/>
      <c r="WII115" s="22"/>
      <c r="WIR115" s="21"/>
      <c r="WIS115" s="22"/>
      <c r="WJB115" s="21"/>
      <c r="WJC115" s="22"/>
      <c r="WJL115" s="21"/>
      <c r="WJM115" s="22"/>
      <c r="WJV115" s="21"/>
      <c r="WJW115" s="22"/>
      <c r="WKF115" s="21"/>
      <c r="WKG115" s="22"/>
      <c r="WKP115" s="21"/>
      <c r="WKQ115" s="22"/>
      <c r="WKZ115" s="21"/>
      <c r="WLA115" s="22"/>
      <c r="WLJ115" s="21"/>
      <c r="WLK115" s="22"/>
      <c r="WLT115" s="21"/>
      <c r="WLU115" s="22"/>
      <c r="WMD115" s="21"/>
      <c r="WME115" s="22"/>
      <c r="WMN115" s="21"/>
      <c r="WMO115" s="22"/>
      <c r="WMX115" s="21"/>
      <c r="WMY115" s="22"/>
      <c r="WNH115" s="21"/>
      <c r="WNI115" s="22"/>
      <c r="WNR115" s="21"/>
      <c r="WNS115" s="22"/>
      <c r="WOB115" s="21"/>
      <c r="WOC115" s="22"/>
      <c r="WOL115" s="21"/>
      <c r="WOM115" s="22"/>
      <c r="WOV115" s="21"/>
      <c r="WOW115" s="22"/>
      <c r="WPF115" s="21"/>
      <c r="WPG115" s="22"/>
      <c r="WPP115" s="21"/>
      <c r="WPQ115" s="22"/>
      <c r="WPZ115" s="21"/>
      <c r="WQA115" s="22"/>
      <c r="WQJ115" s="21"/>
      <c r="WQK115" s="22"/>
      <c r="WQT115" s="21"/>
      <c r="WQU115" s="22"/>
      <c r="WRD115" s="21"/>
      <c r="WRE115" s="22"/>
      <c r="WRN115" s="21"/>
      <c r="WRO115" s="22"/>
      <c r="WRX115" s="21"/>
      <c r="WRY115" s="22"/>
      <c r="WSH115" s="21"/>
      <c r="WSI115" s="22"/>
      <c r="WSR115" s="21"/>
      <c r="WSS115" s="22"/>
      <c r="WTB115" s="21"/>
      <c r="WTC115" s="22"/>
      <c r="WTL115" s="21"/>
      <c r="WTM115" s="22"/>
      <c r="WTV115" s="21"/>
      <c r="WTW115" s="22"/>
      <c r="WUF115" s="21"/>
      <c r="WUG115" s="22"/>
      <c r="WUP115" s="21"/>
      <c r="WUQ115" s="22"/>
      <c r="WUZ115" s="21"/>
      <c r="WVA115" s="22"/>
      <c r="WVJ115" s="21"/>
      <c r="WVK115" s="22"/>
      <c r="WVT115" s="21"/>
      <c r="WVU115" s="22"/>
      <c r="WWD115" s="21"/>
      <c r="WWE115" s="22"/>
      <c r="WWN115" s="21"/>
      <c r="WWO115" s="22"/>
      <c r="WWX115" s="21"/>
      <c r="WWY115" s="22"/>
      <c r="WXH115" s="21"/>
      <c r="WXI115" s="22"/>
      <c r="WXR115" s="21"/>
      <c r="WXS115" s="22"/>
      <c r="WYB115" s="21"/>
      <c r="WYC115" s="22"/>
      <c r="WYL115" s="21"/>
      <c r="WYM115" s="22"/>
      <c r="WYV115" s="21"/>
      <c r="WYW115" s="22"/>
      <c r="WZF115" s="21"/>
      <c r="WZG115" s="22"/>
      <c r="WZP115" s="21"/>
      <c r="WZQ115" s="22"/>
      <c r="WZZ115" s="21"/>
      <c r="XAA115" s="22"/>
      <c r="XAJ115" s="21"/>
      <c r="XAK115" s="22"/>
      <c r="XAT115" s="21"/>
      <c r="XAU115" s="22"/>
      <c r="XBD115" s="21"/>
      <c r="XBE115" s="22"/>
      <c r="XBN115" s="21"/>
      <c r="XBO115" s="22"/>
      <c r="XBX115" s="21"/>
      <c r="XBY115" s="22"/>
      <c r="XCH115" s="21"/>
      <c r="XCI115" s="22"/>
      <c r="XCR115" s="21"/>
      <c r="XCS115" s="22"/>
      <c r="XDB115" s="21"/>
      <c r="XDC115" s="22"/>
      <c r="XDL115" s="21"/>
      <c r="XDM115" s="22"/>
      <c r="XDV115" s="21"/>
      <c r="XDW115" s="22"/>
      <c r="XEF115" s="21"/>
      <c r="XEG115" s="22"/>
      <c r="XEP115" s="21"/>
      <c r="XEQ115" s="22"/>
      <c r="XEZ115" s="21"/>
      <c r="XFA115" s="22"/>
    </row>
    <row r="116" spans="1:1021 1030:2041 2050:3071 3080:4091 4100:6141 6150:7161 7170:8191 8200:9211 9220:11261 11270:12281 12290:13311 13320:14331 14340:16381">
      <c r="A116" s="19" t="s">
        <v>117</v>
      </c>
    </row>
    <row r="117" spans="1:1021 1030:2041 2050:3071 3080:4091 4100:6141 6150:7161 7170:8191 8200:9211 9220:11261 11270:12281 12290:13311 13320:14331 14340:16381">
      <c r="A117" s="25" t="s">
        <v>114</v>
      </c>
      <c r="E117" s="207">
        <f>E68+10%</f>
        <v>0.44599999999999995</v>
      </c>
      <c r="F117" s="207">
        <f t="shared" ref="F117:J117" si="39">F68+10%</f>
        <v>0.25850000000000001</v>
      </c>
      <c r="G117" s="207">
        <f t="shared" si="39"/>
        <v>0.248</v>
      </c>
      <c r="H117" s="207">
        <f t="shared" si="39"/>
        <v>0.22270000000000001</v>
      </c>
      <c r="I117" s="207">
        <f t="shared" si="39"/>
        <v>0.21229999999999999</v>
      </c>
      <c r="J117" s="207">
        <f t="shared" si="39"/>
        <v>0.20019999999999999</v>
      </c>
    </row>
    <row r="118" spans="1:1021 1030:2041 2050:3071 3080:4091 4100:6141 6150:7161 7170:8191 8200:9211 9220:11261 11270:12281 12290:13311 13320:14331 14340:16381">
      <c r="A118" s="25" t="s">
        <v>118</v>
      </c>
      <c r="E118" s="207">
        <f t="shared" ref="E118:J118" si="40">E69+10%</f>
        <v>0.49756394633018697</v>
      </c>
      <c r="F118" s="207">
        <f t="shared" si="40"/>
        <v>0.323556504611137</v>
      </c>
      <c r="G118" s="207">
        <f t="shared" si="40"/>
        <v>0.30478249232156501</v>
      </c>
      <c r="H118" s="207">
        <f t="shared" si="40"/>
        <v>0.28158032995888604</v>
      </c>
      <c r="I118" s="207">
        <f t="shared" si="40"/>
        <v>0.25799219912083704</v>
      </c>
      <c r="J118" s="207">
        <f t="shared" si="40"/>
        <v>0.24484381215727802</v>
      </c>
    </row>
    <row r="119" spans="1:1021 1030:2041 2050:3071 3080:4091 4100:6141 6150:7161 7170:8191 8200:9211 9220:11261 11270:12281 12290:13311 13320:14331 14340:16381">
      <c r="A119" s="25" t="s">
        <v>116</v>
      </c>
      <c r="E119" s="207">
        <f t="shared" ref="E119:J119" si="41">E70+10%</f>
        <v>0.39151293646400198</v>
      </c>
      <c r="F119" s="207">
        <f t="shared" si="41"/>
        <v>0.36399402881100995</v>
      </c>
      <c r="G119" s="207">
        <f t="shared" si="41"/>
        <v>0.33349126129462603</v>
      </c>
      <c r="H119" s="207">
        <f t="shared" si="41"/>
        <v>0.31113269006391797</v>
      </c>
      <c r="I119" s="207">
        <f t="shared" si="41"/>
        <v>0.295073577057133</v>
      </c>
      <c r="J119" s="207">
        <f t="shared" si="41"/>
        <v>0.28129304889974605</v>
      </c>
    </row>
    <row r="120" spans="1:1021 1030:2041 2050:3071 3080:4091 4100:6141 6150:7161 7170:8191 8200:9211 9220:11261 11270:12281 12290:13311 13320:14331 14340:16381">
      <c r="A120" s="25" t="s">
        <v>119</v>
      </c>
      <c r="E120" s="207">
        <f t="shared" ref="E120:J120" si="42">E71+10%</f>
        <v>0.37196096611639096</v>
      </c>
      <c r="F120" s="207">
        <f t="shared" si="42"/>
        <v>0.32433280376824603</v>
      </c>
      <c r="G120" s="207">
        <f t="shared" si="42"/>
        <v>0.28865265043169397</v>
      </c>
      <c r="H120" s="207">
        <f t="shared" si="42"/>
        <v>0.270328945770269</v>
      </c>
      <c r="I120" s="207">
        <f t="shared" si="42"/>
        <v>0.235268885580487</v>
      </c>
      <c r="J120" s="207">
        <f t="shared" si="42"/>
        <v>0.2157042286086</v>
      </c>
    </row>
    <row r="121" spans="1:1021 1030:2041 2050:3071 3080:4091 4100:6141 6150:7161 7170:8191 8200:9211 9220:11261 11270:12281 12290:13311 13320:14331 14340:16381">
      <c r="A121" s="25" t="s">
        <v>115</v>
      </c>
      <c r="E121" s="207">
        <f t="shared" ref="E121:J121" si="43">E72+10%</f>
        <v>0.13400719045529552</v>
      </c>
      <c r="F121" s="207">
        <f t="shared" si="43"/>
        <v>0.11854098864357851</v>
      </c>
      <c r="G121" s="207">
        <f t="shared" si="43"/>
        <v>0.15162541565169341</v>
      </c>
      <c r="H121" s="207">
        <f t="shared" si="43"/>
        <v>0.15288000000000002</v>
      </c>
      <c r="I121" s="207">
        <f t="shared" si="43"/>
        <v>0.16130250000000002</v>
      </c>
      <c r="J121" s="207">
        <f t="shared" si="43"/>
        <v>0.15697966666666671</v>
      </c>
    </row>
    <row r="122" spans="1:1021 1030:2041 2050:3071 3080:4091 4100:6141 6150:7161 7170:8191 8200:9211 9220:11261 11270:12281 12290:13311 13320:14331 14340:16381">
      <c r="A122" s="25" t="s">
        <v>120</v>
      </c>
      <c r="E122" s="207">
        <f t="shared" ref="E122:J122" si="44">E73+10%</f>
        <v>0.49079977029819799</v>
      </c>
      <c r="F122" s="207">
        <f t="shared" si="44"/>
        <v>0.41680179366155401</v>
      </c>
      <c r="G122" s="207">
        <f t="shared" si="44"/>
        <v>0.34704052025108101</v>
      </c>
      <c r="H122" s="207">
        <f t="shared" si="44"/>
        <v>0.29645740196730597</v>
      </c>
      <c r="I122" s="207">
        <f t="shared" si="44"/>
        <v>0.24062786954259399</v>
      </c>
      <c r="J122" s="207">
        <f t="shared" si="44"/>
        <v>0.20896778463336901</v>
      </c>
    </row>
    <row r="123" spans="1:1021 1030:2041 2050:3071 3080:4091 4100:6141 6150:7161 7170:8191 8200:9211 9220:11261 11270:12281 12290:13311 13320:14331 14340:16381" ht="15" thickBot="1">
      <c r="A123" s="193" t="s">
        <v>122</v>
      </c>
      <c r="B123" s="7"/>
      <c r="C123" s="7"/>
      <c r="D123" s="7"/>
      <c r="E123" s="7"/>
      <c r="F123" s="7"/>
      <c r="G123" s="7"/>
      <c r="H123" s="7"/>
      <c r="I123" s="7"/>
      <c r="J123" s="7"/>
    </row>
    <row r="124" spans="1:1021 1030:2041 2050:3071 3080:4091 4100:6141 6150:7161 7170:8191 8200:9211 9220:11261 11270:12281 12290:13311 13320:14331 14340:16381" ht="15" thickTop="1">
      <c r="A124" s="28" t="s">
        <v>123</v>
      </c>
    </row>
    <row r="125" spans="1:1021 1030:2041 2050:3071 3080:4091 4100:6141 6150:7161 7170:8191 8200:9211 9220:11261 11270:12281 12290:13311 13320:14331 14340:16381">
      <c r="A125" t="s">
        <v>4</v>
      </c>
      <c r="E125" s="208">
        <f>E76-2.5%</f>
        <v>0.574043497866218</v>
      </c>
      <c r="F125" s="208">
        <f t="shared" ref="F125:J125" si="45">F76-2.5%</f>
        <v>0.56453184057405703</v>
      </c>
      <c r="G125" s="208">
        <f t="shared" si="45"/>
        <v>0.5555877761870659</v>
      </c>
      <c r="H125" s="208">
        <f t="shared" si="45"/>
        <v>0.55147886343895192</v>
      </c>
      <c r="I125" s="208">
        <f t="shared" si="45"/>
        <v>0.54722910347817</v>
      </c>
      <c r="J125" s="208">
        <f t="shared" si="45"/>
        <v>0.55421885870032706</v>
      </c>
    </row>
    <row r="126" spans="1:1021 1030:2041 2050:3071 3080:4091 4100:6141 6150:7161 7170:8191 8200:9211 9220:11261 11270:12281 12290:13311 13320:14331 14340:16381">
      <c r="A126" t="s">
        <v>141</v>
      </c>
      <c r="E126" s="208">
        <f>E77+2.5%</f>
        <v>0.14286845604850401</v>
      </c>
      <c r="F126" s="208">
        <f t="shared" ref="F126:J126" si="46">F77+2.5%</f>
        <v>0.142921080403423</v>
      </c>
      <c r="G126" s="208">
        <f t="shared" si="46"/>
        <v>0.14180653573663199</v>
      </c>
      <c r="H126" s="208">
        <f t="shared" si="46"/>
        <v>0.14076144017273401</v>
      </c>
      <c r="I126" s="208">
        <f t="shared" si="46"/>
        <v>0.138981269990508</v>
      </c>
      <c r="J126" s="208">
        <f t="shared" si="46"/>
        <v>0.133651024817596</v>
      </c>
    </row>
    <row r="127" spans="1:1021 1030:2041 2050:3071 3080:4091 4100:6141 6150:7161 7170:8191 8200:9211 9220:11261 11270:12281 12290:13311 13320:14331 14340:16381">
      <c r="A127" t="s">
        <v>6</v>
      </c>
      <c r="E127" s="208">
        <f>E78+2.5%</f>
        <v>8.1649499406085999E-2</v>
      </c>
      <c r="F127" s="208">
        <f t="shared" ref="F127:J127" si="47">F78+2.5%</f>
        <v>8.1850116170064199E-2</v>
      </c>
      <c r="G127" s="208">
        <f t="shared" si="47"/>
        <v>8.0275555415164901E-2</v>
      </c>
      <c r="H127" s="208">
        <f t="shared" si="47"/>
        <v>7.9539473912822095E-2</v>
      </c>
      <c r="I127" s="208">
        <f t="shared" si="47"/>
        <v>7.5885824507243294E-2</v>
      </c>
      <c r="J127" s="208">
        <f t="shared" si="47"/>
        <v>7.3538795228307502E-2</v>
      </c>
    </row>
    <row r="128" spans="1:1021 1030:2041 2050:3071 3080:4091 4100:6141 6150:7161 7170:8191 8200:9211 9220:11261 11270:12281 12290:13311 13320:14331 14340:16381">
      <c r="A128" t="s">
        <v>140</v>
      </c>
      <c r="E128" s="208">
        <v>0.153612255192111</v>
      </c>
      <c r="F128" s="208">
        <v>0.155</v>
      </c>
      <c r="G128" s="208">
        <v>0.155</v>
      </c>
      <c r="H128" s="208">
        <v>0.155</v>
      </c>
      <c r="I128" s="208">
        <v>0.155</v>
      </c>
      <c r="J128" s="208">
        <v>0.155</v>
      </c>
    </row>
    <row r="129" spans="1:10">
      <c r="A129" t="s">
        <v>7</v>
      </c>
      <c r="E129" s="208">
        <v>2.0655999460267842E-2</v>
      </c>
      <c r="F129" s="208">
        <v>0.02</v>
      </c>
      <c r="G129" s="208">
        <v>0.02</v>
      </c>
      <c r="H129" s="208">
        <v>0.02</v>
      </c>
      <c r="I129" s="208">
        <v>0.02</v>
      </c>
      <c r="J129" s="208">
        <v>0.02</v>
      </c>
    </row>
    <row r="130" spans="1:10">
      <c r="A130" t="s">
        <v>9</v>
      </c>
      <c r="E130" s="208">
        <v>1.0315532479507044E-3</v>
      </c>
      <c r="F130" s="208">
        <v>9.7997558555316922E-4</v>
      </c>
      <c r="G130" s="208">
        <v>9.3097680627551068E-4</v>
      </c>
      <c r="H130" s="208">
        <v>8.844279659617351E-4</v>
      </c>
      <c r="I130" s="208">
        <v>8.4020656766364832E-4</v>
      </c>
      <c r="J130" s="208">
        <v>7.9819623928046582E-4</v>
      </c>
    </row>
    <row r="131" spans="1:10">
      <c r="A131" s="190" t="s">
        <v>208</v>
      </c>
      <c r="B131" s="89"/>
      <c r="C131" s="89"/>
      <c r="D131" s="89"/>
      <c r="E131" s="89"/>
      <c r="F131" s="89"/>
      <c r="G131" s="89"/>
      <c r="H131" s="89"/>
      <c r="I131" s="89"/>
      <c r="J131" s="89"/>
    </row>
    <row r="133" spans="1:10">
      <c r="A133" s="20" t="s">
        <v>142</v>
      </c>
      <c r="E133" s="209">
        <v>2.4E-2</v>
      </c>
      <c r="F133" s="209">
        <v>2.5000000000000001E-2</v>
      </c>
      <c r="G133" s="209">
        <v>2.8999999999999998E-2</v>
      </c>
      <c r="H133" s="209">
        <v>0.03</v>
      </c>
      <c r="I133" s="209">
        <v>3.3000000000000002E-2</v>
      </c>
      <c r="J133" s="209">
        <v>3.5000000000000003E-2</v>
      </c>
    </row>
    <row r="134" spans="1:10">
      <c r="A134" s="9" t="s">
        <v>153</v>
      </c>
      <c r="E134" s="208">
        <v>0.22500000000000001</v>
      </c>
      <c r="F134" s="208">
        <v>0.22500000000000001</v>
      </c>
      <c r="G134" s="208">
        <v>0.22500000000000001</v>
      </c>
      <c r="H134" s="208">
        <v>0.22500000000000001</v>
      </c>
      <c r="I134" s="208">
        <v>0.22500000000000001</v>
      </c>
      <c r="J134" s="208">
        <v>0.22500000000000001</v>
      </c>
    </row>
    <row r="135" spans="1:10">
      <c r="A135" s="105" t="s">
        <v>207</v>
      </c>
      <c r="E135" s="208">
        <v>0.01</v>
      </c>
      <c r="F135" s="208">
        <v>0.01</v>
      </c>
      <c r="G135" s="208">
        <v>0.01</v>
      </c>
      <c r="H135" s="208">
        <v>0.01</v>
      </c>
      <c r="I135" s="208">
        <v>0.01</v>
      </c>
      <c r="J135" s="208">
        <v>0.01</v>
      </c>
    </row>
    <row r="136" spans="1:10">
      <c r="A136" s="105" t="s">
        <v>227</v>
      </c>
      <c r="E136" s="208">
        <v>5.5E-2</v>
      </c>
      <c r="F136" s="208">
        <v>5.5E-2</v>
      </c>
      <c r="G136" s="208">
        <v>5.5E-2</v>
      </c>
      <c r="H136" s="208">
        <v>5.5E-2</v>
      </c>
      <c r="I136" s="208">
        <v>5.5E-2</v>
      </c>
      <c r="J136" s="208">
        <v>5.5E-2</v>
      </c>
    </row>
    <row r="137" spans="1:10">
      <c r="E137" s="210"/>
      <c r="F137" s="210"/>
      <c r="G137" s="210"/>
      <c r="H137" s="210"/>
      <c r="I137" s="210"/>
      <c r="J137" s="211"/>
    </row>
    <row r="138" spans="1:10">
      <c r="E138" s="210"/>
      <c r="F138" s="210"/>
      <c r="G138" s="210"/>
      <c r="H138" s="210"/>
      <c r="I138" s="210"/>
      <c r="J138" s="211"/>
    </row>
    <row r="139" spans="1:10">
      <c r="A139" s="1" t="s">
        <v>87</v>
      </c>
      <c r="E139" s="210"/>
      <c r="F139" s="210"/>
      <c r="G139" s="210"/>
      <c r="H139" s="210"/>
      <c r="I139" s="210"/>
      <c r="J139" s="211"/>
    </row>
    <row r="140" spans="1:10">
      <c r="A140" s="112" t="s">
        <v>124</v>
      </c>
      <c r="E140" s="210">
        <v>52</v>
      </c>
      <c r="F140" s="210">
        <v>52</v>
      </c>
      <c r="G140" s="210">
        <v>52</v>
      </c>
      <c r="H140" s="210">
        <v>52</v>
      </c>
      <c r="I140" s="210">
        <v>52</v>
      </c>
      <c r="J140" s="210">
        <v>52</v>
      </c>
    </row>
    <row r="141" spans="1:10">
      <c r="A141" s="112" t="s">
        <v>125</v>
      </c>
      <c r="E141" s="210">
        <v>27</v>
      </c>
      <c r="F141" s="210">
        <v>27</v>
      </c>
      <c r="G141" s="210">
        <v>27</v>
      </c>
      <c r="H141" s="210">
        <v>27</v>
      </c>
      <c r="I141" s="210">
        <v>27</v>
      </c>
      <c r="J141" s="210">
        <v>27</v>
      </c>
    </row>
    <row r="142" spans="1:10">
      <c r="A142" s="24" t="s">
        <v>137</v>
      </c>
      <c r="E142" s="210">
        <v>0</v>
      </c>
      <c r="F142" s="210">
        <v>0</v>
      </c>
      <c r="G142" s="210">
        <v>0</v>
      </c>
      <c r="H142" s="210">
        <v>0</v>
      </c>
      <c r="I142" s="210">
        <v>0</v>
      </c>
      <c r="J142" s="210">
        <v>0</v>
      </c>
    </row>
    <row r="143" spans="1:10">
      <c r="A143" s="24" t="s">
        <v>206</v>
      </c>
      <c r="E143" s="208">
        <v>0</v>
      </c>
      <c r="F143" s="208">
        <v>0</v>
      </c>
      <c r="G143" s="208">
        <v>0</v>
      </c>
      <c r="H143" s="208">
        <v>0</v>
      </c>
      <c r="I143" s="208">
        <v>0</v>
      </c>
      <c r="J143" s="208">
        <v>0</v>
      </c>
    </row>
    <row r="144" spans="1:10">
      <c r="A144" s="24" t="s">
        <v>126</v>
      </c>
      <c r="E144" s="208">
        <v>0</v>
      </c>
      <c r="F144" s="208">
        <v>0</v>
      </c>
      <c r="G144" s="208">
        <v>0</v>
      </c>
      <c r="H144" s="208">
        <v>0</v>
      </c>
      <c r="I144" s="208">
        <v>0</v>
      </c>
      <c r="J144" s="208">
        <v>0</v>
      </c>
    </row>
    <row r="145" spans="1:10">
      <c r="A145" s="24"/>
      <c r="E145" s="210"/>
      <c r="F145" s="210"/>
      <c r="G145" s="210"/>
      <c r="H145" s="210"/>
      <c r="I145" s="210"/>
      <c r="J145" s="211"/>
    </row>
    <row r="146" spans="1:10">
      <c r="A146" s="24" t="s">
        <v>127</v>
      </c>
      <c r="E146" s="210">
        <v>115</v>
      </c>
      <c r="F146" s="210">
        <v>115</v>
      </c>
      <c r="G146" s="210">
        <v>115</v>
      </c>
      <c r="H146" s="210">
        <v>115</v>
      </c>
      <c r="I146" s="210">
        <v>115</v>
      </c>
      <c r="J146" s="210">
        <v>115</v>
      </c>
    </row>
    <row r="147" spans="1:10">
      <c r="A147" s="112" t="s">
        <v>139</v>
      </c>
      <c r="E147" s="212">
        <v>0.1</v>
      </c>
      <c r="F147" s="212">
        <v>0.1</v>
      </c>
      <c r="G147" s="212">
        <v>0.1</v>
      </c>
      <c r="H147" s="212">
        <v>0.1</v>
      </c>
      <c r="I147" s="212">
        <v>0.1</v>
      </c>
      <c r="J147" s="212">
        <v>0.1</v>
      </c>
    </row>
    <row r="148" spans="1:10">
      <c r="A148" s="24" t="s">
        <v>138</v>
      </c>
      <c r="E148" s="208">
        <v>0.03</v>
      </c>
      <c r="F148" s="208">
        <v>0.03</v>
      </c>
      <c r="G148" s="208">
        <v>0.03</v>
      </c>
      <c r="H148" s="208">
        <v>0.03</v>
      </c>
      <c r="I148" s="208">
        <v>0.03</v>
      </c>
      <c r="J148" s="208">
        <v>0.03</v>
      </c>
    </row>
    <row r="149" spans="1:10">
      <c r="A149" s="24"/>
      <c r="E149" s="210"/>
      <c r="F149" s="210"/>
      <c r="G149" s="210"/>
      <c r="H149" s="210"/>
      <c r="I149" s="210"/>
      <c r="J149" s="211"/>
    </row>
    <row r="150" spans="1:10">
      <c r="A150" s="24" t="s">
        <v>128</v>
      </c>
      <c r="E150" s="208">
        <v>7.0000000000000007E-2</v>
      </c>
      <c r="F150" s="208">
        <v>7.0000000000000007E-2</v>
      </c>
      <c r="G150" s="208">
        <v>7.0000000000000007E-2</v>
      </c>
      <c r="H150" s="208">
        <v>7.0000000000000007E-2</v>
      </c>
      <c r="I150" s="208">
        <v>7.0000000000000007E-2</v>
      </c>
      <c r="J150" s="208">
        <v>7.0000000000000007E-2</v>
      </c>
    </row>
    <row r="151" spans="1:10">
      <c r="A151" s="112" t="s">
        <v>230</v>
      </c>
      <c r="E151" s="208">
        <v>0.05</v>
      </c>
      <c r="F151" s="208">
        <v>0.05</v>
      </c>
      <c r="G151" s="208">
        <v>0.05</v>
      </c>
      <c r="H151" s="208">
        <v>0.04</v>
      </c>
      <c r="I151" s="208">
        <v>0.04</v>
      </c>
      <c r="J151" s="208">
        <v>0.04</v>
      </c>
    </row>
    <row r="152" spans="1:10">
      <c r="A152" s="112" t="s">
        <v>129</v>
      </c>
      <c r="E152" s="212">
        <v>0.4</v>
      </c>
      <c r="F152" s="212">
        <v>0.4</v>
      </c>
      <c r="G152" s="212">
        <v>0.4</v>
      </c>
      <c r="H152" s="212">
        <v>0.4</v>
      </c>
      <c r="I152" s="212">
        <v>0.4</v>
      </c>
      <c r="J152" s="212">
        <v>0.4</v>
      </c>
    </row>
    <row r="153" spans="1:10">
      <c r="A153" s="112" t="s">
        <v>130</v>
      </c>
      <c r="E153" s="212">
        <v>0.38</v>
      </c>
      <c r="F153" s="212">
        <v>0.38</v>
      </c>
      <c r="G153" s="212">
        <v>0.38</v>
      </c>
      <c r="H153" s="212">
        <v>0.38</v>
      </c>
      <c r="I153" s="212">
        <v>0.38</v>
      </c>
      <c r="J153" s="212">
        <v>0.38</v>
      </c>
    </row>
    <row r="154" spans="1:10">
      <c r="A154" s="24"/>
      <c r="E154" s="210"/>
      <c r="F154" s="210"/>
      <c r="G154" s="210"/>
      <c r="H154" s="210"/>
      <c r="I154" s="210"/>
      <c r="J154" s="211"/>
    </row>
    <row r="155" spans="1:10">
      <c r="A155" s="24" t="s">
        <v>131</v>
      </c>
      <c r="E155" s="210">
        <v>0</v>
      </c>
      <c r="F155" s="210">
        <v>0</v>
      </c>
      <c r="G155" s="210">
        <v>0</v>
      </c>
      <c r="H155" s="210">
        <v>0</v>
      </c>
      <c r="I155" s="210">
        <v>0</v>
      </c>
      <c r="J155" s="210">
        <v>0</v>
      </c>
    </row>
    <row r="156" spans="1:10">
      <c r="A156" s="24" t="s">
        <v>132</v>
      </c>
      <c r="E156" s="210">
        <v>0</v>
      </c>
      <c r="F156" s="210">
        <v>0</v>
      </c>
      <c r="G156" s="210">
        <v>0</v>
      </c>
      <c r="H156" s="210">
        <v>0</v>
      </c>
      <c r="I156" s="210">
        <v>0</v>
      </c>
      <c r="J156" s="210">
        <v>0</v>
      </c>
    </row>
    <row r="157" spans="1:10">
      <c r="A157" s="24" t="s">
        <v>133</v>
      </c>
      <c r="E157" s="210">
        <v>0</v>
      </c>
      <c r="F157" s="210">
        <v>0</v>
      </c>
      <c r="G157" s="210">
        <v>0</v>
      </c>
      <c r="H157" s="210">
        <v>0</v>
      </c>
      <c r="I157" s="210">
        <v>0</v>
      </c>
      <c r="J157" s="210">
        <v>0</v>
      </c>
    </row>
    <row r="158" spans="1:10">
      <c r="A158" s="24" t="s">
        <v>134</v>
      </c>
      <c r="E158" s="210">
        <v>0</v>
      </c>
      <c r="F158" s="210">
        <v>0</v>
      </c>
      <c r="G158" s="210">
        <v>0</v>
      </c>
      <c r="H158" s="210">
        <v>0</v>
      </c>
      <c r="I158" s="210">
        <v>0</v>
      </c>
      <c r="J158" s="210">
        <v>0</v>
      </c>
    </row>
    <row r="159" spans="1:10">
      <c r="A159" s="24"/>
      <c r="E159" s="210"/>
      <c r="F159" s="210"/>
      <c r="G159" s="210"/>
      <c r="H159" s="210"/>
      <c r="I159" s="210"/>
      <c r="J159" s="211"/>
    </row>
    <row r="160" spans="1:10">
      <c r="A160" s="24" t="s">
        <v>135</v>
      </c>
      <c r="E160" s="208">
        <v>0.01</v>
      </c>
      <c r="F160" s="208">
        <v>0.01</v>
      </c>
      <c r="G160" s="208">
        <v>0.01</v>
      </c>
      <c r="H160" s="208">
        <v>0.01</v>
      </c>
      <c r="I160" s="208">
        <v>0.01</v>
      </c>
      <c r="J160" s="208">
        <v>0.01</v>
      </c>
    </row>
    <row r="161" spans="1:1021 1030:2041 2050:3071 3080:4091 4100:6141 6150:7161 7170:8191 8200:9211 9220:11261 11270:12281 12290:13311 13320:14331 14340:16381">
      <c r="A161" s="24" t="s">
        <v>136</v>
      </c>
      <c r="E161" s="208">
        <v>0.01</v>
      </c>
      <c r="F161" s="208">
        <v>0.01</v>
      </c>
      <c r="G161" s="208">
        <v>0.01</v>
      </c>
      <c r="H161" s="208">
        <v>0.01</v>
      </c>
      <c r="I161" s="208">
        <v>0.01</v>
      </c>
      <c r="J161" s="208">
        <v>0.01</v>
      </c>
    </row>
    <row r="164" spans="1:1021 1030:2041 2050:3071 3080:4091 4100:6141 6150:7161 7170:8191 8200:9211 9220:11261 11270:12281 12290:13311 13320:14331 14340:16381">
      <c r="A164" s="3" t="s">
        <v>284</v>
      </c>
      <c r="B164" s="2"/>
      <c r="C164" s="2"/>
      <c r="D164" s="2"/>
      <c r="E164" s="2"/>
      <c r="F164" s="2"/>
      <c r="G164" s="2"/>
      <c r="H164" s="2"/>
      <c r="I164" s="2"/>
      <c r="J164" s="15"/>
      <c r="K164" s="22"/>
      <c r="T164" s="21"/>
      <c r="U164" s="22"/>
      <c r="AD164" s="21"/>
      <c r="AE164" s="22"/>
      <c r="AN164" s="21"/>
      <c r="AO164" s="22"/>
      <c r="AX164" s="21"/>
      <c r="AY164" s="22"/>
      <c r="BH164" s="21"/>
      <c r="BI164" s="22"/>
      <c r="BR164" s="21"/>
      <c r="BS164" s="22"/>
      <c r="CB164" s="21"/>
      <c r="CC164" s="22"/>
      <c r="CL164" s="21"/>
      <c r="CM164" s="22"/>
      <c r="CV164" s="21"/>
      <c r="CW164" s="22"/>
      <c r="DF164" s="21"/>
      <c r="DG164" s="22"/>
      <c r="DP164" s="21"/>
      <c r="DQ164" s="22"/>
      <c r="DZ164" s="21"/>
      <c r="EA164" s="22"/>
      <c r="EJ164" s="21"/>
      <c r="EK164" s="22"/>
      <c r="ET164" s="21"/>
      <c r="EU164" s="22"/>
      <c r="FD164" s="21"/>
      <c r="FE164" s="22"/>
      <c r="FN164" s="21"/>
      <c r="FO164" s="22"/>
      <c r="FX164" s="21"/>
      <c r="FY164" s="22"/>
      <c r="GH164" s="21"/>
      <c r="GI164" s="22"/>
      <c r="GR164" s="21"/>
      <c r="GS164" s="22"/>
      <c r="HB164" s="21"/>
      <c r="HC164" s="22"/>
      <c r="HL164" s="21"/>
      <c r="HM164" s="22"/>
      <c r="HV164" s="21"/>
      <c r="HW164" s="22"/>
      <c r="IF164" s="21"/>
      <c r="IG164" s="22"/>
      <c r="IP164" s="21"/>
      <c r="IQ164" s="22"/>
      <c r="IZ164" s="21"/>
      <c r="JA164" s="22"/>
      <c r="JJ164" s="21"/>
      <c r="JK164" s="22"/>
      <c r="JT164" s="21"/>
      <c r="JU164" s="22"/>
      <c r="KD164" s="21"/>
      <c r="KE164" s="22"/>
      <c r="KN164" s="21"/>
      <c r="KO164" s="22"/>
      <c r="KX164" s="21"/>
      <c r="KY164" s="22"/>
      <c r="LH164" s="21"/>
      <c r="LI164" s="22"/>
      <c r="LR164" s="21"/>
      <c r="LS164" s="22"/>
      <c r="MB164" s="21"/>
      <c r="MC164" s="22"/>
      <c r="ML164" s="21"/>
      <c r="MM164" s="22"/>
      <c r="MV164" s="21"/>
      <c r="MW164" s="22"/>
      <c r="NF164" s="21"/>
      <c r="NG164" s="22"/>
      <c r="NP164" s="21"/>
      <c r="NQ164" s="22"/>
      <c r="NZ164" s="21"/>
      <c r="OA164" s="22"/>
      <c r="OJ164" s="21"/>
      <c r="OK164" s="22"/>
      <c r="OT164" s="21"/>
      <c r="OU164" s="22"/>
      <c r="PD164" s="21"/>
      <c r="PE164" s="22"/>
      <c r="PN164" s="21"/>
      <c r="PO164" s="22"/>
      <c r="PX164" s="21"/>
      <c r="PY164" s="22"/>
      <c r="QH164" s="21"/>
      <c r="QI164" s="22"/>
      <c r="QR164" s="21"/>
      <c r="QS164" s="22"/>
      <c r="RB164" s="21"/>
      <c r="RC164" s="22"/>
      <c r="RL164" s="21"/>
      <c r="RM164" s="22"/>
      <c r="RV164" s="21"/>
      <c r="RW164" s="22"/>
      <c r="SF164" s="21"/>
      <c r="SG164" s="22"/>
      <c r="SP164" s="21"/>
      <c r="SQ164" s="22"/>
      <c r="SZ164" s="21"/>
      <c r="TA164" s="22"/>
      <c r="TJ164" s="21"/>
      <c r="TK164" s="22"/>
      <c r="TT164" s="21"/>
      <c r="TU164" s="22"/>
      <c r="UD164" s="21"/>
      <c r="UE164" s="22"/>
      <c r="UN164" s="21"/>
      <c r="UO164" s="22"/>
      <c r="UX164" s="21"/>
      <c r="UY164" s="22"/>
      <c r="VH164" s="21"/>
      <c r="VI164" s="22"/>
      <c r="VR164" s="21"/>
      <c r="VS164" s="22"/>
      <c r="WB164" s="21"/>
      <c r="WC164" s="22"/>
      <c r="WL164" s="21"/>
      <c r="WM164" s="22"/>
      <c r="WV164" s="21"/>
      <c r="WW164" s="22"/>
      <c r="XF164" s="21"/>
      <c r="XG164" s="22"/>
      <c r="XP164" s="21"/>
      <c r="XQ164" s="22"/>
      <c r="XZ164" s="21"/>
      <c r="YA164" s="22"/>
      <c r="YJ164" s="21"/>
      <c r="YK164" s="22"/>
      <c r="YT164" s="21"/>
      <c r="YU164" s="22"/>
      <c r="ZD164" s="21"/>
      <c r="ZE164" s="22"/>
      <c r="ZN164" s="21"/>
      <c r="ZO164" s="22"/>
      <c r="ZX164" s="21"/>
      <c r="ZY164" s="22"/>
      <c r="AAH164" s="21"/>
      <c r="AAI164" s="22"/>
      <c r="AAR164" s="21"/>
      <c r="AAS164" s="22"/>
      <c r="ABB164" s="21"/>
      <c r="ABC164" s="22"/>
      <c r="ABL164" s="21"/>
      <c r="ABM164" s="22"/>
      <c r="ABV164" s="21"/>
      <c r="ABW164" s="22"/>
      <c r="ACF164" s="21"/>
      <c r="ACG164" s="22"/>
      <c r="ACP164" s="21"/>
      <c r="ACQ164" s="22"/>
      <c r="ACZ164" s="21"/>
      <c r="ADA164" s="22"/>
      <c r="ADJ164" s="21"/>
      <c r="ADK164" s="22"/>
      <c r="ADT164" s="21"/>
      <c r="ADU164" s="22"/>
      <c r="AED164" s="21"/>
      <c r="AEE164" s="22"/>
      <c r="AEN164" s="21"/>
      <c r="AEO164" s="22"/>
      <c r="AEX164" s="21"/>
      <c r="AEY164" s="22"/>
      <c r="AFH164" s="21"/>
      <c r="AFI164" s="22"/>
      <c r="AFR164" s="21"/>
      <c r="AFS164" s="22"/>
      <c r="AGB164" s="21"/>
      <c r="AGC164" s="22"/>
      <c r="AGL164" s="21"/>
      <c r="AGM164" s="22"/>
      <c r="AGV164" s="21"/>
      <c r="AGW164" s="22"/>
      <c r="AHF164" s="21"/>
      <c r="AHG164" s="22"/>
      <c r="AHP164" s="21"/>
      <c r="AHQ164" s="22"/>
      <c r="AHZ164" s="21"/>
      <c r="AIA164" s="22"/>
      <c r="AIJ164" s="21"/>
      <c r="AIK164" s="22"/>
      <c r="AIT164" s="21"/>
      <c r="AIU164" s="22"/>
      <c r="AJD164" s="21"/>
      <c r="AJE164" s="22"/>
      <c r="AJN164" s="21"/>
      <c r="AJO164" s="22"/>
      <c r="AJX164" s="21"/>
      <c r="AJY164" s="22"/>
      <c r="AKH164" s="21"/>
      <c r="AKI164" s="22"/>
      <c r="AKR164" s="21"/>
      <c r="AKS164" s="22"/>
      <c r="ALB164" s="21"/>
      <c r="ALC164" s="22"/>
      <c r="ALL164" s="21"/>
      <c r="ALM164" s="22"/>
      <c r="ALV164" s="21"/>
      <c r="ALW164" s="22"/>
      <c r="AMF164" s="21"/>
      <c r="AMG164" s="22"/>
      <c r="AMP164" s="21"/>
      <c r="AMQ164" s="22"/>
      <c r="AMZ164" s="21"/>
      <c r="ANA164" s="22"/>
      <c r="ANJ164" s="21"/>
      <c r="ANK164" s="22"/>
      <c r="ANT164" s="21"/>
      <c r="ANU164" s="22"/>
      <c r="AOD164" s="21"/>
      <c r="AOE164" s="22"/>
      <c r="AON164" s="21"/>
      <c r="AOO164" s="22"/>
      <c r="AOX164" s="21"/>
      <c r="AOY164" s="22"/>
      <c r="APH164" s="21"/>
      <c r="API164" s="22"/>
      <c r="APR164" s="21"/>
      <c r="APS164" s="22"/>
      <c r="AQB164" s="21"/>
      <c r="AQC164" s="22"/>
      <c r="AQL164" s="21"/>
      <c r="AQM164" s="22"/>
      <c r="AQV164" s="21"/>
      <c r="AQW164" s="22"/>
      <c r="ARF164" s="21"/>
      <c r="ARG164" s="22"/>
      <c r="ARP164" s="21"/>
      <c r="ARQ164" s="22"/>
      <c r="ARZ164" s="21"/>
      <c r="ASA164" s="22"/>
      <c r="ASJ164" s="21"/>
      <c r="ASK164" s="22"/>
      <c r="AST164" s="21"/>
      <c r="ASU164" s="22"/>
      <c r="ATD164" s="21"/>
      <c r="ATE164" s="22"/>
      <c r="ATN164" s="21"/>
      <c r="ATO164" s="22"/>
      <c r="ATX164" s="21"/>
      <c r="ATY164" s="22"/>
      <c r="AUH164" s="21"/>
      <c r="AUI164" s="22"/>
      <c r="AUR164" s="21"/>
      <c r="AUS164" s="22"/>
      <c r="AVB164" s="21"/>
      <c r="AVC164" s="22"/>
      <c r="AVL164" s="21"/>
      <c r="AVM164" s="22"/>
      <c r="AVV164" s="21"/>
      <c r="AVW164" s="22"/>
      <c r="AWF164" s="21"/>
      <c r="AWG164" s="22"/>
      <c r="AWP164" s="21"/>
      <c r="AWQ164" s="22"/>
      <c r="AWZ164" s="21"/>
      <c r="AXA164" s="22"/>
      <c r="AXJ164" s="21"/>
      <c r="AXK164" s="22"/>
      <c r="AXT164" s="21"/>
      <c r="AXU164" s="22"/>
      <c r="AYD164" s="21"/>
      <c r="AYE164" s="22"/>
      <c r="AYN164" s="21"/>
      <c r="AYO164" s="22"/>
      <c r="AYX164" s="21"/>
      <c r="AYY164" s="22"/>
      <c r="AZH164" s="21"/>
      <c r="AZI164" s="22"/>
      <c r="AZR164" s="21"/>
      <c r="AZS164" s="22"/>
      <c r="BAB164" s="21"/>
      <c r="BAC164" s="22"/>
      <c r="BAL164" s="21"/>
      <c r="BAM164" s="22"/>
      <c r="BAV164" s="21"/>
      <c r="BAW164" s="22"/>
      <c r="BBF164" s="21"/>
      <c r="BBG164" s="22"/>
      <c r="BBP164" s="21"/>
      <c r="BBQ164" s="22"/>
      <c r="BBZ164" s="21"/>
      <c r="BCA164" s="22"/>
      <c r="BCJ164" s="21"/>
      <c r="BCK164" s="22"/>
      <c r="BCT164" s="21"/>
      <c r="BCU164" s="22"/>
      <c r="BDD164" s="21"/>
      <c r="BDE164" s="22"/>
      <c r="BDN164" s="21"/>
      <c r="BDO164" s="22"/>
      <c r="BDX164" s="21"/>
      <c r="BDY164" s="22"/>
      <c r="BEH164" s="21"/>
      <c r="BEI164" s="22"/>
      <c r="BER164" s="21"/>
      <c r="BES164" s="22"/>
      <c r="BFB164" s="21"/>
      <c r="BFC164" s="22"/>
      <c r="BFL164" s="21"/>
      <c r="BFM164" s="22"/>
      <c r="BFV164" s="21"/>
      <c r="BFW164" s="22"/>
      <c r="BGF164" s="21"/>
      <c r="BGG164" s="22"/>
      <c r="BGP164" s="21"/>
      <c r="BGQ164" s="22"/>
      <c r="BGZ164" s="21"/>
      <c r="BHA164" s="22"/>
      <c r="BHJ164" s="21"/>
      <c r="BHK164" s="22"/>
      <c r="BHT164" s="21"/>
      <c r="BHU164" s="22"/>
      <c r="BID164" s="21"/>
      <c r="BIE164" s="22"/>
      <c r="BIN164" s="21"/>
      <c r="BIO164" s="22"/>
      <c r="BIX164" s="21"/>
      <c r="BIY164" s="22"/>
      <c r="BJH164" s="21"/>
      <c r="BJI164" s="22"/>
      <c r="BJR164" s="21"/>
      <c r="BJS164" s="22"/>
      <c r="BKB164" s="21"/>
      <c r="BKC164" s="22"/>
      <c r="BKL164" s="21"/>
      <c r="BKM164" s="22"/>
      <c r="BKV164" s="21"/>
      <c r="BKW164" s="22"/>
      <c r="BLF164" s="21"/>
      <c r="BLG164" s="22"/>
      <c r="BLP164" s="21"/>
      <c r="BLQ164" s="22"/>
      <c r="BLZ164" s="21"/>
      <c r="BMA164" s="22"/>
      <c r="BMJ164" s="21"/>
      <c r="BMK164" s="22"/>
      <c r="BMT164" s="21"/>
      <c r="BMU164" s="22"/>
      <c r="BND164" s="21"/>
      <c r="BNE164" s="22"/>
      <c r="BNN164" s="21"/>
      <c r="BNO164" s="22"/>
      <c r="BNX164" s="21"/>
      <c r="BNY164" s="22"/>
      <c r="BOH164" s="21"/>
      <c r="BOI164" s="22"/>
      <c r="BOR164" s="21"/>
      <c r="BOS164" s="22"/>
      <c r="BPB164" s="21"/>
      <c r="BPC164" s="22"/>
      <c r="BPL164" s="21"/>
      <c r="BPM164" s="22"/>
      <c r="BPV164" s="21"/>
      <c r="BPW164" s="22"/>
      <c r="BQF164" s="21"/>
      <c r="BQG164" s="22"/>
      <c r="BQP164" s="21"/>
      <c r="BQQ164" s="22"/>
      <c r="BQZ164" s="21"/>
      <c r="BRA164" s="22"/>
      <c r="BRJ164" s="21"/>
      <c r="BRK164" s="22"/>
      <c r="BRT164" s="21"/>
      <c r="BRU164" s="22"/>
      <c r="BSD164" s="21"/>
      <c r="BSE164" s="22"/>
      <c r="BSN164" s="21"/>
      <c r="BSO164" s="22"/>
      <c r="BSX164" s="21"/>
      <c r="BSY164" s="22"/>
      <c r="BTH164" s="21"/>
      <c r="BTI164" s="22"/>
      <c r="BTR164" s="21"/>
      <c r="BTS164" s="22"/>
      <c r="BUB164" s="21"/>
      <c r="BUC164" s="22"/>
      <c r="BUL164" s="21"/>
      <c r="BUM164" s="22"/>
      <c r="BUV164" s="21"/>
      <c r="BUW164" s="22"/>
      <c r="BVF164" s="21"/>
      <c r="BVG164" s="22"/>
      <c r="BVP164" s="21"/>
      <c r="BVQ164" s="22"/>
      <c r="BVZ164" s="21"/>
      <c r="BWA164" s="22"/>
      <c r="BWJ164" s="21"/>
      <c r="BWK164" s="22"/>
      <c r="BWT164" s="21"/>
      <c r="BWU164" s="22"/>
      <c r="BXD164" s="21"/>
      <c r="BXE164" s="22"/>
      <c r="BXN164" s="21"/>
      <c r="BXO164" s="22"/>
      <c r="BXX164" s="21"/>
      <c r="BXY164" s="22"/>
      <c r="BYH164" s="21"/>
      <c r="BYI164" s="22"/>
      <c r="BYR164" s="21"/>
      <c r="BYS164" s="22"/>
      <c r="BZB164" s="21"/>
      <c r="BZC164" s="22"/>
      <c r="BZL164" s="21"/>
      <c r="BZM164" s="22"/>
      <c r="BZV164" s="21"/>
      <c r="BZW164" s="22"/>
      <c r="CAF164" s="21"/>
      <c r="CAG164" s="22"/>
      <c r="CAP164" s="21"/>
      <c r="CAQ164" s="22"/>
      <c r="CAZ164" s="21"/>
      <c r="CBA164" s="22"/>
      <c r="CBJ164" s="21"/>
      <c r="CBK164" s="22"/>
      <c r="CBT164" s="21"/>
      <c r="CBU164" s="22"/>
      <c r="CCD164" s="21"/>
      <c r="CCE164" s="22"/>
      <c r="CCN164" s="21"/>
      <c r="CCO164" s="22"/>
      <c r="CCX164" s="21"/>
      <c r="CCY164" s="22"/>
      <c r="CDH164" s="21"/>
      <c r="CDI164" s="22"/>
      <c r="CDR164" s="21"/>
      <c r="CDS164" s="22"/>
      <c r="CEB164" s="21"/>
      <c r="CEC164" s="22"/>
      <c r="CEL164" s="21"/>
      <c r="CEM164" s="22"/>
      <c r="CEV164" s="21"/>
      <c r="CEW164" s="22"/>
      <c r="CFF164" s="21"/>
      <c r="CFG164" s="22"/>
      <c r="CFP164" s="21"/>
      <c r="CFQ164" s="22"/>
      <c r="CFZ164" s="21"/>
      <c r="CGA164" s="22"/>
      <c r="CGJ164" s="21"/>
      <c r="CGK164" s="22"/>
      <c r="CGT164" s="21"/>
      <c r="CGU164" s="22"/>
      <c r="CHD164" s="21"/>
      <c r="CHE164" s="22"/>
      <c r="CHN164" s="21"/>
      <c r="CHO164" s="22"/>
      <c r="CHX164" s="21"/>
      <c r="CHY164" s="22"/>
      <c r="CIH164" s="21"/>
      <c r="CII164" s="22"/>
      <c r="CIR164" s="21"/>
      <c r="CIS164" s="22"/>
      <c r="CJB164" s="21"/>
      <c r="CJC164" s="22"/>
      <c r="CJL164" s="21"/>
      <c r="CJM164" s="22"/>
      <c r="CJV164" s="21"/>
      <c r="CJW164" s="22"/>
      <c r="CKF164" s="21"/>
      <c r="CKG164" s="22"/>
      <c r="CKP164" s="21"/>
      <c r="CKQ164" s="22"/>
      <c r="CKZ164" s="21"/>
      <c r="CLA164" s="22"/>
      <c r="CLJ164" s="21"/>
      <c r="CLK164" s="22"/>
      <c r="CLT164" s="21"/>
      <c r="CLU164" s="22"/>
      <c r="CMD164" s="21"/>
      <c r="CME164" s="22"/>
      <c r="CMN164" s="21"/>
      <c r="CMO164" s="22"/>
      <c r="CMX164" s="21"/>
      <c r="CMY164" s="22"/>
      <c r="CNH164" s="21"/>
      <c r="CNI164" s="22"/>
      <c r="CNR164" s="21"/>
      <c r="CNS164" s="22"/>
      <c r="COB164" s="21"/>
      <c r="COC164" s="22"/>
      <c r="COL164" s="21"/>
      <c r="COM164" s="22"/>
      <c r="COV164" s="21"/>
      <c r="COW164" s="22"/>
      <c r="CPF164" s="21"/>
      <c r="CPG164" s="22"/>
      <c r="CPP164" s="21"/>
      <c r="CPQ164" s="22"/>
      <c r="CPZ164" s="21"/>
      <c r="CQA164" s="22"/>
      <c r="CQJ164" s="21"/>
      <c r="CQK164" s="22"/>
      <c r="CQT164" s="21"/>
      <c r="CQU164" s="22"/>
      <c r="CRD164" s="21"/>
      <c r="CRE164" s="22"/>
      <c r="CRN164" s="21"/>
      <c r="CRO164" s="22"/>
      <c r="CRX164" s="21"/>
      <c r="CRY164" s="22"/>
      <c r="CSH164" s="21"/>
      <c r="CSI164" s="22"/>
      <c r="CSR164" s="21"/>
      <c r="CSS164" s="22"/>
      <c r="CTB164" s="21"/>
      <c r="CTC164" s="22"/>
      <c r="CTL164" s="21"/>
      <c r="CTM164" s="22"/>
      <c r="CTV164" s="21"/>
      <c r="CTW164" s="22"/>
      <c r="CUF164" s="21"/>
      <c r="CUG164" s="22"/>
      <c r="CUP164" s="21"/>
      <c r="CUQ164" s="22"/>
      <c r="CUZ164" s="21"/>
      <c r="CVA164" s="22"/>
      <c r="CVJ164" s="21"/>
      <c r="CVK164" s="22"/>
      <c r="CVT164" s="21"/>
      <c r="CVU164" s="22"/>
      <c r="CWD164" s="21"/>
      <c r="CWE164" s="22"/>
      <c r="CWN164" s="21"/>
      <c r="CWO164" s="22"/>
      <c r="CWX164" s="21"/>
      <c r="CWY164" s="22"/>
      <c r="CXH164" s="21"/>
      <c r="CXI164" s="22"/>
      <c r="CXR164" s="21"/>
      <c r="CXS164" s="22"/>
      <c r="CYB164" s="21"/>
      <c r="CYC164" s="22"/>
      <c r="CYL164" s="21"/>
      <c r="CYM164" s="22"/>
      <c r="CYV164" s="21"/>
      <c r="CYW164" s="22"/>
      <c r="CZF164" s="21"/>
      <c r="CZG164" s="22"/>
      <c r="CZP164" s="21"/>
      <c r="CZQ164" s="22"/>
      <c r="CZZ164" s="21"/>
      <c r="DAA164" s="22"/>
      <c r="DAJ164" s="21"/>
      <c r="DAK164" s="22"/>
      <c r="DAT164" s="21"/>
      <c r="DAU164" s="22"/>
      <c r="DBD164" s="21"/>
      <c r="DBE164" s="22"/>
      <c r="DBN164" s="21"/>
      <c r="DBO164" s="22"/>
      <c r="DBX164" s="21"/>
      <c r="DBY164" s="22"/>
      <c r="DCH164" s="21"/>
      <c r="DCI164" s="22"/>
      <c r="DCR164" s="21"/>
      <c r="DCS164" s="22"/>
      <c r="DDB164" s="21"/>
      <c r="DDC164" s="22"/>
      <c r="DDL164" s="21"/>
      <c r="DDM164" s="22"/>
      <c r="DDV164" s="21"/>
      <c r="DDW164" s="22"/>
      <c r="DEF164" s="21"/>
      <c r="DEG164" s="22"/>
      <c r="DEP164" s="21"/>
      <c r="DEQ164" s="22"/>
      <c r="DEZ164" s="21"/>
      <c r="DFA164" s="22"/>
      <c r="DFJ164" s="21"/>
      <c r="DFK164" s="22"/>
      <c r="DFT164" s="21"/>
      <c r="DFU164" s="22"/>
      <c r="DGD164" s="21"/>
      <c r="DGE164" s="22"/>
      <c r="DGN164" s="21"/>
      <c r="DGO164" s="22"/>
      <c r="DGX164" s="21"/>
      <c r="DGY164" s="22"/>
      <c r="DHH164" s="21"/>
      <c r="DHI164" s="22"/>
      <c r="DHR164" s="21"/>
      <c r="DHS164" s="22"/>
      <c r="DIB164" s="21"/>
      <c r="DIC164" s="22"/>
      <c r="DIL164" s="21"/>
      <c r="DIM164" s="22"/>
      <c r="DIV164" s="21"/>
      <c r="DIW164" s="22"/>
      <c r="DJF164" s="21"/>
      <c r="DJG164" s="22"/>
      <c r="DJP164" s="21"/>
      <c r="DJQ164" s="22"/>
      <c r="DJZ164" s="21"/>
      <c r="DKA164" s="22"/>
      <c r="DKJ164" s="21"/>
      <c r="DKK164" s="22"/>
      <c r="DKT164" s="21"/>
      <c r="DKU164" s="22"/>
      <c r="DLD164" s="21"/>
      <c r="DLE164" s="22"/>
      <c r="DLN164" s="21"/>
      <c r="DLO164" s="22"/>
      <c r="DLX164" s="21"/>
      <c r="DLY164" s="22"/>
      <c r="DMH164" s="21"/>
      <c r="DMI164" s="22"/>
      <c r="DMR164" s="21"/>
      <c r="DMS164" s="22"/>
      <c r="DNB164" s="21"/>
      <c r="DNC164" s="22"/>
      <c r="DNL164" s="21"/>
      <c r="DNM164" s="22"/>
      <c r="DNV164" s="21"/>
      <c r="DNW164" s="22"/>
      <c r="DOF164" s="21"/>
      <c r="DOG164" s="22"/>
      <c r="DOP164" s="21"/>
      <c r="DOQ164" s="22"/>
      <c r="DOZ164" s="21"/>
      <c r="DPA164" s="22"/>
      <c r="DPJ164" s="21"/>
      <c r="DPK164" s="22"/>
      <c r="DPT164" s="21"/>
      <c r="DPU164" s="22"/>
      <c r="DQD164" s="21"/>
      <c r="DQE164" s="22"/>
      <c r="DQN164" s="21"/>
      <c r="DQO164" s="22"/>
      <c r="DQX164" s="21"/>
      <c r="DQY164" s="22"/>
      <c r="DRH164" s="21"/>
      <c r="DRI164" s="22"/>
      <c r="DRR164" s="21"/>
      <c r="DRS164" s="22"/>
      <c r="DSB164" s="21"/>
      <c r="DSC164" s="22"/>
      <c r="DSL164" s="21"/>
      <c r="DSM164" s="22"/>
      <c r="DSV164" s="21"/>
      <c r="DSW164" s="22"/>
      <c r="DTF164" s="21"/>
      <c r="DTG164" s="22"/>
      <c r="DTP164" s="21"/>
      <c r="DTQ164" s="22"/>
      <c r="DTZ164" s="21"/>
      <c r="DUA164" s="22"/>
      <c r="DUJ164" s="21"/>
      <c r="DUK164" s="22"/>
      <c r="DUT164" s="21"/>
      <c r="DUU164" s="22"/>
      <c r="DVD164" s="21"/>
      <c r="DVE164" s="22"/>
      <c r="DVN164" s="21"/>
      <c r="DVO164" s="22"/>
      <c r="DVX164" s="21"/>
      <c r="DVY164" s="22"/>
      <c r="DWH164" s="21"/>
      <c r="DWI164" s="22"/>
      <c r="DWR164" s="21"/>
      <c r="DWS164" s="22"/>
      <c r="DXB164" s="21"/>
      <c r="DXC164" s="22"/>
      <c r="DXL164" s="21"/>
      <c r="DXM164" s="22"/>
      <c r="DXV164" s="21"/>
      <c r="DXW164" s="22"/>
      <c r="DYF164" s="21"/>
      <c r="DYG164" s="22"/>
      <c r="DYP164" s="21"/>
      <c r="DYQ164" s="22"/>
      <c r="DYZ164" s="21"/>
      <c r="DZA164" s="22"/>
      <c r="DZJ164" s="21"/>
      <c r="DZK164" s="22"/>
      <c r="DZT164" s="21"/>
      <c r="DZU164" s="22"/>
      <c r="EAD164" s="21"/>
      <c r="EAE164" s="22"/>
      <c r="EAN164" s="21"/>
      <c r="EAO164" s="22"/>
      <c r="EAX164" s="21"/>
      <c r="EAY164" s="22"/>
      <c r="EBH164" s="21"/>
      <c r="EBI164" s="22"/>
      <c r="EBR164" s="21"/>
      <c r="EBS164" s="22"/>
      <c r="ECB164" s="21"/>
      <c r="ECC164" s="22"/>
      <c r="ECL164" s="21"/>
      <c r="ECM164" s="22"/>
      <c r="ECV164" s="21"/>
      <c r="ECW164" s="22"/>
      <c r="EDF164" s="21"/>
      <c r="EDG164" s="22"/>
      <c r="EDP164" s="21"/>
      <c r="EDQ164" s="22"/>
      <c r="EDZ164" s="21"/>
      <c r="EEA164" s="22"/>
      <c r="EEJ164" s="21"/>
      <c r="EEK164" s="22"/>
      <c r="EET164" s="21"/>
      <c r="EEU164" s="22"/>
      <c r="EFD164" s="21"/>
      <c r="EFE164" s="22"/>
      <c r="EFN164" s="21"/>
      <c r="EFO164" s="22"/>
      <c r="EFX164" s="21"/>
      <c r="EFY164" s="22"/>
      <c r="EGH164" s="21"/>
      <c r="EGI164" s="22"/>
      <c r="EGR164" s="21"/>
      <c r="EGS164" s="22"/>
      <c r="EHB164" s="21"/>
      <c r="EHC164" s="22"/>
      <c r="EHL164" s="21"/>
      <c r="EHM164" s="22"/>
      <c r="EHV164" s="21"/>
      <c r="EHW164" s="22"/>
      <c r="EIF164" s="21"/>
      <c r="EIG164" s="22"/>
      <c r="EIP164" s="21"/>
      <c r="EIQ164" s="22"/>
      <c r="EIZ164" s="21"/>
      <c r="EJA164" s="22"/>
      <c r="EJJ164" s="21"/>
      <c r="EJK164" s="22"/>
      <c r="EJT164" s="21"/>
      <c r="EJU164" s="22"/>
      <c r="EKD164" s="21"/>
      <c r="EKE164" s="22"/>
      <c r="EKN164" s="21"/>
      <c r="EKO164" s="22"/>
      <c r="EKX164" s="21"/>
      <c r="EKY164" s="22"/>
      <c r="ELH164" s="21"/>
      <c r="ELI164" s="22"/>
      <c r="ELR164" s="21"/>
      <c r="ELS164" s="22"/>
      <c r="EMB164" s="21"/>
      <c r="EMC164" s="22"/>
      <c r="EML164" s="21"/>
      <c r="EMM164" s="22"/>
      <c r="EMV164" s="21"/>
      <c r="EMW164" s="22"/>
      <c r="ENF164" s="21"/>
      <c r="ENG164" s="22"/>
      <c r="ENP164" s="21"/>
      <c r="ENQ164" s="22"/>
      <c r="ENZ164" s="21"/>
      <c r="EOA164" s="22"/>
      <c r="EOJ164" s="21"/>
      <c r="EOK164" s="22"/>
      <c r="EOT164" s="21"/>
      <c r="EOU164" s="22"/>
      <c r="EPD164" s="21"/>
      <c r="EPE164" s="22"/>
      <c r="EPN164" s="21"/>
      <c r="EPO164" s="22"/>
      <c r="EPX164" s="21"/>
      <c r="EPY164" s="22"/>
      <c r="EQH164" s="21"/>
      <c r="EQI164" s="22"/>
      <c r="EQR164" s="21"/>
      <c r="EQS164" s="22"/>
      <c r="ERB164" s="21"/>
      <c r="ERC164" s="22"/>
      <c r="ERL164" s="21"/>
      <c r="ERM164" s="22"/>
      <c r="ERV164" s="21"/>
      <c r="ERW164" s="22"/>
      <c r="ESF164" s="21"/>
      <c r="ESG164" s="22"/>
      <c r="ESP164" s="21"/>
      <c r="ESQ164" s="22"/>
      <c r="ESZ164" s="21"/>
      <c r="ETA164" s="22"/>
      <c r="ETJ164" s="21"/>
      <c r="ETK164" s="22"/>
      <c r="ETT164" s="21"/>
      <c r="ETU164" s="22"/>
      <c r="EUD164" s="21"/>
      <c r="EUE164" s="22"/>
      <c r="EUN164" s="21"/>
      <c r="EUO164" s="22"/>
      <c r="EUX164" s="21"/>
      <c r="EUY164" s="22"/>
      <c r="EVH164" s="21"/>
      <c r="EVI164" s="22"/>
      <c r="EVR164" s="21"/>
      <c r="EVS164" s="22"/>
      <c r="EWB164" s="21"/>
      <c r="EWC164" s="22"/>
      <c r="EWL164" s="21"/>
      <c r="EWM164" s="22"/>
      <c r="EWV164" s="21"/>
      <c r="EWW164" s="22"/>
      <c r="EXF164" s="21"/>
      <c r="EXG164" s="22"/>
      <c r="EXP164" s="21"/>
      <c r="EXQ164" s="22"/>
      <c r="EXZ164" s="21"/>
      <c r="EYA164" s="22"/>
      <c r="EYJ164" s="21"/>
      <c r="EYK164" s="22"/>
      <c r="EYT164" s="21"/>
      <c r="EYU164" s="22"/>
      <c r="EZD164" s="21"/>
      <c r="EZE164" s="22"/>
      <c r="EZN164" s="21"/>
      <c r="EZO164" s="22"/>
      <c r="EZX164" s="21"/>
      <c r="EZY164" s="22"/>
      <c r="FAH164" s="21"/>
      <c r="FAI164" s="22"/>
      <c r="FAR164" s="21"/>
      <c r="FAS164" s="22"/>
      <c r="FBB164" s="21"/>
      <c r="FBC164" s="22"/>
      <c r="FBL164" s="21"/>
      <c r="FBM164" s="22"/>
      <c r="FBV164" s="21"/>
      <c r="FBW164" s="22"/>
      <c r="FCF164" s="21"/>
      <c r="FCG164" s="22"/>
      <c r="FCP164" s="21"/>
      <c r="FCQ164" s="22"/>
      <c r="FCZ164" s="21"/>
      <c r="FDA164" s="22"/>
      <c r="FDJ164" s="21"/>
      <c r="FDK164" s="22"/>
      <c r="FDT164" s="21"/>
      <c r="FDU164" s="22"/>
      <c r="FED164" s="21"/>
      <c r="FEE164" s="22"/>
      <c r="FEN164" s="21"/>
      <c r="FEO164" s="22"/>
      <c r="FEX164" s="21"/>
      <c r="FEY164" s="22"/>
      <c r="FFH164" s="21"/>
      <c r="FFI164" s="22"/>
      <c r="FFR164" s="21"/>
      <c r="FFS164" s="22"/>
      <c r="FGB164" s="21"/>
      <c r="FGC164" s="22"/>
      <c r="FGL164" s="21"/>
      <c r="FGM164" s="22"/>
      <c r="FGV164" s="21"/>
      <c r="FGW164" s="22"/>
      <c r="FHF164" s="21"/>
      <c r="FHG164" s="22"/>
      <c r="FHP164" s="21"/>
      <c r="FHQ164" s="22"/>
      <c r="FHZ164" s="21"/>
      <c r="FIA164" s="22"/>
      <c r="FIJ164" s="21"/>
      <c r="FIK164" s="22"/>
      <c r="FIT164" s="21"/>
      <c r="FIU164" s="22"/>
      <c r="FJD164" s="21"/>
      <c r="FJE164" s="22"/>
      <c r="FJN164" s="21"/>
      <c r="FJO164" s="22"/>
      <c r="FJX164" s="21"/>
      <c r="FJY164" s="22"/>
      <c r="FKH164" s="21"/>
      <c r="FKI164" s="22"/>
      <c r="FKR164" s="21"/>
      <c r="FKS164" s="22"/>
      <c r="FLB164" s="21"/>
      <c r="FLC164" s="22"/>
      <c r="FLL164" s="21"/>
      <c r="FLM164" s="22"/>
      <c r="FLV164" s="21"/>
      <c r="FLW164" s="22"/>
      <c r="FMF164" s="21"/>
      <c r="FMG164" s="22"/>
      <c r="FMP164" s="21"/>
      <c r="FMQ164" s="22"/>
      <c r="FMZ164" s="21"/>
      <c r="FNA164" s="22"/>
      <c r="FNJ164" s="21"/>
      <c r="FNK164" s="22"/>
      <c r="FNT164" s="21"/>
      <c r="FNU164" s="22"/>
      <c r="FOD164" s="21"/>
      <c r="FOE164" s="22"/>
      <c r="FON164" s="21"/>
      <c r="FOO164" s="22"/>
      <c r="FOX164" s="21"/>
      <c r="FOY164" s="22"/>
      <c r="FPH164" s="21"/>
      <c r="FPI164" s="22"/>
      <c r="FPR164" s="21"/>
      <c r="FPS164" s="22"/>
      <c r="FQB164" s="21"/>
      <c r="FQC164" s="22"/>
      <c r="FQL164" s="21"/>
      <c r="FQM164" s="22"/>
      <c r="FQV164" s="21"/>
      <c r="FQW164" s="22"/>
      <c r="FRF164" s="21"/>
      <c r="FRG164" s="22"/>
      <c r="FRP164" s="21"/>
      <c r="FRQ164" s="22"/>
      <c r="FRZ164" s="21"/>
      <c r="FSA164" s="22"/>
      <c r="FSJ164" s="21"/>
      <c r="FSK164" s="22"/>
      <c r="FST164" s="21"/>
      <c r="FSU164" s="22"/>
      <c r="FTD164" s="21"/>
      <c r="FTE164" s="22"/>
      <c r="FTN164" s="21"/>
      <c r="FTO164" s="22"/>
      <c r="FTX164" s="21"/>
      <c r="FTY164" s="22"/>
      <c r="FUH164" s="21"/>
      <c r="FUI164" s="22"/>
      <c r="FUR164" s="21"/>
      <c r="FUS164" s="22"/>
      <c r="FVB164" s="21"/>
      <c r="FVC164" s="22"/>
      <c r="FVL164" s="21"/>
      <c r="FVM164" s="22"/>
      <c r="FVV164" s="21"/>
      <c r="FVW164" s="22"/>
      <c r="FWF164" s="21"/>
      <c r="FWG164" s="22"/>
      <c r="FWP164" s="21"/>
      <c r="FWQ164" s="22"/>
      <c r="FWZ164" s="21"/>
      <c r="FXA164" s="22"/>
      <c r="FXJ164" s="21"/>
      <c r="FXK164" s="22"/>
      <c r="FXT164" s="21"/>
      <c r="FXU164" s="22"/>
      <c r="FYD164" s="21"/>
      <c r="FYE164" s="22"/>
      <c r="FYN164" s="21"/>
      <c r="FYO164" s="22"/>
      <c r="FYX164" s="21"/>
      <c r="FYY164" s="22"/>
      <c r="FZH164" s="21"/>
      <c r="FZI164" s="22"/>
      <c r="FZR164" s="21"/>
      <c r="FZS164" s="22"/>
      <c r="GAB164" s="21"/>
      <c r="GAC164" s="22"/>
      <c r="GAL164" s="21"/>
      <c r="GAM164" s="22"/>
      <c r="GAV164" s="21"/>
      <c r="GAW164" s="22"/>
      <c r="GBF164" s="21"/>
      <c r="GBG164" s="22"/>
      <c r="GBP164" s="21"/>
      <c r="GBQ164" s="22"/>
      <c r="GBZ164" s="21"/>
      <c r="GCA164" s="22"/>
      <c r="GCJ164" s="21"/>
      <c r="GCK164" s="22"/>
      <c r="GCT164" s="21"/>
      <c r="GCU164" s="22"/>
      <c r="GDD164" s="21"/>
      <c r="GDE164" s="22"/>
      <c r="GDN164" s="21"/>
      <c r="GDO164" s="22"/>
      <c r="GDX164" s="21"/>
      <c r="GDY164" s="22"/>
      <c r="GEH164" s="21"/>
      <c r="GEI164" s="22"/>
      <c r="GER164" s="21"/>
      <c r="GES164" s="22"/>
      <c r="GFB164" s="21"/>
      <c r="GFC164" s="22"/>
      <c r="GFL164" s="21"/>
      <c r="GFM164" s="22"/>
      <c r="GFV164" s="21"/>
      <c r="GFW164" s="22"/>
      <c r="GGF164" s="21"/>
      <c r="GGG164" s="22"/>
      <c r="GGP164" s="21"/>
      <c r="GGQ164" s="22"/>
      <c r="GGZ164" s="21"/>
      <c r="GHA164" s="22"/>
      <c r="GHJ164" s="21"/>
      <c r="GHK164" s="22"/>
      <c r="GHT164" s="21"/>
      <c r="GHU164" s="22"/>
      <c r="GID164" s="21"/>
      <c r="GIE164" s="22"/>
      <c r="GIN164" s="21"/>
      <c r="GIO164" s="22"/>
      <c r="GIX164" s="21"/>
      <c r="GIY164" s="22"/>
      <c r="GJH164" s="21"/>
      <c r="GJI164" s="22"/>
      <c r="GJR164" s="21"/>
      <c r="GJS164" s="22"/>
      <c r="GKB164" s="21"/>
      <c r="GKC164" s="22"/>
      <c r="GKL164" s="21"/>
      <c r="GKM164" s="22"/>
      <c r="GKV164" s="21"/>
      <c r="GKW164" s="22"/>
      <c r="GLF164" s="21"/>
      <c r="GLG164" s="22"/>
      <c r="GLP164" s="21"/>
      <c r="GLQ164" s="22"/>
      <c r="GLZ164" s="21"/>
      <c r="GMA164" s="22"/>
      <c r="GMJ164" s="21"/>
      <c r="GMK164" s="22"/>
      <c r="GMT164" s="21"/>
      <c r="GMU164" s="22"/>
      <c r="GND164" s="21"/>
      <c r="GNE164" s="22"/>
      <c r="GNN164" s="21"/>
      <c r="GNO164" s="22"/>
      <c r="GNX164" s="21"/>
      <c r="GNY164" s="22"/>
      <c r="GOH164" s="21"/>
      <c r="GOI164" s="22"/>
      <c r="GOR164" s="21"/>
      <c r="GOS164" s="22"/>
      <c r="GPB164" s="21"/>
      <c r="GPC164" s="22"/>
      <c r="GPL164" s="21"/>
      <c r="GPM164" s="22"/>
      <c r="GPV164" s="21"/>
      <c r="GPW164" s="22"/>
      <c r="GQF164" s="21"/>
      <c r="GQG164" s="22"/>
      <c r="GQP164" s="21"/>
      <c r="GQQ164" s="22"/>
      <c r="GQZ164" s="21"/>
      <c r="GRA164" s="22"/>
      <c r="GRJ164" s="21"/>
      <c r="GRK164" s="22"/>
      <c r="GRT164" s="21"/>
      <c r="GRU164" s="22"/>
      <c r="GSD164" s="21"/>
      <c r="GSE164" s="22"/>
      <c r="GSN164" s="21"/>
      <c r="GSO164" s="22"/>
      <c r="GSX164" s="21"/>
      <c r="GSY164" s="22"/>
      <c r="GTH164" s="21"/>
      <c r="GTI164" s="22"/>
      <c r="GTR164" s="21"/>
      <c r="GTS164" s="22"/>
      <c r="GUB164" s="21"/>
      <c r="GUC164" s="22"/>
      <c r="GUL164" s="21"/>
      <c r="GUM164" s="22"/>
      <c r="GUV164" s="21"/>
      <c r="GUW164" s="22"/>
      <c r="GVF164" s="21"/>
      <c r="GVG164" s="22"/>
      <c r="GVP164" s="21"/>
      <c r="GVQ164" s="22"/>
      <c r="GVZ164" s="21"/>
      <c r="GWA164" s="22"/>
      <c r="GWJ164" s="21"/>
      <c r="GWK164" s="22"/>
      <c r="GWT164" s="21"/>
      <c r="GWU164" s="22"/>
      <c r="GXD164" s="21"/>
      <c r="GXE164" s="22"/>
      <c r="GXN164" s="21"/>
      <c r="GXO164" s="22"/>
      <c r="GXX164" s="21"/>
      <c r="GXY164" s="22"/>
      <c r="GYH164" s="21"/>
      <c r="GYI164" s="22"/>
      <c r="GYR164" s="21"/>
      <c r="GYS164" s="22"/>
      <c r="GZB164" s="21"/>
      <c r="GZC164" s="22"/>
      <c r="GZL164" s="21"/>
      <c r="GZM164" s="22"/>
      <c r="GZV164" s="21"/>
      <c r="GZW164" s="22"/>
      <c r="HAF164" s="21"/>
      <c r="HAG164" s="22"/>
      <c r="HAP164" s="21"/>
      <c r="HAQ164" s="22"/>
      <c r="HAZ164" s="21"/>
      <c r="HBA164" s="22"/>
      <c r="HBJ164" s="21"/>
      <c r="HBK164" s="22"/>
      <c r="HBT164" s="21"/>
      <c r="HBU164" s="22"/>
      <c r="HCD164" s="21"/>
      <c r="HCE164" s="22"/>
      <c r="HCN164" s="21"/>
      <c r="HCO164" s="22"/>
      <c r="HCX164" s="21"/>
      <c r="HCY164" s="22"/>
      <c r="HDH164" s="21"/>
      <c r="HDI164" s="22"/>
      <c r="HDR164" s="21"/>
      <c r="HDS164" s="22"/>
      <c r="HEB164" s="21"/>
      <c r="HEC164" s="22"/>
      <c r="HEL164" s="21"/>
      <c r="HEM164" s="22"/>
      <c r="HEV164" s="21"/>
      <c r="HEW164" s="22"/>
      <c r="HFF164" s="21"/>
      <c r="HFG164" s="22"/>
      <c r="HFP164" s="21"/>
      <c r="HFQ164" s="22"/>
      <c r="HFZ164" s="21"/>
      <c r="HGA164" s="22"/>
      <c r="HGJ164" s="21"/>
      <c r="HGK164" s="22"/>
      <c r="HGT164" s="21"/>
      <c r="HGU164" s="22"/>
      <c r="HHD164" s="21"/>
      <c r="HHE164" s="22"/>
      <c r="HHN164" s="21"/>
      <c r="HHO164" s="22"/>
      <c r="HHX164" s="21"/>
      <c r="HHY164" s="22"/>
      <c r="HIH164" s="21"/>
      <c r="HII164" s="22"/>
      <c r="HIR164" s="21"/>
      <c r="HIS164" s="22"/>
      <c r="HJB164" s="21"/>
      <c r="HJC164" s="22"/>
      <c r="HJL164" s="21"/>
      <c r="HJM164" s="22"/>
      <c r="HJV164" s="21"/>
      <c r="HJW164" s="22"/>
      <c r="HKF164" s="21"/>
      <c r="HKG164" s="22"/>
      <c r="HKP164" s="21"/>
      <c r="HKQ164" s="22"/>
      <c r="HKZ164" s="21"/>
      <c r="HLA164" s="22"/>
      <c r="HLJ164" s="21"/>
      <c r="HLK164" s="22"/>
      <c r="HLT164" s="21"/>
      <c r="HLU164" s="22"/>
      <c r="HMD164" s="21"/>
      <c r="HME164" s="22"/>
      <c r="HMN164" s="21"/>
      <c r="HMO164" s="22"/>
      <c r="HMX164" s="21"/>
      <c r="HMY164" s="22"/>
      <c r="HNH164" s="21"/>
      <c r="HNI164" s="22"/>
      <c r="HNR164" s="21"/>
      <c r="HNS164" s="22"/>
      <c r="HOB164" s="21"/>
      <c r="HOC164" s="22"/>
      <c r="HOL164" s="21"/>
      <c r="HOM164" s="22"/>
      <c r="HOV164" s="21"/>
      <c r="HOW164" s="22"/>
      <c r="HPF164" s="21"/>
      <c r="HPG164" s="22"/>
      <c r="HPP164" s="21"/>
      <c r="HPQ164" s="22"/>
      <c r="HPZ164" s="21"/>
      <c r="HQA164" s="22"/>
      <c r="HQJ164" s="21"/>
      <c r="HQK164" s="22"/>
      <c r="HQT164" s="21"/>
      <c r="HQU164" s="22"/>
      <c r="HRD164" s="21"/>
      <c r="HRE164" s="22"/>
      <c r="HRN164" s="21"/>
      <c r="HRO164" s="22"/>
      <c r="HRX164" s="21"/>
      <c r="HRY164" s="22"/>
      <c r="HSH164" s="21"/>
      <c r="HSI164" s="22"/>
      <c r="HSR164" s="21"/>
      <c r="HSS164" s="22"/>
      <c r="HTB164" s="21"/>
      <c r="HTC164" s="22"/>
      <c r="HTL164" s="21"/>
      <c r="HTM164" s="22"/>
      <c r="HTV164" s="21"/>
      <c r="HTW164" s="22"/>
      <c r="HUF164" s="21"/>
      <c r="HUG164" s="22"/>
      <c r="HUP164" s="21"/>
      <c r="HUQ164" s="22"/>
      <c r="HUZ164" s="21"/>
      <c r="HVA164" s="22"/>
      <c r="HVJ164" s="21"/>
      <c r="HVK164" s="22"/>
      <c r="HVT164" s="21"/>
      <c r="HVU164" s="22"/>
      <c r="HWD164" s="21"/>
      <c r="HWE164" s="22"/>
      <c r="HWN164" s="21"/>
      <c r="HWO164" s="22"/>
      <c r="HWX164" s="21"/>
      <c r="HWY164" s="22"/>
      <c r="HXH164" s="21"/>
      <c r="HXI164" s="22"/>
      <c r="HXR164" s="21"/>
      <c r="HXS164" s="22"/>
      <c r="HYB164" s="21"/>
      <c r="HYC164" s="22"/>
      <c r="HYL164" s="21"/>
      <c r="HYM164" s="22"/>
      <c r="HYV164" s="21"/>
      <c r="HYW164" s="22"/>
      <c r="HZF164" s="21"/>
      <c r="HZG164" s="22"/>
      <c r="HZP164" s="21"/>
      <c r="HZQ164" s="22"/>
      <c r="HZZ164" s="21"/>
      <c r="IAA164" s="22"/>
      <c r="IAJ164" s="21"/>
      <c r="IAK164" s="22"/>
      <c r="IAT164" s="21"/>
      <c r="IAU164" s="22"/>
      <c r="IBD164" s="21"/>
      <c r="IBE164" s="22"/>
      <c r="IBN164" s="21"/>
      <c r="IBO164" s="22"/>
      <c r="IBX164" s="21"/>
      <c r="IBY164" s="22"/>
      <c r="ICH164" s="21"/>
      <c r="ICI164" s="22"/>
      <c r="ICR164" s="21"/>
      <c r="ICS164" s="22"/>
      <c r="IDB164" s="21"/>
      <c r="IDC164" s="22"/>
      <c r="IDL164" s="21"/>
      <c r="IDM164" s="22"/>
      <c r="IDV164" s="21"/>
      <c r="IDW164" s="22"/>
      <c r="IEF164" s="21"/>
      <c r="IEG164" s="22"/>
      <c r="IEP164" s="21"/>
      <c r="IEQ164" s="22"/>
      <c r="IEZ164" s="21"/>
      <c r="IFA164" s="22"/>
      <c r="IFJ164" s="21"/>
      <c r="IFK164" s="22"/>
      <c r="IFT164" s="21"/>
      <c r="IFU164" s="22"/>
      <c r="IGD164" s="21"/>
      <c r="IGE164" s="22"/>
      <c r="IGN164" s="21"/>
      <c r="IGO164" s="22"/>
      <c r="IGX164" s="21"/>
      <c r="IGY164" s="22"/>
      <c r="IHH164" s="21"/>
      <c r="IHI164" s="22"/>
      <c r="IHR164" s="21"/>
      <c r="IHS164" s="22"/>
      <c r="IIB164" s="21"/>
      <c r="IIC164" s="22"/>
      <c r="IIL164" s="21"/>
      <c r="IIM164" s="22"/>
      <c r="IIV164" s="21"/>
      <c r="IIW164" s="22"/>
      <c r="IJF164" s="21"/>
      <c r="IJG164" s="22"/>
      <c r="IJP164" s="21"/>
      <c r="IJQ164" s="22"/>
      <c r="IJZ164" s="21"/>
      <c r="IKA164" s="22"/>
      <c r="IKJ164" s="21"/>
      <c r="IKK164" s="22"/>
      <c r="IKT164" s="21"/>
      <c r="IKU164" s="22"/>
      <c r="ILD164" s="21"/>
      <c r="ILE164" s="22"/>
      <c r="ILN164" s="21"/>
      <c r="ILO164" s="22"/>
      <c r="ILX164" s="21"/>
      <c r="ILY164" s="22"/>
      <c r="IMH164" s="21"/>
      <c r="IMI164" s="22"/>
      <c r="IMR164" s="21"/>
      <c r="IMS164" s="22"/>
      <c r="INB164" s="21"/>
      <c r="INC164" s="22"/>
      <c r="INL164" s="21"/>
      <c r="INM164" s="22"/>
      <c r="INV164" s="21"/>
      <c r="INW164" s="22"/>
      <c r="IOF164" s="21"/>
      <c r="IOG164" s="22"/>
      <c r="IOP164" s="21"/>
      <c r="IOQ164" s="22"/>
      <c r="IOZ164" s="21"/>
      <c r="IPA164" s="22"/>
      <c r="IPJ164" s="21"/>
      <c r="IPK164" s="22"/>
      <c r="IPT164" s="21"/>
      <c r="IPU164" s="22"/>
      <c r="IQD164" s="21"/>
      <c r="IQE164" s="22"/>
      <c r="IQN164" s="21"/>
      <c r="IQO164" s="22"/>
      <c r="IQX164" s="21"/>
      <c r="IQY164" s="22"/>
      <c r="IRH164" s="21"/>
      <c r="IRI164" s="22"/>
      <c r="IRR164" s="21"/>
      <c r="IRS164" s="22"/>
      <c r="ISB164" s="21"/>
      <c r="ISC164" s="22"/>
      <c r="ISL164" s="21"/>
      <c r="ISM164" s="22"/>
      <c r="ISV164" s="21"/>
      <c r="ISW164" s="22"/>
      <c r="ITF164" s="21"/>
      <c r="ITG164" s="22"/>
      <c r="ITP164" s="21"/>
      <c r="ITQ164" s="22"/>
      <c r="ITZ164" s="21"/>
      <c r="IUA164" s="22"/>
      <c r="IUJ164" s="21"/>
      <c r="IUK164" s="22"/>
      <c r="IUT164" s="21"/>
      <c r="IUU164" s="22"/>
      <c r="IVD164" s="21"/>
      <c r="IVE164" s="22"/>
      <c r="IVN164" s="21"/>
      <c r="IVO164" s="22"/>
      <c r="IVX164" s="21"/>
      <c r="IVY164" s="22"/>
      <c r="IWH164" s="21"/>
      <c r="IWI164" s="22"/>
      <c r="IWR164" s="21"/>
      <c r="IWS164" s="22"/>
      <c r="IXB164" s="21"/>
      <c r="IXC164" s="22"/>
      <c r="IXL164" s="21"/>
      <c r="IXM164" s="22"/>
      <c r="IXV164" s="21"/>
      <c r="IXW164" s="22"/>
      <c r="IYF164" s="21"/>
      <c r="IYG164" s="22"/>
      <c r="IYP164" s="21"/>
      <c r="IYQ164" s="22"/>
      <c r="IYZ164" s="21"/>
      <c r="IZA164" s="22"/>
      <c r="IZJ164" s="21"/>
      <c r="IZK164" s="22"/>
      <c r="IZT164" s="21"/>
      <c r="IZU164" s="22"/>
      <c r="JAD164" s="21"/>
      <c r="JAE164" s="22"/>
      <c r="JAN164" s="21"/>
      <c r="JAO164" s="22"/>
      <c r="JAX164" s="21"/>
      <c r="JAY164" s="22"/>
      <c r="JBH164" s="21"/>
      <c r="JBI164" s="22"/>
      <c r="JBR164" s="21"/>
      <c r="JBS164" s="22"/>
      <c r="JCB164" s="21"/>
      <c r="JCC164" s="22"/>
      <c r="JCL164" s="21"/>
      <c r="JCM164" s="22"/>
      <c r="JCV164" s="21"/>
      <c r="JCW164" s="22"/>
      <c r="JDF164" s="21"/>
      <c r="JDG164" s="22"/>
      <c r="JDP164" s="21"/>
      <c r="JDQ164" s="22"/>
      <c r="JDZ164" s="21"/>
      <c r="JEA164" s="22"/>
      <c r="JEJ164" s="21"/>
      <c r="JEK164" s="22"/>
      <c r="JET164" s="21"/>
      <c r="JEU164" s="22"/>
      <c r="JFD164" s="21"/>
      <c r="JFE164" s="22"/>
      <c r="JFN164" s="21"/>
      <c r="JFO164" s="22"/>
      <c r="JFX164" s="21"/>
      <c r="JFY164" s="22"/>
      <c r="JGH164" s="21"/>
      <c r="JGI164" s="22"/>
      <c r="JGR164" s="21"/>
      <c r="JGS164" s="22"/>
      <c r="JHB164" s="21"/>
      <c r="JHC164" s="22"/>
      <c r="JHL164" s="21"/>
      <c r="JHM164" s="22"/>
      <c r="JHV164" s="21"/>
      <c r="JHW164" s="22"/>
      <c r="JIF164" s="21"/>
      <c r="JIG164" s="22"/>
      <c r="JIP164" s="21"/>
      <c r="JIQ164" s="22"/>
      <c r="JIZ164" s="21"/>
      <c r="JJA164" s="22"/>
      <c r="JJJ164" s="21"/>
      <c r="JJK164" s="22"/>
      <c r="JJT164" s="21"/>
      <c r="JJU164" s="22"/>
      <c r="JKD164" s="21"/>
      <c r="JKE164" s="22"/>
      <c r="JKN164" s="21"/>
      <c r="JKO164" s="22"/>
      <c r="JKX164" s="21"/>
      <c r="JKY164" s="22"/>
      <c r="JLH164" s="21"/>
      <c r="JLI164" s="22"/>
      <c r="JLR164" s="21"/>
      <c r="JLS164" s="22"/>
      <c r="JMB164" s="21"/>
      <c r="JMC164" s="22"/>
      <c r="JML164" s="21"/>
      <c r="JMM164" s="22"/>
      <c r="JMV164" s="21"/>
      <c r="JMW164" s="22"/>
      <c r="JNF164" s="21"/>
      <c r="JNG164" s="22"/>
      <c r="JNP164" s="21"/>
      <c r="JNQ164" s="22"/>
      <c r="JNZ164" s="21"/>
      <c r="JOA164" s="22"/>
      <c r="JOJ164" s="21"/>
      <c r="JOK164" s="22"/>
      <c r="JOT164" s="21"/>
      <c r="JOU164" s="22"/>
      <c r="JPD164" s="21"/>
      <c r="JPE164" s="22"/>
      <c r="JPN164" s="21"/>
      <c r="JPO164" s="22"/>
      <c r="JPX164" s="21"/>
      <c r="JPY164" s="22"/>
      <c r="JQH164" s="21"/>
      <c r="JQI164" s="22"/>
      <c r="JQR164" s="21"/>
      <c r="JQS164" s="22"/>
      <c r="JRB164" s="21"/>
      <c r="JRC164" s="22"/>
      <c r="JRL164" s="21"/>
      <c r="JRM164" s="22"/>
      <c r="JRV164" s="21"/>
      <c r="JRW164" s="22"/>
      <c r="JSF164" s="21"/>
      <c r="JSG164" s="22"/>
      <c r="JSP164" s="21"/>
      <c r="JSQ164" s="22"/>
      <c r="JSZ164" s="21"/>
      <c r="JTA164" s="22"/>
      <c r="JTJ164" s="21"/>
      <c r="JTK164" s="22"/>
      <c r="JTT164" s="21"/>
      <c r="JTU164" s="22"/>
      <c r="JUD164" s="21"/>
      <c r="JUE164" s="22"/>
      <c r="JUN164" s="21"/>
      <c r="JUO164" s="22"/>
      <c r="JUX164" s="21"/>
      <c r="JUY164" s="22"/>
      <c r="JVH164" s="21"/>
      <c r="JVI164" s="22"/>
      <c r="JVR164" s="21"/>
      <c r="JVS164" s="22"/>
      <c r="JWB164" s="21"/>
      <c r="JWC164" s="22"/>
      <c r="JWL164" s="21"/>
      <c r="JWM164" s="22"/>
      <c r="JWV164" s="21"/>
      <c r="JWW164" s="22"/>
      <c r="JXF164" s="21"/>
      <c r="JXG164" s="22"/>
      <c r="JXP164" s="21"/>
      <c r="JXQ164" s="22"/>
      <c r="JXZ164" s="21"/>
      <c r="JYA164" s="22"/>
      <c r="JYJ164" s="21"/>
      <c r="JYK164" s="22"/>
      <c r="JYT164" s="21"/>
      <c r="JYU164" s="22"/>
      <c r="JZD164" s="21"/>
      <c r="JZE164" s="22"/>
      <c r="JZN164" s="21"/>
      <c r="JZO164" s="22"/>
      <c r="JZX164" s="21"/>
      <c r="JZY164" s="22"/>
      <c r="KAH164" s="21"/>
      <c r="KAI164" s="22"/>
      <c r="KAR164" s="21"/>
      <c r="KAS164" s="22"/>
      <c r="KBB164" s="21"/>
      <c r="KBC164" s="22"/>
      <c r="KBL164" s="21"/>
      <c r="KBM164" s="22"/>
      <c r="KBV164" s="21"/>
      <c r="KBW164" s="22"/>
      <c r="KCF164" s="21"/>
      <c r="KCG164" s="22"/>
      <c r="KCP164" s="21"/>
      <c r="KCQ164" s="22"/>
      <c r="KCZ164" s="21"/>
      <c r="KDA164" s="22"/>
      <c r="KDJ164" s="21"/>
      <c r="KDK164" s="22"/>
      <c r="KDT164" s="21"/>
      <c r="KDU164" s="22"/>
      <c r="KED164" s="21"/>
      <c r="KEE164" s="22"/>
      <c r="KEN164" s="21"/>
      <c r="KEO164" s="22"/>
      <c r="KEX164" s="21"/>
      <c r="KEY164" s="22"/>
      <c r="KFH164" s="21"/>
      <c r="KFI164" s="22"/>
      <c r="KFR164" s="21"/>
      <c r="KFS164" s="22"/>
      <c r="KGB164" s="21"/>
      <c r="KGC164" s="22"/>
      <c r="KGL164" s="21"/>
      <c r="KGM164" s="22"/>
      <c r="KGV164" s="21"/>
      <c r="KGW164" s="22"/>
      <c r="KHF164" s="21"/>
      <c r="KHG164" s="22"/>
      <c r="KHP164" s="21"/>
      <c r="KHQ164" s="22"/>
      <c r="KHZ164" s="21"/>
      <c r="KIA164" s="22"/>
      <c r="KIJ164" s="21"/>
      <c r="KIK164" s="22"/>
      <c r="KIT164" s="21"/>
      <c r="KIU164" s="22"/>
      <c r="KJD164" s="21"/>
      <c r="KJE164" s="22"/>
      <c r="KJN164" s="21"/>
      <c r="KJO164" s="22"/>
      <c r="KJX164" s="21"/>
      <c r="KJY164" s="22"/>
      <c r="KKH164" s="21"/>
      <c r="KKI164" s="22"/>
      <c r="KKR164" s="21"/>
      <c r="KKS164" s="22"/>
      <c r="KLB164" s="21"/>
      <c r="KLC164" s="22"/>
      <c r="KLL164" s="21"/>
      <c r="KLM164" s="22"/>
      <c r="KLV164" s="21"/>
      <c r="KLW164" s="22"/>
      <c r="KMF164" s="21"/>
      <c r="KMG164" s="22"/>
      <c r="KMP164" s="21"/>
      <c r="KMQ164" s="22"/>
      <c r="KMZ164" s="21"/>
      <c r="KNA164" s="22"/>
      <c r="KNJ164" s="21"/>
      <c r="KNK164" s="22"/>
      <c r="KNT164" s="21"/>
      <c r="KNU164" s="22"/>
      <c r="KOD164" s="21"/>
      <c r="KOE164" s="22"/>
      <c r="KON164" s="21"/>
      <c r="KOO164" s="22"/>
      <c r="KOX164" s="21"/>
      <c r="KOY164" s="22"/>
      <c r="KPH164" s="21"/>
      <c r="KPI164" s="22"/>
      <c r="KPR164" s="21"/>
      <c r="KPS164" s="22"/>
      <c r="KQB164" s="21"/>
      <c r="KQC164" s="22"/>
      <c r="KQL164" s="21"/>
      <c r="KQM164" s="22"/>
      <c r="KQV164" s="21"/>
      <c r="KQW164" s="22"/>
      <c r="KRF164" s="21"/>
      <c r="KRG164" s="22"/>
      <c r="KRP164" s="21"/>
      <c r="KRQ164" s="22"/>
      <c r="KRZ164" s="21"/>
      <c r="KSA164" s="22"/>
      <c r="KSJ164" s="21"/>
      <c r="KSK164" s="22"/>
      <c r="KST164" s="21"/>
      <c r="KSU164" s="22"/>
      <c r="KTD164" s="21"/>
      <c r="KTE164" s="22"/>
      <c r="KTN164" s="21"/>
      <c r="KTO164" s="22"/>
      <c r="KTX164" s="21"/>
      <c r="KTY164" s="22"/>
      <c r="KUH164" s="21"/>
      <c r="KUI164" s="22"/>
      <c r="KUR164" s="21"/>
      <c r="KUS164" s="22"/>
      <c r="KVB164" s="21"/>
      <c r="KVC164" s="22"/>
      <c r="KVL164" s="21"/>
      <c r="KVM164" s="22"/>
      <c r="KVV164" s="21"/>
      <c r="KVW164" s="22"/>
      <c r="KWF164" s="21"/>
      <c r="KWG164" s="22"/>
      <c r="KWP164" s="21"/>
      <c r="KWQ164" s="22"/>
      <c r="KWZ164" s="21"/>
      <c r="KXA164" s="22"/>
      <c r="KXJ164" s="21"/>
      <c r="KXK164" s="22"/>
      <c r="KXT164" s="21"/>
      <c r="KXU164" s="22"/>
      <c r="KYD164" s="21"/>
      <c r="KYE164" s="22"/>
      <c r="KYN164" s="21"/>
      <c r="KYO164" s="22"/>
      <c r="KYX164" s="21"/>
      <c r="KYY164" s="22"/>
      <c r="KZH164" s="21"/>
      <c r="KZI164" s="22"/>
      <c r="KZR164" s="21"/>
      <c r="KZS164" s="22"/>
      <c r="LAB164" s="21"/>
      <c r="LAC164" s="22"/>
      <c r="LAL164" s="21"/>
      <c r="LAM164" s="22"/>
      <c r="LAV164" s="21"/>
      <c r="LAW164" s="22"/>
      <c r="LBF164" s="21"/>
      <c r="LBG164" s="22"/>
      <c r="LBP164" s="21"/>
      <c r="LBQ164" s="22"/>
      <c r="LBZ164" s="21"/>
      <c r="LCA164" s="22"/>
      <c r="LCJ164" s="21"/>
      <c r="LCK164" s="22"/>
      <c r="LCT164" s="21"/>
      <c r="LCU164" s="22"/>
      <c r="LDD164" s="21"/>
      <c r="LDE164" s="22"/>
      <c r="LDN164" s="21"/>
      <c r="LDO164" s="22"/>
      <c r="LDX164" s="21"/>
      <c r="LDY164" s="22"/>
      <c r="LEH164" s="21"/>
      <c r="LEI164" s="22"/>
      <c r="LER164" s="21"/>
      <c r="LES164" s="22"/>
      <c r="LFB164" s="21"/>
      <c r="LFC164" s="22"/>
      <c r="LFL164" s="21"/>
      <c r="LFM164" s="22"/>
      <c r="LFV164" s="21"/>
      <c r="LFW164" s="22"/>
      <c r="LGF164" s="21"/>
      <c r="LGG164" s="22"/>
      <c r="LGP164" s="21"/>
      <c r="LGQ164" s="22"/>
      <c r="LGZ164" s="21"/>
      <c r="LHA164" s="22"/>
      <c r="LHJ164" s="21"/>
      <c r="LHK164" s="22"/>
      <c r="LHT164" s="21"/>
      <c r="LHU164" s="22"/>
      <c r="LID164" s="21"/>
      <c r="LIE164" s="22"/>
      <c r="LIN164" s="21"/>
      <c r="LIO164" s="22"/>
      <c r="LIX164" s="21"/>
      <c r="LIY164" s="22"/>
      <c r="LJH164" s="21"/>
      <c r="LJI164" s="22"/>
      <c r="LJR164" s="21"/>
      <c r="LJS164" s="22"/>
      <c r="LKB164" s="21"/>
      <c r="LKC164" s="22"/>
      <c r="LKL164" s="21"/>
      <c r="LKM164" s="22"/>
      <c r="LKV164" s="21"/>
      <c r="LKW164" s="22"/>
      <c r="LLF164" s="21"/>
      <c r="LLG164" s="22"/>
      <c r="LLP164" s="21"/>
      <c r="LLQ164" s="22"/>
      <c r="LLZ164" s="21"/>
      <c r="LMA164" s="22"/>
      <c r="LMJ164" s="21"/>
      <c r="LMK164" s="22"/>
      <c r="LMT164" s="21"/>
      <c r="LMU164" s="22"/>
      <c r="LND164" s="21"/>
      <c r="LNE164" s="22"/>
      <c r="LNN164" s="21"/>
      <c r="LNO164" s="22"/>
      <c r="LNX164" s="21"/>
      <c r="LNY164" s="22"/>
      <c r="LOH164" s="21"/>
      <c r="LOI164" s="22"/>
      <c r="LOR164" s="21"/>
      <c r="LOS164" s="22"/>
      <c r="LPB164" s="21"/>
      <c r="LPC164" s="22"/>
      <c r="LPL164" s="21"/>
      <c r="LPM164" s="22"/>
      <c r="LPV164" s="21"/>
      <c r="LPW164" s="22"/>
      <c r="LQF164" s="21"/>
      <c r="LQG164" s="22"/>
      <c r="LQP164" s="21"/>
      <c r="LQQ164" s="22"/>
      <c r="LQZ164" s="21"/>
      <c r="LRA164" s="22"/>
      <c r="LRJ164" s="21"/>
      <c r="LRK164" s="22"/>
      <c r="LRT164" s="21"/>
      <c r="LRU164" s="22"/>
      <c r="LSD164" s="21"/>
      <c r="LSE164" s="22"/>
      <c r="LSN164" s="21"/>
      <c r="LSO164" s="22"/>
      <c r="LSX164" s="21"/>
      <c r="LSY164" s="22"/>
      <c r="LTH164" s="21"/>
      <c r="LTI164" s="22"/>
      <c r="LTR164" s="21"/>
      <c r="LTS164" s="22"/>
      <c r="LUB164" s="21"/>
      <c r="LUC164" s="22"/>
      <c r="LUL164" s="21"/>
      <c r="LUM164" s="22"/>
      <c r="LUV164" s="21"/>
      <c r="LUW164" s="22"/>
      <c r="LVF164" s="21"/>
      <c r="LVG164" s="22"/>
      <c r="LVP164" s="21"/>
      <c r="LVQ164" s="22"/>
      <c r="LVZ164" s="21"/>
      <c r="LWA164" s="22"/>
      <c r="LWJ164" s="21"/>
      <c r="LWK164" s="22"/>
      <c r="LWT164" s="21"/>
      <c r="LWU164" s="22"/>
      <c r="LXD164" s="21"/>
      <c r="LXE164" s="22"/>
      <c r="LXN164" s="21"/>
      <c r="LXO164" s="22"/>
      <c r="LXX164" s="21"/>
      <c r="LXY164" s="22"/>
      <c r="LYH164" s="21"/>
      <c r="LYI164" s="22"/>
      <c r="LYR164" s="21"/>
      <c r="LYS164" s="22"/>
      <c r="LZB164" s="21"/>
      <c r="LZC164" s="22"/>
      <c r="LZL164" s="21"/>
      <c r="LZM164" s="22"/>
      <c r="LZV164" s="21"/>
      <c r="LZW164" s="22"/>
      <c r="MAF164" s="21"/>
      <c r="MAG164" s="22"/>
      <c r="MAP164" s="21"/>
      <c r="MAQ164" s="22"/>
      <c r="MAZ164" s="21"/>
      <c r="MBA164" s="22"/>
      <c r="MBJ164" s="21"/>
      <c r="MBK164" s="22"/>
      <c r="MBT164" s="21"/>
      <c r="MBU164" s="22"/>
      <c r="MCD164" s="21"/>
      <c r="MCE164" s="22"/>
      <c r="MCN164" s="21"/>
      <c r="MCO164" s="22"/>
      <c r="MCX164" s="21"/>
      <c r="MCY164" s="22"/>
      <c r="MDH164" s="21"/>
      <c r="MDI164" s="22"/>
      <c r="MDR164" s="21"/>
      <c r="MDS164" s="22"/>
      <c r="MEB164" s="21"/>
      <c r="MEC164" s="22"/>
      <c r="MEL164" s="21"/>
      <c r="MEM164" s="22"/>
      <c r="MEV164" s="21"/>
      <c r="MEW164" s="22"/>
      <c r="MFF164" s="21"/>
      <c r="MFG164" s="22"/>
      <c r="MFP164" s="21"/>
      <c r="MFQ164" s="22"/>
      <c r="MFZ164" s="21"/>
      <c r="MGA164" s="22"/>
      <c r="MGJ164" s="21"/>
      <c r="MGK164" s="22"/>
      <c r="MGT164" s="21"/>
      <c r="MGU164" s="22"/>
      <c r="MHD164" s="21"/>
      <c r="MHE164" s="22"/>
      <c r="MHN164" s="21"/>
      <c r="MHO164" s="22"/>
      <c r="MHX164" s="21"/>
      <c r="MHY164" s="22"/>
      <c r="MIH164" s="21"/>
      <c r="MII164" s="22"/>
      <c r="MIR164" s="21"/>
      <c r="MIS164" s="22"/>
      <c r="MJB164" s="21"/>
      <c r="MJC164" s="22"/>
      <c r="MJL164" s="21"/>
      <c r="MJM164" s="22"/>
      <c r="MJV164" s="21"/>
      <c r="MJW164" s="22"/>
      <c r="MKF164" s="21"/>
      <c r="MKG164" s="22"/>
      <c r="MKP164" s="21"/>
      <c r="MKQ164" s="22"/>
      <c r="MKZ164" s="21"/>
      <c r="MLA164" s="22"/>
      <c r="MLJ164" s="21"/>
      <c r="MLK164" s="22"/>
      <c r="MLT164" s="21"/>
      <c r="MLU164" s="22"/>
      <c r="MMD164" s="21"/>
      <c r="MME164" s="22"/>
      <c r="MMN164" s="21"/>
      <c r="MMO164" s="22"/>
      <c r="MMX164" s="21"/>
      <c r="MMY164" s="22"/>
      <c r="MNH164" s="21"/>
      <c r="MNI164" s="22"/>
      <c r="MNR164" s="21"/>
      <c r="MNS164" s="22"/>
      <c r="MOB164" s="21"/>
      <c r="MOC164" s="22"/>
      <c r="MOL164" s="21"/>
      <c r="MOM164" s="22"/>
      <c r="MOV164" s="21"/>
      <c r="MOW164" s="22"/>
      <c r="MPF164" s="21"/>
      <c r="MPG164" s="22"/>
      <c r="MPP164" s="21"/>
      <c r="MPQ164" s="22"/>
      <c r="MPZ164" s="21"/>
      <c r="MQA164" s="22"/>
      <c r="MQJ164" s="21"/>
      <c r="MQK164" s="22"/>
      <c r="MQT164" s="21"/>
      <c r="MQU164" s="22"/>
      <c r="MRD164" s="21"/>
      <c r="MRE164" s="22"/>
      <c r="MRN164" s="21"/>
      <c r="MRO164" s="22"/>
      <c r="MRX164" s="21"/>
      <c r="MRY164" s="22"/>
      <c r="MSH164" s="21"/>
      <c r="MSI164" s="22"/>
      <c r="MSR164" s="21"/>
      <c r="MSS164" s="22"/>
      <c r="MTB164" s="21"/>
      <c r="MTC164" s="22"/>
      <c r="MTL164" s="21"/>
      <c r="MTM164" s="22"/>
      <c r="MTV164" s="21"/>
      <c r="MTW164" s="22"/>
      <c r="MUF164" s="21"/>
      <c r="MUG164" s="22"/>
      <c r="MUP164" s="21"/>
      <c r="MUQ164" s="22"/>
      <c r="MUZ164" s="21"/>
      <c r="MVA164" s="22"/>
      <c r="MVJ164" s="21"/>
      <c r="MVK164" s="22"/>
      <c r="MVT164" s="21"/>
      <c r="MVU164" s="22"/>
      <c r="MWD164" s="21"/>
      <c r="MWE164" s="22"/>
      <c r="MWN164" s="21"/>
      <c r="MWO164" s="22"/>
      <c r="MWX164" s="21"/>
      <c r="MWY164" s="22"/>
      <c r="MXH164" s="21"/>
      <c r="MXI164" s="22"/>
      <c r="MXR164" s="21"/>
      <c r="MXS164" s="22"/>
      <c r="MYB164" s="21"/>
      <c r="MYC164" s="22"/>
      <c r="MYL164" s="21"/>
      <c r="MYM164" s="22"/>
      <c r="MYV164" s="21"/>
      <c r="MYW164" s="22"/>
      <c r="MZF164" s="21"/>
      <c r="MZG164" s="22"/>
      <c r="MZP164" s="21"/>
      <c r="MZQ164" s="22"/>
      <c r="MZZ164" s="21"/>
      <c r="NAA164" s="22"/>
      <c r="NAJ164" s="21"/>
      <c r="NAK164" s="22"/>
      <c r="NAT164" s="21"/>
      <c r="NAU164" s="22"/>
      <c r="NBD164" s="21"/>
      <c r="NBE164" s="22"/>
      <c r="NBN164" s="21"/>
      <c r="NBO164" s="22"/>
      <c r="NBX164" s="21"/>
      <c r="NBY164" s="22"/>
      <c r="NCH164" s="21"/>
      <c r="NCI164" s="22"/>
      <c r="NCR164" s="21"/>
      <c r="NCS164" s="22"/>
      <c r="NDB164" s="21"/>
      <c r="NDC164" s="22"/>
      <c r="NDL164" s="21"/>
      <c r="NDM164" s="22"/>
      <c r="NDV164" s="21"/>
      <c r="NDW164" s="22"/>
      <c r="NEF164" s="21"/>
      <c r="NEG164" s="22"/>
      <c r="NEP164" s="21"/>
      <c r="NEQ164" s="22"/>
      <c r="NEZ164" s="21"/>
      <c r="NFA164" s="22"/>
      <c r="NFJ164" s="21"/>
      <c r="NFK164" s="22"/>
      <c r="NFT164" s="21"/>
      <c r="NFU164" s="22"/>
      <c r="NGD164" s="21"/>
      <c r="NGE164" s="22"/>
      <c r="NGN164" s="21"/>
      <c r="NGO164" s="22"/>
      <c r="NGX164" s="21"/>
      <c r="NGY164" s="22"/>
      <c r="NHH164" s="21"/>
      <c r="NHI164" s="22"/>
      <c r="NHR164" s="21"/>
      <c r="NHS164" s="22"/>
      <c r="NIB164" s="21"/>
      <c r="NIC164" s="22"/>
      <c r="NIL164" s="21"/>
      <c r="NIM164" s="22"/>
      <c r="NIV164" s="21"/>
      <c r="NIW164" s="22"/>
      <c r="NJF164" s="21"/>
      <c r="NJG164" s="22"/>
      <c r="NJP164" s="21"/>
      <c r="NJQ164" s="22"/>
      <c r="NJZ164" s="21"/>
      <c r="NKA164" s="22"/>
      <c r="NKJ164" s="21"/>
      <c r="NKK164" s="22"/>
      <c r="NKT164" s="21"/>
      <c r="NKU164" s="22"/>
      <c r="NLD164" s="21"/>
      <c r="NLE164" s="22"/>
      <c r="NLN164" s="21"/>
      <c r="NLO164" s="22"/>
      <c r="NLX164" s="21"/>
      <c r="NLY164" s="22"/>
      <c r="NMH164" s="21"/>
      <c r="NMI164" s="22"/>
      <c r="NMR164" s="21"/>
      <c r="NMS164" s="22"/>
      <c r="NNB164" s="21"/>
      <c r="NNC164" s="22"/>
      <c r="NNL164" s="21"/>
      <c r="NNM164" s="22"/>
      <c r="NNV164" s="21"/>
      <c r="NNW164" s="22"/>
      <c r="NOF164" s="21"/>
      <c r="NOG164" s="22"/>
      <c r="NOP164" s="21"/>
      <c r="NOQ164" s="22"/>
      <c r="NOZ164" s="21"/>
      <c r="NPA164" s="22"/>
      <c r="NPJ164" s="21"/>
      <c r="NPK164" s="22"/>
      <c r="NPT164" s="21"/>
      <c r="NPU164" s="22"/>
      <c r="NQD164" s="21"/>
      <c r="NQE164" s="22"/>
      <c r="NQN164" s="21"/>
      <c r="NQO164" s="22"/>
      <c r="NQX164" s="21"/>
      <c r="NQY164" s="22"/>
      <c r="NRH164" s="21"/>
      <c r="NRI164" s="22"/>
      <c r="NRR164" s="21"/>
      <c r="NRS164" s="22"/>
      <c r="NSB164" s="21"/>
      <c r="NSC164" s="22"/>
      <c r="NSL164" s="21"/>
      <c r="NSM164" s="22"/>
      <c r="NSV164" s="21"/>
      <c r="NSW164" s="22"/>
      <c r="NTF164" s="21"/>
      <c r="NTG164" s="22"/>
      <c r="NTP164" s="21"/>
      <c r="NTQ164" s="22"/>
      <c r="NTZ164" s="21"/>
      <c r="NUA164" s="22"/>
      <c r="NUJ164" s="21"/>
      <c r="NUK164" s="22"/>
      <c r="NUT164" s="21"/>
      <c r="NUU164" s="22"/>
      <c r="NVD164" s="21"/>
      <c r="NVE164" s="22"/>
      <c r="NVN164" s="21"/>
      <c r="NVO164" s="22"/>
      <c r="NVX164" s="21"/>
      <c r="NVY164" s="22"/>
      <c r="NWH164" s="21"/>
      <c r="NWI164" s="22"/>
      <c r="NWR164" s="21"/>
      <c r="NWS164" s="22"/>
      <c r="NXB164" s="21"/>
      <c r="NXC164" s="22"/>
      <c r="NXL164" s="21"/>
      <c r="NXM164" s="22"/>
      <c r="NXV164" s="21"/>
      <c r="NXW164" s="22"/>
      <c r="NYF164" s="21"/>
      <c r="NYG164" s="22"/>
      <c r="NYP164" s="21"/>
      <c r="NYQ164" s="22"/>
      <c r="NYZ164" s="21"/>
      <c r="NZA164" s="22"/>
      <c r="NZJ164" s="21"/>
      <c r="NZK164" s="22"/>
      <c r="NZT164" s="21"/>
      <c r="NZU164" s="22"/>
      <c r="OAD164" s="21"/>
      <c r="OAE164" s="22"/>
      <c r="OAN164" s="21"/>
      <c r="OAO164" s="22"/>
      <c r="OAX164" s="21"/>
      <c r="OAY164" s="22"/>
      <c r="OBH164" s="21"/>
      <c r="OBI164" s="22"/>
      <c r="OBR164" s="21"/>
      <c r="OBS164" s="22"/>
      <c r="OCB164" s="21"/>
      <c r="OCC164" s="22"/>
      <c r="OCL164" s="21"/>
      <c r="OCM164" s="22"/>
      <c r="OCV164" s="21"/>
      <c r="OCW164" s="22"/>
      <c r="ODF164" s="21"/>
      <c r="ODG164" s="22"/>
      <c r="ODP164" s="21"/>
      <c r="ODQ164" s="22"/>
      <c r="ODZ164" s="21"/>
      <c r="OEA164" s="22"/>
      <c r="OEJ164" s="21"/>
      <c r="OEK164" s="22"/>
      <c r="OET164" s="21"/>
      <c r="OEU164" s="22"/>
      <c r="OFD164" s="21"/>
      <c r="OFE164" s="22"/>
      <c r="OFN164" s="21"/>
      <c r="OFO164" s="22"/>
      <c r="OFX164" s="21"/>
      <c r="OFY164" s="22"/>
      <c r="OGH164" s="21"/>
      <c r="OGI164" s="22"/>
      <c r="OGR164" s="21"/>
      <c r="OGS164" s="22"/>
      <c r="OHB164" s="21"/>
      <c r="OHC164" s="22"/>
      <c r="OHL164" s="21"/>
      <c r="OHM164" s="22"/>
      <c r="OHV164" s="21"/>
      <c r="OHW164" s="22"/>
      <c r="OIF164" s="21"/>
      <c r="OIG164" s="22"/>
      <c r="OIP164" s="21"/>
      <c r="OIQ164" s="22"/>
      <c r="OIZ164" s="21"/>
      <c r="OJA164" s="22"/>
      <c r="OJJ164" s="21"/>
      <c r="OJK164" s="22"/>
      <c r="OJT164" s="21"/>
      <c r="OJU164" s="22"/>
      <c r="OKD164" s="21"/>
      <c r="OKE164" s="22"/>
      <c r="OKN164" s="21"/>
      <c r="OKO164" s="22"/>
      <c r="OKX164" s="21"/>
      <c r="OKY164" s="22"/>
      <c r="OLH164" s="21"/>
      <c r="OLI164" s="22"/>
      <c r="OLR164" s="21"/>
      <c r="OLS164" s="22"/>
      <c r="OMB164" s="21"/>
      <c r="OMC164" s="22"/>
      <c r="OML164" s="21"/>
      <c r="OMM164" s="22"/>
      <c r="OMV164" s="21"/>
      <c r="OMW164" s="22"/>
      <c r="ONF164" s="21"/>
      <c r="ONG164" s="22"/>
      <c r="ONP164" s="21"/>
      <c r="ONQ164" s="22"/>
      <c r="ONZ164" s="21"/>
      <c r="OOA164" s="22"/>
      <c r="OOJ164" s="21"/>
      <c r="OOK164" s="22"/>
      <c r="OOT164" s="21"/>
      <c r="OOU164" s="22"/>
      <c r="OPD164" s="21"/>
      <c r="OPE164" s="22"/>
      <c r="OPN164" s="21"/>
      <c r="OPO164" s="22"/>
      <c r="OPX164" s="21"/>
      <c r="OPY164" s="22"/>
      <c r="OQH164" s="21"/>
      <c r="OQI164" s="22"/>
      <c r="OQR164" s="21"/>
      <c r="OQS164" s="22"/>
      <c r="ORB164" s="21"/>
      <c r="ORC164" s="22"/>
      <c r="ORL164" s="21"/>
      <c r="ORM164" s="22"/>
      <c r="ORV164" s="21"/>
      <c r="ORW164" s="22"/>
      <c r="OSF164" s="21"/>
      <c r="OSG164" s="22"/>
      <c r="OSP164" s="21"/>
      <c r="OSQ164" s="22"/>
      <c r="OSZ164" s="21"/>
      <c r="OTA164" s="22"/>
      <c r="OTJ164" s="21"/>
      <c r="OTK164" s="22"/>
      <c r="OTT164" s="21"/>
      <c r="OTU164" s="22"/>
      <c r="OUD164" s="21"/>
      <c r="OUE164" s="22"/>
      <c r="OUN164" s="21"/>
      <c r="OUO164" s="22"/>
      <c r="OUX164" s="21"/>
      <c r="OUY164" s="22"/>
      <c r="OVH164" s="21"/>
      <c r="OVI164" s="22"/>
      <c r="OVR164" s="21"/>
      <c r="OVS164" s="22"/>
      <c r="OWB164" s="21"/>
      <c r="OWC164" s="22"/>
      <c r="OWL164" s="21"/>
      <c r="OWM164" s="22"/>
      <c r="OWV164" s="21"/>
      <c r="OWW164" s="22"/>
      <c r="OXF164" s="21"/>
      <c r="OXG164" s="22"/>
      <c r="OXP164" s="21"/>
      <c r="OXQ164" s="22"/>
      <c r="OXZ164" s="21"/>
      <c r="OYA164" s="22"/>
      <c r="OYJ164" s="21"/>
      <c r="OYK164" s="22"/>
      <c r="OYT164" s="21"/>
      <c r="OYU164" s="22"/>
      <c r="OZD164" s="21"/>
      <c r="OZE164" s="22"/>
      <c r="OZN164" s="21"/>
      <c r="OZO164" s="22"/>
      <c r="OZX164" s="21"/>
      <c r="OZY164" s="22"/>
      <c r="PAH164" s="21"/>
      <c r="PAI164" s="22"/>
      <c r="PAR164" s="21"/>
      <c r="PAS164" s="22"/>
      <c r="PBB164" s="21"/>
      <c r="PBC164" s="22"/>
      <c r="PBL164" s="21"/>
      <c r="PBM164" s="22"/>
      <c r="PBV164" s="21"/>
      <c r="PBW164" s="22"/>
      <c r="PCF164" s="21"/>
      <c r="PCG164" s="22"/>
      <c r="PCP164" s="21"/>
      <c r="PCQ164" s="22"/>
      <c r="PCZ164" s="21"/>
      <c r="PDA164" s="22"/>
      <c r="PDJ164" s="21"/>
      <c r="PDK164" s="22"/>
      <c r="PDT164" s="21"/>
      <c r="PDU164" s="22"/>
      <c r="PED164" s="21"/>
      <c r="PEE164" s="22"/>
      <c r="PEN164" s="21"/>
      <c r="PEO164" s="22"/>
      <c r="PEX164" s="21"/>
      <c r="PEY164" s="22"/>
      <c r="PFH164" s="21"/>
      <c r="PFI164" s="22"/>
      <c r="PFR164" s="21"/>
      <c r="PFS164" s="22"/>
      <c r="PGB164" s="21"/>
      <c r="PGC164" s="22"/>
      <c r="PGL164" s="21"/>
      <c r="PGM164" s="22"/>
      <c r="PGV164" s="21"/>
      <c r="PGW164" s="22"/>
      <c r="PHF164" s="21"/>
      <c r="PHG164" s="22"/>
      <c r="PHP164" s="21"/>
      <c r="PHQ164" s="22"/>
      <c r="PHZ164" s="21"/>
      <c r="PIA164" s="22"/>
      <c r="PIJ164" s="21"/>
      <c r="PIK164" s="22"/>
      <c r="PIT164" s="21"/>
      <c r="PIU164" s="22"/>
      <c r="PJD164" s="21"/>
      <c r="PJE164" s="22"/>
      <c r="PJN164" s="21"/>
      <c r="PJO164" s="22"/>
      <c r="PJX164" s="21"/>
      <c r="PJY164" s="22"/>
      <c r="PKH164" s="21"/>
      <c r="PKI164" s="22"/>
      <c r="PKR164" s="21"/>
      <c r="PKS164" s="22"/>
      <c r="PLB164" s="21"/>
      <c r="PLC164" s="22"/>
      <c r="PLL164" s="21"/>
      <c r="PLM164" s="22"/>
      <c r="PLV164" s="21"/>
      <c r="PLW164" s="22"/>
      <c r="PMF164" s="21"/>
      <c r="PMG164" s="22"/>
      <c r="PMP164" s="21"/>
      <c r="PMQ164" s="22"/>
      <c r="PMZ164" s="21"/>
      <c r="PNA164" s="22"/>
      <c r="PNJ164" s="21"/>
      <c r="PNK164" s="22"/>
      <c r="PNT164" s="21"/>
      <c r="PNU164" s="22"/>
      <c r="POD164" s="21"/>
      <c r="POE164" s="22"/>
      <c r="PON164" s="21"/>
      <c r="POO164" s="22"/>
      <c r="POX164" s="21"/>
      <c r="POY164" s="22"/>
      <c r="PPH164" s="21"/>
      <c r="PPI164" s="22"/>
      <c r="PPR164" s="21"/>
      <c r="PPS164" s="22"/>
      <c r="PQB164" s="21"/>
      <c r="PQC164" s="22"/>
      <c r="PQL164" s="21"/>
      <c r="PQM164" s="22"/>
      <c r="PQV164" s="21"/>
      <c r="PQW164" s="22"/>
      <c r="PRF164" s="21"/>
      <c r="PRG164" s="22"/>
      <c r="PRP164" s="21"/>
      <c r="PRQ164" s="22"/>
      <c r="PRZ164" s="21"/>
      <c r="PSA164" s="22"/>
      <c r="PSJ164" s="21"/>
      <c r="PSK164" s="22"/>
      <c r="PST164" s="21"/>
      <c r="PSU164" s="22"/>
      <c r="PTD164" s="21"/>
      <c r="PTE164" s="22"/>
      <c r="PTN164" s="21"/>
      <c r="PTO164" s="22"/>
      <c r="PTX164" s="21"/>
      <c r="PTY164" s="22"/>
      <c r="PUH164" s="21"/>
      <c r="PUI164" s="22"/>
      <c r="PUR164" s="21"/>
      <c r="PUS164" s="22"/>
      <c r="PVB164" s="21"/>
      <c r="PVC164" s="22"/>
      <c r="PVL164" s="21"/>
      <c r="PVM164" s="22"/>
      <c r="PVV164" s="21"/>
      <c r="PVW164" s="22"/>
      <c r="PWF164" s="21"/>
      <c r="PWG164" s="22"/>
      <c r="PWP164" s="21"/>
      <c r="PWQ164" s="22"/>
      <c r="PWZ164" s="21"/>
      <c r="PXA164" s="22"/>
      <c r="PXJ164" s="21"/>
      <c r="PXK164" s="22"/>
      <c r="PXT164" s="21"/>
      <c r="PXU164" s="22"/>
      <c r="PYD164" s="21"/>
      <c r="PYE164" s="22"/>
      <c r="PYN164" s="21"/>
      <c r="PYO164" s="22"/>
      <c r="PYX164" s="21"/>
      <c r="PYY164" s="22"/>
      <c r="PZH164" s="21"/>
      <c r="PZI164" s="22"/>
      <c r="PZR164" s="21"/>
      <c r="PZS164" s="22"/>
      <c r="QAB164" s="21"/>
      <c r="QAC164" s="22"/>
      <c r="QAL164" s="21"/>
      <c r="QAM164" s="22"/>
      <c r="QAV164" s="21"/>
      <c r="QAW164" s="22"/>
      <c r="QBF164" s="21"/>
      <c r="QBG164" s="22"/>
      <c r="QBP164" s="21"/>
      <c r="QBQ164" s="22"/>
      <c r="QBZ164" s="21"/>
      <c r="QCA164" s="22"/>
      <c r="QCJ164" s="21"/>
      <c r="QCK164" s="22"/>
      <c r="QCT164" s="21"/>
      <c r="QCU164" s="22"/>
      <c r="QDD164" s="21"/>
      <c r="QDE164" s="22"/>
      <c r="QDN164" s="21"/>
      <c r="QDO164" s="22"/>
      <c r="QDX164" s="21"/>
      <c r="QDY164" s="22"/>
      <c r="QEH164" s="21"/>
      <c r="QEI164" s="22"/>
      <c r="QER164" s="21"/>
      <c r="QES164" s="22"/>
      <c r="QFB164" s="21"/>
      <c r="QFC164" s="22"/>
      <c r="QFL164" s="21"/>
      <c r="QFM164" s="22"/>
      <c r="QFV164" s="21"/>
      <c r="QFW164" s="22"/>
      <c r="QGF164" s="21"/>
      <c r="QGG164" s="22"/>
      <c r="QGP164" s="21"/>
      <c r="QGQ164" s="22"/>
      <c r="QGZ164" s="21"/>
      <c r="QHA164" s="22"/>
      <c r="QHJ164" s="21"/>
      <c r="QHK164" s="22"/>
      <c r="QHT164" s="21"/>
      <c r="QHU164" s="22"/>
      <c r="QID164" s="21"/>
      <c r="QIE164" s="22"/>
      <c r="QIN164" s="21"/>
      <c r="QIO164" s="22"/>
      <c r="QIX164" s="21"/>
      <c r="QIY164" s="22"/>
      <c r="QJH164" s="21"/>
      <c r="QJI164" s="22"/>
      <c r="QJR164" s="21"/>
      <c r="QJS164" s="22"/>
      <c r="QKB164" s="21"/>
      <c r="QKC164" s="22"/>
      <c r="QKL164" s="21"/>
      <c r="QKM164" s="22"/>
      <c r="QKV164" s="21"/>
      <c r="QKW164" s="22"/>
      <c r="QLF164" s="21"/>
      <c r="QLG164" s="22"/>
      <c r="QLP164" s="21"/>
      <c r="QLQ164" s="22"/>
      <c r="QLZ164" s="21"/>
      <c r="QMA164" s="22"/>
      <c r="QMJ164" s="21"/>
      <c r="QMK164" s="22"/>
      <c r="QMT164" s="21"/>
      <c r="QMU164" s="22"/>
      <c r="QND164" s="21"/>
      <c r="QNE164" s="22"/>
      <c r="QNN164" s="21"/>
      <c r="QNO164" s="22"/>
      <c r="QNX164" s="21"/>
      <c r="QNY164" s="22"/>
      <c r="QOH164" s="21"/>
      <c r="QOI164" s="22"/>
      <c r="QOR164" s="21"/>
      <c r="QOS164" s="22"/>
      <c r="QPB164" s="21"/>
      <c r="QPC164" s="22"/>
      <c r="QPL164" s="21"/>
      <c r="QPM164" s="22"/>
      <c r="QPV164" s="21"/>
      <c r="QPW164" s="22"/>
      <c r="QQF164" s="21"/>
      <c r="QQG164" s="22"/>
      <c r="QQP164" s="21"/>
      <c r="QQQ164" s="22"/>
      <c r="QQZ164" s="21"/>
      <c r="QRA164" s="22"/>
      <c r="QRJ164" s="21"/>
      <c r="QRK164" s="22"/>
      <c r="QRT164" s="21"/>
      <c r="QRU164" s="22"/>
      <c r="QSD164" s="21"/>
      <c r="QSE164" s="22"/>
      <c r="QSN164" s="21"/>
      <c r="QSO164" s="22"/>
      <c r="QSX164" s="21"/>
      <c r="QSY164" s="22"/>
      <c r="QTH164" s="21"/>
      <c r="QTI164" s="22"/>
      <c r="QTR164" s="21"/>
      <c r="QTS164" s="22"/>
      <c r="QUB164" s="21"/>
      <c r="QUC164" s="22"/>
      <c r="QUL164" s="21"/>
      <c r="QUM164" s="22"/>
      <c r="QUV164" s="21"/>
      <c r="QUW164" s="22"/>
      <c r="QVF164" s="21"/>
      <c r="QVG164" s="22"/>
      <c r="QVP164" s="21"/>
      <c r="QVQ164" s="22"/>
      <c r="QVZ164" s="21"/>
      <c r="QWA164" s="22"/>
      <c r="QWJ164" s="21"/>
      <c r="QWK164" s="22"/>
      <c r="QWT164" s="21"/>
      <c r="QWU164" s="22"/>
      <c r="QXD164" s="21"/>
      <c r="QXE164" s="22"/>
      <c r="QXN164" s="21"/>
      <c r="QXO164" s="22"/>
      <c r="QXX164" s="21"/>
      <c r="QXY164" s="22"/>
      <c r="QYH164" s="21"/>
      <c r="QYI164" s="22"/>
      <c r="QYR164" s="21"/>
      <c r="QYS164" s="22"/>
      <c r="QZB164" s="21"/>
      <c r="QZC164" s="22"/>
      <c r="QZL164" s="21"/>
      <c r="QZM164" s="22"/>
      <c r="QZV164" s="21"/>
      <c r="QZW164" s="22"/>
      <c r="RAF164" s="21"/>
      <c r="RAG164" s="22"/>
      <c r="RAP164" s="21"/>
      <c r="RAQ164" s="22"/>
      <c r="RAZ164" s="21"/>
      <c r="RBA164" s="22"/>
      <c r="RBJ164" s="21"/>
      <c r="RBK164" s="22"/>
      <c r="RBT164" s="21"/>
      <c r="RBU164" s="22"/>
      <c r="RCD164" s="21"/>
      <c r="RCE164" s="22"/>
      <c r="RCN164" s="21"/>
      <c r="RCO164" s="22"/>
      <c r="RCX164" s="21"/>
      <c r="RCY164" s="22"/>
      <c r="RDH164" s="21"/>
      <c r="RDI164" s="22"/>
      <c r="RDR164" s="21"/>
      <c r="RDS164" s="22"/>
      <c r="REB164" s="21"/>
      <c r="REC164" s="22"/>
      <c r="REL164" s="21"/>
      <c r="REM164" s="22"/>
      <c r="REV164" s="21"/>
      <c r="REW164" s="22"/>
      <c r="RFF164" s="21"/>
      <c r="RFG164" s="22"/>
      <c r="RFP164" s="21"/>
      <c r="RFQ164" s="22"/>
      <c r="RFZ164" s="21"/>
      <c r="RGA164" s="22"/>
      <c r="RGJ164" s="21"/>
      <c r="RGK164" s="22"/>
      <c r="RGT164" s="21"/>
      <c r="RGU164" s="22"/>
      <c r="RHD164" s="21"/>
      <c r="RHE164" s="22"/>
      <c r="RHN164" s="21"/>
      <c r="RHO164" s="22"/>
      <c r="RHX164" s="21"/>
      <c r="RHY164" s="22"/>
      <c r="RIH164" s="21"/>
      <c r="RII164" s="22"/>
      <c r="RIR164" s="21"/>
      <c r="RIS164" s="22"/>
      <c r="RJB164" s="21"/>
      <c r="RJC164" s="22"/>
      <c r="RJL164" s="21"/>
      <c r="RJM164" s="22"/>
      <c r="RJV164" s="21"/>
      <c r="RJW164" s="22"/>
      <c r="RKF164" s="21"/>
      <c r="RKG164" s="22"/>
      <c r="RKP164" s="21"/>
      <c r="RKQ164" s="22"/>
      <c r="RKZ164" s="21"/>
      <c r="RLA164" s="22"/>
      <c r="RLJ164" s="21"/>
      <c r="RLK164" s="22"/>
      <c r="RLT164" s="21"/>
      <c r="RLU164" s="22"/>
      <c r="RMD164" s="21"/>
      <c r="RME164" s="22"/>
      <c r="RMN164" s="21"/>
      <c r="RMO164" s="22"/>
      <c r="RMX164" s="21"/>
      <c r="RMY164" s="22"/>
      <c r="RNH164" s="21"/>
      <c r="RNI164" s="22"/>
      <c r="RNR164" s="21"/>
      <c r="RNS164" s="22"/>
      <c r="ROB164" s="21"/>
      <c r="ROC164" s="22"/>
      <c r="ROL164" s="21"/>
      <c r="ROM164" s="22"/>
      <c r="ROV164" s="21"/>
      <c r="ROW164" s="22"/>
      <c r="RPF164" s="21"/>
      <c r="RPG164" s="22"/>
      <c r="RPP164" s="21"/>
      <c r="RPQ164" s="22"/>
      <c r="RPZ164" s="21"/>
      <c r="RQA164" s="22"/>
      <c r="RQJ164" s="21"/>
      <c r="RQK164" s="22"/>
      <c r="RQT164" s="21"/>
      <c r="RQU164" s="22"/>
      <c r="RRD164" s="21"/>
      <c r="RRE164" s="22"/>
      <c r="RRN164" s="21"/>
      <c r="RRO164" s="22"/>
      <c r="RRX164" s="21"/>
      <c r="RRY164" s="22"/>
      <c r="RSH164" s="21"/>
      <c r="RSI164" s="22"/>
      <c r="RSR164" s="21"/>
      <c r="RSS164" s="22"/>
      <c r="RTB164" s="21"/>
      <c r="RTC164" s="22"/>
      <c r="RTL164" s="21"/>
      <c r="RTM164" s="22"/>
      <c r="RTV164" s="21"/>
      <c r="RTW164" s="22"/>
      <c r="RUF164" s="21"/>
      <c r="RUG164" s="22"/>
      <c r="RUP164" s="21"/>
      <c r="RUQ164" s="22"/>
      <c r="RUZ164" s="21"/>
      <c r="RVA164" s="22"/>
      <c r="RVJ164" s="21"/>
      <c r="RVK164" s="22"/>
      <c r="RVT164" s="21"/>
      <c r="RVU164" s="22"/>
      <c r="RWD164" s="21"/>
      <c r="RWE164" s="22"/>
      <c r="RWN164" s="21"/>
      <c r="RWO164" s="22"/>
      <c r="RWX164" s="21"/>
      <c r="RWY164" s="22"/>
      <c r="RXH164" s="21"/>
      <c r="RXI164" s="22"/>
      <c r="RXR164" s="21"/>
      <c r="RXS164" s="22"/>
      <c r="RYB164" s="21"/>
      <c r="RYC164" s="22"/>
      <c r="RYL164" s="21"/>
      <c r="RYM164" s="22"/>
      <c r="RYV164" s="21"/>
      <c r="RYW164" s="22"/>
      <c r="RZF164" s="21"/>
      <c r="RZG164" s="22"/>
      <c r="RZP164" s="21"/>
      <c r="RZQ164" s="22"/>
      <c r="RZZ164" s="21"/>
      <c r="SAA164" s="22"/>
      <c r="SAJ164" s="21"/>
      <c r="SAK164" s="22"/>
      <c r="SAT164" s="21"/>
      <c r="SAU164" s="22"/>
      <c r="SBD164" s="21"/>
      <c r="SBE164" s="22"/>
      <c r="SBN164" s="21"/>
      <c r="SBO164" s="22"/>
      <c r="SBX164" s="21"/>
      <c r="SBY164" s="22"/>
      <c r="SCH164" s="21"/>
      <c r="SCI164" s="22"/>
      <c r="SCR164" s="21"/>
      <c r="SCS164" s="22"/>
      <c r="SDB164" s="21"/>
      <c r="SDC164" s="22"/>
      <c r="SDL164" s="21"/>
      <c r="SDM164" s="22"/>
      <c r="SDV164" s="21"/>
      <c r="SDW164" s="22"/>
      <c r="SEF164" s="21"/>
      <c r="SEG164" s="22"/>
      <c r="SEP164" s="21"/>
      <c r="SEQ164" s="22"/>
      <c r="SEZ164" s="21"/>
      <c r="SFA164" s="22"/>
      <c r="SFJ164" s="21"/>
      <c r="SFK164" s="22"/>
      <c r="SFT164" s="21"/>
      <c r="SFU164" s="22"/>
      <c r="SGD164" s="21"/>
      <c r="SGE164" s="22"/>
      <c r="SGN164" s="21"/>
      <c r="SGO164" s="22"/>
      <c r="SGX164" s="21"/>
      <c r="SGY164" s="22"/>
      <c r="SHH164" s="21"/>
      <c r="SHI164" s="22"/>
      <c r="SHR164" s="21"/>
      <c r="SHS164" s="22"/>
      <c r="SIB164" s="21"/>
      <c r="SIC164" s="22"/>
      <c r="SIL164" s="21"/>
      <c r="SIM164" s="22"/>
      <c r="SIV164" s="21"/>
      <c r="SIW164" s="22"/>
      <c r="SJF164" s="21"/>
      <c r="SJG164" s="22"/>
      <c r="SJP164" s="21"/>
      <c r="SJQ164" s="22"/>
      <c r="SJZ164" s="21"/>
      <c r="SKA164" s="22"/>
      <c r="SKJ164" s="21"/>
      <c r="SKK164" s="22"/>
      <c r="SKT164" s="21"/>
      <c r="SKU164" s="22"/>
      <c r="SLD164" s="21"/>
      <c r="SLE164" s="22"/>
      <c r="SLN164" s="21"/>
      <c r="SLO164" s="22"/>
      <c r="SLX164" s="21"/>
      <c r="SLY164" s="22"/>
      <c r="SMH164" s="21"/>
      <c r="SMI164" s="22"/>
      <c r="SMR164" s="21"/>
      <c r="SMS164" s="22"/>
      <c r="SNB164" s="21"/>
      <c r="SNC164" s="22"/>
      <c r="SNL164" s="21"/>
      <c r="SNM164" s="22"/>
      <c r="SNV164" s="21"/>
      <c r="SNW164" s="22"/>
      <c r="SOF164" s="21"/>
      <c r="SOG164" s="22"/>
      <c r="SOP164" s="21"/>
      <c r="SOQ164" s="22"/>
      <c r="SOZ164" s="21"/>
      <c r="SPA164" s="22"/>
      <c r="SPJ164" s="21"/>
      <c r="SPK164" s="22"/>
      <c r="SPT164" s="21"/>
      <c r="SPU164" s="22"/>
      <c r="SQD164" s="21"/>
      <c r="SQE164" s="22"/>
      <c r="SQN164" s="21"/>
      <c r="SQO164" s="22"/>
      <c r="SQX164" s="21"/>
      <c r="SQY164" s="22"/>
      <c r="SRH164" s="21"/>
      <c r="SRI164" s="22"/>
      <c r="SRR164" s="21"/>
      <c r="SRS164" s="22"/>
      <c r="SSB164" s="21"/>
      <c r="SSC164" s="22"/>
      <c r="SSL164" s="21"/>
      <c r="SSM164" s="22"/>
      <c r="SSV164" s="21"/>
      <c r="SSW164" s="22"/>
      <c r="STF164" s="21"/>
      <c r="STG164" s="22"/>
      <c r="STP164" s="21"/>
      <c r="STQ164" s="22"/>
      <c r="STZ164" s="21"/>
      <c r="SUA164" s="22"/>
      <c r="SUJ164" s="21"/>
      <c r="SUK164" s="22"/>
      <c r="SUT164" s="21"/>
      <c r="SUU164" s="22"/>
      <c r="SVD164" s="21"/>
      <c r="SVE164" s="22"/>
      <c r="SVN164" s="21"/>
      <c r="SVO164" s="22"/>
      <c r="SVX164" s="21"/>
      <c r="SVY164" s="22"/>
      <c r="SWH164" s="21"/>
      <c r="SWI164" s="22"/>
      <c r="SWR164" s="21"/>
      <c r="SWS164" s="22"/>
      <c r="SXB164" s="21"/>
      <c r="SXC164" s="22"/>
      <c r="SXL164" s="21"/>
      <c r="SXM164" s="22"/>
      <c r="SXV164" s="21"/>
      <c r="SXW164" s="22"/>
      <c r="SYF164" s="21"/>
      <c r="SYG164" s="22"/>
      <c r="SYP164" s="21"/>
      <c r="SYQ164" s="22"/>
      <c r="SYZ164" s="21"/>
      <c r="SZA164" s="22"/>
      <c r="SZJ164" s="21"/>
      <c r="SZK164" s="22"/>
      <c r="SZT164" s="21"/>
      <c r="SZU164" s="22"/>
      <c r="TAD164" s="21"/>
      <c r="TAE164" s="22"/>
      <c r="TAN164" s="21"/>
      <c r="TAO164" s="22"/>
      <c r="TAX164" s="21"/>
      <c r="TAY164" s="22"/>
      <c r="TBH164" s="21"/>
      <c r="TBI164" s="22"/>
      <c r="TBR164" s="21"/>
      <c r="TBS164" s="22"/>
      <c r="TCB164" s="21"/>
      <c r="TCC164" s="22"/>
      <c r="TCL164" s="21"/>
      <c r="TCM164" s="22"/>
      <c r="TCV164" s="21"/>
      <c r="TCW164" s="22"/>
      <c r="TDF164" s="21"/>
      <c r="TDG164" s="22"/>
      <c r="TDP164" s="21"/>
      <c r="TDQ164" s="22"/>
      <c r="TDZ164" s="21"/>
      <c r="TEA164" s="22"/>
      <c r="TEJ164" s="21"/>
      <c r="TEK164" s="22"/>
      <c r="TET164" s="21"/>
      <c r="TEU164" s="22"/>
      <c r="TFD164" s="21"/>
      <c r="TFE164" s="22"/>
      <c r="TFN164" s="21"/>
      <c r="TFO164" s="22"/>
      <c r="TFX164" s="21"/>
      <c r="TFY164" s="22"/>
      <c r="TGH164" s="21"/>
      <c r="TGI164" s="22"/>
      <c r="TGR164" s="21"/>
      <c r="TGS164" s="22"/>
      <c r="THB164" s="21"/>
      <c r="THC164" s="22"/>
      <c r="THL164" s="21"/>
      <c r="THM164" s="22"/>
      <c r="THV164" s="21"/>
      <c r="THW164" s="22"/>
      <c r="TIF164" s="21"/>
      <c r="TIG164" s="22"/>
      <c r="TIP164" s="21"/>
      <c r="TIQ164" s="22"/>
      <c r="TIZ164" s="21"/>
      <c r="TJA164" s="22"/>
      <c r="TJJ164" s="21"/>
      <c r="TJK164" s="22"/>
      <c r="TJT164" s="21"/>
      <c r="TJU164" s="22"/>
      <c r="TKD164" s="21"/>
      <c r="TKE164" s="22"/>
      <c r="TKN164" s="21"/>
      <c r="TKO164" s="22"/>
      <c r="TKX164" s="21"/>
      <c r="TKY164" s="22"/>
      <c r="TLH164" s="21"/>
      <c r="TLI164" s="22"/>
      <c r="TLR164" s="21"/>
      <c r="TLS164" s="22"/>
      <c r="TMB164" s="21"/>
      <c r="TMC164" s="22"/>
      <c r="TML164" s="21"/>
      <c r="TMM164" s="22"/>
      <c r="TMV164" s="21"/>
      <c r="TMW164" s="22"/>
      <c r="TNF164" s="21"/>
      <c r="TNG164" s="22"/>
      <c r="TNP164" s="21"/>
      <c r="TNQ164" s="22"/>
      <c r="TNZ164" s="21"/>
      <c r="TOA164" s="22"/>
      <c r="TOJ164" s="21"/>
      <c r="TOK164" s="22"/>
      <c r="TOT164" s="21"/>
      <c r="TOU164" s="22"/>
      <c r="TPD164" s="21"/>
      <c r="TPE164" s="22"/>
      <c r="TPN164" s="21"/>
      <c r="TPO164" s="22"/>
      <c r="TPX164" s="21"/>
      <c r="TPY164" s="22"/>
      <c r="TQH164" s="21"/>
      <c r="TQI164" s="22"/>
      <c r="TQR164" s="21"/>
      <c r="TQS164" s="22"/>
      <c r="TRB164" s="21"/>
      <c r="TRC164" s="22"/>
      <c r="TRL164" s="21"/>
      <c r="TRM164" s="22"/>
      <c r="TRV164" s="21"/>
      <c r="TRW164" s="22"/>
      <c r="TSF164" s="21"/>
      <c r="TSG164" s="22"/>
      <c r="TSP164" s="21"/>
      <c r="TSQ164" s="22"/>
      <c r="TSZ164" s="21"/>
      <c r="TTA164" s="22"/>
      <c r="TTJ164" s="21"/>
      <c r="TTK164" s="22"/>
      <c r="TTT164" s="21"/>
      <c r="TTU164" s="22"/>
      <c r="TUD164" s="21"/>
      <c r="TUE164" s="22"/>
      <c r="TUN164" s="21"/>
      <c r="TUO164" s="22"/>
      <c r="TUX164" s="21"/>
      <c r="TUY164" s="22"/>
      <c r="TVH164" s="21"/>
      <c r="TVI164" s="22"/>
      <c r="TVR164" s="21"/>
      <c r="TVS164" s="22"/>
      <c r="TWB164" s="21"/>
      <c r="TWC164" s="22"/>
      <c r="TWL164" s="21"/>
      <c r="TWM164" s="22"/>
      <c r="TWV164" s="21"/>
      <c r="TWW164" s="22"/>
      <c r="TXF164" s="21"/>
      <c r="TXG164" s="22"/>
      <c r="TXP164" s="21"/>
      <c r="TXQ164" s="22"/>
      <c r="TXZ164" s="21"/>
      <c r="TYA164" s="22"/>
      <c r="TYJ164" s="21"/>
      <c r="TYK164" s="22"/>
      <c r="TYT164" s="21"/>
      <c r="TYU164" s="22"/>
      <c r="TZD164" s="21"/>
      <c r="TZE164" s="22"/>
      <c r="TZN164" s="21"/>
      <c r="TZO164" s="22"/>
      <c r="TZX164" s="21"/>
      <c r="TZY164" s="22"/>
      <c r="UAH164" s="21"/>
      <c r="UAI164" s="22"/>
      <c r="UAR164" s="21"/>
      <c r="UAS164" s="22"/>
      <c r="UBB164" s="21"/>
      <c r="UBC164" s="22"/>
      <c r="UBL164" s="21"/>
      <c r="UBM164" s="22"/>
      <c r="UBV164" s="21"/>
      <c r="UBW164" s="22"/>
      <c r="UCF164" s="21"/>
      <c r="UCG164" s="22"/>
      <c r="UCP164" s="21"/>
      <c r="UCQ164" s="22"/>
      <c r="UCZ164" s="21"/>
      <c r="UDA164" s="22"/>
      <c r="UDJ164" s="21"/>
      <c r="UDK164" s="22"/>
      <c r="UDT164" s="21"/>
      <c r="UDU164" s="22"/>
      <c r="UED164" s="21"/>
      <c r="UEE164" s="22"/>
      <c r="UEN164" s="21"/>
      <c r="UEO164" s="22"/>
      <c r="UEX164" s="21"/>
      <c r="UEY164" s="22"/>
      <c r="UFH164" s="21"/>
      <c r="UFI164" s="22"/>
      <c r="UFR164" s="21"/>
      <c r="UFS164" s="22"/>
      <c r="UGB164" s="21"/>
      <c r="UGC164" s="22"/>
      <c r="UGL164" s="21"/>
      <c r="UGM164" s="22"/>
      <c r="UGV164" s="21"/>
      <c r="UGW164" s="22"/>
      <c r="UHF164" s="21"/>
      <c r="UHG164" s="22"/>
      <c r="UHP164" s="21"/>
      <c r="UHQ164" s="22"/>
      <c r="UHZ164" s="21"/>
      <c r="UIA164" s="22"/>
      <c r="UIJ164" s="21"/>
      <c r="UIK164" s="22"/>
      <c r="UIT164" s="21"/>
      <c r="UIU164" s="22"/>
      <c r="UJD164" s="21"/>
      <c r="UJE164" s="22"/>
      <c r="UJN164" s="21"/>
      <c r="UJO164" s="22"/>
      <c r="UJX164" s="21"/>
      <c r="UJY164" s="22"/>
      <c r="UKH164" s="21"/>
      <c r="UKI164" s="22"/>
      <c r="UKR164" s="21"/>
      <c r="UKS164" s="22"/>
      <c r="ULB164" s="21"/>
      <c r="ULC164" s="22"/>
      <c r="ULL164" s="21"/>
      <c r="ULM164" s="22"/>
      <c r="ULV164" s="21"/>
      <c r="ULW164" s="22"/>
      <c r="UMF164" s="21"/>
      <c r="UMG164" s="22"/>
      <c r="UMP164" s="21"/>
      <c r="UMQ164" s="22"/>
      <c r="UMZ164" s="21"/>
      <c r="UNA164" s="22"/>
      <c r="UNJ164" s="21"/>
      <c r="UNK164" s="22"/>
      <c r="UNT164" s="21"/>
      <c r="UNU164" s="22"/>
      <c r="UOD164" s="21"/>
      <c r="UOE164" s="22"/>
      <c r="UON164" s="21"/>
      <c r="UOO164" s="22"/>
      <c r="UOX164" s="21"/>
      <c r="UOY164" s="22"/>
      <c r="UPH164" s="21"/>
      <c r="UPI164" s="22"/>
      <c r="UPR164" s="21"/>
      <c r="UPS164" s="22"/>
      <c r="UQB164" s="21"/>
      <c r="UQC164" s="22"/>
      <c r="UQL164" s="21"/>
      <c r="UQM164" s="22"/>
      <c r="UQV164" s="21"/>
      <c r="UQW164" s="22"/>
      <c r="URF164" s="21"/>
      <c r="URG164" s="22"/>
      <c r="URP164" s="21"/>
      <c r="URQ164" s="22"/>
      <c r="URZ164" s="21"/>
      <c r="USA164" s="22"/>
      <c r="USJ164" s="21"/>
      <c r="USK164" s="22"/>
      <c r="UST164" s="21"/>
      <c r="USU164" s="22"/>
      <c r="UTD164" s="21"/>
      <c r="UTE164" s="22"/>
      <c r="UTN164" s="21"/>
      <c r="UTO164" s="22"/>
      <c r="UTX164" s="21"/>
      <c r="UTY164" s="22"/>
      <c r="UUH164" s="21"/>
      <c r="UUI164" s="22"/>
      <c r="UUR164" s="21"/>
      <c r="UUS164" s="22"/>
      <c r="UVB164" s="21"/>
      <c r="UVC164" s="22"/>
      <c r="UVL164" s="21"/>
      <c r="UVM164" s="22"/>
      <c r="UVV164" s="21"/>
      <c r="UVW164" s="22"/>
      <c r="UWF164" s="21"/>
      <c r="UWG164" s="22"/>
      <c r="UWP164" s="21"/>
      <c r="UWQ164" s="22"/>
      <c r="UWZ164" s="21"/>
      <c r="UXA164" s="22"/>
      <c r="UXJ164" s="21"/>
      <c r="UXK164" s="22"/>
      <c r="UXT164" s="21"/>
      <c r="UXU164" s="22"/>
      <c r="UYD164" s="21"/>
      <c r="UYE164" s="22"/>
      <c r="UYN164" s="21"/>
      <c r="UYO164" s="22"/>
      <c r="UYX164" s="21"/>
      <c r="UYY164" s="22"/>
      <c r="UZH164" s="21"/>
      <c r="UZI164" s="22"/>
      <c r="UZR164" s="21"/>
      <c r="UZS164" s="22"/>
      <c r="VAB164" s="21"/>
      <c r="VAC164" s="22"/>
      <c r="VAL164" s="21"/>
      <c r="VAM164" s="22"/>
      <c r="VAV164" s="21"/>
      <c r="VAW164" s="22"/>
      <c r="VBF164" s="21"/>
      <c r="VBG164" s="22"/>
      <c r="VBP164" s="21"/>
      <c r="VBQ164" s="22"/>
      <c r="VBZ164" s="21"/>
      <c r="VCA164" s="22"/>
      <c r="VCJ164" s="21"/>
      <c r="VCK164" s="22"/>
      <c r="VCT164" s="21"/>
      <c r="VCU164" s="22"/>
      <c r="VDD164" s="21"/>
      <c r="VDE164" s="22"/>
      <c r="VDN164" s="21"/>
      <c r="VDO164" s="22"/>
      <c r="VDX164" s="21"/>
      <c r="VDY164" s="22"/>
      <c r="VEH164" s="21"/>
      <c r="VEI164" s="22"/>
      <c r="VER164" s="21"/>
      <c r="VES164" s="22"/>
      <c r="VFB164" s="21"/>
      <c r="VFC164" s="22"/>
      <c r="VFL164" s="21"/>
      <c r="VFM164" s="22"/>
      <c r="VFV164" s="21"/>
      <c r="VFW164" s="22"/>
      <c r="VGF164" s="21"/>
      <c r="VGG164" s="22"/>
      <c r="VGP164" s="21"/>
      <c r="VGQ164" s="22"/>
      <c r="VGZ164" s="21"/>
      <c r="VHA164" s="22"/>
      <c r="VHJ164" s="21"/>
      <c r="VHK164" s="22"/>
      <c r="VHT164" s="21"/>
      <c r="VHU164" s="22"/>
      <c r="VID164" s="21"/>
      <c r="VIE164" s="22"/>
      <c r="VIN164" s="21"/>
      <c r="VIO164" s="22"/>
      <c r="VIX164" s="21"/>
      <c r="VIY164" s="22"/>
      <c r="VJH164" s="21"/>
      <c r="VJI164" s="22"/>
      <c r="VJR164" s="21"/>
      <c r="VJS164" s="22"/>
      <c r="VKB164" s="21"/>
      <c r="VKC164" s="22"/>
      <c r="VKL164" s="21"/>
      <c r="VKM164" s="22"/>
      <c r="VKV164" s="21"/>
      <c r="VKW164" s="22"/>
      <c r="VLF164" s="21"/>
      <c r="VLG164" s="22"/>
      <c r="VLP164" s="21"/>
      <c r="VLQ164" s="22"/>
      <c r="VLZ164" s="21"/>
      <c r="VMA164" s="22"/>
      <c r="VMJ164" s="21"/>
      <c r="VMK164" s="22"/>
      <c r="VMT164" s="21"/>
      <c r="VMU164" s="22"/>
      <c r="VND164" s="21"/>
      <c r="VNE164" s="22"/>
      <c r="VNN164" s="21"/>
      <c r="VNO164" s="22"/>
      <c r="VNX164" s="21"/>
      <c r="VNY164" s="22"/>
      <c r="VOH164" s="21"/>
      <c r="VOI164" s="22"/>
      <c r="VOR164" s="21"/>
      <c r="VOS164" s="22"/>
      <c r="VPB164" s="21"/>
      <c r="VPC164" s="22"/>
      <c r="VPL164" s="21"/>
      <c r="VPM164" s="22"/>
      <c r="VPV164" s="21"/>
      <c r="VPW164" s="22"/>
      <c r="VQF164" s="21"/>
      <c r="VQG164" s="22"/>
      <c r="VQP164" s="21"/>
      <c r="VQQ164" s="22"/>
      <c r="VQZ164" s="21"/>
      <c r="VRA164" s="22"/>
      <c r="VRJ164" s="21"/>
      <c r="VRK164" s="22"/>
      <c r="VRT164" s="21"/>
      <c r="VRU164" s="22"/>
      <c r="VSD164" s="21"/>
      <c r="VSE164" s="22"/>
      <c r="VSN164" s="21"/>
      <c r="VSO164" s="22"/>
      <c r="VSX164" s="21"/>
      <c r="VSY164" s="22"/>
      <c r="VTH164" s="21"/>
      <c r="VTI164" s="22"/>
      <c r="VTR164" s="21"/>
      <c r="VTS164" s="22"/>
      <c r="VUB164" s="21"/>
      <c r="VUC164" s="22"/>
      <c r="VUL164" s="21"/>
      <c r="VUM164" s="22"/>
      <c r="VUV164" s="21"/>
      <c r="VUW164" s="22"/>
      <c r="VVF164" s="21"/>
      <c r="VVG164" s="22"/>
      <c r="VVP164" s="21"/>
      <c r="VVQ164" s="22"/>
      <c r="VVZ164" s="21"/>
      <c r="VWA164" s="22"/>
      <c r="VWJ164" s="21"/>
      <c r="VWK164" s="22"/>
      <c r="VWT164" s="21"/>
      <c r="VWU164" s="22"/>
      <c r="VXD164" s="21"/>
      <c r="VXE164" s="22"/>
      <c r="VXN164" s="21"/>
      <c r="VXO164" s="22"/>
      <c r="VXX164" s="21"/>
      <c r="VXY164" s="22"/>
      <c r="VYH164" s="21"/>
      <c r="VYI164" s="22"/>
      <c r="VYR164" s="21"/>
      <c r="VYS164" s="22"/>
      <c r="VZB164" s="21"/>
      <c r="VZC164" s="22"/>
      <c r="VZL164" s="21"/>
      <c r="VZM164" s="22"/>
      <c r="VZV164" s="21"/>
      <c r="VZW164" s="22"/>
      <c r="WAF164" s="21"/>
      <c r="WAG164" s="22"/>
      <c r="WAP164" s="21"/>
      <c r="WAQ164" s="22"/>
      <c r="WAZ164" s="21"/>
      <c r="WBA164" s="22"/>
      <c r="WBJ164" s="21"/>
      <c r="WBK164" s="22"/>
      <c r="WBT164" s="21"/>
      <c r="WBU164" s="22"/>
      <c r="WCD164" s="21"/>
      <c r="WCE164" s="22"/>
      <c r="WCN164" s="21"/>
      <c r="WCO164" s="22"/>
      <c r="WCX164" s="21"/>
      <c r="WCY164" s="22"/>
      <c r="WDH164" s="21"/>
      <c r="WDI164" s="22"/>
      <c r="WDR164" s="21"/>
      <c r="WDS164" s="22"/>
      <c r="WEB164" s="21"/>
      <c r="WEC164" s="22"/>
      <c r="WEL164" s="21"/>
      <c r="WEM164" s="22"/>
      <c r="WEV164" s="21"/>
      <c r="WEW164" s="22"/>
      <c r="WFF164" s="21"/>
      <c r="WFG164" s="22"/>
      <c r="WFP164" s="21"/>
      <c r="WFQ164" s="22"/>
      <c r="WFZ164" s="21"/>
      <c r="WGA164" s="22"/>
      <c r="WGJ164" s="21"/>
      <c r="WGK164" s="22"/>
      <c r="WGT164" s="21"/>
      <c r="WGU164" s="22"/>
      <c r="WHD164" s="21"/>
      <c r="WHE164" s="22"/>
      <c r="WHN164" s="21"/>
      <c r="WHO164" s="22"/>
      <c r="WHX164" s="21"/>
      <c r="WHY164" s="22"/>
      <c r="WIH164" s="21"/>
      <c r="WII164" s="22"/>
      <c r="WIR164" s="21"/>
      <c r="WIS164" s="22"/>
      <c r="WJB164" s="21"/>
      <c r="WJC164" s="22"/>
      <c r="WJL164" s="21"/>
      <c r="WJM164" s="22"/>
      <c r="WJV164" s="21"/>
      <c r="WJW164" s="22"/>
      <c r="WKF164" s="21"/>
      <c r="WKG164" s="22"/>
      <c r="WKP164" s="21"/>
      <c r="WKQ164" s="22"/>
      <c r="WKZ164" s="21"/>
      <c r="WLA164" s="22"/>
      <c r="WLJ164" s="21"/>
      <c r="WLK164" s="22"/>
      <c r="WLT164" s="21"/>
      <c r="WLU164" s="22"/>
      <c r="WMD164" s="21"/>
      <c r="WME164" s="22"/>
      <c r="WMN164" s="21"/>
      <c r="WMO164" s="22"/>
      <c r="WMX164" s="21"/>
      <c r="WMY164" s="22"/>
      <c r="WNH164" s="21"/>
      <c r="WNI164" s="22"/>
      <c r="WNR164" s="21"/>
      <c r="WNS164" s="22"/>
      <c r="WOB164" s="21"/>
      <c r="WOC164" s="22"/>
      <c r="WOL164" s="21"/>
      <c r="WOM164" s="22"/>
      <c r="WOV164" s="21"/>
      <c r="WOW164" s="22"/>
      <c r="WPF164" s="21"/>
      <c r="WPG164" s="22"/>
      <c r="WPP164" s="21"/>
      <c r="WPQ164" s="22"/>
      <c r="WPZ164" s="21"/>
      <c r="WQA164" s="22"/>
      <c r="WQJ164" s="21"/>
      <c r="WQK164" s="22"/>
      <c r="WQT164" s="21"/>
      <c r="WQU164" s="22"/>
      <c r="WRD164" s="21"/>
      <c r="WRE164" s="22"/>
      <c r="WRN164" s="21"/>
      <c r="WRO164" s="22"/>
      <c r="WRX164" s="21"/>
      <c r="WRY164" s="22"/>
      <c r="WSH164" s="21"/>
      <c r="WSI164" s="22"/>
      <c r="WSR164" s="21"/>
      <c r="WSS164" s="22"/>
      <c r="WTB164" s="21"/>
      <c r="WTC164" s="22"/>
      <c r="WTL164" s="21"/>
      <c r="WTM164" s="22"/>
      <c r="WTV164" s="21"/>
      <c r="WTW164" s="22"/>
      <c r="WUF164" s="21"/>
      <c r="WUG164" s="22"/>
      <c r="WUP164" s="21"/>
      <c r="WUQ164" s="22"/>
      <c r="WUZ164" s="21"/>
      <c r="WVA164" s="22"/>
      <c r="WVJ164" s="21"/>
      <c r="WVK164" s="22"/>
      <c r="WVT164" s="21"/>
      <c r="WVU164" s="22"/>
      <c r="WWD164" s="21"/>
      <c r="WWE164" s="22"/>
      <c r="WWN164" s="21"/>
      <c r="WWO164" s="22"/>
      <c r="WWX164" s="21"/>
      <c r="WWY164" s="22"/>
      <c r="WXH164" s="21"/>
      <c r="WXI164" s="22"/>
      <c r="WXR164" s="21"/>
      <c r="WXS164" s="22"/>
      <c r="WYB164" s="21"/>
      <c r="WYC164" s="22"/>
      <c r="WYL164" s="21"/>
      <c r="WYM164" s="22"/>
      <c r="WYV164" s="21"/>
      <c r="WYW164" s="22"/>
      <c r="WZF164" s="21"/>
      <c r="WZG164" s="22"/>
      <c r="WZP164" s="21"/>
      <c r="WZQ164" s="22"/>
      <c r="WZZ164" s="21"/>
      <c r="XAA164" s="22"/>
      <c r="XAJ164" s="21"/>
      <c r="XAK164" s="22"/>
      <c r="XAT164" s="21"/>
      <c r="XAU164" s="22"/>
      <c r="XBD164" s="21"/>
      <c r="XBE164" s="22"/>
      <c r="XBN164" s="21"/>
      <c r="XBO164" s="22"/>
      <c r="XBX164" s="21"/>
      <c r="XBY164" s="22"/>
      <c r="XCH164" s="21"/>
      <c r="XCI164" s="22"/>
      <c r="XCR164" s="21"/>
      <c r="XCS164" s="22"/>
      <c r="XDB164" s="21"/>
      <c r="XDC164" s="22"/>
      <c r="XDL164" s="21"/>
      <c r="XDM164" s="22"/>
      <c r="XDV164" s="21"/>
      <c r="XDW164" s="22"/>
      <c r="XEF164" s="21"/>
      <c r="XEG164" s="22"/>
      <c r="XEP164" s="21"/>
      <c r="XEQ164" s="22"/>
      <c r="XEZ164" s="21"/>
      <c r="XFA164" s="22"/>
    </row>
    <row r="165" spans="1:1021 1030:2041 2050:3071 3080:4091 4100:6141 6150:7161 7170:8191 8200:9211 9220:11261 11270:12281 12290:13311 13320:14331 14340:16381">
      <c r="A165" s="19" t="s">
        <v>117</v>
      </c>
    </row>
    <row r="166" spans="1:1021 1030:2041 2050:3071 3080:4091 4100:6141 6150:7161 7170:8191 8200:9211 9220:11261 11270:12281 12290:13311 13320:14331 14340:16381">
      <c r="A166" s="25" t="s">
        <v>114</v>
      </c>
      <c r="E166" s="208">
        <v>0.08</v>
      </c>
      <c r="F166" s="208">
        <v>0.08</v>
      </c>
      <c r="G166" s="208">
        <v>0.06</v>
      </c>
      <c r="H166" s="208">
        <v>0.06</v>
      </c>
      <c r="I166" s="208">
        <v>0.05</v>
      </c>
      <c r="J166" s="208">
        <v>0.05</v>
      </c>
    </row>
    <row r="167" spans="1:1021 1030:2041 2050:3071 3080:4091 4100:6141 6150:7161 7170:8191 8200:9211 9220:11261 11270:12281 12290:13311 13320:14331 14340:16381">
      <c r="A167" s="25" t="s">
        <v>118</v>
      </c>
      <c r="E167" s="208">
        <v>0.2</v>
      </c>
      <c r="F167" s="208">
        <v>0.15</v>
      </c>
      <c r="G167" s="208">
        <v>0.1</v>
      </c>
      <c r="H167" s="208">
        <v>0.05</v>
      </c>
      <c r="I167" s="208">
        <v>0.05</v>
      </c>
      <c r="J167" s="208">
        <v>0.04</v>
      </c>
    </row>
    <row r="168" spans="1:1021 1030:2041 2050:3071 3080:4091 4100:6141 6150:7161 7170:8191 8200:9211 9220:11261 11270:12281 12290:13311 13320:14331 14340:16381">
      <c r="A168" s="25" t="s">
        <v>116</v>
      </c>
      <c r="E168" s="208">
        <v>0.3</v>
      </c>
      <c r="F168" s="208">
        <v>0.25</v>
      </c>
      <c r="G168" s="208">
        <v>0.19999999999999996</v>
      </c>
      <c r="H168" s="208">
        <v>0.14999999999999991</v>
      </c>
      <c r="I168" s="208">
        <v>0.12</v>
      </c>
      <c r="J168" s="208">
        <v>0.10000000000000009</v>
      </c>
    </row>
    <row r="169" spans="1:1021 1030:2041 2050:3071 3080:4091 4100:6141 6150:7161 7170:8191 8200:9211 9220:11261 11270:12281 12290:13311 13320:14331 14340:16381">
      <c r="A169" s="25" t="s">
        <v>119</v>
      </c>
      <c r="E169" s="208">
        <v>0.25</v>
      </c>
      <c r="F169" s="208">
        <v>0.15</v>
      </c>
      <c r="G169" s="208">
        <v>0.15</v>
      </c>
      <c r="H169" s="208">
        <v>0.12</v>
      </c>
      <c r="I169" s="208">
        <v>0.10000000000000009</v>
      </c>
      <c r="J169" s="208">
        <v>8.0000000000000071E-2</v>
      </c>
    </row>
    <row r="170" spans="1:1021 1030:2041 2050:3071 3080:4091 4100:6141 6150:7161 7170:8191 8200:9211 9220:11261 11270:12281 12290:13311 13320:14331 14340:16381">
      <c r="A170" s="25" t="s">
        <v>115</v>
      </c>
      <c r="E170" s="208">
        <v>0.15</v>
      </c>
      <c r="F170" s="208">
        <v>0.1</v>
      </c>
      <c r="G170" s="208">
        <v>7.0000000000000062E-2</v>
      </c>
      <c r="H170" s="208">
        <v>7.0000000000000062E-2</v>
      </c>
      <c r="I170" s="208">
        <v>7.0000000000000062E-2</v>
      </c>
      <c r="J170" s="208">
        <v>7.0000000000000062E-2</v>
      </c>
    </row>
    <row r="171" spans="1:1021 1030:2041 2050:3071 3080:4091 4100:6141 6150:7161 7170:8191 8200:9211 9220:11261 11270:12281 12290:13311 13320:14331 14340:16381">
      <c r="A171" s="25" t="s">
        <v>120</v>
      </c>
      <c r="E171" s="208">
        <v>0.4</v>
      </c>
      <c r="F171" s="208">
        <v>0.3</v>
      </c>
      <c r="G171" s="208">
        <v>0.2</v>
      </c>
      <c r="H171" s="208">
        <v>0.15</v>
      </c>
      <c r="I171" s="208">
        <v>0.1</v>
      </c>
      <c r="J171" s="208">
        <v>0.08</v>
      </c>
    </row>
    <row r="172" spans="1:1021 1030:2041 2050:3071 3080:4091 4100:6141 6150:7161 7170:8191 8200:9211 9220:11261 11270:12281 12290:13311 13320:14331 14340:16381" ht="15" thickBot="1">
      <c r="A172" s="193" t="s">
        <v>122</v>
      </c>
      <c r="B172" s="7"/>
      <c r="C172" s="7"/>
      <c r="D172" s="7"/>
      <c r="E172" s="7"/>
      <c r="F172" s="7"/>
      <c r="G172" s="7"/>
      <c r="H172" s="7"/>
      <c r="I172" s="7"/>
      <c r="J172" s="7"/>
    </row>
    <row r="173" spans="1:1021 1030:2041 2050:3071 3080:4091 4100:6141 6150:7161 7170:8191 8200:9211 9220:11261 11270:12281 12290:13311 13320:14331 14340:16381" ht="15" thickTop="1">
      <c r="A173" s="28" t="s">
        <v>123</v>
      </c>
    </row>
    <row r="174" spans="1:1021 1030:2041 2050:3071 3080:4091 4100:6141 6150:7161 7170:8191 8200:9211 9220:11261 11270:12281 12290:13311 13320:14331 14340:16381">
      <c r="A174" t="s">
        <v>4</v>
      </c>
      <c r="E174" s="208">
        <v>0.6</v>
      </c>
      <c r="F174" s="208">
        <v>0.6</v>
      </c>
      <c r="G174" s="208">
        <v>0.6</v>
      </c>
      <c r="H174" s="208">
        <v>0.6</v>
      </c>
      <c r="I174" s="208">
        <v>0.6</v>
      </c>
      <c r="J174" s="208">
        <v>0.6</v>
      </c>
    </row>
    <row r="175" spans="1:1021 1030:2041 2050:3071 3080:4091 4100:6141 6150:7161 7170:8191 8200:9211 9220:11261 11270:12281 12290:13311 13320:14331 14340:16381">
      <c r="A175" t="s">
        <v>141</v>
      </c>
      <c r="E175" s="208">
        <v>0.12717438970910686</v>
      </c>
      <c r="F175" s="208">
        <v>0.12717438970910686</v>
      </c>
      <c r="G175" s="208">
        <v>0.12717438970910686</v>
      </c>
      <c r="H175" s="208">
        <v>0.12717438970910686</v>
      </c>
      <c r="I175" s="208">
        <v>0.12717438970910686</v>
      </c>
      <c r="J175" s="208">
        <v>0.12717438970910686</v>
      </c>
    </row>
    <row r="176" spans="1:1021 1030:2041 2050:3071 3080:4091 4100:6141 6150:7161 7170:8191 8200:9211 9220:11261 11270:12281 12290:13311 13320:14331 14340:16381">
      <c r="A176" t="s">
        <v>6</v>
      </c>
      <c r="E176" s="208">
        <v>6.0057583236818729E-2</v>
      </c>
      <c r="F176" s="208">
        <v>6.0057583236818729E-2</v>
      </c>
      <c r="G176" s="208">
        <v>6.0057583236818729E-2</v>
      </c>
      <c r="H176" s="208">
        <v>6.0057583236818729E-2</v>
      </c>
      <c r="I176" s="208">
        <v>6.0057583236818729E-2</v>
      </c>
      <c r="J176" s="208">
        <v>6.0057583236818729E-2</v>
      </c>
    </row>
    <row r="177" spans="1:10">
      <c r="A177" t="s">
        <v>140</v>
      </c>
      <c r="E177" s="208">
        <v>0.15</v>
      </c>
      <c r="F177" s="208">
        <v>0.15</v>
      </c>
      <c r="G177" s="208">
        <v>0.15</v>
      </c>
      <c r="H177" s="208">
        <v>0.15</v>
      </c>
      <c r="I177" s="208">
        <v>0.15</v>
      </c>
      <c r="J177" s="208">
        <v>0.15</v>
      </c>
    </row>
    <row r="178" spans="1:10">
      <c r="A178" t="s">
        <v>7</v>
      </c>
      <c r="E178" s="208">
        <v>2.0655999460267842E-2</v>
      </c>
      <c r="F178" s="208">
        <v>2.0655999460267842E-2</v>
      </c>
      <c r="G178" s="208">
        <v>2.0655999460267842E-2</v>
      </c>
      <c r="H178" s="208">
        <v>2.0655999460267842E-2</v>
      </c>
      <c r="I178" s="208">
        <v>2.0655999460267842E-2</v>
      </c>
      <c r="J178" s="208">
        <v>2.0655999460267842E-2</v>
      </c>
    </row>
    <row r="179" spans="1:10">
      <c r="A179" t="s">
        <v>9</v>
      </c>
      <c r="E179" s="213">
        <v>1.0858455241586362E-3</v>
      </c>
      <c r="F179" s="213">
        <v>1.0858455241586362E-3</v>
      </c>
      <c r="G179" s="213">
        <v>1.0858455241586362E-3</v>
      </c>
      <c r="H179" s="213">
        <v>1.0858455241586362E-3</v>
      </c>
      <c r="I179" s="213">
        <v>1.0858455241586362E-3</v>
      </c>
      <c r="J179" s="213">
        <v>1.0858455241586362E-3</v>
      </c>
    </row>
    <row r="180" spans="1:10" ht="15" thickBot="1">
      <c r="A180" s="206" t="s">
        <v>208</v>
      </c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15" thickTop="1"/>
    <row r="182" spans="1:10">
      <c r="A182" s="20" t="s">
        <v>142</v>
      </c>
      <c r="E182" s="209">
        <v>1.9E-2</v>
      </c>
      <c r="F182" s="209">
        <v>1.4999999999999999E-2</v>
      </c>
      <c r="G182" s="209">
        <v>1.4999999999999999E-2</v>
      </c>
      <c r="H182" s="209">
        <v>1.3999999999999999E-2</v>
      </c>
      <c r="I182" s="209">
        <v>1.3000000000000001E-2</v>
      </c>
      <c r="J182" s="209">
        <v>1.3000000000000001E-2</v>
      </c>
    </row>
    <row r="183" spans="1:10">
      <c r="A183" s="9" t="s">
        <v>153</v>
      </c>
      <c r="E183" s="208">
        <v>0.22500000000000001</v>
      </c>
      <c r="F183" s="208">
        <v>0.22500000000000001</v>
      </c>
      <c r="G183" s="208">
        <v>0.22500000000000001</v>
      </c>
      <c r="H183" s="208">
        <v>0.22500000000000001</v>
      </c>
      <c r="I183" s="208">
        <v>0.22500000000000001</v>
      </c>
      <c r="J183" s="208">
        <v>0.22500000000000001</v>
      </c>
    </row>
    <row r="184" spans="1:10">
      <c r="A184" s="105" t="s">
        <v>207</v>
      </c>
      <c r="E184" s="208">
        <v>0.01</v>
      </c>
      <c r="F184" s="208">
        <v>0.01</v>
      </c>
      <c r="G184" s="208">
        <v>0.01</v>
      </c>
      <c r="H184" s="208">
        <v>0.01</v>
      </c>
      <c r="I184" s="208">
        <v>0.01</v>
      </c>
      <c r="J184" s="208">
        <v>0.01</v>
      </c>
    </row>
    <row r="185" spans="1:10">
      <c r="A185" s="105" t="s">
        <v>227</v>
      </c>
      <c r="E185" s="208">
        <v>5.5E-2</v>
      </c>
      <c r="F185" s="208">
        <v>5.5E-2</v>
      </c>
      <c r="G185" s="208">
        <v>5.5E-2</v>
      </c>
      <c r="H185" s="208">
        <v>5.5E-2</v>
      </c>
      <c r="I185" s="208">
        <v>5.5E-2</v>
      </c>
      <c r="J185" s="208">
        <v>5.5E-2</v>
      </c>
    </row>
    <row r="186" spans="1:10">
      <c r="E186" s="210"/>
      <c r="F186" s="210"/>
      <c r="G186" s="210"/>
      <c r="H186" s="210"/>
      <c r="I186" s="210"/>
      <c r="J186" s="211"/>
    </row>
    <row r="187" spans="1:10">
      <c r="E187" s="210"/>
      <c r="F187" s="210"/>
      <c r="G187" s="210"/>
      <c r="H187" s="210"/>
      <c r="I187" s="210"/>
      <c r="J187" s="211"/>
    </row>
    <row r="188" spans="1:10">
      <c r="A188" s="1" t="s">
        <v>87</v>
      </c>
      <c r="E188" s="210"/>
      <c r="F188" s="210"/>
      <c r="G188" s="210"/>
      <c r="H188" s="210"/>
      <c r="I188" s="210"/>
      <c r="J188" s="211"/>
    </row>
    <row r="189" spans="1:10">
      <c r="A189" s="112" t="s">
        <v>124</v>
      </c>
      <c r="E189" s="210">
        <v>52</v>
      </c>
      <c r="F189" s="210">
        <v>52</v>
      </c>
      <c r="G189" s="210">
        <v>52</v>
      </c>
      <c r="H189" s="210">
        <v>52</v>
      </c>
      <c r="I189" s="210">
        <v>52</v>
      </c>
      <c r="J189" s="210">
        <v>52</v>
      </c>
    </row>
    <row r="190" spans="1:10">
      <c r="A190" s="112" t="s">
        <v>125</v>
      </c>
      <c r="E190" s="210">
        <v>27</v>
      </c>
      <c r="F190" s="210">
        <v>27</v>
      </c>
      <c r="G190" s="210">
        <v>27</v>
      </c>
      <c r="H190" s="210">
        <v>27</v>
      </c>
      <c r="I190" s="210">
        <v>27</v>
      </c>
      <c r="J190" s="210">
        <v>27</v>
      </c>
    </row>
    <row r="191" spans="1:10">
      <c r="A191" s="24" t="s">
        <v>137</v>
      </c>
      <c r="E191" s="210">
        <v>0</v>
      </c>
      <c r="F191" s="210">
        <v>0</v>
      </c>
      <c r="G191" s="210">
        <v>0</v>
      </c>
      <c r="H191" s="210">
        <v>0</v>
      </c>
      <c r="I191" s="210">
        <v>0</v>
      </c>
      <c r="J191" s="210">
        <v>0</v>
      </c>
    </row>
    <row r="192" spans="1:10">
      <c r="A192" s="24" t="s">
        <v>206</v>
      </c>
      <c r="E192" s="208">
        <v>0</v>
      </c>
      <c r="F192" s="208">
        <v>0</v>
      </c>
      <c r="G192" s="208">
        <v>0</v>
      </c>
      <c r="H192" s="208">
        <v>0</v>
      </c>
      <c r="I192" s="208">
        <v>0</v>
      </c>
      <c r="J192" s="208">
        <v>0</v>
      </c>
    </row>
    <row r="193" spans="1:10">
      <c r="A193" s="24" t="s">
        <v>126</v>
      </c>
      <c r="E193" s="208">
        <v>0</v>
      </c>
      <c r="F193" s="208">
        <v>0</v>
      </c>
      <c r="G193" s="208">
        <v>0</v>
      </c>
      <c r="H193" s="208">
        <v>0</v>
      </c>
      <c r="I193" s="208">
        <v>0</v>
      </c>
      <c r="J193" s="208">
        <v>0</v>
      </c>
    </row>
    <row r="194" spans="1:10">
      <c r="A194" s="24"/>
      <c r="E194" s="210"/>
      <c r="F194" s="210"/>
      <c r="G194" s="210"/>
      <c r="H194" s="210"/>
      <c r="I194" s="210"/>
      <c r="J194" s="211"/>
    </row>
    <row r="195" spans="1:10">
      <c r="A195" s="24" t="s">
        <v>127</v>
      </c>
      <c r="E195" s="210">
        <v>115</v>
      </c>
      <c r="F195" s="210">
        <v>115</v>
      </c>
      <c r="G195" s="210">
        <v>115</v>
      </c>
      <c r="H195" s="210">
        <v>115</v>
      </c>
      <c r="I195" s="210">
        <v>115</v>
      </c>
      <c r="J195" s="210">
        <v>115</v>
      </c>
    </row>
    <row r="196" spans="1:10">
      <c r="A196" s="112" t="s">
        <v>139</v>
      </c>
      <c r="E196" s="208">
        <v>0.1</v>
      </c>
      <c r="F196" s="208">
        <v>0.1</v>
      </c>
      <c r="G196" s="208">
        <v>0.1</v>
      </c>
      <c r="H196" s="208">
        <v>0.1</v>
      </c>
      <c r="I196" s="208">
        <v>0.1</v>
      </c>
      <c r="J196" s="208">
        <v>0.1</v>
      </c>
    </row>
    <row r="197" spans="1:10">
      <c r="A197" s="24" t="s">
        <v>138</v>
      </c>
      <c r="E197" s="208">
        <v>0.03</v>
      </c>
      <c r="F197" s="208">
        <v>0.03</v>
      </c>
      <c r="G197" s="208">
        <v>0.03</v>
      </c>
      <c r="H197" s="208">
        <v>0.03</v>
      </c>
      <c r="I197" s="208">
        <v>0.03</v>
      </c>
      <c r="J197" s="208">
        <v>0.03</v>
      </c>
    </row>
    <row r="198" spans="1:10">
      <c r="A198" s="24"/>
      <c r="E198" s="210"/>
      <c r="F198" s="210"/>
      <c r="G198" s="210"/>
      <c r="H198" s="210"/>
      <c r="I198" s="210"/>
      <c r="J198" s="211"/>
    </row>
    <row r="199" spans="1:10">
      <c r="A199" s="24" t="s">
        <v>128</v>
      </c>
      <c r="E199" s="208">
        <v>7.0000000000000007E-2</v>
      </c>
      <c r="F199" s="208">
        <v>0.06</v>
      </c>
      <c r="G199" s="208">
        <v>0.06</v>
      </c>
      <c r="H199" s="208">
        <v>0.06</v>
      </c>
      <c r="I199" s="208">
        <v>5.5E-2</v>
      </c>
      <c r="J199" s="208">
        <v>0.05</v>
      </c>
    </row>
    <row r="200" spans="1:10">
      <c r="A200" s="112" t="s">
        <v>230</v>
      </c>
      <c r="E200" s="208">
        <v>0.05</v>
      </c>
      <c r="F200" s="208">
        <v>0.05</v>
      </c>
      <c r="G200" s="208">
        <v>0.05</v>
      </c>
      <c r="H200" s="208">
        <v>0.04</v>
      </c>
      <c r="I200" s="208">
        <v>0.04</v>
      </c>
      <c r="J200" s="208">
        <v>0.04</v>
      </c>
    </row>
    <row r="201" spans="1:10">
      <c r="A201" s="112" t="s">
        <v>129</v>
      </c>
      <c r="E201" s="208">
        <v>0.4</v>
      </c>
      <c r="F201" s="208">
        <v>0.4</v>
      </c>
      <c r="G201" s="208">
        <v>0.4</v>
      </c>
      <c r="H201" s="208">
        <v>0.4</v>
      </c>
      <c r="I201" s="208">
        <v>0.4</v>
      </c>
      <c r="J201" s="208">
        <v>0.4</v>
      </c>
    </row>
    <row r="202" spans="1:10">
      <c r="A202" s="112" t="s">
        <v>130</v>
      </c>
      <c r="E202" s="208">
        <v>0.38</v>
      </c>
      <c r="F202" s="208">
        <v>0.38</v>
      </c>
      <c r="G202" s="208">
        <v>0.38</v>
      </c>
      <c r="H202" s="208">
        <v>0.38</v>
      </c>
      <c r="I202" s="208">
        <v>0.38</v>
      </c>
      <c r="J202" s="208">
        <v>0.38</v>
      </c>
    </row>
    <row r="203" spans="1:10">
      <c r="A203" s="24"/>
      <c r="E203" s="210"/>
      <c r="F203" s="210"/>
      <c r="G203" s="210"/>
      <c r="H203" s="210"/>
      <c r="I203" s="210"/>
      <c r="J203" s="211"/>
    </row>
    <row r="204" spans="1:10">
      <c r="A204" s="24" t="s">
        <v>131</v>
      </c>
      <c r="E204" s="210">
        <v>0</v>
      </c>
      <c r="F204" s="210">
        <v>0</v>
      </c>
      <c r="G204" s="210">
        <v>0</v>
      </c>
      <c r="H204" s="210">
        <v>0</v>
      </c>
      <c r="I204" s="210">
        <v>0</v>
      </c>
      <c r="J204" s="210">
        <v>0</v>
      </c>
    </row>
    <row r="205" spans="1:10">
      <c r="A205" s="24" t="s">
        <v>132</v>
      </c>
      <c r="E205" s="210">
        <v>0</v>
      </c>
      <c r="F205" s="210">
        <v>0</v>
      </c>
      <c r="G205" s="210">
        <v>0</v>
      </c>
      <c r="H205" s="210">
        <v>0</v>
      </c>
      <c r="I205" s="210">
        <v>0</v>
      </c>
      <c r="J205" s="210">
        <v>0</v>
      </c>
    </row>
    <row r="206" spans="1:10">
      <c r="A206" s="24" t="s">
        <v>133</v>
      </c>
      <c r="E206" s="210">
        <v>0</v>
      </c>
      <c r="F206" s="210">
        <v>0</v>
      </c>
      <c r="G206" s="210">
        <v>0</v>
      </c>
      <c r="H206" s="210">
        <v>0</v>
      </c>
      <c r="I206" s="210">
        <v>0</v>
      </c>
      <c r="J206" s="210">
        <v>0</v>
      </c>
    </row>
    <row r="207" spans="1:10">
      <c r="A207" s="24" t="s">
        <v>134</v>
      </c>
      <c r="E207" s="210">
        <v>0</v>
      </c>
      <c r="F207" s="210">
        <v>0</v>
      </c>
      <c r="G207" s="210">
        <v>0</v>
      </c>
      <c r="H207" s="210">
        <v>0</v>
      </c>
      <c r="I207" s="210">
        <v>0</v>
      </c>
      <c r="J207" s="210">
        <v>0</v>
      </c>
    </row>
    <row r="208" spans="1:10">
      <c r="A208" s="24"/>
      <c r="E208" s="210"/>
      <c r="F208" s="210"/>
      <c r="G208" s="210"/>
      <c r="H208" s="210"/>
      <c r="I208" s="210"/>
      <c r="J208" s="211"/>
    </row>
    <row r="209" spans="1:10">
      <c r="A209" s="24" t="s">
        <v>135</v>
      </c>
      <c r="E209" s="208">
        <v>0.01</v>
      </c>
      <c r="F209" s="208">
        <v>0.01</v>
      </c>
      <c r="G209" s="208">
        <v>0.01</v>
      </c>
      <c r="H209" s="208">
        <v>0.01</v>
      </c>
      <c r="I209" s="208">
        <v>0.01</v>
      </c>
      <c r="J209" s="208">
        <v>0.01</v>
      </c>
    </row>
    <row r="210" spans="1:10">
      <c r="A210" s="24" t="s">
        <v>136</v>
      </c>
      <c r="E210" s="208">
        <v>0.01</v>
      </c>
      <c r="F210" s="208">
        <v>0.01</v>
      </c>
      <c r="G210" s="208">
        <v>0.01</v>
      </c>
      <c r="H210" s="208">
        <v>0.01</v>
      </c>
      <c r="I210" s="208">
        <v>0.01</v>
      </c>
      <c r="J210" s="208">
        <v>0.01</v>
      </c>
    </row>
  </sheetData>
  <phoneticPr fontId="10" type="noConversion"/>
  <pageMargins left="0.7" right="0.7" top="0.75" bottom="0.75" header="0.3" footer="0.3"/>
  <pageSetup paperSize="9" scale="53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9" r:id="rId4" name="Drop Down 29">
              <controlPr defaultSize="0" autoLine="0" autoPict="0">
                <anchor moveWithCells="1">
                  <from>
                    <xdr:col>0</xdr:col>
                    <xdr:colOff>3124200</xdr:colOff>
                    <xdr:row>0</xdr:row>
                    <xdr:rowOff>106680</xdr:rowOff>
                  </from>
                  <to>
                    <xdr:col>1</xdr:col>
                    <xdr:colOff>0</xdr:colOff>
                    <xdr:row>1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333FF"/>
    <pageSetUpPr fitToPage="1"/>
  </sheetPr>
  <dimension ref="A1:AN312"/>
  <sheetViews>
    <sheetView showGridLines="0" zoomScale="80" zoomScaleNormal="80" workbookViewId="0">
      <pane ySplit="6" topLeftCell="A7" activePane="bottomLeft" state="frozen"/>
      <selection pane="bottomLeft" activeCell="G16" sqref="G16"/>
    </sheetView>
  </sheetViews>
  <sheetFormatPr defaultColWidth="8.44140625" defaultRowHeight="14.4"/>
  <cols>
    <col min="1" max="1" width="11" style="31" customWidth="1"/>
    <col min="2" max="2" width="38.88671875" style="31" customWidth="1"/>
    <col min="3" max="3" width="11.109375" style="31" customWidth="1"/>
    <col min="4" max="4" width="15.44140625" style="31" customWidth="1"/>
    <col min="5" max="5" width="12" style="31" customWidth="1"/>
    <col min="6" max="6" width="16.44140625" style="31" customWidth="1"/>
    <col min="7" max="7" width="15.88671875" style="31" customWidth="1"/>
    <col min="8" max="8" width="18.44140625" style="31" customWidth="1"/>
    <col min="9" max="9" width="21.44140625" style="31" customWidth="1"/>
    <col min="10" max="10" width="12.44140625" style="31" customWidth="1"/>
    <col min="11" max="11" width="13.44140625" style="31" customWidth="1"/>
    <col min="12" max="12" width="22" style="31" customWidth="1"/>
    <col min="13" max="13" width="20.44140625" style="31" customWidth="1"/>
    <col min="14" max="14" width="19.88671875" style="31" customWidth="1"/>
    <col min="15" max="16" width="7.44140625" style="31" customWidth="1"/>
    <col min="17" max="18" width="8.44140625" style="31" customWidth="1"/>
    <col min="19" max="19" width="24.109375" style="31" customWidth="1"/>
    <col min="20" max="16384" width="8.44140625" style="31"/>
  </cols>
  <sheetData>
    <row r="1" spans="1:40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524"/>
      <c r="T1" s="524"/>
      <c r="U1" s="524"/>
      <c r="V1" s="524"/>
    </row>
    <row r="2" spans="1:40">
      <c r="A2" s="32" t="s">
        <v>144</v>
      </c>
      <c r="B2" s="32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524"/>
      <c r="T2" s="524"/>
      <c r="U2" s="524"/>
      <c r="V2" s="524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>
      <c r="A3" s="32" t="s">
        <v>91</v>
      </c>
      <c r="B3" s="32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524"/>
      <c r="T3" s="524"/>
      <c r="U3" s="524"/>
      <c r="V3" s="524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>
      <c r="S4" s="524"/>
      <c r="T4" s="524"/>
      <c r="U4" s="524"/>
      <c r="V4" s="52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ht="20.25" customHeight="1" thickBot="1">
      <c r="B5" s="30"/>
      <c r="C5" s="30"/>
      <c r="D5" s="33"/>
      <c r="E5" s="34" t="s">
        <v>143</v>
      </c>
      <c r="F5" s="34"/>
      <c r="G5" s="35"/>
      <c r="H5" s="30"/>
      <c r="I5" s="33"/>
      <c r="J5" s="35"/>
      <c r="K5" s="35" t="s">
        <v>148</v>
      </c>
      <c r="L5" s="35"/>
      <c r="M5" s="33"/>
      <c r="N5" s="30"/>
      <c r="O5" s="34" t="s">
        <v>146</v>
      </c>
      <c r="P5" s="34"/>
      <c r="Q5" s="34" t="s">
        <v>147</v>
      </c>
      <c r="R5" s="34"/>
      <c r="S5" s="524"/>
      <c r="T5" s="524"/>
      <c r="U5" s="524"/>
      <c r="V5" s="524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ht="22.5" customHeight="1">
      <c r="B6" s="1" t="s">
        <v>92</v>
      </c>
      <c r="C6" s="1" t="s">
        <v>93</v>
      </c>
      <c r="D6" s="1" t="s">
        <v>163</v>
      </c>
      <c r="E6" s="1" t="s">
        <v>94</v>
      </c>
      <c r="F6" s="1" t="s">
        <v>95</v>
      </c>
      <c r="G6" s="1" t="s">
        <v>96</v>
      </c>
      <c r="H6" s="1" t="s">
        <v>228</v>
      </c>
      <c r="I6" s="1" t="s">
        <v>887</v>
      </c>
      <c r="J6" s="1" t="s">
        <v>145</v>
      </c>
      <c r="K6" s="1" t="s">
        <v>194</v>
      </c>
      <c r="L6" s="1" t="s">
        <v>409</v>
      </c>
      <c r="M6" s="1" t="s">
        <v>410</v>
      </c>
      <c r="N6" s="1" t="s">
        <v>196</v>
      </c>
      <c r="O6" s="67">
        <v>2020</v>
      </c>
      <c r="P6" s="1" t="s">
        <v>195</v>
      </c>
      <c r="Q6" s="67">
        <v>2020</v>
      </c>
      <c r="R6" s="1" t="s">
        <v>195</v>
      </c>
      <c r="S6" s="524"/>
      <c r="T6" s="524"/>
      <c r="U6" s="524"/>
      <c r="V6" s="524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>
      <c r="S7" s="105"/>
      <c r="T7" s="105"/>
      <c r="U7" s="105"/>
      <c r="V7" s="105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>
      <c r="B8" s="36" t="s">
        <v>90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105"/>
      <c r="T8" s="105"/>
      <c r="U8" s="105"/>
      <c r="V8" s="105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>
      <c r="B9" s="31" t="s">
        <v>156</v>
      </c>
      <c r="C9" s="42" t="s">
        <v>164</v>
      </c>
      <c r="D9" s="48">
        <v>425247</v>
      </c>
      <c r="E9" s="49">
        <v>52590</v>
      </c>
      <c r="F9" s="49">
        <v>6883</v>
      </c>
      <c r="G9" s="61">
        <f>D9+E9+F9</f>
        <v>484720</v>
      </c>
      <c r="H9" s="167">
        <v>548743</v>
      </c>
      <c r="I9" s="167">
        <v>550405</v>
      </c>
      <c r="J9" s="167">
        <v>32394</v>
      </c>
      <c r="K9" s="167">
        <v>34077</v>
      </c>
      <c r="L9" s="168">
        <f>I9/H9-1</f>
        <v>3.028740229943816E-3</v>
      </c>
      <c r="M9" s="168">
        <f>K9/J9-1</f>
        <v>5.1954065567697771E-2</v>
      </c>
      <c r="N9" s="168">
        <f>K9/I9</f>
        <v>6.1912591637067249E-2</v>
      </c>
      <c r="O9" s="169">
        <f t="shared" ref="O9:R13" si="0">$G9/H9</f>
        <v>0.88332789666565226</v>
      </c>
      <c r="P9" s="169">
        <f t="shared" si="0"/>
        <v>0.88066060446398564</v>
      </c>
      <c r="Q9" s="169">
        <f t="shared" si="0"/>
        <v>14.963264802123851</v>
      </c>
      <c r="R9" s="169">
        <f>$G9/K9</f>
        <v>14.224256830120023</v>
      </c>
      <c r="S9" s="105"/>
      <c r="T9" s="105"/>
      <c r="U9" s="105"/>
      <c r="V9" s="105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>
      <c r="B10" s="31" t="s">
        <v>157</v>
      </c>
      <c r="C10" s="42" t="s">
        <v>165</v>
      </c>
      <c r="D10" s="48">
        <v>300987</v>
      </c>
      <c r="E10" s="49">
        <v>26560</v>
      </c>
      <c r="F10" s="49">
        <v>0</v>
      </c>
      <c r="G10" s="61">
        <f>D10+E10+F10</f>
        <v>327547</v>
      </c>
      <c r="H10" s="167">
        <v>125631</v>
      </c>
      <c r="I10" s="167">
        <v>125573</v>
      </c>
      <c r="J10" s="167">
        <v>17832</v>
      </c>
      <c r="K10" s="167">
        <v>20002</v>
      </c>
      <c r="L10" s="168">
        <f>I10/H10-1</f>
        <v>-4.6166949240233901E-4</v>
      </c>
      <c r="M10" s="168">
        <f>K10/J10-1</f>
        <v>0.12169134140870352</v>
      </c>
      <c r="N10" s="168">
        <f>K10/I10</f>
        <v>0.15928583373814434</v>
      </c>
      <c r="O10" s="169">
        <f t="shared" si="0"/>
        <v>2.6072147797916121</v>
      </c>
      <c r="P10" s="169">
        <f t="shared" si="0"/>
        <v>2.6084190072706712</v>
      </c>
      <c r="Q10" s="169">
        <f t="shared" si="0"/>
        <v>18.368494840735757</v>
      </c>
      <c r="R10" s="169">
        <f t="shared" si="0"/>
        <v>16.375712428757126</v>
      </c>
      <c r="S10" s="105"/>
      <c r="T10" s="105"/>
      <c r="U10" s="105"/>
      <c r="V10" s="105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>
      <c r="B11" s="31" t="s">
        <v>158</v>
      </c>
      <c r="C11" s="42" t="s">
        <v>166</v>
      </c>
      <c r="D11" s="48">
        <v>166934</v>
      </c>
      <c r="E11" s="49">
        <v>-2880</v>
      </c>
      <c r="F11" s="49">
        <v>341</v>
      </c>
      <c r="G11" s="61">
        <f>D11+E11+F11</f>
        <v>164395</v>
      </c>
      <c r="H11" s="167">
        <v>166761</v>
      </c>
      <c r="I11" s="167">
        <v>179974</v>
      </c>
      <c r="J11" s="167">
        <v>7300</v>
      </c>
      <c r="K11" s="167">
        <v>7699</v>
      </c>
      <c r="L11" s="168">
        <f>I11/H11-1</f>
        <v>7.9233154034816344E-2</v>
      </c>
      <c r="M11" s="168">
        <f>K11/J11-1</f>
        <v>5.4657534246575379E-2</v>
      </c>
      <c r="N11" s="168">
        <f>K11/I11</f>
        <v>4.2778401324635784E-2</v>
      </c>
      <c r="O11" s="169">
        <f t="shared" si="0"/>
        <v>0.98581203039079879</v>
      </c>
      <c r="P11" s="169">
        <f t="shared" si="0"/>
        <v>0.91343749652727613</v>
      </c>
      <c r="Q11" s="169">
        <f t="shared" si="0"/>
        <v>22.519863013698629</v>
      </c>
      <c r="R11" s="169">
        <f t="shared" si="0"/>
        <v>21.352773087413951</v>
      </c>
      <c r="S11" s="105"/>
      <c r="T11" s="105"/>
      <c r="U11" s="105"/>
      <c r="V11" s="105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>
      <c r="A12" s="41"/>
      <c r="B12" s="31" t="s">
        <v>154</v>
      </c>
      <c r="C12" s="42" t="s">
        <v>167</v>
      </c>
      <c r="D12" s="48">
        <v>139244</v>
      </c>
      <c r="E12" s="49">
        <v>-12670</v>
      </c>
      <c r="F12" s="49">
        <v>3610.4</v>
      </c>
      <c r="G12" s="61">
        <f>D12+E12+F12</f>
        <v>130184.4</v>
      </c>
      <c r="H12" s="167">
        <v>692157.76899999997</v>
      </c>
      <c r="I12" s="167">
        <v>735114</v>
      </c>
      <c r="J12" s="167">
        <v>13811</v>
      </c>
      <c r="K12" s="167">
        <v>21347</v>
      </c>
      <c r="L12" s="168">
        <f>I12/H12-1</f>
        <v>6.2061328968482599E-2</v>
      </c>
      <c r="M12" s="168">
        <f>K12/J12-1</f>
        <v>0.54565201650858008</v>
      </c>
      <c r="N12" s="168">
        <f>K12/I12</f>
        <v>2.9039033401622061E-2</v>
      </c>
      <c r="O12" s="169">
        <f t="shared" si="0"/>
        <v>0.18808486421829068</v>
      </c>
      <c r="P12" s="169">
        <f t="shared" si="0"/>
        <v>0.17709416498665512</v>
      </c>
      <c r="Q12" s="169">
        <f t="shared" si="0"/>
        <v>9.4261385851857202</v>
      </c>
      <c r="R12" s="169">
        <f t="shared" si="0"/>
        <v>6.0984869068253147</v>
      </c>
      <c r="S12" s="105"/>
      <c r="T12" s="105"/>
      <c r="U12" s="105"/>
      <c r="V12" s="105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>
      <c r="A13" s="41"/>
      <c r="B13" s="31" t="s">
        <v>155</v>
      </c>
      <c r="C13" s="42" t="s">
        <v>168</v>
      </c>
      <c r="D13" s="48">
        <v>120914</v>
      </c>
      <c r="E13" s="49">
        <v>13460</v>
      </c>
      <c r="F13" s="49">
        <v>0</v>
      </c>
      <c r="G13" s="61">
        <f>D13+E13+F13</f>
        <v>134374</v>
      </c>
      <c r="H13" s="167">
        <v>85313</v>
      </c>
      <c r="I13" s="167">
        <v>86097</v>
      </c>
      <c r="J13" s="167">
        <v>7841</v>
      </c>
      <c r="K13" s="167">
        <v>10946</v>
      </c>
      <c r="L13" s="168">
        <f>I13/H13-1</f>
        <v>9.1896897307561787E-3</v>
      </c>
      <c r="M13" s="168">
        <f>K13/J13-1</f>
        <v>0.39599540874888417</v>
      </c>
      <c r="N13" s="168">
        <f>K13/I13</f>
        <v>0.12713567255537359</v>
      </c>
      <c r="O13" s="169">
        <f t="shared" si="0"/>
        <v>1.5750706222967192</v>
      </c>
      <c r="P13" s="169">
        <f t="shared" si="0"/>
        <v>1.5607280160748922</v>
      </c>
      <c r="Q13" s="169">
        <f t="shared" si="0"/>
        <v>17.137354929218212</v>
      </c>
      <c r="R13" s="169">
        <f t="shared" si="0"/>
        <v>12.276082587246483</v>
      </c>
      <c r="S13" s="105"/>
      <c r="T13" s="105"/>
      <c r="U13" s="105"/>
      <c r="V13" s="105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>
      <c r="A14" s="41"/>
      <c r="B14" s="37" t="s">
        <v>169</v>
      </c>
      <c r="C14" s="38"/>
      <c r="D14" s="58">
        <f t="shared" ref="D14:R14" si="1">AVERAGE(D9:D13)</f>
        <v>230665.2</v>
      </c>
      <c r="E14" s="58">
        <f t="shared" si="1"/>
        <v>15412</v>
      </c>
      <c r="F14" s="58">
        <f t="shared" si="1"/>
        <v>2166.88</v>
      </c>
      <c r="G14" s="58">
        <f t="shared" si="1"/>
        <v>248244.08</v>
      </c>
      <c r="H14" s="171">
        <f t="shared" si="1"/>
        <v>323721.15379999997</v>
      </c>
      <c r="I14" s="171">
        <f t="shared" si="1"/>
        <v>335432.59999999998</v>
      </c>
      <c r="J14" s="171">
        <f t="shared" si="1"/>
        <v>15835.6</v>
      </c>
      <c r="K14" s="171">
        <f t="shared" si="1"/>
        <v>18814.2</v>
      </c>
      <c r="L14" s="172">
        <f t="shared" si="1"/>
        <v>3.061024869431932E-2</v>
      </c>
      <c r="M14" s="172">
        <f t="shared" si="1"/>
        <v>0.23399007329608817</v>
      </c>
      <c r="N14" s="172">
        <f t="shared" si="1"/>
        <v>8.4030306531368601E-2</v>
      </c>
      <c r="O14" s="173">
        <f t="shared" si="1"/>
        <v>1.2479020386726147</v>
      </c>
      <c r="P14" s="173">
        <f t="shared" si="1"/>
        <v>1.228067857864696</v>
      </c>
      <c r="Q14" s="173">
        <f t="shared" si="1"/>
        <v>16.483023234192434</v>
      </c>
      <c r="R14" s="173">
        <f t="shared" si="1"/>
        <v>14.065462368072579</v>
      </c>
      <c r="S14" s="105"/>
      <c r="T14" s="105"/>
      <c r="U14" s="105"/>
      <c r="V14" s="105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>
      <c r="A15" s="41"/>
      <c r="B15" s="37" t="s">
        <v>170</v>
      </c>
      <c r="C15" s="38"/>
      <c r="D15" s="58">
        <f>MEDIAN(D9:D13)</f>
        <v>166934</v>
      </c>
      <c r="E15" s="58">
        <f>MEDIAN(E9:E13)</f>
        <v>13460</v>
      </c>
      <c r="F15" s="58">
        <f>MEDIAN(F9:F13)</f>
        <v>341</v>
      </c>
      <c r="G15" s="58">
        <f>MEDIAN(G9:G13)</f>
        <v>164395</v>
      </c>
      <c r="H15" s="171">
        <f t="shared" ref="H15:R15" si="2">MEDIAN(H9:H13)</f>
        <v>166761</v>
      </c>
      <c r="I15" s="171">
        <f t="shared" si="2"/>
        <v>179974</v>
      </c>
      <c r="J15" s="171">
        <f t="shared" si="2"/>
        <v>13811</v>
      </c>
      <c r="K15" s="171">
        <f t="shared" si="2"/>
        <v>20002</v>
      </c>
      <c r="L15" s="172">
        <f t="shared" si="2"/>
        <v>9.1896897307561787E-3</v>
      </c>
      <c r="M15" s="172">
        <f t="shared" si="2"/>
        <v>0.12169134140870352</v>
      </c>
      <c r="N15" s="172">
        <f t="shared" si="2"/>
        <v>6.1912591637067249E-2</v>
      </c>
      <c r="O15" s="173">
        <f t="shared" si="2"/>
        <v>0.98581203039079879</v>
      </c>
      <c r="P15" s="173">
        <f t="shared" si="2"/>
        <v>0.91343749652727613</v>
      </c>
      <c r="Q15" s="173">
        <f t="shared" si="2"/>
        <v>17.137354929218212</v>
      </c>
      <c r="R15" s="173">
        <f t="shared" si="2"/>
        <v>14.224256830120023</v>
      </c>
      <c r="S15" s="105"/>
      <c r="T15" s="105"/>
      <c r="U15" s="105"/>
      <c r="V15" s="10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>
      <c r="A16" s="41"/>
      <c r="B16" s="39" t="s">
        <v>102</v>
      </c>
      <c r="D16" s="40"/>
      <c r="G16" s="65">
        <f>I16*P14</f>
        <v>292720.39597037918</v>
      </c>
      <c r="H16" s="174">
        <f>'Financial Analysis'!E66+'Financial Analysis'!E70</f>
        <v>207895.11361830743</v>
      </c>
      <c r="I16" s="174">
        <f>'Financial Analysis'!F66+'Financial Analysis'!F70</f>
        <v>238358.48654108334</v>
      </c>
      <c r="J16" s="174">
        <f>'Financial Analysis'!E85</f>
        <v>19948.523560556176</v>
      </c>
      <c r="K16" s="174">
        <f>'Financial Analysis'!F85</f>
        <v>28651.367194229329</v>
      </c>
      <c r="L16" s="170"/>
      <c r="M16" s="170"/>
      <c r="N16" s="170"/>
      <c r="O16" s="297">
        <f t="shared" ref="O16" si="3">$G16/H16</f>
        <v>1.4080196060202252</v>
      </c>
      <c r="P16" s="297">
        <f t="shared" ref="P16" si="4">$G16/I16</f>
        <v>1.228067857864696</v>
      </c>
      <c r="Q16" s="297">
        <f t="shared" ref="Q16" si="5">$G16/J16</f>
        <v>14.673787515240951</v>
      </c>
      <c r="R16" s="297">
        <f t="shared" ref="R16" si="6">$G16/K16</f>
        <v>10.216629244461883</v>
      </c>
      <c r="S16" s="105"/>
      <c r="T16" s="105"/>
      <c r="U16" s="105"/>
      <c r="V16" s="105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>
      <c r="B17" s="95" t="s">
        <v>159</v>
      </c>
      <c r="G17" s="64">
        <f>MIN(P14:P15)*I16</f>
        <v>217725.57922211761</v>
      </c>
      <c r="S17" s="105"/>
      <c r="T17" s="105"/>
      <c r="U17" s="105"/>
      <c r="V17" s="105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2:40">
      <c r="B18" s="96" t="s">
        <v>160</v>
      </c>
      <c r="G18" s="64">
        <f>MAX(P14:P15)*I16</f>
        <v>292720.39597037918</v>
      </c>
      <c r="S18" s="105"/>
      <c r="T18" s="105"/>
      <c r="U18" s="105"/>
      <c r="V18" s="105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2:40">
      <c r="S19" s="105"/>
      <c r="T19" s="105"/>
      <c r="U19" s="105"/>
      <c r="V19" s="105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2:40">
      <c r="B20" s="36" t="s">
        <v>152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2:40">
      <c r="B21" s="31" t="s">
        <v>161</v>
      </c>
      <c r="C21" s="42" t="s">
        <v>184</v>
      </c>
      <c r="D21" s="48">
        <v>698893</v>
      </c>
      <c r="E21" s="49">
        <v>-70390</v>
      </c>
      <c r="F21" s="48">
        <v>17050.099999999999</v>
      </c>
      <c r="G21" s="50">
        <f>D21+E21+F21</f>
        <v>645553.1</v>
      </c>
      <c r="H21" s="167">
        <v>509711</v>
      </c>
      <c r="I21" s="167">
        <v>692279</v>
      </c>
      <c r="J21" s="167">
        <v>157659</v>
      </c>
      <c r="K21" s="167">
        <v>204973</v>
      </c>
      <c r="L21" s="168">
        <f>I21/H21-1</f>
        <v>0.35817943893696613</v>
      </c>
      <c r="M21" s="168">
        <f>K21/J21-1</f>
        <v>0.3001033876911563</v>
      </c>
      <c r="N21" s="168">
        <f>K21/I21</f>
        <v>0.29608438216383859</v>
      </c>
      <c r="O21" s="60">
        <f t="shared" ref="O21:R23" si="7">$G21/H21</f>
        <v>1.2665080800689017</v>
      </c>
      <c r="P21" s="60">
        <f t="shared" si="7"/>
        <v>0.93250423600889232</v>
      </c>
      <c r="Q21" s="60">
        <f t="shared" si="7"/>
        <v>4.0946162286961094</v>
      </c>
      <c r="R21" s="60">
        <f t="shared" si="7"/>
        <v>3.1494543183736394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2:40">
      <c r="B22" s="31" t="s">
        <v>162</v>
      </c>
      <c r="C22" s="42" t="s">
        <v>183</v>
      </c>
      <c r="D22" s="48">
        <v>15790.4</v>
      </c>
      <c r="E22" s="49">
        <v>-141.46</v>
      </c>
      <c r="F22" s="48">
        <v>0</v>
      </c>
      <c r="G22" s="50">
        <f>D22+E22+F22</f>
        <v>15648.94</v>
      </c>
      <c r="H22" s="167">
        <v>818.37900000000002</v>
      </c>
      <c r="I22" s="167">
        <v>1614</v>
      </c>
      <c r="J22" s="167">
        <v>186.268</v>
      </c>
      <c r="K22" s="167">
        <v>482.33300000000003</v>
      </c>
      <c r="L22" s="168">
        <f>I22/H22-1</f>
        <v>0.97219136854684685</v>
      </c>
      <c r="M22" s="168">
        <f>K22/J22-1</f>
        <v>1.5894571262911503</v>
      </c>
      <c r="N22" s="168">
        <f>K22/I22</f>
        <v>0.29884324659231726</v>
      </c>
      <c r="O22" s="60">
        <f t="shared" si="7"/>
        <v>19.121873850624223</v>
      </c>
      <c r="P22" s="60">
        <f t="shared" si="7"/>
        <v>9.6957496902106577</v>
      </c>
      <c r="Q22" s="60">
        <f t="shared" si="7"/>
        <v>84.013034981854105</v>
      </c>
      <c r="R22" s="60">
        <f t="shared" si="7"/>
        <v>32.444265683666679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2:40">
      <c r="B23" s="31" t="s">
        <v>171</v>
      </c>
      <c r="C23" s="42" t="s">
        <v>172</v>
      </c>
      <c r="D23" s="48">
        <v>33188.199999999997</v>
      </c>
      <c r="E23" s="49">
        <v>4080</v>
      </c>
      <c r="F23" s="48">
        <v>0</v>
      </c>
      <c r="G23" s="50">
        <f>D23+E23+F23</f>
        <v>37268.199999999997</v>
      </c>
      <c r="H23" s="167">
        <v>10800</v>
      </c>
      <c r="I23" s="167">
        <v>10224</v>
      </c>
      <c r="J23" s="167">
        <v>3669</v>
      </c>
      <c r="K23" s="167">
        <v>3952</v>
      </c>
      <c r="L23" s="168">
        <f>I23/H23-1</f>
        <v>-5.3333333333333344E-2</v>
      </c>
      <c r="M23" s="168">
        <f>K23/J23-1</f>
        <v>7.7132733714908586E-2</v>
      </c>
      <c r="N23" s="168">
        <f>K23/I23</f>
        <v>0.38654147104851327</v>
      </c>
      <c r="O23" s="60">
        <f t="shared" si="7"/>
        <v>3.4507592592592591</v>
      </c>
      <c r="P23" s="60">
        <f t="shared" si="7"/>
        <v>3.6451682316118932</v>
      </c>
      <c r="Q23" s="60">
        <f t="shared" si="7"/>
        <v>10.157590624148268</v>
      </c>
      <c r="R23" s="60">
        <f t="shared" si="7"/>
        <v>9.4302125506072869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2:40">
      <c r="B24" s="37" t="s">
        <v>169</v>
      </c>
      <c r="C24" s="38"/>
      <c r="D24" s="58">
        <f>AVERAGE(D19:D23)</f>
        <v>249290.53333333333</v>
      </c>
      <c r="E24" s="58">
        <f>AVERAGE(E19:E23)</f>
        <v>-22150.486666666668</v>
      </c>
      <c r="F24" s="58">
        <f>AVERAGE(F19:F23)</f>
        <v>5683.3666666666659</v>
      </c>
      <c r="G24" s="58">
        <f>AVERAGE(G19:G23)</f>
        <v>232823.4133333333</v>
      </c>
      <c r="H24" s="523">
        <f t="shared" ref="H24:R24" si="8">AVERAGE(H19:H23)</f>
        <v>173776.45966666666</v>
      </c>
      <c r="I24" s="523">
        <f t="shared" si="8"/>
        <v>234705.66666666666</v>
      </c>
      <c r="J24" s="523">
        <f t="shared" si="8"/>
        <v>53838.089333333337</v>
      </c>
      <c r="K24" s="523">
        <f t="shared" si="8"/>
        <v>69802.444333333333</v>
      </c>
      <c r="L24" s="172">
        <f t="shared" si="8"/>
        <v>0.42567915805015993</v>
      </c>
      <c r="M24" s="172">
        <f t="shared" si="8"/>
        <v>0.65556441589907177</v>
      </c>
      <c r="N24" s="172">
        <f t="shared" si="8"/>
        <v>0.32715636660155639</v>
      </c>
      <c r="O24" s="63">
        <f t="shared" si="8"/>
        <v>7.9463803966507953</v>
      </c>
      <c r="P24" s="63">
        <f t="shared" si="8"/>
        <v>4.7578073859438144</v>
      </c>
      <c r="Q24" s="63">
        <f t="shared" si="8"/>
        <v>32.755080611566164</v>
      </c>
      <c r="R24" s="306">
        <f t="shared" si="8"/>
        <v>15.007977517549202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2:40">
      <c r="B25" s="37" t="s">
        <v>170</v>
      </c>
      <c r="C25" s="38"/>
      <c r="D25" s="58">
        <f>MEDIAN(D19:D23)</f>
        <v>33188.199999999997</v>
      </c>
      <c r="E25" s="58">
        <f>MEDIAN(E19:E23)</f>
        <v>-141.46</v>
      </c>
      <c r="F25" s="58">
        <f>MEDIAN(F19:F23)</f>
        <v>0</v>
      </c>
      <c r="G25" s="58">
        <f>MEDIAN(G19:G23)</f>
        <v>37268.199999999997</v>
      </c>
      <c r="H25" s="523">
        <f t="shared" ref="H25:R25" si="9">MEDIAN(H19:H23)</f>
        <v>10800</v>
      </c>
      <c r="I25" s="523">
        <f t="shared" si="9"/>
        <v>10224</v>
      </c>
      <c r="J25" s="523">
        <f t="shared" si="9"/>
        <v>3669</v>
      </c>
      <c r="K25" s="523">
        <f t="shared" si="9"/>
        <v>3952</v>
      </c>
      <c r="L25" s="172">
        <f t="shared" si="9"/>
        <v>0.35817943893696613</v>
      </c>
      <c r="M25" s="172">
        <f t="shared" si="9"/>
        <v>0.3001033876911563</v>
      </c>
      <c r="N25" s="172">
        <f t="shared" si="9"/>
        <v>0.29884324659231726</v>
      </c>
      <c r="O25" s="63">
        <f t="shared" si="9"/>
        <v>3.4507592592592591</v>
      </c>
      <c r="P25" s="63">
        <f t="shared" si="9"/>
        <v>3.6451682316118932</v>
      </c>
      <c r="Q25" s="63">
        <f t="shared" si="9"/>
        <v>10.157590624148268</v>
      </c>
      <c r="R25" s="306">
        <f t="shared" si="9"/>
        <v>9.4302125506072869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2:40">
      <c r="B26" s="39" t="s">
        <v>103</v>
      </c>
      <c r="G26" s="65">
        <f>I26*P24</f>
        <v>437399.20692172344</v>
      </c>
      <c r="H26" s="174">
        <f>'Financial Analysis'!E67</f>
        <v>75135.832882603514</v>
      </c>
      <c r="I26" s="174">
        <f>'Financial Analysis'!F67</f>
        <v>91932.937052884881</v>
      </c>
      <c r="J26" s="174">
        <f>J16</f>
        <v>19948.523560556176</v>
      </c>
      <c r="K26" s="174">
        <f>K16</f>
        <v>28651.367194229329</v>
      </c>
      <c r="O26" s="60">
        <f t="shared" ref="O26" si="10">$G26/H26</f>
        <v>5.8214461747584636</v>
      </c>
      <c r="P26" s="60">
        <f t="shared" ref="P26" si="11">$G26/I26</f>
        <v>4.7578073859438144</v>
      </c>
      <c r="Q26" s="60">
        <f t="shared" ref="Q26" si="12">$G26/J26</f>
        <v>21.926394983265041</v>
      </c>
      <c r="R26" s="60">
        <f t="shared" ref="R26" si="13">$G26/K26</f>
        <v>15.266259510639339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2:40">
      <c r="B27" s="95" t="s">
        <v>378</v>
      </c>
      <c r="G27" s="64">
        <f>MIN(P24:P25)*I26</f>
        <v>335111.02158395189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2:40">
      <c r="B28" s="96" t="s">
        <v>379</v>
      </c>
      <c r="G28" s="64">
        <f>MAX(P24:P25)*I26</f>
        <v>437399.20692172344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2:40"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2:40">
      <c r="B30" s="36" t="s">
        <v>151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2:40">
      <c r="B31" s="31" t="s">
        <v>173</v>
      </c>
      <c r="C31" s="42" t="s">
        <v>193</v>
      </c>
      <c r="D31" s="49">
        <v>1199619</v>
      </c>
      <c r="E31" s="49">
        <v>-105400</v>
      </c>
      <c r="F31" s="49">
        <v>0</v>
      </c>
      <c r="G31" s="50">
        <f>D31+E31+F31</f>
        <v>1094219</v>
      </c>
      <c r="H31" s="167">
        <v>147830</v>
      </c>
      <c r="I31" s="167">
        <v>179987</v>
      </c>
      <c r="J31" s="167">
        <v>62553</v>
      </c>
      <c r="K31" s="167">
        <v>76232</v>
      </c>
      <c r="L31" s="168">
        <f>I31/H31-1</f>
        <v>0.21752688899411488</v>
      </c>
      <c r="M31" s="168">
        <f>K31/J31-1</f>
        <v>0.21867856058062762</v>
      </c>
      <c r="N31" s="59">
        <f>K31/I31</f>
        <v>0.4235417002339058</v>
      </c>
      <c r="O31" s="60">
        <f t="shared" ref="O31:R33" si="14">$G31/H31</f>
        <v>7.4018737739295135</v>
      </c>
      <c r="P31" s="60">
        <f t="shared" si="14"/>
        <v>6.0794335146427239</v>
      </c>
      <c r="Q31" s="60">
        <f t="shared" si="14"/>
        <v>17.492670215657121</v>
      </c>
      <c r="R31" s="60">
        <f t="shared" si="14"/>
        <v>14.353801553153531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2:40">
      <c r="B32" s="31" t="s">
        <v>174</v>
      </c>
      <c r="C32" s="42" t="s">
        <v>192</v>
      </c>
      <c r="D32" s="49">
        <v>788806.2</v>
      </c>
      <c r="E32" s="49">
        <v>-44480</v>
      </c>
      <c r="F32" s="49">
        <v>0</v>
      </c>
      <c r="G32" s="50">
        <f>D32+E32+F32</f>
        <v>744326.2</v>
      </c>
      <c r="H32" s="167">
        <v>83727</v>
      </c>
      <c r="I32" s="167">
        <v>104298</v>
      </c>
      <c r="J32" s="167">
        <v>42745</v>
      </c>
      <c r="K32" s="167">
        <v>50876</v>
      </c>
      <c r="L32" s="168">
        <f>I32/H32-1</f>
        <v>0.24569135404349862</v>
      </c>
      <c r="M32" s="168">
        <f>K32/J32-1</f>
        <v>0.19022107848871217</v>
      </c>
      <c r="N32" s="59">
        <f>K32/I32</f>
        <v>0.48779458858271491</v>
      </c>
      <c r="O32" s="60">
        <f t="shared" si="14"/>
        <v>8.889918425358605</v>
      </c>
      <c r="P32" s="60">
        <f t="shared" si="14"/>
        <v>7.1365337782124296</v>
      </c>
      <c r="Q32" s="60">
        <f t="shared" si="14"/>
        <v>17.413175810036261</v>
      </c>
      <c r="R32" s="60">
        <f t="shared" si="14"/>
        <v>14.630202846135701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2:40">
      <c r="B33" s="31" t="s">
        <v>175</v>
      </c>
      <c r="C33" s="42" t="s">
        <v>191</v>
      </c>
      <c r="D33" s="49">
        <v>33929.599999999999</v>
      </c>
      <c r="E33" s="49">
        <v>-3330</v>
      </c>
      <c r="F33" s="49">
        <v>0</v>
      </c>
      <c r="G33" s="50">
        <f>D33+E33+F33</f>
        <v>30599.599999999999</v>
      </c>
      <c r="H33" s="167">
        <v>3578</v>
      </c>
      <c r="I33" s="167">
        <v>4410</v>
      </c>
      <c r="J33" s="167">
        <v>991.14300000000003</v>
      </c>
      <c r="K33" s="167">
        <v>1337</v>
      </c>
      <c r="L33" s="168">
        <f>I33/H33-1</f>
        <v>0.23253214086081608</v>
      </c>
      <c r="M33" s="168">
        <f>K33/J33-1</f>
        <v>0.34894762915139377</v>
      </c>
      <c r="N33" s="59">
        <f>K33/I33</f>
        <v>0.30317460317460315</v>
      </c>
      <c r="O33" s="60">
        <f t="shared" si="14"/>
        <v>8.5521520402459466</v>
      </c>
      <c r="P33" s="60">
        <f t="shared" si="14"/>
        <v>6.9386848072562355</v>
      </c>
      <c r="Q33" s="60">
        <f t="shared" si="14"/>
        <v>30.873042537756909</v>
      </c>
      <c r="R33" s="60">
        <f t="shared" si="14"/>
        <v>22.886761406133132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2:40">
      <c r="B34" s="37" t="s">
        <v>169</v>
      </c>
      <c r="C34" s="38"/>
      <c r="D34" s="58">
        <f>AVERAGE(D29:D33)</f>
        <v>674118.26666666672</v>
      </c>
      <c r="E34" s="58">
        <f>AVERAGE(E29:E33)</f>
        <v>-51070</v>
      </c>
      <c r="F34" s="58">
        <f t="shared" ref="F34:R34" si="15">AVERAGE(F29:F33)</f>
        <v>0</v>
      </c>
      <c r="G34" s="58">
        <f t="shared" si="15"/>
        <v>623048.26666666672</v>
      </c>
      <c r="H34" s="523">
        <f t="shared" si="15"/>
        <v>78378.333333333328</v>
      </c>
      <c r="I34" s="523">
        <f t="shared" si="15"/>
        <v>96231.666666666672</v>
      </c>
      <c r="J34" s="523">
        <f t="shared" si="15"/>
        <v>35429.71433333333</v>
      </c>
      <c r="K34" s="523">
        <f t="shared" si="15"/>
        <v>42815</v>
      </c>
      <c r="L34" s="172">
        <f t="shared" si="15"/>
        <v>0.23191679463280987</v>
      </c>
      <c r="M34" s="172">
        <f t="shared" si="15"/>
        <v>0.25261575607357784</v>
      </c>
      <c r="N34" s="62">
        <f t="shared" si="15"/>
        <v>0.40483696399707464</v>
      </c>
      <c r="O34" s="63">
        <f t="shared" si="15"/>
        <v>8.2813147465113541</v>
      </c>
      <c r="P34" s="63">
        <f t="shared" si="15"/>
        <v>6.7182173667037972</v>
      </c>
      <c r="Q34" s="63">
        <f t="shared" si="15"/>
        <v>21.926296187816764</v>
      </c>
      <c r="R34" s="63">
        <f t="shared" si="15"/>
        <v>17.290255268474123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2:40">
      <c r="B35" s="37" t="s">
        <v>170</v>
      </c>
      <c r="C35" s="38"/>
      <c r="D35" s="58">
        <f>MEDIAN(D29:D33)</f>
        <v>788806.2</v>
      </c>
      <c r="E35" s="58">
        <f>MEDIAN(E29:E33)</f>
        <v>-44480</v>
      </c>
      <c r="F35" s="58">
        <f t="shared" ref="F35:R35" si="16">MEDIAN(F29:F33)</f>
        <v>0</v>
      </c>
      <c r="G35" s="58">
        <f t="shared" si="16"/>
        <v>744326.2</v>
      </c>
      <c r="H35" s="523">
        <f t="shared" si="16"/>
        <v>83727</v>
      </c>
      <c r="I35" s="523">
        <f t="shared" si="16"/>
        <v>104298</v>
      </c>
      <c r="J35" s="523">
        <f t="shared" si="16"/>
        <v>42745</v>
      </c>
      <c r="K35" s="523">
        <f t="shared" si="16"/>
        <v>50876</v>
      </c>
      <c r="L35" s="172">
        <f t="shared" si="16"/>
        <v>0.23253214086081608</v>
      </c>
      <c r="M35" s="172">
        <f t="shared" si="16"/>
        <v>0.21867856058062762</v>
      </c>
      <c r="N35" s="62">
        <f t="shared" si="16"/>
        <v>0.4235417002339058</v>
      </c>
      <c r="O35" s="63">
        <f t="shared" si="16"/>
        <v>8.5521520402459466</v>
      </c>
      <c r="P35" s="63">
        <f t="shared" si="16"/>
        <v>6.9386848072562355</v>
      </c>
      <c r="Q35" s="63">
        <f t="shared" si="16"/>
        <v>17.492670215657121</v>
      </c>
      <c r="R35" s="63">
        <f t="shared" si="16"/>
        <v>14.630202846135701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2:40">
      <c r="B36" s="39" t="s">
        <v>197</v>
      </c>
      <c r="G36" s="65">
        <f>I36*P34</f>
        <v>173298.94637538085</v>
      </c>
      <c r="H36" s="174">
        <f>'Financial Analysis'!E71</f>
        <v>19589.414764650119</v>
      </c>
      <c r="I36" s="174">
        <f>'Financial Analysis'!F71</f>
        <v>25795.376498871403</v>
      </c>
      <c r="J36" s="174">
        <f>J26</f>
        <v>19948.523560556176</v>
      </c>
      <c r="K36" s="174">
        <f>K26</f>
        <v>28651.367194229329</v>
      </c>
      <c r="O36" s="60">
        <f t="shared" ref="O36" si="17">$G36/H36</f>
        <v>8.8465606786837618</v>
      </c>
      <c r="P36" s="60">
        <f t="shared" ref="P36" si="18">$G36/I36</f>
        <v>6.7182173667037972</v>
      </c>
      <c r="Q36" s="60">
        <f t="shared" ref="Q36" si="19">$G36/J36</f>
        <v>8.6873069001478118</v>
      </c>
      <c r="R36" s="60">
        <f t="shared" ref="R36" si="20">$G36/K36</f>
        <v>6.0485402040529843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2:40">
      <c r="B37" s="95" t="s">
        <v>380</v>
      </c>
      <c r="G37" s="64">
        <f>MIN(P34:P35)*I36</f>
        <v>173298.94637538085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2:40">
      <c r="B38" s="96" t="s">
        <v>381</v>
      </c>
      <c r="G38" s="64">
        <f>MAX(P34:P35)*I36</f>
        <v>178985.98701017356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2:40"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2:40">
      <c r="B40" s="36" t="s">
        <v>150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2:40">
      <c r="B41" s="31" t="s">
        <v>176</v>
      </c>
      <c r="C41" s="42" t="s">
        <v>180</v>
      </c>
      <c r="D41" s="49">
        <v>171861.5</v>
      </c>
      <c r="E41" s="49">
        <v>28490</v>
      </c>
      <c r="F41" s="49">
        <v>649</v>
      </c>
      <c r="G41" s="61">
        <f>D41+E41+F41</f>
        <v>201000.5</v>
      </c>
      <c r="H41" s="167">
        <v>39068</v>
      </c>
      <c r="I41" s="167">
        <v>39907</v>
      </c>
      <c r="J41" s="167">
        <v>18968</v>
      </c>
      <c r="K41" s="167">
        <v>19775</v>
      </c>
      <c r="L41" s="168">
        <f>I41/H41-1</f>
        <v>2.1475376267021673E-2</v>
      </c>
      <c r="M41" s="168">
        <f>K41/J41-1</f>
        <v>4.2545339519190151E-2</v>
      </c>
      <c r="N41" s="59">
        <f>K41/I41</f>
        <v>0.49552710050868271</v>
      </c>
      <c r="O41" s="60">
        <f t="shared" ref="O41:R44" si="21">$G41/H41</f>
        <v>5.1448883997133201</v>
      </c>
      <c r="P41" s="60">
        <f t="shared" si="21"/>
        <v>5.0367228806976216</v>
      </c>
      <c r="Q41" s="60">
        <f t="shared" si="21"/>
        <v>10.596820961619569</v>
      </c>
      <c r="R41" s="60">
        <f t="shared" si="21"/>
        <v>10.164374209860936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2:40">
      <c r="B42" s="31" t="s">
        <v>177</v>
      </c>
      <c r="C42" s="42" t="s">
        <v>177</v>
      </c>
      <c r="D42" s="49">
        <v>146352.4</v>
      </c>
      <c r="E42" s="49">
        <v>11780</v>
      </c>
      <c r="F42" s="49">
        <v>211</v>
      </c>
      <c r="G42" s="61">
        <f>D42+E42+F42</f>
        <v>158343.4</v>
      </c>
      <c r="H42" s="167">
        <v>26846</v>
      </c>
      <c r="I42" s="167">
        <v>28198</v>
      </c>
      <c r="J42" s="167">
        <v>7758</v>
      </c>
      <c r="K42" s="167">
        <v>8944</v>
      </c>
      <c r="L42" s="168">
        <f>I42/H42-1</f>
        <v>5.0361320122178421E-2</v>
      </c>
      <c r="M42" s="168">
        <f>K42/J42-1</f>
        <v>0.15287445217839646</v>
      </c>
      <c r="N42" s="59">
        <f>K42/I42</f>
        <v>0.31718561600113482</v>
      </c>
      <c r="O42" s="60">
        <f t="shared" si="21"/>
        <v>5.8982120241376741</v>
      </c>
      <c r="P42" s="60">
        <f t="shared" si="21"/>
        <v>5.6154124405986234</v>
      </c>
      <c r="Q42" s="60">
        <f t="shared" si="21"/>
        <v>20.410337715906159</v>
      </c>
      <c r="R42" s="60">
        <f t="shared" si="21"/>
        <v>17.703868515205723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2:40">
      <c r="B43" s="31" t="s">
        <v>178</v>
      </c>
      <c r="C43" s="42" t="s">
        <v>181</v>
      </c>
      <c r="D43" s="49">
        <v>228009.60000000001</v>
      </c>
      <c r="E43" s="49">
        <v>-3100</v>
      </c>
      <c r="F43" s="49">
        <v>0</v>
      </c>
      <c r="G43" s="61">
        <f>D43+E43+F43</f>
        <v>224909.6</v>
      </c>
      <c r="H43" s="167">
        <v>17098</v>
      </c>
      <c r="I43" s="167">
        <v>20770</v>
      </c>
      <c r="J43" s="167">
        <v>5009</v>
      </c>
      <c r="K43" s="167">
        <v>6126</v>
      </c>
      <c r="L43" s="168">
        <f>I43/H43-1</f>
        <v>0.21476196046321205</v>
      </c>
      <c r="M43" s="168">
        <f>K43/J43-1</f>
        <v>0.22299860251547221</v>
      </c>
      <c r="N43" s="59">
        <f>K43/I43</f>
        <v>0.29494463168030816</v>
      </c>
      <c r="O43" s="60">
        <f t="shared" si="21"/>
        <v>13.15414668382267</v>
      </c>
      <c r="P43" s="60">
        <f t="shared" si="21"/>
        <v>10.828579682233991</v>
      </c>
      <c r="Q43" s="60">
        <f t="shared" si="21"/>
        <v>44.901098023557594</v>
      </c>
      <c r="R43" s="60">
        <f t="shared" si="21"/>
        <v>36.713940581129613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2:40">
      <c r="B44" s="31" t="s">
        <v>179</v>
      </c>
      <c r="C44" s="42" t="s">
        <v>182</v>
      </c>
      <c r="D44" s="49">
        <v>60431</v>
      </c>
      <c r="E44" s="49">
        <v>2730</v>
      </c>
      <c r="F44" s="49">
        <v>0</v>
      </c>
      <c r="G44" s="61">
        <f>D44+E44+F44</f>
        <v>63161</v>
      </c>
      <c r="H44" s="167">
        <v>10811</v>
      </c>
      <c r="I44" s="167">
        <v>11616</v>
      </c>
      <c r="J44" s="167">
        <v>4134</v>
      </c>
      <c r="K44" s="167">
        <v>4466</v>
      </c>
      <c r="L44" s="168">
        <f>I44/H44-1</f>
        <v>7.4461196929053841E-2</v>
      </c>
      <c r="M44" s="168">
        <f>K44/J44-1</f>
        <v>8.0309627479438817E-2</v>
      </c>
      <c r="N44" s="59">
        <f>K44/I44</f>
        <v>0.38446969696969696</v>
      </c>
      <c r="O44" s="60">
        <f t="shared" si="21"/>
        <v>5.8422902599204516</v>
      </c>
      <c r="P44" s="60">
        <f t="shared" si="21"/>
        <v>5.4374139118457299</v>
      </c>
      <c r="Q44" s="60">
        <f t="shared" si="21"/>
        <v>15.278422835026609</v>
      </c>
      <c r="R44" s="60">
        <f t="shared" si="21"/>
        <v>14.142633228840126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2:40">
      <c r="B45" s="37" t="s">
        <v>169</v>
      </c>
      <c r="C45" s="38"/>
      <c r="D45" s="58">
        <f t="shared" ref="D45:R45" si="22">AVERAGE(D41:D44)</f>
        <v>151663.625</v>
      </c>
      <c r="E45" s="58">
        <f t="shared" si="22"/>
        <v>9975</v>
      </c>
      <c r="F45" s="58">
        <f t="shared" si="22"/>
        <v>215</v>
      </c>
      <c r="G45" s="58">
        <f t="shared" si="22"/>
        <v>161853.625</v>
      </c>
      <c r="H45" s="523">
        <f t="shared" si="22"/>
        <v>23455.75</v>
      </c>
      <c r="I45" s="523">
        <f t="shared" si="22"/>
        <v>25122.75</v>
      </c>
      <c r="J45" s="523">
        <f t="shared" si="22"/>
        <v>8967.25</v>
      </c>
      <c r="K45" s="523">
        <f t="shared" si="22"/>
        <v>9827.75</v>
      </c>
      <c r="L45" s="172">
        <f t="shared" si="22"/>
        <v>9.0264963445366497E-2</v>
      </c>
      <c r="M45" s="172">
        <f t="shared" si="22"/>
        <v>0.12468200542312441</v>
      </c>
      <c r="N45" s="62">
        <f t="shared" si="22"/>
        <v>0.37303176128995569</v>
      </c>
      <c r="O45" s="63">
        <f t="shared" si="22"/>
        <v>7.5098843418985286</v>
      </c>
      <c r="P45" s="63">
        <f t="shared" si="22"/>
        <v>6.7295322288439916</v>
      </c>
      <c r="Q45" s="63">
        <f t="shared" si="22"/>
        <v>22.796669884027484</v>
      </c>
      <c r="R45" s="63">
        <f t="shared" si="22"/>
        <v>19.681204133759099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2:40">
      <c r="B46" s="37" t="s">
        <v>170</v>
      </c>
      <c r="C46" s="38"/>
      <c r="D46" s="58">
        <f t="shared" ref="D46:R46" si="23">MEDIAN(D41:D44)</f>
        <v>159106.95000000001</v>
      </c>
      <c r="E46" s="58">
        <f t="shared" si="23"/>
        <v>7255</v>
      </c>
      <c r="F46" s="58">
        <f t="shared" si="23"/>
        <v>105.5</v>
      </c>
      <c r="G46" s="58">
        <f t="shared" si="23"/>
        <v>179671.95</v>
      </c>
      <c r="H46" s="523">
        <f t="shared" si="23"/>
        <v>21972</v>
      </c>
      <c r="I46" s="523">
        <f t="shared" si="23"/>
        <v>24484</v>
      </c>
      <c r="J46" s="523">
        <f t="shared" si="23"/>
        <v>6383.5</v>
      </c>
      <c r="K46" s="523">
        <f t="shared" si="23"/>
        <v>7535</v>
      </c>
      <c r="L46" s="172">
        <f t="shared" si="23"/>
        <v>6.2411258525616131E-2</v>
      </c>
      <c r="M46" s="172">
        <f t="shared" si="23"/>
        <v>0.11659203982891764</v>
      </c>
      <c r="N46" s="62">
        <f t="shared" si="23"/>
        <v>0.35082765648541592</v>
      </c>
      <c r="O46" s="63">
        <f t="shared" si="23"/>
        <v>5.8702511420290628</v>
      </c>
      <c r="P46" s="63">
        <f t="shared" si="23"/>
        <v>5.5264131762221762</v>
      </c>
      <c r="Q46" s="63">
        <f t="shared" si="23"/>
        <v>17.844380275466385</v>
      </c>
      <c r="R46" s="63">
        <f t="shared" si="23"/>
        <v>15.923250872022924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2:40">
      <c r="B47" s="39" t="s">
        <v>198</v>
      </c>
      <c r="G47" s="65">
        <f>I47*P45</f>
        <v>384785.94802327984</v>
      </c>
      <c r="H47" s="174">
        <f>'Financial Analysis'!E68</f>
        <v>45236.532112588131</v>
      </c>
      <c r="I47" s="174">
        <f>'Financial Analysis'!F68</f>
        <v>57178.706474428895</v>
      </c>
      <c r="J47" s="174">
        <f>J36</f>
        <v>19948.523560556176</v>
      </c>
      <c r="K47" s="174">
        <f>K36</f>
        <v>28651.367194229329</v>
      </c>
      <c r="O47" s="60">
        <f t="shared" ref="O47" si="24">$G47/H47</f>
        <v>8.5060885539500521</v>
      </c>
      <c r="P47" s="60">
        <f t="shared" ref="P47" si="25">$G47/I47</f>
        <v>6.7295322288439916</v>
      </c>
      <c r="Q47" s="60">
        <f t="shared" ref="Q47" si="26">$G47/J47</f>
        <v>19.288943708300774</v>
      </c>
      <c r="R47" s="60">
        <f t="shared" ref="R47" si="27">$G47/K47</f>
        <v>13.429933218013399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2:40">
      <c r="B48" s="95" t="s">
        <v>382</v>
      </c>
      <c r="G48" s="64">
        <f>MIN(P45:P46)*I47</f>
        <v>315993.15685962408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>
      <c r="B49" s="96" t="s">
        <v>383</v>
      </c>
      <c r="G49" s="64">
        <f>MAX(P45:P46)*I47</f>
        <v>384785.94802327984</v>
      </c>
      <c r="J49" s="31" t="s">
        <v>76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>
      <c r="B51" s="36" t="s">
        <v>149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/>
      <c r="T51"/>
      <c r="U51"/>
      <c r="V51"/>
      <c r="W51"/>
      <c r="X51"/>
    </row>
    <row r="52" spans="1:40">
      <c r="B52" s="43" t="s">
        <v>185</v>
      </c>
      <c r="C52" s="43"/>
      <c r="D52" s="43"/>
      <c r="E52" s="43"/>
      <c r="F52" s="43"/>
      <c r="G52" s="43"/>
      <c r="H52" s="43"/>
      <c r="I52" s="43"/>
      <c r="J52" s="66">
        <v>9</v>
      </c>
      <c r="K52" s="43"/>
      <c r="L52" s="43"/>
      <c r="M52" s="43"/>
      <c r="N52" s="43"/>
      <c r="O52" s="43"/>
      <c r="Q52" s="43"/>
      <c r="R52" s="43"/>
      <c r="S52"/>
      <c r="T52"/>
      <c r="U52"/>
      <c r="V52"/>
      <c r="W52"/>
      <c r="X52"/>
    </row>
    <row r="53" spans="1:40">
      <c r="B53" s="42" t="s">
        <v>186</v>
      </c>
      <c r="G53" s="65">
        <f>I53*J52</f>
        <v>269242.20832677308</v>
      </c>
      <c r="H53" s="65">
        <f>'Financial Analysis'!E69</f>
        <v>24434.37015909587</v>
      </c>
      <c r="I53" s="65">
        <f>'Financial Analysis'!F69</f>
        <v>29915.800925197007</v>
      </c>
      <c r="P53" s="525"/>
      <c r="S53"/>
      <c r="T53"/>
      <c r="U53"/>
      <c r="V53"/>
      <c r="W53"/>
      <c r="X53"/>
    </row>
    <row r="54" spans="1:40" ht="15" thickBot="1">
      <c r="S54"/>
      <c r="T54"/>
      <c r="U54"/>
      <c r="V54"/>
      <c r="W54"/>
      <c r="X54"/>
    </row>
    <row r="55" spans="1:40">
      <c r="B55" s="511" t="s">
        <v>370</v>
      </c>
      <c r="C55" s="512"/>
      <c r="D55" s="513" t="str">
        <f>D6</f>
        <v>Market Cap</v>
      </c>
      <c r="E55" s="513" t="str">
        <f t="shared" ref="E55:I55" si="28">E6</f>
        <v>Net Debt</v>
      </c>
      <c r="F55" s="513" t="str">
        <f t="shared" si="28"/>
        <v>Minority Interest</v>
      </c>
      <c r="G55" s="513" t="str">
        <f t="shared" si="28"/>
        <v>Enterprise Value</v>
      </c>
      <c r="H55" s="513" t="str">
        <f t="shared" si="28"/>
        <v>2020 Total Revenue</v>
      </c>
      <c r="I55" s="514" t="str">
        <f t="shared" si="28"/>
        <v>2021E Total Revenue</v>
      </c>
      <c r="J55" s="30"/>
      <c r="K55" s="30"/>
      <c r="L55" s="30"/>
      <c r="M55" s="30"/>
      <c r="N55" s="30"/>
      <c r="O55" s="30"/>
      <c r="P55" s="30"/>
      <c r="Q55" s="30"/>
      <c r="R55" s="30"/>
      <c r="S55"/>
      <c r="T55"/>
      <c r="U55"/>
      <c r="V55"/>
      <c r="W55"/>
      <c r="X55"/>
    </row>
    <row r="56" spans="1:40">
      <c r="B56" s="515" t="s">
        <v>187</v>
      </c>
      <c r="C56" s="47"/>
      <c r="D56" s="516">
        <f>G56-F56-E56</f>
        <v>1529759.7056175363</v>
      </c>
      <c r="E56" s="517">
        <v>27687</v>
      </c>
      <c r="F56" s="517">
        <v>0</v>
      </c>
      <c r="G56" s="516">
        <f>G16+G26+G36+G47+$G$53</f>
        <v>1557446.7056175363</v>
      </c>
      <c r="H56" s="518">
        <f>H16+H26+H36+H47+H53</f>
        <v>372291.26353724499</v>
      </c>
      <c r="I56" s="519">
        <f>I16+I26+I36+I47+I53</f>
        <v>443181.30749246554</v>
      </c>
      <c r="S56"/>
      <c r="T56"/>
      <c r="U56"/>
      <c r="V56"/>
      <c r="W56"/>
      <c r="X56"/>
    </row>
    <row r="57" spans="1:40" ht="15" thickBot="1">
      <c r="B57" s="520"/>
      <c r="C57" s="45"/>
      <c r="D57" s="47"/>
      <c r="E57" s="47"/>
      <c r="F57" s="47"/>
      <c r="G57" s="47"/>
      <c r="H57" s="47"/>
      <c r="I57" s="44"/>
      <c r="S57"/>
      <c r="T57"/>
      <c r="U57"/>
      <c r="V57"/>
      <c r="W57"/>
      <c r="X57"/>
    </row>
    <row r="58" spans="1:40" ht="15" thickBot="1">
      <c r="A58" s="47"/>
      <c r="B58" s="336" t="s">
        <v>188</v>
      </c>
      <c r="C58" s="46"/>
      <c r="D58" s="337">
        <f>D56/'Financial Analysis'!B241</f>
        <v>3005.4218185020359</v>
      </c>
      <c r="E58" s="47"/>
      <c r="F58" s="47"/>
      <c r="G58" s="47"/>
      <c r="H58" s="47"/>
      <c r="I58" s="44"/>
      <c r="S58"/>
      <c r="T58"/>
      <c r="U58"/>
      <c r="V58"/>
      <c r="W58"/>
      <c r="X58"/>
    </row>
    <row r="59" spans="1:40">
      <c r="B59" s="515"/>
      <c r="C59" s="47"/>
      <c r="D59" s="47"/>
      <c r="E59" s="47"/>
      <c r="F59" s="47"/>
      <c r="G59" s="47"/>
      <c r="H59" s="47"/>
      <c r="I59" s="44"/>
      <c r="S59"/>
      <c r="T59"/>
      <c r="U59"/>
      <c r="V59"/>
      <c r="W59"/>
      <c r="X59"/>
    </row>
    <row r="60" spans="1:40">
      <c r="B60" s="515" t="s">
        <v>190</v>
      </c>
      <c r="C60" s="518">
        <f>D60/'Financial Analysis'!B241</f>
        <v>2521.9723229230794</v>
      </c>
      <c r="D60" s="518">
        <f>G60-F60-E60</f>
        <v>1283683.9123678475</v>
      </c>
      <c r="E60" s="518">
        <f>$E$56</f>
        <v>27687</v>
      </c>
      <c r="F60" s="518">
        <f>$F$56</f>
        <v>0</v>
      </c>
      <c r="G60" s="518">
        <f>G17+G27+G37+G48+$G$53</f>
        <v>1311370.9123678475</v>
      </c>
      <c r="H60" s="47"/>
      <c r="I60" s="44"/>
      <c r="S60"/>
      <c r="T60"/>
      <c r="U60"/>
      <c r="V60"/>
      <c r="W60"/>
      <c r="X60"/>
    </row>
    <row r="61" spans="1:40" ht="15" thickBot="1">
      <c r="B61" s="520" t="s">
        <v>189</v>
      </c>
      <c r="C61" s="521">
        <f>D61/'Financial Analysis'!B241</f>
        <v>3016.594786350352</v>
      </c>
      <c r="D61" s="521">
        <f>G61-F61-E61</f>
        <v>1535446.7462523291</v>
      </c>
      <c r="E61" s="521">
        <f>$E$56</f>
        <v>27687</v>
      </c>
      <c r="F61" s="521">
        <f>$F$56</f>
        <v>0</v>
      </c>
      <c r="G61" s="521">
        <f>G18+G28+G38+G49+$G$53</f>
        <v>1563133.7462523291</v>
      </c>
      <c r="H61" s="45"/>
      <c r="I61" s="522"/>
      <c r="S61"/>
      <c r="T61"/>
      <c r="U61"/>
      <c r="V61"/>
      <c r="W61"/>
      <c r="X61"/>
    </row>
    <row r="62" spans="1:40">
      <c r="S62"/>
      <c r="T62"/>
      <c r="U62"/>
      <c r="V62"/>
      <c r="W62"/>
      <c r="X62"/>
    </row>
    <row r="63" spans="1:40">
      <c r="S63"/>
      <c r="T63"/>
      <c r="U63"/>
      <c r="V63"/>
      <c r="W63"/>
      <c r="X63"/>
    </row>
    <row r="64" spans="1:40" ht="15" thickBot="1">
      <c r="S64"/>
      <c r="T64"/>
      <c r="U64"/>
      <c r="V64"/>
      <c r="W64"/>
      <c r="X64"/>
    </row>
    <row r="65" spans="1:24">
      <c r="B65" s="537" t="s">
        <v>862</v>
      </c>
      <c r="C65" s="512"/>
      <c r="D65" s="512"/>
      <c r="E65" s="538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/>
      <c r="T65"/>
      <c r="U65"/>
      <c r="V65"/>
      <c r="W65"/>
      <c r="X65"/>
    </row>
    <row r="66" spans="1:24" ht="15" thickBot="1">
      <c r="A66"/>
      <c r="B66" s="539" t="s">
        <v>863</v>
      </c>
      <c r="C66" s="441" t="s">
        <v>864</v>
      </c>
      <c r="D66" s="441" t="s">
        <v>865</v>
      </c>
      <c r="E66" s="540" t="s">
        <v>866</v>
      </c>
      <c r="F66"/>
      <c r="G66"/>
      <c r="H66"/>
      <c r="I66"/>
      <c r="J66"/>
      <c r="K66"/>
      <c r="L66"/>
      <c r="M66"/>
      <c r="N66"/>
      <c r="O66"/>
      <c r="P66"/>
      <c r="Q66" s="458"/>
      <c r="R66"/>
      <c r="S66"/>
      <c r="T66"/>
      <c r="U66"/>
      <c r="V66"/>
      <c r="W66"/>
      <c r="X66"/>
    </row>
    <row r="67" spans="1:24">
      <c r="A67"/>
      <c r="B67" s="541" t="s">
        <v>867</v>
      </c>
      <c r="C67" s="189">
        <v>19.12</v>
      </c>
      <c r="D67" s="189">
        <v>13.91</v>
      </c>
      <c r="E67" s="542">
        <v>0.76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>
      <c r="A68"/>
      <c r="B68" s="541" t="s">
        <v>868</v>
      </c>
      <c r="C68" s="189">
        <v>26.01</v>
      </c>
      <c r="D68" s="189">
        <v>33.049999999999997</v>
      </c>
      <c r="E68" s="542">
        <v>7.93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>
      <c r="A69"/>
      <c r="B69" s="541" t="s">
        <v>869</v>
      </c>
      <c r="C69" s="189">
        <v>16.22</v>
      </c>
      <c r="D69" s="189">
        <v>14.95</v>
      </c>
      <c r="E69" s="542">
        <v>2.2599999999999998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>
      <c r="A70"/>
      <c r="B70" s="541" t="s">
        <v>870</v>
      </c>
      <c r="C70" s="189">
        <v>26.22</v>
      </c>
      <c r="D70" s="189">
        <v>42.96</v>
      </c>
      <c r="E70" s="542">
        <v>1.1599999999999999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>
      <c r="A71"/>
      <c r="B71" s="541" t="s">
        <v>871</v>
      </c>
      <c r="C71" s="189">
        <v>18.510000000000002</v>
      </c>
      <c r="D71" s="189">
        <v>10.99</v>
      </c>
      <c r="E71" s="542">
        <v>3.4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>
      <c r="A72"/>
      <c r="B72" s="541" t="s">
        <v>872</v>
      </c>
      <c r="C72" s="189">
        <v>41.5</v>
      </c>
      <c r="D72" s="189">
        <v>60.15</v>
      </c>
      <c r="E72" s="542">
        <v>14.76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>
      <c r="A73"/>
      <c r="B73" s="541" t="s">
        <v>873</v>
      </c>
      <c r="C73" s="189">
        <v>25.9</v>
      </c>
      <c r="D73" s="189"/>
      <c r="E73" s="542">
        <v>0.96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>
      <c r="A74"/>
      <c r="B74" s="541" t="s">
        <v>874</v>
      </c>
      <c r="C74" s="189">
        <v>36.130000000000003</v>
      </c>
      <c r="D74" s="189">
        <v>20.09</v>
      </c>
      <c r="E74" s="542">
        <v>9.8800000000000008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>
      <c r="A75"/>
      <c r="B75" s="541" t="s">
        <v>875</v>
      </c>
      <c r="C75" s="189">
        <v>45.05</v>
      </c>
      <c r="D75" s="189">
        <v>51.23</v>
      </c>
      <c r="E75" s="542">
        <v>9.8699999999999992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>
      <c r="A76"/>
      <c r="B76" s="541" t="s">
        <v>876</v>
      </c>
      <c r="C76" s="189">
        <v>17.420000000000002</v>
      </c>
      <c r="D76" s="189">
        <v>11.84</v>
      </c>
      <c r="E76" s="542">
        <v>4.7300000000000004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>
      <c r="A77"/>
      <c r="B77" s="541" t="s">
        <v>877</v>
      </c>
      <c r="C77" s="189">
        <v>13</v>
      </c>
      <c r="D77" s="189">
        <v>12.24</v>
      </c>
      <c r="E77" s="542">
        <v>1.4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>
      <c r="A78"/>
      <c r="B78" s="541" t="s">
        <v>878</v>
      </c>
      <c r="C78" s="189">
        <v>147.58000000000001</v>
      </c>
      <c r="D78" s="189">
        <v>83.19</v>
      </c>
      <c r="E78" s="542">
        <v>11.73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>
      <c r="A79"/>
      <c r="B79" s="543" t="s">
        <v>879</v>
      </c>
      <c r="C79" s="544">
        <f>AVERAGE(C67:C78)</f>
        <v>36.055</v>
      </c>
      <c r="D79" s="544">
        <f t="shared" ref="D79:E79" si="29">AVERAGE(D67:D78)</f>
        <v>32.236363636363635</v>
      </c>
      <c r="E79" s="545">
        <f t="shared" si="29"/>
        <v>5.7366666666666655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>
      <c r="A80"/>
      <c r="B80" s="543" t="s">
        <v>880</v>
      </c>
      <c r="C80" s="544">
        <f>MEDIAN(C67:C78)</f>
        <v>25.954999999999998</v>
      </c>
      <c r="D80" s="544">
        <f t="shared" ref="D80:E80" si="30">MEDIAN(D67:D78)</f>
        <v>20.09</v>
      </c>
      <c r="E80" s="545">
        <f t="shared" si="30"/>
        <v>4.0650000000000004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>
      <c r="A81"/>
      <c r="B81" s="546" t="s">
        <v>881</v>
      </c>
      <c r="C81" s="547">
        <v>55.1</v>
      </c>
      <c r="D81" s="547">
        <v>32.96</v>
      </c>
      <c r="E81" s="548">
        <v>4.47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15" thickBot="1">
      <c r="A82"/>
      <c r="B82" s="549" t="s">
        <v>883</v>
      </c>
      <c r="C82" s="156"/>
      <c r="D82" s="156"/>
      <c r="E82" s="550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</sheetData>
  <phoneticPr fontId="10" type="noConversion"/>
  <pageMargins left="0.7" right="0.7" top="0.75" bottom="0.75" header="0.3" footer="0.3"/>
  <pageSetup paperSize="9" scale="3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3</xdr:col>
                    <xdr:colOff>464820</xdr:colOff>
                    <xdr:row>1</xdr:row>
                    <xdr:rowOff>7620</xdr:rowOff>
                  </from>
                  <to>
                    <xdr:col>5</xdr:col>
                    <xdr:colOff>312420</xdr:colOff>
                    <xdr:row>2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  <pageSetUpPr fitToPage="1"/>
  </sheetPr>
  <dimension ref="A52:O81"/>
  <sheetViews>
    <sheetView showGridLines="0" showWhiteSpace="0" topLeftCell="A46" zoomScaleNormal="100" workbookViewId="0">
      <selection activeCell="A81" sqref="A81:K81"/>
    </sheetView>
  </sheetViews>
  <sheetFormatPr defaultRowHeight="14.4"/>
  <cols>
    <col min="2" max="2" width="8.109375" bestFit="1" customWidth="1"/>
    <col min="3" max="3" width="21.6640625" bestFit="1" customWidth="1"/>
    <col min="6" max="6" width="25.6640625" bestFit="1" customWidth="1"/>
    <col min="7" max="7" width="24.44140625" bestFit="1" customWidth="1"/>
    <col min="8" max="8" width="20.6640625" bestFit="1" customWidth="1"/>
    <col min="9" max="9" width="27.88671875" bestFit="1" customWidth="1"/>
    <col min="10" max="10" width="18.109375" bestFit="1" customWidth="1"/>
    <col min="12" max="12" width="28.88671875" bestFit="1" customWidth="1"/>
    <col min="13" max="13" width="2" bestFit="1" customWidth="1"/>
    <col min="15" max="15" width="17.44140625" bestFit="1" customWidth="1"/>
  </cols>
  <sheetData>
    <row r="52" spans="2:15">
      <c r="C52" t="s">
        <v>919</v>
      </c>
      <c r="F52" t="s">
        <v>921</v>
      </c>
      <c r="I52" t="s">
        <v>922</v>
      </c>
      <c r="L52" t="s">
        <v>923</v>
      </c>
      <c r="O52" t="s">
        <v>924</v>
      </c>
    </row>
    <row r="53" spans="2:15">
      <c r="B53" t="s">
        <v>920</v>
      </c>
      <c r="C53" s="74">
        <v>2</v>
      </c>
      <c r="D53" s="74"/>
      <c r="E53" s="74"/>
      <c r="F53" s="74">
        <v>0</v>
      </c>
      <c r="G53" s="74"/>
      <c r="H53" s="74"/>
      <c r="I53" s="74">
        <v>0</v>
      </c>
      <c r="J53" s="74"/>
      <c r="K53" s="74"/>
      <c r="L53" s="74">
        <v>0</v>
      </c>
      <c r="M53" s="74"/>
      <c r="N53" s="74"/>
      <c r="O53" s="74">
        <v>0</v>
      </c>
    </row>
    <row r="54" spans="2:15">
      <c r="C54" s="74">
        <v>0</v>
      </c>
      <c r="D54" s="74"/>
      <c r="E54" s="74"/>
      <c r="F54" s="74">
        <v>3</v>
      </c>
      <c r="G54" s="74"/>
      <c r="H54" s="74"/>
      <c r="I54" s="74">
        <v>0</v>
      </c>
      <c r="J54" s="74"/>
      <c r="K54" s="74"/>
      <c r="L54" s="74">
        <v>0</v>
      </c>
      <c r="M54" s="74"/>
      <c r="N54" s="74"/>
      <c r="O54" s="74">
        <v>0</v>
      </c>
    </row>
    <row r="55" spans="2:15">
      <c r="C55" s="74">
        <v>0</v>
      </c>
      <c r="F55" s="74">
        <v>0</v>
      </c>
      <c r="I55" s="74">
        <v>2</v>
      </c>
      <c r="L55" s="74">
        <v>0</v>
      </c>
      <c r="O55" s="74">
        <v>0</v>
      </c>
    </row>
    <row r="56" spans="2:15">
      <c r="C56" s="74">
        <v>0</v>
      </c>
      <c r="F56" s="74">
        <v>0</v>
      </c>
      <c r="I56" s="74">
        <v>0</v>
      </c>
      <c r="L56" s="74">
        <v>4</v>
      </c>
      <c r="O56" s="74">
        <v>0</v>
      </c>
    </row>
    <row r="57" spans="2:15">
      <c r="C57" s="74">
        <v>0</v>
      </c>
      <c r="F57" s="74">
        <v>0</v>
      </c>
      <c r="I57" s="74">
        <v>0</v>
      </c>
      <c r="L57" s="74">
        <v>0</v>
      </c>
      <c r="O57" s="74">
        <v>4</v>
      </c>
    </row>
    <row r="81" spans="1:11">
      <c r="A81" t="s">
        <v>925</v>
      </c>
      <c r="C81" t="s">
        <v>926</v>
      </c>
      <c r="D81" t="s">
        <v>927</v>
      </c>
      <c r="F81" t="s">
        <v>928</v>
      </c>
      <c r="G81" t="s">
        <v>929</v>
      </c>
      <c r="H81" t="s">
        <v>930</v>
      </c>
      <c r="I81" t="s">
        <v>931</v>
      </c>
      <c r="J81" t="s">
        <v>932</v>
      </c>
      <c r="K81" t="s">
        <v>933</v>
      </c>
    </row>
  </sheetData>
  <phoneticPr fontId="10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BM511"/>
  <sheetViews>
    <sheetView showGridLines="0" zoomScale="80" zoomScaleNormal="80" workbookViewId="0">
      <pane ySplit="4" topLeftCell="A5" activePane="bottomLeft" state="frozen"/>
      <selection pane="bottomLeft" activeCell="H18" sqref="H18"/>
    </sheetView>
  </sheetViews>
  <sheetFormatPr defaultColWidth="9.44140625" defaultRowHeight="15.6" outlineLevelRow="1" outlineLevelCol="1"/>
  <cols>
    <col min="1" max="1" width="8.6640625" style="382" customWidth="1"/>
    <col min="2" max="2" width="14.88671875" style="382" customWidth="1"/>
    <col min="3" max="4" width="8.6640625" style="382" customWidth="1"/>
    <col min="5" max="5" width="5.44140625" style="382" customWidth="1"/>
    <col min="6" max="6" width="23" style="382" customWidth="1"/>
    <col min="7" max="7" width="4.33203125" style="382" customWidth="1"/>
    <col min="8" max="8" width="10.88671875" style="382" customWidth="1"/>
    <col min="9" max="9" width="8.6640625" style="382" customWidth="1"/>
    <col min="10" max="10" width="16.88671875" style="382" customWidth="1"/>
    <col min="11" max="11" width="17.109375" style="382" customWidth="1"/>
    <col min="12" max="13" width="8.6640625" style="382" customWidth="1"/>
    <col min="14" max="14" width="10" style="382" customWidth="1"/>
    <col min="15" max="15" width="12.109375" style="382" customWidth="1"/>
    <col min="16" max="17" width="8.6640625" style="382" customWidth="1"/>
    <col min="18" max="18" width="7.109375" style="382" customWidth="1"/>
    <col min="19" max="19" width="10.109375" style="382" customWidth="1"/>
    <col min="20" max="20" width="8.6640625" style="382" customWidth="1"/>
    <col min="21" max="21" width="21.6640625" style="382" customWidth="1"/>
    <col min="22" max="22" width="8.6640625" style="382" customWidth="1"/>
    <col min="23" max="23" width="11.44140625" style="348" customWidth="1"/>
    <col min="24" max="24" width="8.6640625" style="348" customWidth="1"/>
    <col min="25" max="27" width="9.44140625" style="348" customWidth="1"/>
    <col min="28" max="37" width="9.44140625" style="348" hidden="1" customWidth="1" outlineLevel="1"/>
    <col min="38" max="38" width="14.6640625" style="348" hidden="1" customWidth="1" outlineLevel="1"/>
    <col min="39" max="41" width="9.44140625" style="348" hidden="1" customWidth="1" outlineLevel="1"/>
    <col min="42" max="42" width="14.6640625" style="348" hidden="1" customWidth="1" outlineLevel="1"/>
    <col min="43" max="43" width="12.44140625" style="348" hidden="1" customWidth="1" outlineLevel="1"/>
    <col min="44" max="50" width="9.44140625" style="348" hidden="1" customWidth="1" outlineLevel="1"/>
    <col min="51" max="51" width="10.44140625" style="348" hidden="1" customWidth="1" outlineLevel="1"/>
    <col min="52" max="58" width="9.44140625" style="348" hidden="1" customWidth="1" outlineLevel="1"/>
    <col min="59" max="59" width="16.44140625" style="348" hidden="1" customWidth="1" outlineLevel="1"/>
    <col min="60" max="64" width="9.44140625" style="348" hidden="1" customWidth="1" outlineLevel="1"/>
    <col min="65" max="65" width="9.44140625" style="348" collapsed="1"/>
    <col min="66" max="16384" width="9.44140625" style="348"/>
  </cols>
  <sheetData>
    <row r="1" spans="1:63" s="344" customFormat="1" ht="17.25" customHeight="1">
      <c r="A1" s="338" t="s">
        <v>313</v>
      </c>
      <c r="B1" s="339" t="s">
        <v>411</v>
      </c>
      <c r="C1" s="338"/>
      <c r="D1" s="340" t="s">
        <v>412</v>
      </c>
      <c r="E1" s="339" t="s">
        <v>413</v>
      </c>
      <c r="F1" s="341"/>
      <c r="G1" s="340" t="s">
        <v>414</v>
      </c>
      <c r="H1" s="342">
        <f>W14</f>
        <v>44176</v>
      </c>
      <c r="I1" s="338"/>
      <c r="J1" s="340" t="s">
        <v>415</v>
      </c>
      <c r="K1" s="339" t="s">
        <v>416</v>
      </c>
      <c r="L1" s="338"/>
      <c r="M1" s="340" t="s">
        <v>417</v>
      </c>
      <c r="N1" s="339" t="s">
        <v>418</v>
      </c>
      <c r="O1" s="338"/>
      <c r="P1" s="340" t="s">
        <v>419</v>
      </c>
      <c r="Q1" s="651" t="s">
        <v>623</v>
      </c>
      <c r="R1" s="652"/>
      <c r="S1" s="653"/>
      <c r="T1" s="338"/>
      <c r="U1" s="338"/>
      <c r="V1" s="338"/>
      <c r="W1" s="343"/>
      <c r="Z1" s="345"/>
      <c r="AB1" s="346" t="e">
        <f ca="1">_xll.ciqfunctions.udf.CIQ("3602","iq_ev_over_ltm_ebitda")</f>
        <v>#NAME?</v>
      </c>
    </row>
    <row r="2" spans="1:63" ht="16.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  <c r="V2" s="341"/>
      <c r="W2" s="347"/>
    </row>
    <row r="3" spans="1:63" ht="24" customHeight="1">
      <c r="A3" s="439" t="s">
        <v>421</v>
      </c>
      <c r="B3" s="353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AB3" s="344" t="s">
        <v>422</v>
      </c>
    </row>
    <row r="4" spans="1:63" ht="12" customHeight="1">
      <c r="A4" s="440" t="s">
        <v>423</v>
      </c>
      <c r="B4" s="353"/>
      <c r="C4" s="353"/>
      <c r="D4" s="353"/>
      <c r="E4" s="353"/>
      <c r="F4" s="353"/>
      <c r="G4" s="353"/>
      <c r="H4" s="353"/>
      <c r="I4" s="353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</row>
    <row r="5" spans="1:63" ht="14.1" customHeight="1">
      <c r="A5" s="341"/>
      <c r="B5" s="341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W5" s="341"/>
    </row>
    <row r="6" spans="1:63" ht="14.1" customHeight="1">
      <c r="A6" s="349" t="s">
        <v>424</v>
      </c>
      <c r="B6" s="350"/>
      <c r="C6" s="350"/>
      <c r="D6" s="350"/>
      <c r="E6" s="350"/>
      <c r="F6" s="350"/>
      <c r="G6" s="351"/>
      <c r="H6" s="351"/>
      <c r="I6" s="341"/>
      <c r="J6" s="349" t="s">
        <v>425</v>
      </c>
      <c r="K6" s="350"/>
      <c r="L6" s="350"/>
      <c r="M6" s="350"/>
      <c r="N6" s="351"/>
      <c r="O6" s="351"/>
      <c r="P6" s="351"/>
      <c r="Q6" s="351"/>
      <c r="R6" s="351"/>
      <c r="S6" s="351"/>
      <c r="T6" s="341"/>
      <c r="U6" s="352" t="s">
        <v>860</v>
      </c>
      <c r="V6" s="353"/>
      <c r="W6" s="353"/>
    </row>
    <row r="7" spans="1:63" ht="14.1" customHeight="1">
      <c r="A7" s="341"/>
      <c r="B7" s="341"/>
      <c r="C7" s="341"/>
      <c r="D7" s="341"/>
      <c r="E7" s="341"/>
      <c r="F7" s="341"/>
      <c r="G7" s="341"/>
      <c r="H7" s="341"/>
      <c r="I7" s="341"/>
      <c r="J7" s="341"/>
      <c r="K7" s="341"/>
      <c r="L7" s="340" t="s">
        <v>426</v>
      </c>
      <c r="M7" s="340" t="s">
        <v>427</v>
      </c>
      <c r="N7" s="340" t="s">
        <v>428</v>
      </c>
      <c r="O7" s="340" t="s">
        <v>429</v>
      </c>
      <c r="P7" s="340" t="s">
        <v>430</v>
      </c>
      <c r="Q7" s="340" t="s">
        <v>431</v>
      </c>
      <c r="R7" s="340" t="s">
        <v>432</v>
      </c>
      <c r="S7" s="340" t="s">
        <v>433</v>
      </c>
      <c r="T7" s="341"/>
      <c r="U7" s="341" t="s">
        <v>434</v>
      </c>
      <c r="V7" s="354"/>
      <c r="W7" s="355">
        <v>96089</v>
      </c>
      <c r="X7" s="356"/>
      <c r="AF7" s="357"/>
      <c r="AP7" s="348">
        <f>MATCH($G$21,$AP$11:$AP$122,0)</f>
        <v>102</v>
      </c>
      <c r="AQ7" s="348">
        <f>COUNTIF($AP$11:$AP$122,$G$21)</f>
        <v>11</v>
      </c>
    </row>
    <row r="8" spans="1:63" ht="14.1" customHeight="1">
      <c r="A8" s="341" t="s">
        <v>435</v>
      </c>
      <c r="B8" s="341"/>
      <c r="C8" s="341"/>
      <c r="D8" s="341"/>
      <c r="E8" s="341"/>
      <c r="F8" s="341"/>
      <c r="G8" s="341"/>
      <c r="H8" s="358">
        <v>0.3</v>
      </c>
      <c r="I8" s="341"/>
      <c r="J8" s="359" t="s">
        <v>313</v>
      </c>
      <c r="K8" s="360" t="s">
        <v>391</v>
      </c>
      <c r="L8" s="361" t="s">
        <v>153</v>
      </c>
      <c r="M8" s="361" t="s">
        <v>436</v>
      </c>
      <c r="N8" s="361" t="s">
        <v>437</v>
      </c>
      <c r="O8" s="361" t="s">
        <v>438</v>
      </c>
      <c r="P8" s="361" t="s">
        <v>438</v>
      </c>
      <c r="Q8" s="361" t="s">
        <v>438</v>
      </c>
      <c r="R8" s="361" t="s">
        <v>438</v>
      </c>
      <c r="S8" s="361" t="s">
        <v>439</v>
      </c>
      <c r="T8" s="341"/>
      <c r="U8" s="341" t="s">
        <v>440</v>
      </c>
      <c r="V8" s="354"/>
      <c r="W8" s="355">
        <v>0</v>
      </c>
      <c r="AF8" s="357"/>
      <c r="BC8" s="362" t="e">
        <f ca="1">AVERAGEIF(BC10:BC14,"&gt;0",BC10:BC14)</f>
        <v>#DIV/0!</v>
      </c>
      <c r="BK8" s="362">
        <f ca="1">IF(ISERROR(AVERAGEIF(BK10:BK510,"&gt;0",BK10:BK510)),0,AVERAGEIF(BK10:BK510,"&gt;0",BK10:BK510))</f>
        <v>0</v>
      </c>
    </row>
    <row r="9" spans="1:63" ht="14.1" customHeight="1">
      <c r="A9" s="341" t="s">
        <v>441</v>
      </c>
      <c r="B9" s="341"/>
      <c r="C9" s="341"/>
      <c r="D9" s="341"/>
      <c r="E9" s="341"/>
      <c r="F9" s="341"/>
      <c r="G9" s="341"/>
      <c r="H9" s="363">
        <v>3.2199999999999999E-2</v>
      </c>
      <c r="I9" s="341"/>
      <c r="J9" s="364" t="s">
        <v>442</v>
      </c>
      <c r="K9" s="365" t="s">
        <v>443</v>
      </c>
      <c r="L9" s="366">
        <v>0.23</v>
      </c>
      <c r="M9" s="367">
        <v>1.07098</v>
      </c>
      <c r="N9" s="368">
        <v>27191</v>
      </c>
      <c r="O9" s="368">
        <v>1199619</v>
      </c>
      <c r="P9" s="368">
        <v>0</v>
      </c>
      <c r="Q9" s="369">
        <f t="shared" ref="Q9:Q14" si="0">IF($J9="","",IF(ISERROR(N9/O9),"NA",N9/O9))</f>
        <v>2.2666363236994412E-2</v>
      </c>
      <c r="R9" s="369">
        <f t="shared" ref="R9:R14" si="1">IF($J9="","",IF(ISERROR(P9/O9),"NA",P9/O9))</f>
        <v>0</v>
      </c>
      <c r="S9" s="370">
        <f t="shared" ref="S9:S14" si="2">IF($J9="","",IF(M9=0,"NA",IF(ISERROR(M9/(1+Q9*(1-$L9)+R9)),"NA",M9/(1+Q9*(1-$L9)+R9))))</f>
        <v>1.0526087151571824</v>
      </c>
      <c r="T9" s="371">
        <v>1</v>
      </c>
      <c r="U9" s="341" t="s">
        <v>163</v>
      </c>
      <c r="V9" s="354"/>
      <c r="W9" s="355">
        <v>1574771</v>
      </c>
      <c r="AF9" s="357"/>
      <c r="AX9" s="344" t="s">
        <v>444</v>
      </c>
      <c r="AY9" s="372" t="s">
        <v>445</v>
      </c>
      <c r="AZ9" s="372"/>
      <c r="BC9" s="372" t="s">
        <v>446</v>
      </c>
      <c r="BF9" s="344" t="s">
        <v>447</v>
      </c>
      <c r="BJ9" s="344" t="s">
        <v>448</v>
      </c>
      <c r="BK9" s="372" t="s">
        <v>446</v>
      </c>
    </row>
    <row r="10" spans="1:63" ht="14.1" customHeight="1">
      <c r="A10" s="341" t="str">
        <f>B1&amp;" Market Return (Rm) - Yearly for Last 10 Years"</f>
        <v>Nasdaq:AMZN Market Return (Rm) - Yearly for Last 10 Years</v>
      </c>
      <c r="B10" s="341"/>
      <c r="C10" s="341"/>
      <c r="D10" s="341"/>
      <c r="E10" s="341"/>
      <c r="F10" s="341"/>
      <c r="G10" s="341"/>
      <c r="H10" s="358">
        <v>8.0373749999999994E-2</v>
      </c>
      <c r="I10" s="341"/>
      <c r="J10" s="364" t="s">
        <v>449</v>
      </c>
      <c r="K10" s="365" t="s">
        <v>450</v>
      </c>
      <c r="L10" s="366">
        <v>0.24</v>
      </c>
      <c r="M10" s="367">
        <v>0.55698000000000003</v>
      </c>
      <c r="N10" s="368">
        <v>11144</v>
      </c>
      <c r="O10" s="368">
        <v>788806</v>
      </c>
      <c r="P10" s="368">
        <v>0</v>
      </c>
      <c r="Q10" s="369">
        <f t="shared" si="0"/>
        <v>1.4127681584572125E-2</v>
      </c>
      <c r="R10" s="369">
        <f t="shared" si="1"/>
        <v>0</v>
      </c>
      <c r="S10" s="370">
        <f t="shared" si="2"/>
        <v>0.55106321333565722</v>
      </c>
      <c r="T10" s="371">
        <f>T9+1</f>
        <v>2</v>
      </c>
      <c r="U10" s="341" t="s">
        <v>451</v>
      </c>
      <c r="V10" s="354"/>
      <c r="W10" s="355">
        <v>19895</v>
      </c>
      <c r="AF10" s="357"/>
      <c r="AL10" s="344" t="s">
        <v>452</v>
      </c>
      <c r="AM10" s="344"/>
      <c r="AN10" s="344" t="s">
        <v>453</v>
      </c>
      <c r="AP10" s="344" t="s">
        <v>452</v>
      </c>
      <c r="AQ10" s="344" t="s">
        <v>454</v>
      </c>
      <c r="AR10" s="344" t="s">
        <v>391</v>
      </c>
      <c r="AX10" s="348" t="e">
        <f ca="1">_xll.ciqfunctions.udf.CIQ("Nasdaq:AMZN", "IQ_BOND_LIST", 1)</f>
        <v>#NAME?</v>
      </c>
      <c r="AY10" s="373" t="e">
        <f ca="1">IF($AX10="","",IF(_xll.ciqfunctions.udf.CIQ($AX10,"iq_offer_date")&gt;Date,0,_xll.ciqfunctions.udf.CIQ($AX10,"iq_offer_date")))</f>
        <v>#NAME?</v>
      </c>
      <c r="AZ10" s="374" t="e">
        <f ca="1">IF($AX10="","",RANK(AY10,$AY$10:$AY$510)+COUNTIF($AY$10:AY10,AY10)-1)</f>
        <v>#NAME?</v>
      </c>
      <c r="BA10" s="348">
        <v>1</v>
      </c>
      <c r="BB10" s="375" t="e">
        <f ca="1">IF(INDEX($AX$10:$AX$510,MATCH(BA10,$AZ$10:$AZ$510,0))=0,"NA",INDEX($AX$10:$AX$510,MATCH(BA10,$AZ$10:$AZ$510,0)))</f>
        <v>#N/A</v>
      </c>
      <c r="BC10" s="362" t="e">
        <f ca="1">IF($BB10="NA","NA",_xll.ciqfunctions.udf.CIQ($BB10,"iq_bond_coupon")/100)</f>
        <v>#N/A</v>
      </c>
      <c r="BE10" s="348">
        <v>1</v>
      </c>
      <c r="BF10" s="348" t="e">
        <f ca="1">_xll.ciqfunctions.udf.CIQ("Nasdaq:AMZN", "IQ_FIXED_INCOME_LIST", 1)</f>
        <v>#NAME?</v>
      </c>
      <c r="BG10" s="376" t="e">
        <f ca="1">IF($BF10="","",_xll.ciqfunctions.udf.CIQ($BF10,"iq_security_level"))</f>
        <v>#NAME?</v>
      </c>
      <c r="BH10" s="348" t="e">
        <f ca="1">IF(BF10="","",IF(BG10="Preferred",1,0))</f>
        <v>#NAME?</v>
      </c>
      <c r="BJ10" s="348" t="e">
        <f t="shared" ref="BJ10:BJ48" ca="1" si="3">IF($BF10="","",IF(ISERROR(INDEX($BF$10:$BF$509,MATCH(BE10,$BH$10:$BH$509,0))),"",INDEX($BF$10:$BF$509,MATCH(BE10,$BH$10:$BH$509,0))))</f>
        <v>#NAME?</v>
      </c>
      <c r="BK10" s="377" t="e">
        <f ca="1">IF($BJ10="","",_xll.ciqfunctions.udf.CIQ($BJ10,"iq_bond_coupon")/100)</f>
        <v>#NAME?</v>
      </c>
    </row>
    <row r="11" spans="1:63" ht="14.1" customHeight="1">
      <c r="A11" s="341" t="s">
        <v>455</v>
      </c>
      <c r="B11" s="341"/>
      <c r="C11" s="341"/>
      <c r="D11" s="341"/>
      <c r="E11" s="341"/>
      <c r="F11" s="341"/>
      <c r="G11" s="341"/>
      <c r="H11" s="358">
        <v>0</v>
      </c>
      <c r="I11" s="341"/>
      <c r="J11" s="364" t="s">
        <v>456</v>
      </c>
      <c r="K11" s="365" t="s">
        <v>457</v>
      </c>
      <c r="L11" s="366">
        <v>0.38</v>
      </c>
      <c r="M11" s="367">
        <v>1.17289</v>
      </c>
      <c r="N11" s="368">
        <v>8134</v>
      </c>
      <c r="O11" s="368">
        <v>35225</v>
      </c>
      <c r="P11" s="368">
        <v>0</v>
      </c>
      <c r="Q11" s="369">
        <f t="shared" si="0"/>
        <v>0.23091554293825409</v>
      </c>
      <c r="R11" s="369">
        <f t="shared" si="1"/>
        <v>0</v>
      </c>
      <c r="S11" s="370">
        <f t="shared" si="2"/>
        <v>1.0260000042217061</v>
      </c>
      <c r="T11" s="371">
        <f>T10+1</f>
        <v>3</v>
      </c>
      <c r="U11" s="341" t="s">
        <v>458</v>
      </c>
      <c r="V11" s="354"/>
      <c r="W11" s="355">
        <v>3521</v>
      </c>
      <c r="AF11" s="357"/>
      <c r="AK11" s="348">
        <v>1</v>
      </c>
      <c r="AL11" s="348" t="s">
        <v>459</v>
      </c>
      <c r="AM11" s="348" t="s">
        <v>460</v>
      </c>
      <c r="AN11" s="348" t="s">
        <v>461</v>
      </c>
      <c r="AP11" s="348" t="s">
        <v>459</v>
      </c>
      <c r="AQ11" s="348" t="s">
        <v>462</v>
      </c>
      <c r="AR11" s="348" t="s">
        <v>463</v>
      </c>
      <c r="AX11" s="348" t="e">
        <f ca="1">_xll.ciqfunctions.udf.CIQ("Nasdaq:AMZN", "IQ_BOND_LIST", 2)</f>
        <v>#NAME?</v>
      </c>
      <c r="AY11" s="373" t="e">
        <f ca="1">IF($AX11="","",IF(_xll.ciqfunctions.udf.CIQ($AX11,"iq_offer_date")&gt;Date,0,_xll.ciqfunctions.udf.CIQ($AX11,"iq_offer_date")))</f>
        <v>#NAME?</v>
      </c>
      <c r="AZ11" s="374" t="e">
        <f ca="1">IF($AX11="","",RANK(AY11,$AY$10:$AY$510)+COUNTIF($AY$10:AY11,AY11)-1)</f>
        <v>#NAME?</v>
      </c>
      <c r="BA11" s="348">
        <f>BA10+1</f>
        <v>2</v>
      </c>
      <c r="BB11" s="375" t="e">
        <f ca="1">IF(INDEX($AX$10:$AX$510,MATCH(BA11,$AZ$10:$AZ$510,0))=0,"NA",INDEX($AX$10:$AX$510,MATCH(BA11,$AZ$10:$AZ$510,0)))</f>
        <v>#N/A</v>
      </c>
      <c r="BC11" s="362" t="e">
        <f ca="1">IF($BB11="NA","NA",_xll.ciqfunctions.udf.CIQ($BB11,"iq_bond_coupon")/100)</f>
        <v>#N/A</v>
      </c>
      <c r="BE11" s="348">
        <f>BE10+1</f>
        <v>2</v>
      </c>
      <c r="BF11" s="348" t="e">
        <f ca="1">_xll.ciqfunctions.udf.CIQ("Nasdaq:AMZN", "IQ_FIXED_INCOME_LIST", 2)</f>
        <v>#NAME?</v>
      </c>
      <c r="BG11" s="376" t="e">
        <f ca="1">IF($BF11="","",_xll.ciqfunctions.udf.CIQ($BF11,"iq_security_level"))</f>
        <v>#NAME?</v>
      </c>
      <c r="BH11" s="348" t="e">
        <f t="shared" ref="BH11:BH48" ca="1" si="4">IF(BF11="","",IF(BG11="Preferred",BH10+1,BH10))</f>
        <v>#NAME?</v>
      </c>
      <c r="BJ11" s="348" t="e">
        <f t="shared" ca="1" si="3"/>
        <v>#NAME?</v>
      </c>
      <c r="BK11" s="377" t="e">
        <f ca="1">IF($BJ11="","",_xll.ciqfunctions.udf.CIQ($BJ11,"iq_bond_coupon")/100)</f>
        <v>#NAME?</v>
      </c>
    </row>
    <row r="12" spans="1:63" ht="14.1" customHeight="1">
      <c r="A12" s="341" t="str">
        <f>+$B$1&amp;" D/(D+P+E)"</f>
        <v>Nasdaq:AMZN D/(D+P+E)</v>
      </c>
      <c r="B12" s="341"/>
      <c r="C12" s="341"/>
      <c r="D12" s="341"/>
      <c r="E12" s="341"/>
      <c r="F12" s="341"/>
      <c r="G12" s="341"/>
      <c r="H12" s="378">
        <f>+W7/(W7+W8+W9)</f>
        <v>5.7508708090444442E-2</v>
      </c>
      <c r="I12" s="341"/>
      <c r="J12" s="364" t="s">
        <v>464</v>
      </c>
      <c r="K12" s="365" t="s">
        <v>465</v>
      </c>
      <c r="L12" s="366">
        <v>0.16400000000000001</v>
      </c>
      <c r="M12" s="367">
        <v>1.2142500000000001</v>
      </c>
      <c r="N12" s="368">
        <v>9348</v>
      </c>
      <c r="O12" s="368">
        <v>17702.5</v>
      </c>
      <c r="P12" s="368">
        <v>0</v>
      </c>
      <c r="Q12" s="369">
        <f t="shared" si="0"/>
        <v>0.52806100833215652</v>
      </c>
      <c r="R12" s="369">
        <f t="shared" si="1"/>
        <v>0</v>
      </c>
      <c r="S12" s="370">
        <f t="shared" si="2"/>
        <v>0.84237567457817453</v>
      </c>
      <c r="T12" s="371">
        <f>T11+1</f>
        <v>4</v>
      </c>
      <c r="U12" s="341" t="s">
        <v>466</v>
      </c>
      <c r="V12" s="341"/>
      <c r="W12" s="379" t="s">
        <v>467</v>
      </c>
      <c r="AF12" s="357"/>
      <c r="AK12" s="348">
        <f t="shared" ref="AK12:AK29" si="5">AK11+1</f>
        <v>2</v>
      </c>
      <c r="AL12" s="348" t="s">
        <v>468</v>
      </c>
      <c r="AM12" s="348" t="s">
        <v>469</v>
      </c>
      <c r="AN12" s="348" t="s">
        <v>470</v>
      </c>
      <c r="AP12" s="348" t="s">
        <v>459</v>
      </c>
      <c r="AQ12" s="348" t="s">
        <v>471</v>
      </c>
      <c r="AR12" s="348" t="s">
        <v>472</v>
      </c>
      <c r="AX12" s="348" t="e">
        <f ca="1">_xll.ciqfunctions.udf.CIQ("Nasdaq:AMZN", "IQ_BOND_LIST", 3)</f>
        <v>#NAME?</v>
      </c>
      <c r="AY12" s="373" t="e">
        <f ca="1">IF($AX12="","",IF(_xll.ciqfunctions.udf.CIQ($AX12,"iq_offer_date")&gt;Date,0,_xll.ciqfunctions.udf.CIQ($AX12,"iq_offer_date")))</f>
        <v>#NAME?</v>
      </c>
      <c r="AZ12" s="374" t="e">
        <f ca="1">IF($AX12="","",RANK(AY12,$AY$10:$AY$510)+COUNTIF($AY$10:AY12,AY12)-1)</f>
        <v>#NAME?</v>
      </c>
      <c r="BA12" s="348">
        <f>BA11+1</f>
        <v>3</v>
      </c>
      <c r="BB12" s="375" t="e">
        <f ca="1">IF(INDEX($AX$10:$AX$510,MATCH(BA12,$AZ$10:$AZ$510,0))=0,"NA",INDEX($AX$10:$AX$510,MATCH(BA12,$AZ$10:$AZ$510,0)))</f>
        <v>#N/A</v>
      </c>
      <c r="BC12" s="362" t="e">
        <f ca="1">IF($BB12="NA","NA",_xll.ciqfunctions.udf.CIQ($BB12,"iq_bond_coupon")/100)</f>
        <v>#N/A</v>
      </c>
      <c r="BE12" s="348">
        <f t="shared" ref="BE12:BE75" si="6">BE11+1</f>
        <v>3</v>
      </c>
      <c r="BF12" s="348" t="e">
        <f ca="1">_xll.ciqfunctions.udf.CIQ("Nasdaq:AMZN", "IQ_FIXED_INCOME_LIST", 3)</f>
        <v>#NAME?</v>
      </c>
      <c r="BG12" s="376" t="e">
        <f ca="1">IF($BF12="","",_xll.ciqfunctions.udf.CIQ($BF12,"iq_security_level"))</f>
        <v>#NAME?</v>
      </c>
      <c r="BH12" s="348" t="e">
        <f t="shared" ca="1" si="4"/>
        <v>#NAME?</v>
      </c>
      <c r="BJ12" s="348" t="e">
        <f t="shared" ca="1" si="3"/>
        <v>#NAME?</v>
      </c>
      <c r="BK12" s="377" t="e">
        <f ca="1">IF($BJ12="","",_xll.ciqfunctions.udf.CIQ($BJ12,"iq_bond_coupon")/100)</f>
        <v>#NAME?</v>
      </c>
    </row>
    <row r="13" spans="1:63" ht="14.1" customHeight="1">
      <c r="A13" s="341" t="str">
        <f>+$B$1&amp;" D/E"</f>
        <v>Nasdaq:AMZN D/E</v>
      </c>
      <c r="B13" s="341"/>
      <c r="C13" s="341"/>
      <c r="D13" s="341"/>
      <c r="E13" s="341"/>
      <c r="F13" s="341"/>
      <c r="G13" s="341"/>
      <c r="H13" s="378">
        <f>+W7/W9</f>
        <v>6.1017760677584236E-2</v>
      </c>
      <c r="I13" s="341"/>
      <c r="J13" s="364" t="s">
        <v>473</v>
      </c>
      <c r="K13" s="365" t="s">
        <v>474</v>
      </c>
      <c r="L13" s="366">
        <v>0.31</v>
      </c>
      <c r="M13" s="367">
        <v>0.35081000000000001</v>
      </c>
      <c r="N13" s="368">
        <v>68478</v>
      </c>
      <c r="O13" s="368">
        <v>425247</v>
      </c>
      <c r="P13" s="368">
        <v>0</v>
      </c>
      <c r="Q13" s="369">
        <f t="shared" si="0"/>
        <v>0.16103111838531489</v>
      </c>
      <c r="R13" s="369">
        <f t="shared" si="1"/>
        <v>0</v>
      </c>
      <c r="S13" s="370">
        <f t="shared" si="2"/>
        <v>0.31572889754051681</v>
      </c>
      <c r="T13" s="371">
        <f>T12+1</f>
        <v>5</v>
      </c>
      <c r="U13" s="341" t="s">
        <v>475</v>
      </c>
      <c r="V13" s="341"/>
      <c r="W13" s="380">
        <v>44104</v>
      </c>
      <c r="AF13" s="381"/>
      <c r="AH13" s="381"/>
      <c r="AK13" s="348">
        <f t="shared" si="5"/>
        <v>3</v>
      </c>
      <c r="AL13" s="348" t="s">
        <v>476</v>
      </c>
      <c r="AM13" s="348" t="s">
        <v>477</v>
      </c>
      <c r="AN13" s="348" t="s">
        <v>478</v>
      </c>
      <c r="AP13" s="348" t="s">
        <v>459</v>
      </c>
      <c r="AQ13" s="348" t="s">
        <v>479</v>
      </c>
      <c r="AR13" s="348" t="s">
        <v>480</v>
      </c>
      <c r="AX13" s="348" t="e">
        <f ca="1">_xll.ciqfunctions.udf.CIQ("Nasdaq:AMZN", "IQ_BOND_LIST", 4)</f>
        <v>#NAME?</v>
      </c>
      <c r="AY13" s="373" t="e">
        <f ca="1">IF($AX13="","",IF(_xll.ciqfunctions.udf.CIQ($AX13,"iq_offer_date")&gt;Date,0,_xll.ciqfunctions.udf.CIQ($AX13,"iq_offer_date")))</f>
        <v>#NAME?</v>
      </c>
      <c r="AZ13" s="374" t="e">
        <f ca="1">IF($AX13="","",RANK(AY13,$AY$10:$AY$510)+COUNTIF($AY$10:AY13,AY13)-1)</f>
        <v>#NAME?</v>
      </c>
      <c r="BA13" s="348">
        <f>BA12+1</f>
        <v>4</v>
      </c>
      <c r="BB13" s="375" t="e">
        <f ca="1">IF(INDEX($AX$10:$AX$510,MATCH(BA13,$AZ$10:$AZ$510,0))=0,"NA",INDEX($AX$10:$AX$510,MATCH(BA13,$AZ$10:$AZ$510,0)))</f>
        <v>#N/A</v>
      </c>
      <c r="BC13" s="362" t="e">
        <f ca="1">IF($BB13="NA","NA",_xll.ciqfunctions.udf.CIQ($BB13,"iq_bond_coupon")/100)</f>
        <v>#N/A</v>
      </c>
      <c r="BE13" s="348">
        <f t="shared" si="6"/>
        <v>4</v>
      </c>
      <c r="BF13" s="348" t="e">
        <f ca="1">_xll.ciqfunctions.udf.CIQ("Nasdaq:AMZN", "IQ_FIXED_INCOME_LIST", 4)</f>
        <v>#NAME?</v>
      </c>
      <c r="BG13" s="376" t="e">
        <f ca="1">IF($BF13="","",_xll.ciqfunctions.udf.CIQ($BF13,"iq_security_level"))</f>
        <v>#NAME?</v>
      </c>
      <c r="BH13" s="348" t="e">
        <f t="shared" ca="1" si="4"/>
        <v>#NAME?</v>
      </c>
      <c r="BJ13" s="348" t="e">
        <f t="shared" ca="1" si="3"/>
        <v>#NAME?</v>
      </c>
      <c r="BK13" s="377" t="e">
        <f ca="1">IF($BJ13="","",_xll.ciqfunctions.udf.CIQ($BJ13,"iq_bond_coupon")/100)</f>
        <v>#NAME?</v>
      </c>
    </row>
    <row r="14" spans="1:63" ht="14.1" customHeight="1">
      <c r="A14" s="341" t="str">
        <f>+$B$1&amp;" P/E"</f>
        <v>Nasdaq:AMZN P/E</v>
      </c>
      <c r="B14" s="347"/>
      <c r="C14" s="347"/>
      <c r="D14" s="347"/>
      <c r="E14" s="347"/>
      <c r="F14" s="347"/>
      <c r="G14" s="347"/>
      <c r="H14" s="378">
        <f>W8/W9</f>
        <v>0</v>
      </c>
      <c r="I14" s="341"/>
      <c r="J14" s="364" t="s">
        <v>481</v>
      </c>
      <c r="K14" s="365" t="s">
        <v>482</v>
      </c>
      <c r="L14" s="366">
        <v>0.24399999999999999</v>
      </c>
      <c r="M14" s="367">
        <v>1.2196</v>
      </c>
      <c r="N14" s="368">
        <v>12209</v>
      </c>
      <c r="O14" s="368">
        <v>84713.600000000006</v>
      </c>
      <c r="P14" s="368">
        <v>0</v>
      </c>
      <c r="Q14" s="369">
        <f t="shared" si="0"/>
        <v>0.1441208967627394</v>
      </c>
      <c r="R14" s="369">
        <f t="shared" si="1"/>
        <v>0</v>
      </c>
      <c r="S14" s="370">
        <f t="shared" si="2"/>
        <v>1.09977371700579</v>
      </c>
      <c r="T14" s="371">
        <f>T13+1</f>
        <v>6</v>
      </c>
      <c r="U14" s="341" t="s">
        <v>483</v>
      </c>
      <c r="V14" s="341"/>
      <c r="W14" s="380">
        <v>44176</v>
      </c>
      <c r="AF14" s="381"/>
      <c r="AH14" s="381"/>
      <c r="AK14" s="348">
        <f t="shared" si="5"/>
        <v>4</v>
      </c>
      <c r="AL14" s="348" t="s">
        <v>484</v>
      </c>
      <c r="AM14" s="348" t="s">
        <v>485</v>
      </c>
      <c r="AN14" s="348" t="s">
        <v>486</v>
      </c>
      <c r="AP14" s="348" t="s">
        <v>459</v>
      </c>
      <c r="AQ14" s="348" t="s">
        <v>487</v>
      </c>
      <c r="AR14" s="348" t="s">
        <v>488</v>
      </c>
      <c r="AX14" s="348" t="e">
        <f ca="1">_xll.ciqfunctions.udf.CIQ("Nasdaq:AMZN", "IQ_BOND_LIST", 5)</f>
        <v>#NAME?</v>
      </c>
      <c r="AY14" s="373" t="e">
        <f ca="1">IF($AX14="","",IF(_xll.ciqfunctions.udf.CIQ($AX14,"iq_offer_date")&gt;Date,0,_xll.ciqfunctions.udf.CIQ($AX14,"iq_offer_date")))</f>
        <v>#NAME?</v>
      </c>
      <c r="AZ14" s="374" t="e">
        <f ca="1">IF($AX14="","",RANK(AY14,$AY$10:$AY$510)+COUNTIF($AY$10:AY14,AY14)-1)</f>
        <v>#NAME?</v>
      </c>
      <c r="BA14" s="348">
        <f>BA13+1</f>
        <v>5</v>
      </c>
      <c r="BB14" s="375" t="e">
        <f ca="1">IF(INDEX($AX$10:$AX$510,MATCH(BA14,$AZ$10:$AZ$510,0))=0,"NA",INDEX($AX$10:$AX$510,MATCH(BA14,$AZ$10:$AZ$510,0)))</f>
        <v>#N/A</v>
      </c>
      <c r="BC14" s="362" t="e">
        <f ca="1">IF($BB14="NA","NA",_xll.ciqfunctions.udf.CIQ($BB14,"iq_bond_coupon")/100)</f>
        <v>#N/A</v>
      </c>
      <c r="BE14" s="348">
        <f t="shared" si="6"/>
        <v>5</v>
      </c>
      <c r="BF14" s="348" t="e">
        <f ca="1">_xll.ciqfunctions.udf.CIQ("Nasdaq:AMZN", "IQ_FIXED_INCOME_LIST", 5)</f>
        <v>#NAME?</v>
      </c>
      <c r="BG14" s="376" t="e">
        <f ca="1">IF($BF14="","",_xll.ciqfunctions.udf.CIQ($BF14,"iq_security_level"))</f>
        <v>#NAME?</v>
      </c>
      <c r="BH14" s="348" t="e">
        <f t="shared" ca="1" si="4"/>
        <v>#NAME?</v>
      </c>
      <c r="BJ14" s="348" t="e">
        <f t="shared" ca="1" si="3"/>
        <v>#NAME?</v>
      </c>
      <c r="BK14" s="377" t="e">
        <f ca="1">IF($BJ14="","",_xll.ciqfunctions.udf.CIQ($BJ14,"iq_bond_coupon")/100)</f>
        <v>#NAME?</v>
      </c>
    </row>
    <row r="15" spans="1:63" ht="14.1" customHeight="1">
      <c r="A15" s="341" t="s">
        <v>489</v>
      </c>
      <c r="B15" s="341"/>
      <c r="C15" s="341"/>
      <c r="D15" s="341"/>
      <c r="E15" s="341"/>
      <c r="F15" s="341"/>
      <c r="H15" s="383" t="s">
        <v>490</v>
      </c>
      <c r="I15" s="341"/>
      <c r="J15" s="384"/>
      <c r="K15" s="354"/>
      <c r="L15" s="341"/>
      <c r="M15" s="385"/>
      <c r="N15" s="386"/>
      <c r="O15" s="386"/>
      <c r="P15" s="387"/>
      <c r="Q15" s="387"/>
      <c r="R15" s="387"/>
      <c r="S15" s="388"/>
      <c r="T15" s="341"/>
      <c r="U15" s="341"/>
      <c r="V15" s="341"/>
      <c r="W15" s="389"/>
      <c r="AH15" s="381"/>
      <c r="AK15" s="348">
        <f>AK14+1</f>
        <v>5</v>
      </c>
      <c r="AL15" s="348" t="s">
        <v>491</v>
      </c>
      <c r="AM15" s="348" t="s">
        <v>492</v>
      </c>
      <c r="AN15" s="348" t="s">
        <v>493</v>
      </c>
      <c r="AP15" s="348" t="s">
        <v>459</v>
      </c>
      <c r="AQ15" s="348" t="s">
        <v>494</v>
      </c>
      <c r="AR15" s="348" t="s">
        <v>495</v>
      </c>
      <c r="AX15" s="348" t="e">
        <f ca="1">_xll.ciqfunctions.udf.CIQ("Nasdaq:AMZN", "IQ_BOND_LIST", 6)</f>
        <v>#NAME?</v>
      </c>
      <c r="AY15" s="373" t="e">
        <f ca="1">IF($AX15="","",IF(_xll.ciqfunctions.udf.CIQ($AX15,"iq_offer_date")&gt;Date,0,_xll.ciqfunctions.udf.CIQ($AX15,"iq_offer_date")))</f>
        <v>#NAME?</v>
      </c>
      <c r="AZ15" s="374" t="e">
        <f ca="1">IF($AX15="","",RANK(AY15,$AY$10:$AY$510)+COUNTIF($AY$10:AY15,AY15)-1)</f>
        <v>#NAME?</v>
      </c>
      <c r="BE15" s="348">
        <f>BE14+1</f>
        <v>6</v>
      </c>
      <c r="BF15" s="348" t="e">
        <f ca="1">_xll.ciqfunctions.udf.CIQ("Nasdaq:AMZN", "IQ_FIXED_INCOME_LIST", 6)</f>
        <v>#NAME?</v>
      </c>
      <c r="BG15" s="376" t="e">
        <f ca="1">IF($BF15="","",_xll.ciqfunctions.udf.CIQ($BF15,"iq_security_level"))</f>
        <v>#NAME?</v>
      </c>
      <c r="BH15" s="348" t="e">
        <f t="shared" ca="1" si="4"/>
        <v>#NAME?</v>
      </c>
      <c r="BJ15" s="348" t="e">
        <f t="shared" ca="1" si="3"/>
        <v>#NAME?</v>
      </c>
      <c r="BK15" s="377" t="e">
        <f ca="1">IF($BJ15="","",_xll.ciqfunctions.udf.CIQ($BJ15,"iq_bond_coupon")/100)</f>
        <v>#NAME?</v>
      </c>
    </row>
    <row r="16" spans="1:63" ht="14.1" customHeight="1">
      <c r="A16" s="390" t="str">
        <f>+$B$1&amp;" Cost of Debt (Rd) - Average of Last 5 Issued Bonds"</f>
        <v>Nasdaq:AMZN Cost of Debt (Rd) - Average of Last 5 Issued Bonds</v>
      </c>
      <c r="B16" s="341"/>
      <c r="C16" s="341"/>
      <c r="D16" s="341"/>
      <c r="E16" s="341"/>
      <c r="F16" s="341"/>
      <c r="G16" s="341"/>
      <c r="H16" s="358">
        <v>2.8249999999999997E-2</v>
      </c>
      <c r="I16" s="341"/>
      <c r="J16" s="391" t="s">
        <v>496</v>
      </c>
      <c r="K16" s="392"/>
      <c r="L16" s="391"/>
      <c r="M16" s="393">
        <f>AVERAGEIFS(M9:M15,M9:M15,"&lt;&gt;0")</f>
        <v>0.9309183333333334</v>
      </c>
      <c r="N16" s="391"/>
      <c r="O16" s="391"/>
      <c r="P16" s="394"/>
      <c r="Q16" s="394"/>
      <c r="R16" s="394"/>
      <c r="S16" s="395">
        <f>AVERAGEIFS(S9:S15,S9:S15,"&lt;&gt;0")</f>
        <v>0.81459170363983768</v>
      </c>
      <c r="T16" s="341"/>
      <c r="U16" s="341"/>
      <c r="V16" s="341"/>
      <c r="W16" s="341"/>
      <c r="AH16" s="381"/>
      <c r="AK16" s="348">
        <f t="shared" si="5"/>
        <v>6</v>
      </c>
      <c r="AL16" s="348" t="s">
        <v>497</v>
      </c>
      <c r="AM16" s="348" t="s">
        <v>498</v>
      </c>
      <c r="AN16" s="348" t="s">
        <v>499</v>
      </c>
      <c r="AP16" s="348" t="s">
        <v>459</v>
      </c>
      <c r="AQ16" s="348" t="s">
        <v>500</v>
      </c>
      <c r="AR16" s="348" t="s">
        <v>501</v>
      </c>
      <c r="AX16" s="348" t="e">
        <f ca="1">_xll.ciqfunctions.udf.CIQ("Nasdaq:AMZN", "IQ_BOND_LIST", 7)</f>
        <v>#NAME?</v>
      </c>
      <c r="AY16" s="373" t="e">
        <f ca="1">IF($AX16="","",IF(_xll.ciqfunctions.udf.CIQ($AX16,"iq_offer_date")&gt;Date,0,_xll.ciqfunctions.udf.CIQ($AX16,"iq_offer_date")))</f>
        <v>#NAME?</v>
      </c>
      <c r="AZ16" s="374" t="e">
        <f ca="1">IF($AX16="","",RANK(AY16,$AY$10:$AY$510)+COUNTIF($AY$10:AY16,AY16)-1)</f>
        <v>#NAME?</v>
      </c>
      <c r="BE16" s="348">
        <f t="shared" si="6"/>
        <v>7</v>
      </c>
      <c r="BF16" s="348" t="e">
        <f ca="1">_xll.ciqfunctions.udf.CIQ("Nasdaq:AMZN", "IQ_FIXED_INCOME_LIST", 7)</f>
        <v>#NAME?</v>
      </c>
      <c r="BG16" s="376" t="e">
        <f ca="1">IF($BF16="","",_xll.ciqfunctions.udf.CIQ($BF16,"iq_security_level"))</f>
        <v>#NAME?</v>
      </c>
      <c r="BH16" s="348" t="e">
        <f t="shared" ca="1" si="4"/>
        <v>#NAME?</v>
      </c>
      <c r="BJ16" s="348" t="e">
        <f t="shared" ca="1" si="3"/>
        <v>#NAME?</v>
      </c>
      <c r="BK16" s="377" t="e">
        <f ca="1">IF($BJ16="","",_xll.ciqfunctions.udf.CIQ($BJ16,"iq_bond_coupon")/100)</f>
        <v>#NAME?</v>
      </c>
    </row>
    <row r="17" spans="1:63" ht="14.1" customHeight="1">
      <c r="A17" s="390" t="s">
        <v>502</v>
      </c>
      <c r="B17" s="341"/>
      <c r="C17" s="341"/>
      <c r="D17" s="341"/>
      <c r="E17" s="341"/>
      <c r="F17" s="341"/>
      <c r="G17" s="341"/>
      <c r="H17" s="358">
        <v>3.4889999999999997E-2</v>
      </c>
      <c r="I17" s="341"/>
      <c r="J17" s="396"/>
      <c r="K17" s="341"/>
      <c r="L17" s="341"/>
      <c r="M17" s="341"/>
      <c r="N17" s="341"/>
      <c r="O17" s="341"/>
      <c r="P17" s="341"/>
      <c r="Q17" s="341"/>
      <c r="R17" s="341"/>
      <c r="S17" s="341"/>
      <c r="T17" s="341"/>
      <c r="U17" s="341" t="s">
        <v>503</v>
      </c>
      <c r="V17" s="341"/>
      <c r="W17" s="397">
        <v>1</v>
      </c>
      <c r="AH17" s="381"/>
      <c r="AK17" s="348">
        <f t="shared" si="5"/>
        <v>7</v>
      </c>
      <c r="AL17" s="348" t="s">
        <v>504</v>
      </c>
      <c r="AM17" s="348" t="s">
        <v>505</v>
      </c>
      <c r="AN17" s="348" t="s">
        <v>506</v>
      </c>
      <c r="AP17" s="348" t="s">
        <v>468</v>
      </c>
      <c r="AQ17" s="348" t="s">
        <v>507</v>
      </c>
      <c r="AR17" s="348" t="s">
        <v>508</v>
      </c>
      <c r="AX17" s="348" t="e">
        <f ca="1">_xll.ciqfunctions.udf.CIQ("Nasdaq:AMZN", "IQ_BOND_LIST", 8)</f>
        <v>#NAME?</v>
      </c>
      <c r="AY17" s="373" t="e">
        <f ca="1">IF($AX17="","",IF(_xll.ciqfunctions.udf.CIQ($AX17,"iq_offer_date")&gt;Date,0,_xll.ciqfunctions.udf.CIQ($AX17,"iq_offer_date")))</f>
        <v>#NAME?</v>
      </c>
      <c r="AZ17" s="374" t="e">
        <f ca="1">IF($AX17="","",RANK(AY17,$AY$10:$AY$510)+COUNTIF($AY$10:AY17,AY17)-1)</f>
        <v>#NAME?</v>
      </c>
      <c r="BE17" s="348">
        <f t="shared" si="6"/>
        <v>8</v>
      </c>
      <c r="BF17" s="348" t="e">
        <f ca="1">_xll.ciqfunctions.udf.CIQ("Nasdaq:AMZN", "IQ_FIXED_INCOME_LIST", 8)</f>
        <v>#NAME?</v>
      </c>
      <c r="BG17" s="376" t="e">
        <f ca="1">IF($BF17="","",_xll.ciqfunctions.udf.CIQ($BF17,"iq_security_level"))</f>
        <v>#NAME?</v>
      </c>
      <c r="BH17" s="348" t="e">
        <f t="shared" ca="1" si="4"/>
        <v>#NAME?</v>
      </c>
      <c r="BJ17" s="348" t="e">
        <f t="shared" ca="1" si="3"/>
        <v>#NAME?</v>
      </c>
      <c r="BK17" s="377" t="e">
        <f ca="1">IF($BJ17="","",_xll.ciqfunctions.udf.CIQ($BJ17,"iq_bond_coupon")/100)</f>
        <v>#NAME?</v>
      </c>
    </row>
    <row r="18" spans="1:63" ht="14.1" customHeight="1">
      <c r="A18" s="398" t="str">
        <f>+$B$1&amp;" Cost of Preferred (Rp)"</f>
        <v>Nasdaq:AMZN Cost of Preferred (Rp)</v>
      </c>
      <c r="B18" s="398"/>
      <c r="C18" s="398"/>
      <c r="D18" s="398"/>
      <c r="E18" s="398"/>
      <c r="F18" s="398"/>
      <c r="G18" s="398"/>
      <c r="H18" s="399">
        <v>0</v>
      </c>
      <c r="I18" s="341"/>
      <c r="J18" s="341" t="s">
        <v>509</v>
      </c>
      <c r="K18" s="341"/>
      <c r="L18" s="341"/>
      <c r="M18" s="341"/>
      <c r="N18" s="341"/>
      <c r="O18" s="341"/>
      <c r="P18" s="341"/>
      <c r="Q18" s="341"/>
      <c r="R18" s="341"/>
      <c r="S18" s="388">
        <f>+S16</f>
        <v>0.81459170363983768</v>
      </c>
      <c r="T18" s="341"/>
      <c r="U18" s="341" t="s">
        <v>510</v>
      </c>
      <c r="V18" s="341"/>
      <c r="W18" s="388">
        <f>$S$22</f>
        <v>0.84938489677568652</v>
      </c>
      <c r="AK18" s="348">
        <f t="shared" si="5"/>
        <v>8</v>
      </c>
      <c r="AL18" s="348" t="s">
        <v>511</v>
      </c>
      <c r="AM18" s="348" t="s">
        <v>512</v>
      </c>
      <c r="AN18" s="348" t="s">
        <v>513</v>
      </c>
      <c r="AP18" s="348" t="s">
        <v>468</v>
      </c>
      <c r="AQ18" s="348" t="s">
        <v>514</v>
      </c>
      <c r="AR18" s="348" t="s">
        <v>515</v>
      </c>
      <c r="AX18" s="348" t="e">
        <f ca="1">_xll.ciqfunctions.udf.CIQ("Nasdaq:AMZN", "IQ_BOND_LIST", 9)</f>
        <v>#NAME?</v>
      </c>
      <c r="AY18" s="373" t="e">
        <f ca="1">IF($AX18="","",IF(_xll.ciqfunctions.udf.CIQ($AX18,"iq_offer_date")&gt;Date,0,_xll.ciqfunctions.udf.CIQ($AX18,"iq_offer_date")))</f>
        <v>#NAME?</v>
      </c>
      <c r="AZ18" s="374" t="e">
        <f ca="1">IF($AX18="","",RANK(AY18,$AY$10:$AY$510)+COUNTIF($AY$10:AY18,AY18)-1)</f>
        <v>#NAME?</v>
      </c>
      <c r="BE18" s="348">
        <f t="shared" si="6"/>
        <v>9</v>
      </c>
      <c r="BF18" s="348" t="e">
        <f ca="1">_xll.ciqfunctions.udf.CIQ("Nasdaq:AMZN", "IQ_FIXED_INCOME_LIST", 9)</f>
        <v>#NAME?</v>
      </c>
      <c r="BG18" s="376" t="e">
        <f ca="1">IF($BF18="","",_xll.ciqfunctions.udf.CIQ($BF18,"iq_security_level"))</f>
        <v>#NAME?</v>
      </c>
      <c r="BH18" s="348" t="e">
        <f t="shared" ca="1" si="4"/>
        <v>#NAME?</v>
      </c>
      <c r="BJ18" s="348" t="e">
        <f t="shared" ca="1" si="3"/>
        <v>#NAME?</v>
      </c>
      <c r="BK18" s="377" t="e">
        <f ca="1">IF($BJ18="","",_xll.ciqfunctions.udf.CIQ($BJ18,"iq_bond_coupon")/100)</f>
        <v>#NAME?</v>
      </c>
    </row>
    <row r="19" spans="1:63" ht="14.1" customHeight="1">
      <c r="A19" s="341"/>
      <c r="B19" s="341"/>
      <c r="C19" s="341"/>
      <c r="D19" s="341"/>
      <c r="E19" s="341"/>
      <c r="F19" s="341"/>
      <c r="G19" s="341"/>
      <c r="H19" s="341"/>
      <c r="I19" s="341"/>
      <c r="J19" s="341" t="str">
        <f>+A13</f>
        <v>Nasdaq:AMZN D/E</v>
      </c>
      <c r="K19" s="341"/>
      <c r="L19" s="341"/>
      <c r="M19" s="341"/>
      <c r="N19" s="341"/>
      <c r="O19" s="341"/>
      <c r="P19" s="341"/>
      <c r="Q19" s="341"/>
      <c r="R19" s="341"/>
      <c r="S19" s="400">
        <f>+H13</f>
        <v>6.1017760677584236E-2</v>
      </c>
      <c r="T19" s="341"/>
      <c r="U19" s="341" t="s">
        <v>516</v>
      </c>
      <c r="V19" s="341"/>
      <c r="W19" s="401">
        <v>1.7144699999999999</v>
      </c>
      <c r="AK19" s="348">
        <f t="shared" si="5"/>
        <v>9</v>
      </c>
      <c r="AL19" s="348" t="s">
        <v>517</v>
      </c>
      <c r="AM19" s="348" t="s">
        <v>518</v>
      </c>
      <c r="AN19" s="348" t="s">
        <v>519</v>
      </c>
      <c r="AP19" s="348" t="s">
        <v>468</v>
      </c>
      <c r="AQ19" s="348" t="s">
        <v>520</v>
      </c>
      <c r="AR19" s="348" t="s">
        <v>521</v>
      </c>
      <c r="AX19" s="348" t="e">
        <f ca="1">_xll.ciqfunctions.udf.CIQ("Nasdaq:AMZN", "IQ_BOND_LIST", 10)</f>
        <v>#NAME?</v>
      </c>
      <c r="AY19" s="373" t="e">
        <f ca="1">IF($AX19="","",IF(_xll.ciqfunctions.udf.CIQ($AX19,"iq_offer_date")&gt;Date,0,_xll.ciqfunctions.udf.CIQ($AX19,"iq_offer_date")))</f>
        <v>#NAME?</v>
      </c>
      <c r="AZ19" s="374" t="e">
        <f ca="1">IF($AX19="","",RANK(AY19,$AY$10:$AY$510)+COUNTIF($AY$10:AY19,AY19)-1)</f>
        <v>#NAME?</v>
      </c>
      <c r="BE19" s="348">
        <f t="shared" si="6"/>
        <v>10</v>
      </c>
      <c r="BF19" s="348" t="e">
        <f ca="1">_xll.ciqfunctions.udf.CIQ("Nasdaq:AMZN", "IQ_FIXED_INCOME_LIST", 10)</f>
        <v>#NAME?</v>
      </c>
      <c r="BG19" s="376" t="e">
        <f ca="1">IF($BF19="","",_xll.ciqfunctions.udf.CIQ($BF19,"iq_security_level"))</f>
        <v>#NAME?</v>
      </c>
      <c r="BH19" s="348" t="e">
        <f t="shared" ca="1" si="4"/>
        <v>#NAME?</v>
      </c>
      <c r="BJ19" s="348" t="e">
        <f t="shared" ca="1" si="3"/>
        <v>#NAME?</v>
      </c>
      <c r="BK19" s="377" t="e">
        <f ca="1">IF($BJ19="","",_xll.ciqfunctions.udf.CIQ($BJ19,"iq_bond_coupon")/100)</f>
        <v>#NAME?</v>
      </c>
    </row>
    <row r="20" spans="1:63" ht="14.1" customHeight="1">
      <c r="A20" s="338" t="s">
        <v>522</v>
      </c>
      <c r="B20" s="347"/>
      <c r="C20" s="347"/>
      <c r="D20" s="347"/>
      <c r="E20" s="347"/>
      <c r="F20" s="347"/>
      <c r="G20" s="347"/>
      <c r="H20" s="347"/>
      <c r="I20" s="341"/>
      <c r="J20" s="341" t="str">
        <f>A14</f>
        <v>Nasdaq:AMZN P/E</v>
      </c>
      <c r="K20" s="347"/>
      <c r="L20" s="347"/>
      <c r="M20" s="347"/>
      <c r="N20" s="347"/>
      <c r="O20" s="347"/>
      <c r="P20" s="347"/>
      <c r="Q20" s="347"/>
      <c r="R20" s="347"/>
      <c r="S20" s="400">
        <f>H14</f>
        <v>0</v>
      </c>
      <c r="T20" s="341"/>
      <c r="U20" s="341"/>
      <c r="V20" s="341"/>
      <c r="W20" s="341"/>
      <c r="AB20" s="348" t="str">
        <f>D22</f>
        <v>United States Treasury Constant Maturity - 5 Year</v>
      </c>
      <c r="AK20" s="348">
        <f t="shared" si="5"/>
        <v>10</v>
      </c>
      <c r="AL20" s="348" t="s">
        <v>523</v>
      </c>
      <c r="AM20" s="348" t="s">
        <v>524</v>
      </c>
      <c r="AN20" s="348" t="s">
        <v>525</v>
      </c>
      <c r="AP20" s="348" t="s">
        <v>468</v>
      </c>
      <c r="AQ20" s="348" t="s">
        <v>526</v>
      </c>
      <c r="AR20" s="348" t="s">
        <v>527</v>
      </c>
      <c r="AX20" s="348" t="e">
        <f ca="1">_xll.ciqfunctions.udf.CIQ("Nasdaq:AMZN", "IQ_BOND_LIST", 11)</f>
        <v>#NAME?</v>
      </c>
      <c r="AY20" s="373" t="e">
        <f ca="1">IF($AX20="","",IF(_xll.ciqfunctions.udf.CIQ($AX20,"iq_offer_date")&gt;Date,0,_xll.ciqfunctions.udf.CIQ($AX20,"iq_offer_date")))</f>
        <v>#NAME?</v>
      </c>
      <c r="AZ20" s="374" t="e">
        <f ca="1">IF($AX20="","",RANK(AY20,$AY$10:$AY$510)+COUNTIF($AY$10:AY20,AY20)-1)</f>
        <v>#NAME?</v>
      </c>
      <c r="BE20" s="348">
        <f t="shared" si="6"/>
        <v>11</v>
      </c>
      <c r="BF20" s="348" t="e">
        <f ca="1">_xll.ciqfunctions.udf.CIQ("Nasdaq:AMZN", "IQ_FIXED_INCOME_LIST", 11)</f>
        <v>#NAME?</v>
      </c>
      <c r="BG20" s="376" t="e">
        <f ca="1">IF($BF20="","",_xll.ciqfunctions.udf.CIQ($BF20,"iq_security_level"))</f>
        <v>#NAME?</v>
      </c>
      <c r="BH20" s="348" t="e">
        <f t="shared" ca="1" si="4"/>
        <v>#NAME?</v>
      </c>
      <c r="BJ20" s="348" t="e">
        <f t="shared" ca="1" si="3"/>
        <v>#NAME?</v>
      </c>
      <c r="BK20" s="377" t="e">
        <f ca="1">IF($BJ20="","",_xll.ciqfunctions.udf.CIQ($BJ20,"iq_bond_coupon")/100)</f>
        <v>#NAME?</v>
      </c>
    </row>
    <row r="21" spans="1:63" ht="14.1" customHeight="1">
      <c r="A21" s="347" t="s">
        <v>528</v>
      </c>
      <c r="B21" s="347"/>
      <c r="D21" s="341"/>
      <c r="E21" s="402"/>
      <c r="F21" s="402"/>
      <c r="G21" s="654" t="s">
        <v>529</v>
      </c>
      <c r="H21" s="655"/>
      <c r="I21" s="341"/>
      <c r="J21" s="341" t="str">
        <f>A8</f>
        <v>Tax Rate (5 Year Average)</v>
      </c>
      <c r="K21" s="341"/>
      <c r="L21" s="341"/>
      <c r="M21" s="341"/>
      <c r="N21" s="341"/>
      <c r="O21" s="341"/>
      <c r="P21" s="341"/>
      <c r="Q21" s="341"/>
      <c r="R21" s="341"/>
      <c r="S21" s="400">
        <f>+H8</f>
        <v>0.3</v>
      </c>
      <c r="T21" s="341"/>
      <c r="U21" s="341"/>
      <c r="V21" s="341"/>
      <c r="W21" s="341"/>
      <c r="AB21" s="348" t="str">
        <f>INDEX($AQ$11:$AQ$122,MATCH($D$22,$AR$11:$AR$122,0),)</f>
        <v>IQT36183833</v>
      </c>
      <c r="AD21" s="348" t="e">
        <f ca="1">_xll.ciqfunctions.udf.CIQ($AB$21,"IQ_RATE_NAME")</f>
        <v>#NAME?</v>
      </c>
      <c r="AE21" s="344"/>
      <c r="AK21" s="348">
        <f t="shared" si="5"/>
        <v>11</v>
      </c>
      <c r="AL21" s="348" t="s">
        <v>530</v>
      </c>
      <c r="AM21" s="348" t="s">
        <v>531</v>
      </c>
      <c r="AN21" s="348" t="s">
        <v>532</v>
      </c>
      <c r="AP21" s="348" t="s">
        <v>468</v>
      </c>
      <c r="AQ21" s="348" t="s">
        <v>533</v>
      </c>
      <c r="AR21" s="348" t="s">
        <v>534</v>
      </c>
      <c r="AX21" s="348" t="e">
        <f ca="1">_xll.ciqfunctions.udf.CIQ("Nasdaq:AMZN", "IQ_BOND_LIST", 12)</f>
        <v>#NAME?</v>
      </c>
      <c r="AY21" s="373" t="e">
        <f ca="1">IF($AX21="","",IF(_xll.ciqfunctions.udf.CIQ($AX21,"iq_offer_date")&gt;Date,0,_xll.ciqfunctions.udf.CIQ($AX21,"iq_offer_date")))</f>
        <v>#NAME?</v>
      </c>
      <c r="AZ21" s="374" t="e">
        <f ca="1">IF($AX21="","",RANK(AY21,$AY$10:$AY$510)+COUNTIF($AY$10:AY21,AY21)-1)</f>
        <v>#NAME?</v>
      </c>
      <c r="BE21" s="348">
        <f t="shared" si="6"/>
        <v>12</v>
      </c>
      <c r="BF21" s="348" t="e">
        <f ca="1">_xll.ciqfunctions.udf.CIQ("Nasdaq:AMZN", "IQ_FIXED_INCOME_LIST", 12)</f>
        <v>#NAME?</v>
      </c>
      <c r="BG21" s="376" t="e">
        <f ca="1">IF($BF21="","",_xll.ciqfunctions.udf.CIQ($BF21,"iq_security_level"))</f>
        <v>#NAME?</v>
      </c>
      <c r="BH21" s="348" t="e">
        <f t="shared" ca="1" si="4"/>
        <v>#NAME?</v>
      </c>
      <c r="BJ21" s="348" t="e">
        <f t="shared" ca="1" si="3"/>
        <v>#NAME?</v>
      </c>
      <c r="BK21" s="377" t="e">
        <f ca="1">IF($BJ21="","",_xll.ciqfunctions.udf.CIQ($BJ21,"iq_bond_coupon")/100)</f>
        <v>#NAME?</v>
      </c>
    </row>
    <row r="22" spans="1:63" ht="14.1" customHeight="1">
      <c r="A22" s="347" t="s">
        <v>535</v>
      </c>
      <c r="B22" s="347"/>
      <c r="D22" s="656" t="s">
        <v>852</v>
      </c>
      <c r="E22" s="657"/>
      <c r="F22" s="657"/>
      <c r="G22" s="657"/>
      <c r="H22" s="658"/>
      <c r="I22" s="341"/>
      <c r="J22" s="391" t="str">
        <f>+B1&amp;" Levered Beta "</f>
        <v xml:space="preserve">Nasdaq:AMZN Levered Beta </v>
      </c>
      <c r="K22" s="392"/>
      <c r="L22" s="403"/>
      <c r="M22" s="392"/>
      <c r="N22" s="392"/>
      <c r="O22" s="392"/>
      <c r="P22" s="392"/>
      <c r="Q22" s="392"/>
      <c r="R22" s="392"/>
      <c r="S22" s="395">
        <f>+S18*(1+S19*(1-S21)+S20)</f>
        <v>0.84938489677568652</v>
      </c>
      <c r="T22" s="341"/>
      <c r="U22" s="341"/>
      <c r="V22" s="341"/>
      <c r="W22" s="341"/>
      <c r="Z22" s="404"/>
      <c r="AA22" s="404"/>
      <c r="AE22" s="405"/>
      <c r="AK22" s="348">
        <f t="shared" si="5"/>
        <v>12</v>
      </c>
      <c r="AL22" s="348" t="s">
        <v>537</v>
      </c>
      <c r="AM22" s="348" t="s">
        <v>538</v>
      </c>
      <c r="AN22" s="348" t="s">
        <v>539</v>
      </c>
      <c r="AP22" s="348" t="s">
        <v>476</v>
      </c>
      <c r="AQ22" s="348" t="s">
        <v>540</v>
      </c>
      <c r="AR22" s="348" t="s">
        <v>541</v>
      </c>
      <c r="AX22" s="348" t="e">
        <f ca="1">_xll.ciqfunctions.udf.CIQ("Nasdaq:AMZN", "IQ_BOND_LIST", 13)</f>
        <v>#NAME?</v>
      </c>
      <c r="AY22" s="373" t="e">
        <f ca="1">IF($AX22="","",IF(_xll.ciqfunctions.udf.CIQ($AX22,"iq_offer_date")&gt;Date,0,_xll.ciqfunctions.udf.CIQ($AX22,"iq_offer_date")))</f>
        <v>#NAME?</v>
      </c>
      <c r="AZ22" s="374" t="e">
        <f ca="1">IF($AX22="","",RANK(AY22,$AY$10:$AY$510)+COUNTIF($AY$10:AY22,AY22)-1)</f>
        <v>#NAME?</v>
      </c>
      <c r="BE22" s="348">
        <f t="shared" si="6"/>
        <v>13</v>
      </c>
      <c r="BF22" s="348" t="e">
        <f ca="1">_xll.ciqfunctions.udf.CIQ("Nasdaq:AMZN", "IQ_FIXED_INCOME_LIST", 13)</f>
        <v>#NAME?</v>
      </c>
      <c r="BG22" s="376" t="e">
        <f ca="1">IF($BF22="","",_xll.ciqfunctions.udf.CIQ($BF22,"iq_security_level"))</f>
        <v>#NAME?</v>
      </c>
      <c r="BH22" s="348" t="e">
        <f t="shared" ca="1" si="4"/>
        <v>#NAME?</v>
      </c>
      <c r="BJ22" s="348" t="e">
        <f t="shared" ca="1" si="3"/>
        <v>#NAME?</v>
      </c>
      <c r="BK22" s="377" t="e">
        <f ca="1">IF($BJ22="","",_xll.ciqfunctions.udf.CIQ($BJ22,"iq_bond_coupon")/100)</f>
        <v>#NAME?</v>
      </c>
    </row>
    <row r="23" spans="1:63" ht="14.1" customHeight="1">
      <c r="A23" s="347"/>
      <c r="B23" s="347"/>
      <c r="C23" s="347"/>
      <c r="D23" s="341"/>
      <c r="E23" s="347"/>
      <c r="F23" s="347"/>
      <c r="G23" s="347"/>
      <c r="H23" s="347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Z23" s="404"/>
      <c r="AA23" s="404"/>
      <c r="AH23" s="348" t="str">
        <f>IF(K1=AI23,"H","C")</f>
        <v>C</v>
      </c>
      <c r="AI23" s="348" t="s">
        <v>542</v>
      </c>
      <c r="AK23" s="348">
        <f t="shared" si="5"/>
        <v>13</v>
      </c>
      <c r="AL23" s="348" t="s">
        <v>543</v>
      </c>
      <c r="AM23" s="348" t="s">
        <v>544</v>
      </c>
      <c r="AN23" s="348" t="s">
        <v>545</v>
      </c>
      <c r="AP23" s="348" t="s">
        <v>476</v>
      </c>
      <c r="AQ23" s="348" t="s">
        <v>546</v>
      </c>
      <c r="AR23" s="348" t="s">
        <v>547</v>
      </c>
      <c r="AX23" s="348" t="e">
        <f ca="1">_xll.ciqfunctions.udf.CIQ("Nasdaq:AMZN", "IQ_BOND_LIST", 14)</f>
        <v>#NAME?</v>
      </c>
      <c r="AY23" s="373" t="e">
        <f ca="1">IF($AX23="","",IF(_xll.ciqfunctions.udf.CIQ($AX23,"iq_offer_date")&gt;Date,0,_xll.ciqfunctions.udf.CIQ($AX23,"iq_offer_date")))</f>
        <v>#NAME?</v>
      </c>
      <c r="AZ23" s="374" t="e">
        <f ca="1">IF($AX23="","",RANK(AY23,$AY$10:$AY$510)+COUNTIF($AY$10:AY23,AY23)-1)</f>
        <v>#NAME?</v>
      </c>
      <c r="BE23" s="348">
        <f t="shared" si="6"/>
        <v>14</v>
      </c>
      <c r="BF23" s="348" t="e">
        <f ca="1">_xll.ciqfunctions.udf.CIQ("Nasdaq:AMZN", "IQ_FIXED_INCOME_LIST", 14)</f>
        <v>#NAME?</v>
      </c>
      <c r="BG23" s="376" t="e">
        <f ca="1">IF($BF23="","",_xll.ciqfunctions.udf.CIQ($BF23,"iq_security_level"))</f>
        <v>#NAME?</v>
      </c>
      <c r="BH23" s="348" t="e">
        <f t="shared" ca="1" si="4"/>
        <v>#NAME?</v>
      </c>
      <c r="BJ23" s="348" t="e">
        <f t="shared" ca="1" si="3"/>
        <v>#NAME?</v>
      </c>
      <c r="BK23" s="377" t="e">
        <f ca="1">IF($BJ23="","",_xll.ciqfunctions.udf.CIQ($BJ23,"iq_bond_coupon")/100)</f>
        <v>#NAME?</v>
      </c>
    </row>
    <row r="24" spans="1:63" ht="14.1" customHeight="1">
      <c r="A24" s="338" t="s">
        <v>548</v>
      </c>
      <c r="B24" s="341"/>
      <c r="C24" s="341"/>
      <c r="D24" s="341"/>
      <c r="E24" s="341"/>
      <c r="F24" s="341"/>
      <c r="G24" s="341"/>
      <c r="H24" s="341"/>
      <c r="I24" s="341"/>
      <c r="J24" s="341"/>
      <c r="K24" s="341"/>
      <c r="L24" s="341"/>
      <c r="M24" s="341"/>
      <c r="N24" s="341"/>
      <c r="O24" s="341"/>
      <c r="P24" s="341"/>
      <c r="Q24" s="341"/>
      <c r="R24" s="341"/>
      <c r="S24" s="341"/>
      <c r="T24" s="341"/>
      <c r="U24" s="341"/>
      <c r="V24" s="341"/>
      <c r="W24" s="341"/>
      <c r="Z24" s="404"/>
      <c r="AA24" s="404"/>
      <c r="AB24" s="348" t="s">
        <v>413</v>
      </c>
      <c r="AC24" s="376" t="e">
        <f ca="1">_xll.ciqfunctions.udf.CIQ($B$1,"IQ_INDUSTRY_SECTOR")</f>
        <v>#NAME?</v>
      </c>
      <c r="AD24" s="376" t="s">
        <v>549</v>
      </c>
      <c r="AE24" s="376" t="s">
        <v>550</v>
      </c>
      <c r="AF24" s="404" t="s">
        <v>551</v>
      </c>
      <c r="AI24" s="348" t="s">
        <v>416</v>
      </c>
      <c r="AK24" s="348">
        <f t="shared" si="5"/>
        <v>14</v>
      </c>
      <c r="AL24" s="348" t="s">
        <v>552</v>
      </c>
      <c r="AM24" s="348" t="s">
        <v>553</v>
      </c>
      <c r="AN24" s="348" t="s">
        <v>554</v>
      </c>
      <c r="AP24" s="348" t="s">
        <v>476</v>
      </c>
      <c r="AQ24" s="348" t="s">
        <v>555</v>
      </c>
      <c r="AR24" s="348" t="s">
        <v>556</v>
      </c>
      <c r="AX24" s="348" t="e">
        <f ca="1">_xll.ciqfunctions.udf.CIQ("Nasdaq:AMZN", "IQ_BOND_LIST", 15)</f>
        <v>#NAME?</v>
      </c>
      <c r="AY24" s="373" t="e">
        <f ca="1">IF($AX24="","",IF(_xll.ciqfunctions.udf.CIQ($AX24,"iq_offer_date")&gt;Date,0,_xll.ciqfunctions.udf.CIQ($AX24,"iq_offer_date")))</f>
        <v>#NAME?</v>
      </c>
      <c r="AZ24" s="374" t="e">
        <f ca="1">IF($AX24="","",RANK(AY24,$AY$10:$AY$510)+COUNTIF($AY$10:AY24,AY24)-1)</f>
        <v>#NAME?</v>
      </c>
      <c r="BE24" s="348">
        <f t="shared" si="6"/>
        <v>15</v>
      </c>
      <c r="BF24" s="348" t="e">
        <f ca="1">_xll.ciqfunctions.udf.CIQ("Nasdaq:AMZN", "IQ_FIXED_INCOME_LIST", 15)</f>
        <v>#NAME?</v>
      </c>
      <c r="BG24" s="376" t="e">
        <f ca="1">IF($BF24="","",_xll.ciqfunctions.udf.CIQ($BF24,"iq_security_level"))</f>
        <v>#NAME?</v>
      </c>
      <c r="BH24" s="348" t="e">
        <f t="shared" ca="1" si="4"/>
        <v>#NAME?</v>
      </c>
      <c r="BJ24" s="348" t="e">
        <f t="shared" ca="1" si="3"/>
        <v>#NAME?</v>
      </c>
      <c r="BK24" s="377" t="e">
        <f ca="1">IF($BJ24="","",_xll.ciqfunctions.udf.CIQ($BJ24,"iq_bond_coupon")/100)</f>
        <v>#NAME?</v>
      </c>
    </row>
    <row r="25" spans="1:63" ht="14.1" customHeight="1">
      <c r="A25" s="341" t="s">
        <v>412</v>
      </c>
      <c r="C25" s="341" t="s">
        <v>557</v>
      </c>
      <c r="D25" s="341"/>
      <c r="E25" s="341"/>
      <c r="F25" s="406" t="s">
        <v>558</v>
      </c>
      <c r="G25" s="341"/>
      <c r="H25" s="406" t="s">
        <v>559</v>
      </c>
      <c r="I25" s="341"/>
      <c r="J25" s="349" t="s">
        <v>560</v>
      </c>
      <c r="K25" s="350"/>
      <c r="L25" s="350"/>
      <c r="M25" s="350"/>
      <c r="N25" s="351"/>
      <c r="O25" s="351"/>
      <c r="P25" s="351"/>
      <c r="Q25" s="351"/>
      <c r="R25" s="351"/>
      <c r="S25" s="351"/>
      <c r="T25" s="341"/>
      <c r="U25" s="352" t="s">
        <v>561</v>
      </c>
      <c r="V25" s="353"/>
      <c r="W25" s="353"/>
      <c r="Z25" s="404"/>
      <c r="AA25" s="404"/>
      <c r="AB25" s="348" t="s">
        <v>562</v>
      </c>
      <c r="AC25" s="376" t="s">
        <v>563</v>
      </c>
      <c r="AD25" s="376" t="s">
        <v>564</v>
      </c>
      <c r="AE25" s="376" t="s">
        <v>565</v>
      </c>
      <c r="AF25" s="404" t="s">
        <v>566</v>
      </c>
      <c r="AK25" s="348">
        <f t="shared" si="5"/>
        <v>15</v>
      </c>
      <c r="AL25" s="348" t="s">
        <v>567</v>
      </c>
      <c r="AM25" s="348" t="s">
        <v>568</v>
      </c>
      <c r="AN25" s="348" t="s">
        <v>569</v>
      </c>
      <c r="AP25" s="348" t="s">
        <v>476</v>
      </c>
      <c r="AQ25" s="348" t="s">
        <v>570</v>
      </c>
      <c r="AR25" s="348" t="s">
        <v>571</v>
      </c>
      <c r="AX25" s="348" t="e">
        <f ca="1">_xll.ciqfunctions.udf.CIQ("Nasdaq:AMZN", "IQ_BOND_LIST", 16)</f>
        <v>#NAME?</v>
      </c>
      <c r="AY25" s="373" t="e">
        <f ca="1">IF($AX25="","",IF(_xll.ciqfunctions.udf.CIQ($AX25,"iq_offer_date")&gt;Date,0,_xll.ciqfunctions.udf.CIQ($AX25,"iq_offer_date")))</f>
        <v>#NAME?</v>
      </c>
      <c r="AZ25" s="374" t="e">
        <f ca="1">IF($AX25="","",RANK(AY25,$AY$10:$AY$510)+COUNTIF($AY$10:AY25,AY25)-1)</f>
        <v>#NAME?</v>
      </c>
      <c r="BE25" s="348">
        <f t="shared" si="6"/>
        <v>16</v>
      </c>
      <c r="BF25" s="348" t="e">
        <f ca="1">_xll.ciqfunctions.udf.CIQ("Nasdaq:AMZN", "IQ_FIXED_INCOME_LIST", 16)</f>
        <v>#NAME?</v>
      </c>
      <c r="BG25" s="376" t="e">
        <f ca="1">IF($BF25="","",_xll.ciqfunctions.udf.CIQ($BF25,"iq_security_level"))</f>
        <v>#NAME?</v>
      </c>
      <c r="BH25" s="348" t="e">
        <f t="shared" ca="1" si="4"/>
        <v>#NAME?</v>
      </c>
      <c r="BJ25" s="348" t="e">
        <f t="shared" ca="1" si="3"/>
        <v>#NAME?</v>
      </c>
      <c r="BK25" s="377" t="e">
        <f ca="1">IF($BJ25="","",_xll.ciqfunctions.udf.CIQ($BJ25,"iq_bond_coupon")/100)</f>
        <v>#NAME?</v>
      </c>
    </row>
    <row r="26" spans="1:63" ht="14.1" customHeight="1">
      <c r="A26" s="407" t="s">
        <v>413</v>
      </c>
      <c r="C26" s="659" t="s">
        <v>564</v>
      </c>
      <c r="D26" s="660"/>
      <c r="E26" s="408"/>
      <c r="F26" s="383" t="s">
        <v>572</v>
      </c>
      <c r="G26" s="341"/>
      <c r="H26" s="383" t="s">
        <v>636</v>
      </c>
      <c r="I26" s="341"/>
      <c r="J26" s="341"/>
      <c r="K26" s="341"/>
      <c r="L26" s="341"/>
      <c r="M26" s="341"/>
      <c r="N26" s="341"/>
      <c r="O26" s="341"/>
      <c r="P26" s="341"/>
      <c r="Q26" s="341"/>
      <c r="R26" s="341"/>
      <c r="S26" s="341"/>
      <c r="T26" s="341"/>
      <c r="U26" s="341" t="s">
        <v>574</v>
      </c>
      <c r="V26" s="341"/>
      <c r="W26" s="409">
        <v>5.0000000000000001E-3</v>
      </c>
      <c r="Z26" s="404"/>
      <c r="AA26" s="404"/>
      <c r="AB26" s="348" t="s">
        <v>575</v>
      </c>
      <c r="AC26" s="376" t="s">
        <v>576</v>
      </c>
      <c r="AD26" s="376" t="s">
        <v>577</v>
      </c>
      <c r="AE26" s="376" t="s">
        <v>572</v>
      </c>
      <c r="AF26" s="404" t="s">
        <v>578</v>
      </c>
      <c r="AI26" s="348" t="str">
        <f>INDEX($AI$27:$AI$30,MATCH($Q$1,$AH$27:$AH$30,0))</f>
        <v>LFR</v>
      </c>
      <c r="AK26" s="348">
        <f t="shared" si="5"/>
        <v>16</v>
      </c>
      <c r="AL26" s="348" t="s">
        <v>579</v>
      </c>
      <c r="AM26" s="348" t="s">
        <v>580</v>
      </c>
      <c r="AN26" s="348" t="s">
        <v>581</v>
      </c>
      <c r="AP26" s="348" t="s">
        <v>484</v>
      </c>
      <c r="AQ26" s="348" t="s">
        <v>582</v>
      </c>
      <c r="AR26" s="348" t="s">
        <v>583</v>
      </c>
      <c r="AX26" s="348" t="e">
        <f ca="1">_xll.ciqfunctions.udf.CIQ("Nasdaq:AMZN", "IQ_BOND_LIST", 17)</f>
        <v>#NAME?</v>
      </c>
      <c r="AY26" s="373" t="e">
        <f ca="1">IF($AX26="","",IF(_xll.ciqfunctions.udf.CIQ($AX26,"iq_offer_date")&gt;Date,0,_xll.ciqfunctions.udf.CIQ($AX26,"iq_offer_date")))</f>
        <v>#NAME?</v>
      </c>
      <c r="AZ26" s="374" t="e">
        <f ca="1">IF($AX26="","",RANK(AY26,$AY$10:$AY$510)+COUNTIF($AY$10:AY26,AY26)-1)</f>
        <v>#NAME?</v>
      </c>
      <c r="BE26" s="348">
        <f t="shared" si="6"/>
        <v>17</v>
      </c>
      <c r="BF26" s="348" t="e">
        <f ca="1">_xll.ciqfunctions.udf.CIQ("Nasdaq:AMZN", "IQ_FIXED_INCOME_LIST", 17)</f>
        <v>#NAME?</v>
      </c>
      <c r="BG26" s="376" t="e">
        <f ca="1">IF($BF26="","",_xll.ciqfunctions.udf.CIQ($BF26,"iq_security_level"))</f>
        <v>#NAME?</v>
      </c>
      <c r="BH26" s="348" t="e">
        <f t="shared" ca="1" si="4"/>
        <v>#NAME?</v>
      </c>
      <c r="BJ26" s="348" t="e">
        <f t="shared" ca="1" si="3"/>
        <v>#NAME?</v>
      </c>
      <c r="BK26" s="377" t="e">
        <f ca="1">IF($BJ26="","",_xll.ciqfunctions.udf.CIQ($BJ26,"iq_bond_coupon")/100)</f>
        <v>#NAME?</v>
      </c>
    </row>
    <row r="27" spans="1:63" ht="14.1" customHeight="1" thickBot="1">
      <c r="A27" s="341"/>
      <c r="B27" s="341"/>
      <c r="C27" s="341"/>
      <c r="D27" s="341"/>
      <c r="E27" s="341"/>
      <c r="F27" s="341"/>
      <c r="G27" s="341"/>
      <c r="H27" s="341"/>
      <c r="I27" s="341"/>
      <c r="J27" s="410" t="s">
        <v>584</v>
      </c>
      <c r="K27" s="411" t="s">
        <v>585</v>
      </c>
      <c r="L27" s="412"/>
      <c r="M27" s="412"/>
      <c r="N27" s="412"/>
      <c r="O27" s="412"/>
      <c r="P27" s="412"/>
      <c r="Q27" s="412"/>
      <c r="R27" s="412"/>
      <c r="S27" s="412"/>
      <c r="T27" s="341"/>
      <c r="U27" s="341" t="s">
        <v>586</v>
      </c>
      <c r="V27" s="341"/>
      <c r="W27" s="409">
        <v>0.05</v>
      </c>
      <c r="Z27" s="404"/>
      <c r="AA27" s="404"/>
      <c r="AB27" s="348" t="s">
        <v>587</v>
      </c>
      <c r="AC27" s="376" t="s">
        <v>588</v>
      </c>
      <c r="AD27" s="376" t="s">
        <v>588</v>
      </c>
      <c r="AE27" s="376" t="s">
        <v>589</v>
      </c>
      <c r="AF27" s="404" t="s">
        <v>590</v>
      </c>
      <c r="AH27" s="348" t="s">
        <v>420</v>
      </c>
      <c r="AI27" s="348" t="s">
        <v>591</v>
      </c>
      <c r="AK27" s="348">
        <f t="shared" si="5"/>
        <v>17</v>
      </c>
      <c r="AL27" s="348" t="s">
        <v>592</v>
      </c>
      <c r="AM27" s="348" t="s">
        <v>593</v>
      </c>
      <c r="AN27" s="348" t="s">
        <v>594</v>
      </c>
      <c r="AP27" s="348" t="s">
        <v>484</v>
      </c>
      <c r="AQ27" s="348" t="s">
        <v>595</v>
      </c>
      <c r="AR27" s="348" t="s">
        <v>596</v>
      </c>
      <c r="AX27" s="348" t="e">
        <f ca="1">_xll.ciqfunctions.udf.CIQ("Nasdaq:AMZN", "IQ_BOND_LIST", 18)</f>
        <v>#NAME?</v>
      </c>
      <c r="AY27" s="373" t="e">
        <f ca="1">IF($AX27="","",IF(_xll.ciqfunctions.udf.CIQ($AX27,"iq_offer_date")&gt;Date,0,_xll.ciqfunctions.udf.CIQ($AX27,"iq_offer_date")))</f>
        <v>#NAME?</v>
      </c>
      <c r="AZ27" s="374" t="e">
        <f ca="1">IF($AX27="","",RANK(AY27,$AY$10:$AY$510)+COUNTIF($AY$10:AY27,AY27)-1)</f>
        <v>#NAME?</v>
      </c>
      <c r="BE27" s="348">
        <f t="shared" si="6"/>
        <v>18</v>
      </c>
      <c r="BF27" s="348" t="e">
        <f ca="1">_xll.ciqfunctions.udf.CIQ("Nasdaq:AMZN", "IQ_FIXED_INCOME_LIST", 18)</f>
        <v>#NAME?</v>
      </c>
      <c r="BG27" s="376" t="e">
        <f ca="1">IF($BF27="","",_xll.ciqfunctions.udf.CIQ($BF27,"iq_security_level"))</f>
        <v>#NAME?</v>
      </c>
      <c r="BH27" s="348" t="e">
        <f t="shared" ca="1" si="4"/>
        <v>#NAME?</v>
      </c>
      <c r="BJ27" s="348" t="e">
        <f t="shared" ca="1" si="3"/>
        <v>#NAME?</v>
      </c>
      <c r="BK27" s="377" t="e">
        <f ca="1">IF($BJ27="","",_xll.ciqfunctions.udf.CIQ($BJ27,"iq_bond_coupon")/100)</f>
        <v>#NAME?</v>
      </c>
    </row>
    <row r="28" spans="1:63" ht="14.1" customHeight="1">
      <c r="A28" s="459" t="s">
        <v>597</v>
      </c>
      <c r="B28" s="460"/>
      <c r="C28" s="460"/>
      <c r="D28" s="460"/>
      <c r="E28" s="460"/>
      <c r="F28" s="460"/>
      <c r="G28" s="461"/>
      <c r="H28" s="462"/>
      <c r="I28" s="341"/>
      <c r="J28" s="413">
        <f>H49</f>
        <v>7.0050365453809132E-2</v>
      </c>
      <c r="K28" s="414">
        <v>0.05</v>
      </c>
      <c r="L28" s="415">
        <f t="shared" ref="L28:S28" si="7">K28+$W$26</f>
        <v>5.5E-2</v>
      </c>
      <c r="M28" s="415">
        <f t="shared" si="7"/>
        <v>0.06</v>
      </c>
      <c r="N28" s="415">
        <f t="shared" si="7"/>
        <v>6.5000000000000002E-2</v>
      </c>
      <c r="O28" s="415">
        <f t="shared" si="7"/>
        <v>7.0000000000000007E-2</v>
      </c>
      <c r="P28" s="415">
        <f t="shared" si="7"/>
        <v>7.5000000000000011E-2</v>
      </c>
      <c r="Q28" s="415">
        <f t="shared" si="7"/>
        <v>8.0000000000000016E-2</v>
      </c>
      <c r="R28" s="415">
        <f t="shared" si="7"/>
        <v>8.500000000000002E-2</v>
      </c>
      <c r="S28" s="415">
        <f t="shared" si="7"/>
        <v>9.0000000000000024E-2</v>
      </c>
      <c r="T28" s="341"/>
      <c r="U28" s="341" t="s">
        <v>598</v>
      </c>
      <c r="V28" s="341"/>
      <c r="W28" s="409">
        <v>7.4999999999999997E-3</v>
      </c>
      <c r="Z28" s="404"/>
      <c r="AA28" s="404"/>
      <c r="AC28" s="376" t="s">
        <v>599</v>
      </c>
      <c r="AD28" s="376" t="s">
        <v>599</v>
      </c>
      <c r="AE28" s="376" t="s">
        <v>600</v>
      </c>
      <c r="AF28" s="404" t="s">
        <v>601</v>
      </c>
      <c r="AH28" s="348" t="s">
        <v>602</v>
      </c>
      <c r="AI28" s="348" t="s">
        <v>603</v>
      </c>
      <c r="AK28" s="348">
        <f t="shared" si="5"/>
        <v>18</v>
      </c>
      <c r="AL28" s="348" t="s">
        <v>604</v>
      </c>
      <c r="AM28" s="348" t="s">
        <v>605</v>
      </c>
      <c r="AN28" s="348" t="s">
        <v>606</v>
      </c>
      <c r="AP28" s="348" t="s">
        <v>484</v>
      </c>
      <c r="AQ28" s="348" t="s">
        <v>607</v>
      </c>
      <c r="AR28" s="348" t="s">
        <v>608</v>
      </c>
      <c r="AX28" s="348" t="e">
        <f ca="1">_xll.ciqfunctions.udf.CIQ("Nasdaq:AMZN", "IQ_BOND_LIST", 19)</f>
        <v>#NAME?</v>
      </c>
      <c r="AY28" s="373" t="e">
        <f ca="1">IF($AX28="","",IF(_xll.ciqfunctions.udf.CIQ($AX28,"iq_offer_date")&gt;Date,0,_xll.ciqfunctions.udf.CIQ($AX28,"iq_offer_date")))</f>
        <v>#NAME?</v>
      </c>
      <c r="AZ28" s="374" t="e">
        <f ca="1">IF($AX28="","",RANK(AY28,$AY$10:$AY$510)+COUNTIF($AY$10:AY28,AY28)-1)</f>
        <v>#NAME?</v>
      </c>
      <c r="BE28" s="348">
        <f t="shared" si="6"/>
        <v>19</v>
      </c>
      <c r="BF28" s="348" t="e">
        <f ca="1">_xll.ciqfunctions.udf.CIQ("Nasdaq:AMZN", "IQ_FIXED_INCOME_LIST", 19)</f>
        <v>#NAME?</v>
      </c>
      <c r="BG28" s="376" t="e">
        <f ca="1">IF($BF28="","",_xll.ciqfunctions.udf.CIQ($BF28,"iq_security_level"))</f>
        <v>#NAME?</v>
      </c>
      <c r="BH28" s="348" t="e">
        <f t="shared" ca="1" si="4"/>
        <v>#NAME?</v>
      </c>
      <c r="BJ28" s="348" t="e">
        <f t="shared" ca="1" si="3"/>
        <v>#NAME?</v>
      </c>
      <c r="BK28" s="377" t="e">
        <f ca="1">IF($BJ28="","",_xll.ciqfunctions.udf.CIQ($BJ28,"iq_bond_coupon")/100)</f>
        <v>#NAME?</v>
      </c>
    </row>
    <row r="29" spans="1:63" ht="14.1" customHeight="1">
      <c r="A29" s="463"/>
      <c r="B29" s="464"/>
      <c r="C29" s="464"/>
      <c r="D29" s="464"/>
      <c r="E29" s="464"/>
      <c r="F29" s="464"/>
      <c r="G29" s="464"/>
      <c r="H29" s="465"/>
      <c r="I29" s="341"/>
      <c r="J29" s="416">
        <f>J30-$W$27</f>
        <v>0.35000000000000003</v>
      </c>
      <c r="K29" s="417">
        <f t="dataTable" ref="K29:S35" dt2D="1" dtr="0" r1="H39" r2="H42" ca="1"/>
        <v>5.9776736186181026E-2</v>
      </c>
      <c r="L29" s="418">
        <v>6.1001736186181023E-2</v>
      </c>
      <c r="M29" s="418">
        <v>6.222673618618102E-2</v>
      </c>
      <c r="N29" s="418">
        <v>6.3451736186181024E-2</v>
      </c>
      <c r="O29" s="418">
        <v>6.4676736186181027E-2</v>
      </c>
      <c r="P29" s="418">
        <v>6.5901736186181031E-2</v>
      </c>
      <c r="Q29" s="418">
        <v>6.7126736186181035E-2</v>
      </c>
      <c r="R29" s="418">
        <v>6.8351736186181025E-2</v>
      </c>
      <c r="S29" s="418">
        <v>6.9576736186181029E-2</v>
      </c>
      <c r="T29" s="341"/>
      <c r="U29" s="341" t="s">
        <v>609</v>
      </c>
      <c r="V29" s="341"/>
      <c r="W29" s="409">
        <v>0.05</v>
      </c>
      <c r="Z29" s="404"/>
      <c r="AA29" s="404"/>
      <c r="AC29" s="376" t="s">
        <v>610</v>
      </c>
      <c r="AD29" s="376" t="s">
        <v>610</v>
      </c>
      <c r="AE29" s="376" t="s">
        <v>611</v>
      </c>
      <c r="AF29" s="404" t="s">
        <v>612</v>
      </c>
      <c r="AH29" s="348" t="s">
        <v>613</v>
      </c>
      <c r="AI29" s="348" t="s">
        <v>614</v>
      </c>
      <c r="AK29" s="348">
        <f t="shared" si="5"/>
        <v>19</v>
      </c>
      <c r="AL29" s="348" t="s">
        <v>529</v>
      </c>
      <c r="AM29" s="348" t="s">
        <v>615</v>
      </c>
      <c r="AN29" s="348" t="s">
        <v>616</v>
      </c>
      <c r="AP29" s="348" t="s">
        <v>491</v>
      </c>
      <c r="AQ29" s="348" t="s">
        <v>617</v>
      </c>
      <c r="AR29" s="348" t="s">
        <v>618</v>
      </c>
      <c r="AX29" s="348" t="e">
        <f ca="1">_xll.ciqfunctions.udf.CIQ("Nasdaq:AMZN", "IQ_BOND_LIST", 20)</f>
        <v>#NAME?</v>
      </c>
      <c r="AY29" s="373" t="e">
        <f ca="1">IF($AX29="","",IF(_xll.ciqfunctions.udf.CIQ($AX29,"iq_offer_date")&gt;Date,0,_xll.ciqfunctions.udf.CIQ($AX29,"iq_offer_date")))</f>
        <v>#NAME?</v>
      </c>
      <c r="AZ29" s="374" t="e">
        <f ca="1">IF($AX29="","",RANK(AY29,$AY$10:$AY$510)+COUNTIF($AY$10:AY29,AY29)-1)</f>
        <v>#NAME?</v>
      </c>
      <c r="BE29" s="348">
        <f t="shared" si="6"/>
        <v>20</v>
      </c>
      <c r="BF29" s="348" t="e">
        <f ca="1">_xll.ciqfunctions.udf.CIQ("Nasdaq:AMZN", "IQ_FIXED_INCOME_LIST", 20)</f>
        <v>#NAME?</v>
      </c>
      <c r="BG29" s="376" t="e">
        <f ca="1">IF($BF29="","",_xll.ciqfunctions.udf.CIQ($BF29,"iq_security_level"))</f>
        <v>#NAME?</v>
      </c>
      <c r="BH29" s="348" t="e">
        <f t="shared" ca="1" si="4"/>
        <v>#NAME?</v>
      </c>
      <c r="BJ29" s="348" t="e">
        <f t="shared" ca="1" si="3"/>
        <v>#NAME?</v>
      </c>
      <c r="BK29" s="377" t="e">
        <f ca="1">IF($BJ29="","",_xll.ciqfunctions.udf.CIQ($BJ29,"iq_bond_coupon")/100)</f>
        <v>#NAME?</v>
      </c>
    </row>
    <row r="30" spans="1:63" ht="14.1" customHeight="1">
      <c r="A30" s="463" t="s">
        <v>619</v>
      </c>
      <c r="B30" s="464"/>
      <c r="C30" s="464"/>
      <c r="D30" s="464"/>
      <c r="E30" s="464"/>
      <c r="F30" s="464"/>
      <c r="G30" s="464"/>
      <c r="H30" s="466">
        <f>H10-H9</f>
        <v>4.8173749999999994E-2</v>
      </c>
      <c r="I30" s="341"/>
      <c r="J30" s="416">
        <f>J31-$W$27</f>
        <v>0.4</v>
      </c>
      <c r="K30" s="419">
        <v>5.7870833402628635E-2</v>
      </c>
      <c r="L30" s="420">
        <v>5.9270833402628634E-2</v>
      </c>
      <c r="M30" s="420">
        <v>6.0670833402628632E-2</v>
      </c>
      <c r="N30" s="420">
        <v>6.2070833402628638E-2</v>
      </c>
      <c r="O30" s="420">
        <v>6.3470833402628643E-2</v>
      </c>
      <c r="P30" s="420">
        <v>6.4870833402628642E-2</v>
      </c>
      <c r="Q30" s="420">
        <v>6.627083340262864E-2</v>
      </c>
      <c r="R30" s="420">
        <v>6.7670833402628638E-2</v>
      </c>
      <c r="S30" s="420">
        <v>6.9070833402628651E-2</v>
      </c>
      <c r="T30" s="341"/>
      <c r="U30" s="341"/>
      <c r="V30" s="341"/>
      <c r="W30" s="341"/>
      <c r="Z30" s="404"/>
      <c r="AA30" s="404"/>
      <c r="AC30" s="376" t="s">
        <v>620</v>
      </c>
      <c r="AD30" s="376" t="s">
        <v>620</v>
      </c>
      <c r="AE30" s="376" t="s">
        <v>621</v>
      </c>
      <c r="AF30" s="404" t="s">
        <v>622</v>
      </c>
      <c r="AH30" s="348" t="s">
        <v>623</v>
      </c>
      <c r="AI30" s="348" t="s">
        <v>624</v>
      </c>
      <c r="AP30" s="348" t="s">
        <v>491</v>
      </c>
      <c r="AQ30" s="348" t="s">
        <v>625</v>
      </c>
      <c r="AR30" s="348" t="s">
        <v>626</v>
      </c>
      <c r="AX30" s="348" t="e">
        <f ca="1">_xll.ciqfunctions.udf.CIQ("Nasdaq:AMZN", "IQ_BOND_LIST", 21)</f>
        <v>#NAME?</v>
      </c>
      <c r="AY30" s="373" t="e">
        <f ca="1">IF($AX30="","",IF(_xll.ciqfunctions.udf.CIQ($AX30,"iq_offer_date")&gt;Date,0,_xll.ciqfunctions.udf.CIQ($AX30,"iq_offer_date")))</f>
        <v>#NAME?</v>
      </c>
      <c r="AZ30" s="374" t="e">
        <f ca="1">IF($AX30="","",RANK(AY30,$AY$10:$AY$510)+COUNTIF($AY$10:AY30,AY30)-1)</f>
        <v>#NAME?</v>
      </c>
      <c r="BE30" s="348">
        <f t="shared" si="6"/>
        <v>21</v>
      </c>
      <c r="BF30" s="348" t="e">
        <f ca="1">_xll.ciqfunctions.udf.CIQ("Nasdaq:AMZN", "IQ_FIXED_INCOME_LIST", 21)</f>
        <v>#NAME?</v>
      </c>
      <c r="BG30" s="376" t="e">
        <f ca="1">IF($BF30="","",_xll.ciqfunctions.udf.CIQ($BF30,"iq_security_level"))</f>
        <v>#NAME?</v>
      </c>
      <c r="BH30" s="348" t="e">
        <f t="shared" ca="1" si="4"/>
        <v>#NAME?</v>
      </c>
      <c r="BJ30" s="348" t="e">
        <f t="shared" ca="1" si="3"/>
        <v>#NAME?</v>
      </c>
      <c r="BK30" s="377" t="e">
        <f ca="1">IF($BJ30="","",_xll.ciqfunctions.udf.CIQ($BJ30,"iq_bond_coupon")/100)</f>
        <v>#NAME?</v>
      </c>
    </row>
    <row r="31" spans="1:63" ht="14.1" customHeight="1">
      <c r="A31" s="463" t="str">
        <f>"Multiplied by: "&amp;TEXT($B$1,"TTTTTT")&amp;IF($W$17=1," Bottom-Up Beta"," Regression Beta")</f>
        <v>Multiplied by: Nasdaq:AMZN Bottom-Up Beta</v>
      </c>
      <c r="B31" s="464"/>
      <c r="C31" s="464"/>
      <c r="D31" s="464"/>
      <c r="E31" s="464"/>
      <c r="F31" s="464"/>
      <c r="G31" s="464"/>
      <c r="H31" s="467">
        <f>IF($W$17=1,W18,$W$19)</f>
        <v>0.84938489677568652</v>
      </c>
      <c r="I31" s="400"/>
      <c r="J31" s="416">
        <f>J32-$W$27</f>
        <v>0.45</v>
      </c>
      <c r="K31" s="419">
        <v>5.5964930619076259E-2</v>
      </c>
      <c r="L31" s="420">
        <v>5.7539930619076259E-2</v>
      </c>
      <c r="M31" s="420">
        <v>5.9114930619076259E-2</v>
      </c>
      <c r="N31" s="420">
        <v>6.0689930619076259E-2</v>
      </c>
      <c r="O31" s="420">
        <v>6.2264930619076259E-2</v>
      </c>
      <c r="P31" s="420">
        <v>6.3839930619076266E-2</v>
      </c>
      <c r="Q31" s="420">
        <v>6.5414930619076259E-2</v>
      </c>
      <c r="R31" s="420">
        <v>6.6989930619076266E-2</v>
      </c>
      <c r="S31" s="420">
        <v>6.8564930619076259E-2</v>
      </c>
      <c r="T31" s="341"/>
      <c r="U31" s="341"/>
      <c r="V31" s="341"/>
      <c r="W31" s="341"/>
      <c r="AC31" s="376" t="s">
        <v>627</v>
      </c>
      <c r="AD31" s="376" t="s">
        <v>628</v>
      </c>
      <c r="AE31" s="376" t="s">
        <v>629</v>
      </c>
      <c r="AF31" s="404" t="s">
        <v>630</v>
      </c>
      <c r="AP31" s="348" t="s">
        <v>491</v>
      </c>
      <c r="AQ31" s="348" t="s">
        <v>631</v>
      </c>
      <c r="AR31" s="348" t="s">
        <v>632</v>
      </c>
      <c r="AX31" s="348" t="e">
        <f ca="1">_xll.ciqfunctions.udf.CIQ("Nasdaq:AMZN", "IQ_BOND_LIST", 22)</f>
        <v>#NAME?</v>
      </c>
      <c r="AY31" s="373" t="e">
        <f ca="1">IF($AX31="","",IF(_xll.ciqfunctions.udf.CIQ($AX31,"iq_offer_date")&gt;Date,0,_xll.ciqfunctions.udf.CIQ($AX31,"iq_offer_date")))</f>
        <v>#NAME?</v>
      </c>
      <c r="AZ31" s="374" t="e">
        <f ca="1">IF($AX31="","",RANK(AY31,$AY$10:$AY$510)+COUNTIF($AY$10:AY31,AY31)-1)</f>
        <v>#NAME?</v>
      </c>
      <c r="BE31" s="348">
        <f t="shared" si="6"/>
        <v>22</v>
      </c>
      <c r="BF31" s="348" t="e">
        <f ca="1">_xll.ciqfunctions.udf.CIQ("Nasdaq:AMZN", "IQ_FIXED_INCOME_LIST", 22)</f>
        <v>#NAME?</v>
      </c>
      <c r="BG31" s="376" t="e">
        <f ca="1">IF($BF31="","",_xll.ciqfunctions.udf.CIQ($BF31,"iq_security_level"))</f>
        <v>#NAME?</v>
      </c>
      <c r="BH31" s="348" t="e">
        <f t="shared" ca="1" si="4"/>
        <v>#NAME?</v>
      </c>
      <c r="BJ31" s="348" t="e">
        <f t="shared" ca="1" si="3"/>
        <v>#NAME?</v>
      </c>
      <c r="BK31" s="377" t="e">
        <f ca="1">IF($BJ31="","",_xll.ciqfunctions.udf.CIQ($BJ31,"iq_bond_coupon")/100)</f>
        <v>#NAME?</v>
      </c>
    </row>
    <row r="32" spans="1:63" ht="14.1" customHeight="1">
      <c r="A32" s="463" t="s">
        <v>633</v>
      </c>
      <c r="B32" s="464"/>
      <c r="C32" s="464"/>
      <c r="D32" s="464"/>
      <c r="E32" s="464"/>
      <c r="F32" s="464"/>
      <c r="G32" s="464"/>
      <c r="H32" s="466">
        <f>+H30*H31</f>
        <v>4.0918055671047726E-2</v>
      </c>
      <c r="I32" s="341"/>
      <c r="J32" s="358">
        <v>0.5</v>
      </c>
      <c r="K32" s="419">
        <v>5.4059027835523868E-2</v>
      </c>
      <c r="L32" s="420">
        <v>5.5809027835523869E-2</v>
      </c>
      <c r="M32" s="420">
        <v>5.7559027835523864E-2</v>
      </c>
      <c r="N32" s="420">
        <v>5.9309027835523866E-2</v>
      </c>
      <c r="O32" s="420">
        <v>6.1059027835523867E-2</v>
      </c>
      <c r="P32" s="420">
        <v>6.2809027835523862E-2</v>
      </c>
      <c r="Q32" s="420">
        <v>6.4559027835523863E-2</v>
      </c>
      <c r="R32" s="420">
        <v>6.6309027835523865E-2</v>
      </c>
      <c r="S32" s="420">
        <v>6.8059027835523866E-2</v>
      </c>
      <c r="T32" s="341"/>
      <c r="U32" s="341"/>
      <c r="V32" s="341"/>
      <c r="W32" s="341"/>
      <c r="AC32" s="376" t="s">
        <v>634</v>
      </c>
      <c r="AD32" s="376" t="s">
        <v>634</v>
      </c>
      <c r="AE32" s="376" t="s">
        <v>635</v>
      </c>
      <c r="AF32" s="376" t="s">
        <v>636</v>
      </c>
      <c r="AP32" s="348" t="s">
        <v>491</v>
      </c>
      <c r="AQ32" s="348" t="s">
        <v>637</v>
      </c>
      <c r="AR32" s="348" t="s">
        <v>638</v>
      </c>
      <c r="AX32" s="348" t="e">
        <f ca="1">_xll.ciqfunctions.udf.CIQ("Nasdaq:AMZN", "IQ_BOND_LIST", 23)</f>
        <v>#NAME?</v>
      </c>
      <c r="AY32" s="373" t="e">
        <f ca="1">IF($AX32="","",IF(_xll.ciqfunctions.udf.CIQ($AX32,"iq_offer_date")&gt;Date,0,_xll.ciqfunctions.udf.CIQ($AX32,"iq_offer_date")))</f>
        <v>#NAME?</v>
      </c>
      <c r="AZ32" s="374" t="e">
        <f ca="1">IF($AX32="","",RANK(AY32,$AY$10:$AY$510)+COUNTIF($AY$10:AY32,AY32)-1)</f>
        <v>#NAME?</v>
      </c>
      <c r="BE32" s="348">
        <f t="shared" si="6"/>
        <v>23</v>
      </c>
      <c r="BF32" s="348" t="e">
        <f ca="1">_xll.ciqfunctions.udf.CIQ("Nasdaq:AMZN", "IQ_FIXED_INCOME_LIST", 23)</f>
        <v>#NAME?</v>
      </c>
      <c r="BG32" s="376" t="e">
        <f ca="1">IF($BF32="","",_xll.ciqfunctions.udf.CIQ($BF32,"iq_security_level"))</f>
        <v>#NAME?</v>
      </c>
      <c r="BH32" s="348" t="e">
        <f t="shared" ca="1" si="4"/>
        <v>#NAME?</v>
      </c>
      <c r="BJ32" s="348" t="e">
        <f t="shared" ca="1" si="3"/>
        <v>#NAME?</v>
      </c>
      <c r="BK32" s="377" t="e">
        <f ca="1">IF($BJ32="","",_xll.ciqfunctions.udf.CIQ($BJ32,"iq_bond_coupon")/100)</f>
        <v>#NAME?</v>
      </c>
    </row>
    <row r="33" spans="1:63" ht="14.1" customHeight="1">
      <c r="A33" s="463" t="s">
        <v>861</v>
      </c>
      <c r="B33" s="464"/>
      <c r="C33" s="464"/>
      <c r="D33" s="464"/>
      <c r="E33" s="464"/>
      <c r="F33" s="464"/>
      <c r="G33" s="464"/>
      <c r="H33" s="466">
        <f>+H9</f>
        <v>3.2199999999999999E-2</v>
      </c>
      <c r="I33" s="341"/>
      <c r="J33" s="416">
        <f>J32+$W$27</f>
        <v>0.55000000000000004</v>
      </c>
      <c r="K33" s="419">
        <v>5.2153125051971477E-2</v>
      </c>
      <c r="L33" s="420">
        <v>5.4078125051971473E-2</v>
      </c>
      <c r="M33" s="420">
        <v>5.600312505197147E-2</v>
      </c>
      <c r="N33" s="420">
        <v>5.792812505197148E-2</v>
      </c>
      <c r="O33" s="420">
        <v>5.9853125051971476E-2</v>
      </c>
      <c r="P33" s="420">
        <v>6.1778125051971479E-2</v>
      </c>
      <c r="Q33" s="420">
        <v>6.3703125051971482E-2</v>
      </c>
      <c r="R33" s="420">
        <v>6.5628125051971492E-2</v>
      </c>
      <c r="S33" s="420">
        <v>6.7553125051971488E-2</v>
      </c>
      <c r="T33" s="341"/>
      <c r="U33" s="341"/>
      <c r="V33" s="341"/>
      <c r="W33" s="341"/>
      <c r="AC33" s="376" t="s">
        <v>639</v>
      </c>
      <c r="AD33" s="376" t="s">
        <v>640</v>
      </c>
      <c r="AF33" s="376" t="s">
        <v>641</v>
      </c>
      <c r="AH33" s="421" t="s">
        <v>642</v>
      </c>
      <c r="AI33" s="421"/>
      <c r="AP33" s="348" t="s">
        <v>491</v>
      </c>
      <c r="AQ33" s="348" t="s">
        <v>643</v>
      </c>
      <c r="AR33" s="348" t="s">
        <v>644</v>
      </c>
      <c r="AX33" s="348" t="e">
        <f ca="1">_xll.ciqfunctions.udf.CIQ("Nasdaq:AMZN", "IQ_BOND_LIST", 24)</f>
        <v>#NAME?</v>
      </c>
      <c r="AY33" s="373" t="e">
        <f ca="1">IF($AX33="","",IF(_xll.ciqfunctions.udf.CIQ($AX33,"iq_offer_date")&gt;Date,0,_xll.ciqfunctions.udf.CIQ($AX33,"iq_offer_date")))</f>
        <v>#NAME?</v>
      </c>
      <c r="AZ33" s="374" t="e">
        <f ca="1">IF($AX33="","",RANK(AY33,$AY$10:$AY$510)+COUNTIF($AY$10:AY33,AY33)-1)</f>
        <v>#NAME?</v>
      </c>
      <c r="BE33" s="348">
        <f t="shared" si="6"/>
        <v>24</v>
      </c>
      <c r="BF33" s="348" t="e">
        <f ca="1">_xll.ciqfunctions.udf.CIQ("Nasdaq:AMZN", "IQ_FIXED_INCOME_LIST", 24)</f>
        <v>#NAME?</v>
      </c>
      <c r="BG33" s="376" t="e">
        <f ca="1">IF($BF33="","",_xll.ciqfunctions.udf.CIQ($BF33,"iq_security_level"))</f>
        <v>#NAME?</v>
      </c>
      <c r="BH33" s="348" t="e">
        <f t="shared" ca="1" si="4"/>
        <v>#NAME?</v>
      </c>
      <c r="BJ33" s="348" t="e">
        <f t="shared" ca="1" si="3"/>
        <v>#NAME?</v>
      </c>
      <c r="BK33" s="377" t="e">
        <f ca="1">IF($BJ33="","",_xll.ciqfunctions.udf.CIQ($BJ33,"iq_bond_coupon")/100)</f>
        <v>#NAME?</v>
      </c>
    </row>
    <row r="34" spans="1:63" ht="14.1" customHeight="1">
      <c r="A34" s="463" t="s">
        <v>645</v>
      </c>
      <c r="B34" s="464"/>
      <c r="C34" s="464"/>
      <c r="D34" s="464"/>
      <c r="E34" s="464"/>
      <c r="F34" s="464"/>
      <c r="G34" s="464"/>
      <c r="H34" s="468">
        <f>+H11</f>
        <v>0</v>
      </c>
      <c r="I34" s="341"/>
      <c r="J34" s="416">
        <f>J33+$W$27</f>
        <v>0.60000000000000009</v>
      </c>
      <c r="K34" s="419">
        <v>5.0247222268419087E-2</v>
      </c>
      <c r="L34" s="420">
        <v>5.2347222268419091E-2</v>
      </c>
      <c r="M34" s="420">
        <v>5.4447222268419082E-2</v>
      </c>
      <c r="N34" s="420">
        <v>5.6547222268419087E-2</v>
      </c>
      <c r="O34" s="420">
        <v>5.8647222268419091E-2</v>
      </c>
      <c r="P34" s="420">
        <v>6.0747222268419096E-2</v>
      </c>
      <c r="Q34" s="420">
        <v>6.2847222268419101E-2</v>
      </c>
      <c r="R34" s="420">
        <v>6.4947222268419091E-2</v>
      </c>
      <c r="S34" s="420">
        <v>6.7047222268419096E-2</v>
      </c>
      <c r="T34" s="341"/>
      <c r="U34" s="341"/>
      <c r="V34" s="341"/>
      <c r="W34" s="341"/>
      <c r="AC34" s="376" t="s">
        <v>646</v>
      </c>
      <c r="AD34" s="376" t="s">
        <v>647</v>
      </c>
      <c r="AE34" s="376" t="e">
        <f ca="1">_xll.ciqfunctions.udf.CIQ($B$1,"IQ_SP_ISSUER_RATING",Date,"LT_LC","RATING")</f>
        <v>#NAME?</v>
      </c>
      <c r="AF34" s="376" t="s">
        <v>648</v>
      </c>
      <c r="AH34" s="422" t="e">
        <f>YEAR(Date)-1</f>
        <v>#NAME?</v>
      </c>
      <c r="AI34" s="423" t="e">
        <f ca="1">IF(_xll.ciqfunctions.udf.CIQPC($N$1,"IQ_LASTSALEPRICE","-1Y",DATE(AH34,12,31))/100=0,"NA",_xll.ciqfunctions.udf.CIQPC($N$1,"IQ_LASTSALEPRICE","-1Y",DATE(AH34,12,31))/100)</f>
        <v>#NAME?</v>
      </c>
      <c r="AP34" s="348" t="s">
        <v>491</v>
      </c>
      <c r="AQ34" s="348" t="s">
        <v>649</v>
      </c>
      <c r="AR34" s="348" t="s">
        <v>650</v>
      </c>
      <c r="AX34" s="348" t="e">
        <f ca="1">_xll.ciqfunctions.udf.CIQ("Nasdaq:AMZN", "IQ_BOND_LIST", 25)</f>
        <v>#NAME?</v>
      </c>
      <c r="AY34" s="373" t="e">
        <f ca="1">IF($AX34="","",IF(_xll.ciqfunctions.udf.CIQ($AX34,"iq_offer_date")&gt;Date,0,_xll.ciqfunctions.udf.CIQ($AX34,"iq_offer_date")))</f>
        <v>#NAME?</v>
      </c>
      <c r="AZ34" s="374" t="e">
        <f ca="1">IF($AX34="","",RANK(AY34,$AY$10:$AY$510)+COUNTIF($AY$10:AY34,AY34)-1)</f>
        <v>#NAME?</v>
      </c>
      <c r="BE34" s="348">
        <f t="shared" si="6"/>
        <v>25</v>
      </c>
      <c r="BF34" s="348" t="e">
        <f ca="1">_xll.ciqfunctions.udf.CIQ("Nasdaq:AMZN", "IQ_FIXED_INCOME_LIST", 25)</f>
        <v>#NAME?</v>
      </c>
      <c r="BG34" s="376" t="e">
        <f ca="1">IF($BF34="","",_xll.ciqfunctions.udf.CIQ($BF34,"iq_security_level"))</f>
        <v>#NAME?</v>
      </c>
      <c r="BH34" s="348" t="e">
        <f t="shared" ca="1" si="4"/>
        <v>#NAME?</v>
      </c>
      <c r="BJ34" s="348" t="e">
        <f t="shared" ca="1" si="3"/>
        <v>#NAME?</v>
      </c>
      <c r="BK34" s="377" t="e">
        <f ca="1">IF($BJ34="","",_xll.ciqfunctions.udf.CIQ($BJ34,"iq_bond_coupon")/100)</f>
        <v>#NAME?</v>
      </c>
    </row>
    <row r="35" spans="1:63" ht="14.1" customHeight="1">
      <c r="A35" s="469" t="s">
        <v>651</v>
      </c>
      <c r="B35" s="464"/>
      <c r="C35" s="464"/>
      <c r="D35" s="464"/>
      <c r="E35" s="464"/>
      <c r="F35" s="464"/>
      <c r="G35" s="464"/>
      <c r="H35" s="470">
        <f>+H32+H33+H34</f>
        <v>7.3118055671047733E-2</v>
      </c>
      <c r="I35" s="341"/>
      <c r="J35" s="416">
        <f>J34+$W$27</f>
        <v>0.65000000000000013</v>
      </c>
      <c r="K35" s="419">
        <v>4.8341319484866696E-2</v>
      </c>
      <c r="L35" s="420">
        <v>5.0616319484866702E-2</v>
      </c>
      <c r="M35" s="420">
        <v>5.2891319484866695E-2</v>
      </c>
      <c r="N35" s="420">
        <v>5.5166319484866701E-2</v>
      </c>
      <c r="O35" s="420">
        <v>5.7441319484866707E-2</v>
      </c>
      <c r="P35" s="420">
        <v>5.9716319484866706E-2</v>
      </c>
      <c r="Q35" s="420">
        <v>6.1991319484866712E-2</v>
      </c>
      <c r="R35" s="420">
        <v>6.4266319484866719E-2</v>
      </c>
      <c r="S35" s="420">
        <v>6.6541319484866718E-2</v>
      </c>
      <c r="T35" s="341"/>
      <c r="U35" s="341"/>
      <c r="V35" s="341"/>
      <c r="W35" s="341"/>
      <c r="AC35" s="376" t="s">
        <v>652</v>
      </c>
      <c r="AD35" s="376" t="s">
        <v>652</v>
      </c>
      <c r="AE35" s="376" t="e">
        <f ca="1">IF(AND(ISERROR(SEARCH("-",AE34,1)),ISERROR(SEARCH("+",AE34,1))),AE34,LEFT(AE34,LEN(AE34)-1))</f>
        <v>#NAME?</v>
      </c>
      <c r="AF35" s="376" t="s">
        <v>653</v>
      </c>
      <c r="AH35" s="422" t="e">
        <f>AH34-1</f>
        <v>#NAME?</v>
      </c>
      <c r="AI35" s="423" t="e">
        <f ca="1">IF(_xll.ciqfunctions.udf.CIQPC($N$1,"IQ_LASTSALEPRICE","-1Y",DATE(AH35,12,31))/100=0,"NA",_xll.ciqfunctions.udf.CIQPC($N$1,"IQ_LASTSALEPRICE","-1Y",DATE(AH35,12,31))/100)</f>
        <v>#NAME?</v>
      </c>
      <c r="AP35" s="348" t="s">
        <v>491</v>
      </c>
      <c r="AQ35" s="348" t="s">
        <v>654</v>
      </c>
      <c r="AR35" s="348" t="s">
        <v>655</v>
      </c>
      <c r="AX35" s="348" t="e">
        <f ca="1">_xll.ciqfunctions.udf.CIQ("Nasdaq:AMZN", "IQ_BOND_LIST", 26)</f>
        <v>#NAME?</v>
      </c>
      <c r="AY35" s="373" t="e">
        <f ca="1">IF($AX35="","",IF(_xll.ciqfunctions.udf.CIQ($AX35,"iq_offer_date")&gt;Date,0,_xll.ciqfunctions.udf.CIQ($AX35,"iq_offer_date")))</f>
        <v>#NAME?</v>
      </c>
      <c r="AZ35" s="374" t="e">
        <f ca="1">IF($AX35="","",RANK(AY35,$AY$10:$AY$510)+COUNTIF($AY$10:AY35,AY35)-1)</f>
        <v>#NAME?</v>
      </c>
      <c r="BE35" s="348">
        <f t="shared" si="6"/>
        <v>26</v>
      </c>
      <c r="BF35" s="348" t="e">
        <f ca="1">_xll.ciqfunctions.udf.CIQ("Nasdaq:AMZN", "IQ_FIXED_INCOME_LIST", 26)</f>
        <v>#NAME?</v>
      </c>
      <c r="BG35" s="376" t="e">
        <f ca="1">IF($BF35="","",_xll.ciqfunctions.udf.CIQ($BF35,"iq_security_level"))</f>
        <v>#NAME?</v>
      </c>
      <c r="BH35" s="348" t="e">
        <f t="shared" ca="1" si="4"/>
        <v>#NAME?</v>
      </c>
      <c r="BJ35" s="348" t="e">
        <f t="shared" ca="1" si="3"/>
        <v>#NAME?</v>
      </c>
      <c r="BK35" s="377" t="e">
        <f ca="1">IF($BJ35="","",_xll.ciqfunctions.udf.CIQ($BJ35,"iq_bond_coupon")/100)</f>
        <v>#NAME?</v>
      </c>
    </row>
    <row r="36" spans="1:63" ht="14.1" customHeight="1">
      <c r="A36" s="463" t="str">
        <f>"Multiplied by: "&amp;TEXT($B$1,"TTTTTT")&amp;" E/(D+P+E)"</f>
        <v>Multiplied by: Nasdaq:AMZN E/(D+P+E)</v>
      </c>
      <c r="B36" s="464"/>
      <c r="C36" s="464"/>
      <c r="D36" s="464"/>
      <c r="E36" s="464"/>
      <c r="F36" s="464"/>
      <c r="G36" s="464"/>
      <c r="H36" s="468">
        <f>1-H42-H46</f>
        <v>0.94249129190955561</v>
      </c>
      <c r="I36" s="341"/>
      <c r="J36" s="341"/>
      <c r="K36" s="341"/>
      <c r="L36" s="341"/>
      <c r="M36" s="341"/>
      <c r="N36" s="424"/>
      <c r="O36" s="341"/>
      <c r="P36" s="341"/>
      <c r="Q36" s="341"/>
      <c r="R36" s="341"/>
      <c r="S36" s="341"/>
      <c r="T36" s="341"/>
      <c r="U36" s="341"/>
      <c r="V36" s="341"/>
      <c r="W36" s="341"/>
      <c r="AC36" s="376" t="e">
        <f ca="1">VLOOKUP(AC24,AC25:AD35,2,0)</f>
        <v>#NAME?</v>
      </c>
      <c r="AD36" s="376" t="s">
        <v>656</v>
      </c>
      <c r="AE36" s="376"/>
      <c r="AF36" s="376" t="s">
        <v>657</v>
      </c>
      <c r="AH36" s="422" t="e">
        <f t="shared" ref="AH36:AH43" si="8">AH35-1</f>
        <v>#NAME?</v>
      </c>
      <c r="AI36" s="423" t="e">
        <f ca="1">IF(_xll.ciqfunctions.udf.CIQPC($N$1,"IQ_LASTSALEPRICE","-1Y",DATE(AH36,12,31))/100=0,"NA",_xll.ciqfunctions.udf.CIQPC($N$1,"IQ_LASTSALEPRICE","-1Y",DATE(AH36,12,31))/100)</f>
        <v>#NAME?</v>
      </c>
      <c r="AP36" s="348" t="s">
        <v>491</v>
      </c>
      <c r="AQ36" s="348" t="s">
        <v>658</v>
      </c>
      <c r="AR36" s="348" t="s">
        <v>659</v>
      </c>
      <c r="AX36" s="348" t="e">
        <f ca="1">_xll.ciqfunctions.udf.CIQ("Nasdaq:AMZN", "IQ_BOND_LIST", 27)</f>
        <v>#NAME?</v>
      </c>
      <c r="AY36" s="373" t="e">
        <f ca="1">IF($AX36="","",IF(_xll.ciqfunctions.udf.CIQ($AX36,"iq_offer_date")&gt;Date,0,_xll.ciqfunctions.udf.CIQ($AX36,"iq_offer_date")))</f>
        <v>#NAME?</v>
      </c>
      <c r="AZ36" s="374" t="e">
        <f ca="1">IF($AX36="","",RANK(AY36,$AY$10:$AY$510)+COUNTIF($AY$10:AY36,AY36)-1)</f>
        <v>#NAME?</v>
      </c>
      <c r="BE36" s="348">
        <f t="shared" si="6"/>
        <v>27</v>
      </c>
      <c r="BF36" s="348" t="e">
        <f ca="1">_xll.ciqfunctions.udf.CIQ("Nasdaq:AMZN", "IQ_FIXED_INCOME_LIST", 27)</f>
        <v>#NAME?</v>
      </c>
      <c r="BG36" s="376" t="e">
        <f ca="1">IF($BF36="","",_xll.ciqfunctions.udf.CIQ($BF36,"iq_security_level"))</f>
        <v>#NAME?</v>
      </c>
      <c r="BH36" s="348" t="e">
        <f t="shared" ca="1" si="4"/>
        <v>#NAME?</v>
      </c>
      <c r="BJ36" s="348" t="e">
        <f t="shared" ca="1" si="3"/>
        <v>#NAME?</v>
      </c>
      <c r="BK36" s="377" t="e">
        <f ca="1">IF($BJ36="","",_xll.ciqfunctions.udf.CIQ($BJ36,"iq_bond_coupon")/100)</f>
        <v>#NAME?</v>
      </c>
    </row>
    <row r="37" spans="1:63" ht="14.1" customHeight="1">
      <c r="A37" s="463" t="s">
        <v>660</v>
      </c>
      <c r="B37" s="464"/>
      <c r="C37" s="464"/>
      <c r="D37" s="464"/>
      <c r="E37" s="464"/>
      <c r="F37" s="464"/>
      <c r="G37" s="464"/>
      <c r="H37" s="466">
        <f>+H35*H36</f>
        <v>6.8913130751320592E-2</v>
      </c>
      <c r="I37" s="341"/>
      <c r="J37" s="341"/>
      <c r="K37" s="341"/>
      <c r="L37" s="341"/>
      <c r="M37" s="341"/>
      <c r="N37" s="341"/>
      <c r="O37" s="341"/>
      <c r="P37" s="341"/>
      <c r="Q37" s="341"/>
      <c r="R37" s="341"/>
      <c r="S37" s="341"/>
      <c r="T37" s="341"/>
      <c r="U37" s="341"/>
      <c r="V37" s="341"/>
      <c r="W37" s="341"/>
      <c r="AC37" s="376"/>
      <c r="AE37" s="376"/>
      <c r="AF37" s="376" t="s">
        <v>573</v>
      </c>
      <c r="AH37" s="422" t="e">
        <f t="shared" si="8"/>
        <v>#NAME?</v>
      </c>
      <c r="AI37" s="423" t="e">
        <f ca="1">IF(_xll.ciqfunctions.udf.CIQPC($N$1,"IQ_LASTSALEPRICE","-1Y",DATE(AH37,12,31))/100=0,"NA",_xll.ciqfunctions.udf.CIQPC($N$1,"IQ_LASTSALEPRICE","-1Y",DATE(AH37,12,31))/100)</f>
        <v>#NAME?</v>
      </c>
      <c r="AP37" s="348" t="s">
        <v>497</v>
      </c>
      <c r="AQ37" s="348" t="s">
        <v>661</v>
      </c>
      <c r="AR37" s="348" t="s">
        <v>662</v>
      </c>
      <c r="AX37" s="348" t="e">
        <f ca="1">_xll.ciqfunctions.udf.CIQ("Nasdaq:AMZN", "IQ_BOND_LIST", 28)</f>
        <v>#NAME?</v>
      </c>
      <c r="AY37" s="373" t="e">
        <f ca="1">IF($AX37="","",IF(_xll.ciqfunctions.udf.CIQ($AX37,"iq_offer_date")&gt;Date,0,_xll.ciqfunctions.udf.CIQ($AX37,"iq_offer_date")))</f>
        <v>#NAME?</v>
      </c>
      <c r="AZ37" s="374" t="e">
        <f ca="1">IF($AX37="","",RANK(AY37,$AY$10:$AY$510)+COUNTIF($AY$10:AY37,AY37)-1)</f>
        <v>#NAME?</v>
      </c>
      <c r="BE37" s="348">
        <f t="shared" si="6"/>
        <v>28</v>
      </c>
      <c r="BF37" s="348" t="e">
        <f ca="1">_xll.ciqfunctions.udf.CIQ("Nasdaq:AMZN", "IQ_FIXED_INCOME_LIST", 28)</f>
        <v>#NAME?</v>
      </c>
      <c r="BG37" s="376" t="e">
        <f ca="1">IF($BF37="","",_xll.ciqfunctions.udf.CIQ($BF37,"iq_security_level"))</f>
        <v>#NAME?</v>
      </c>
      <c r="BH37" s="348" t="e">
        <f t="shared" ca="1" si="4"/>
        <v>#NAME?</v>
      </c>
      <c r="BJ37" s="348" t="e">
        <f t="shared" ca="1" si="3"/>
        <v>#NAME?</v>
      </c>
      <c r="BK37" s="377" t="e">
        <f ca="1">IF($BJ37="","",_xll.ciqfunctions.udf.CIQ($BJ37,"iq_bond_coupon")/100)</f>
        <v>#NAME?</v>
      </c>
    </row>
    <row r="38" spans="1:63" ht="14.1" customHeight="1">
      <c r="A38" s="463"/>
      <c r="B38" s="464"/>
      <c r="C38" s="464"/>
      <c r="D38" s="464"/>
      <c r="E38" s="464"/>
      <c r="F38" s="464"/>
      <c r="G38" s="464"/>
      <c r="H38" s="465"/>
      <c r="I38" s="341"/>
      <c r="J38" s="349" t="s">
        <v>560</v>
      </c>
      <c r="K38" s="350"/>
      <c r="L38" s="350"/>
      <c r="M38" s="350"/>
      <c r="N38" s="351"/>
      <c r="O38" s="351"/>
      <c r="P38" s="351"/>
      <c r="Q38" s="351"/>
      <c r="R38" s="351"/>
      <c r="S38" s="351"/>
      <c r="T38" s="341"/>
      <c r="U38" s="341"/>
      <c r="V38" s="341"/>
      <c r="W38" s="341"/>
      <c r="AC38" s="376"/>
      <c r="AE38" s="376"/>
      <c r="AF38" s="376" t="s">
        <v>663</v>
      </c>
      <c r="AH38" s="422" t="e">
        <f t="shared" si="8"/>
        <v>#NAME?</v>
      </c>
      <c r="AI38" s="423" t="e">
        <f ca="1">IF(_xll.ciqfunctions.udf.CIQPC($N$1,"IQ_LASTSALEPRICE","-1Y",DATE(AH38,12,31))/100=0,"NA",_xll.ciqfunctions.udf.CIQPC($N$1,"IQ_LASTSALEPRICE","-1Y",DATE(AH38,12,31))/100)</f>
        <v>#NAME?</v>
      </c>
      <c r="AP38" s="348" t="s">
        <v>497</v>
      </c>
      <c r="AQ38" s="348" t="s">
        <v>664</v>
      </c>
      <c r="AR38" s="348" t="s">
        <v>665</v>
      </c>
      <c r="AX38" s="348" t="e">
        <f ca="1">_xll.ciqfunctions.udf.CIQ("Nasdaq:AMZN", "IQ_BOND_LIST", 29)</f>
        <v>#NAME?</v>
      </c>
      <c r="AY38" s="373" t="e">
        <f ca="1">IF($AX38="","",IF(_xll.ciqfunctions.udf.CIQ($AX38,"iq_offer_date")&gt;Date,0,_xll.ciqfunctions.udf.CIQ($AX38,"iq_offer_date")))</f>
        <v>#NAME?</v>
      </c>
      <c r="AZ38" s="374" t="e">
        <f ca="1">IF($AX38="","",RANK(AY38,$AY$10:$AY$510)+COUNTIF($AY$10:AY38,AY38)-1)</f>
        <v>#NAME?</v>
      </c>
      <c r="BE38" s="348">
        <f t="shared" si="6"/>
        <v>29</v>
      </c>
      <c r="BF38" s="348" t="e">
        <f ca="1">_xll.ciqfunctions.udf.CIQ("Nasdaq:AMZN", "IQ_FIXED_INCOME_LIST", 29)</f>
        <v>#NAME?</v>
      </c>
      <c r="BG38" s="376" t="e">
        <f ca="1">IF($BF38="","",_xll.ciqfunctions.udf.CIQ($BF38,"iq_security_level"))</f>
        <v>#NAME?</v>
      </c>
      <c r="BH38" s="348" t="e">
        <f t="shared" ca="1" si="4"/>
        <v>#NAME?</v>
      </c>
      <c r="BJ38" s="348" t="e">
        <f t="shared" ca="1" si="3"/>
        <v>#NAME?</v>
      </c>
      <c r="BK38" s="377" t="e">
        <f ca="1">IF($BJ38="","",_xll.ciqfunctions.udf.CIQ($BJ38,"iq_bond_coupon")/100)</f>
        <v>#NAME?</v>
      </c>
    </row>
    <row r="39" spans="1:63" ht="14.1" customHeight="1">
      <c r="A39" s="463" t="str">
        <f>IF($H$15="Company",A$16,$A$17)</f>
        <v>Nasdaq:AMZN Cost of Debt (Rd) - Average of Last 5 Issued Bonds</v>
      </c>
      <c r="B39" s="464"/>
      <c r="C39" s="464"/>
      <c r="D39" s="464"/>
      <c r="E39" s="464"/>
      <c r="F39" s="464"/>
      <c r="G39" s="471"/>
      <c r="H39" s="466">
        <f>IF($H$15="Company",$H$16,$H$17)</f>
        <v>2.8249999999999997E-2</v>
      </c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1"/>
      <c r="T39" s="341"/>
      <c r="U39" s="341"/>
      <c r="V39" s="341"/>
      <c r="W39" s="341"/>
      <c r="AC39" s="376"/>
      <c r="AE39" s="376"/>
      <c r="AF39" s="376" t="s">
        <v>666</v>
      </c>
      <c r="AH39" s="422" t="e">
        <f t="shared" si="8"/>
        <v>#NAME?</v>
      </c>
      <c r="AI39" s="423" t="e">
        <f ca="1">IF(_xll.ciqfunctions.udf.CIQPC($N$1,"IQ_LASTSALEPRICE","-1Y",DATE(AH39,12,31))/100=0,"NA",_xll.ciqfunctions.udf.CIQPC($N$1,"IQ_LASTSALEPRICE","-1Y",DATE(AH39,12,31))/100)</f>
        <v>#NAME?</v>
      </c>
      <c r="AP39" s="348" t="s">
        <v>497</v>
      </c>
      <c r="AQ39" s="348" t="s">
        <v>667</v>
      </c>
      <c r="AR39" s="348" t="s">
        <v>668</v>
      </c>
      <c r="AX39" s="348" t="e">
        <f ca="1">_xll.ciqfunctions.udf.CIQ("Nasdaq:AMZN", "IQ_BOND_LIST", 30)</f>
        <v>#NAME?</v>
      </c>
      <c r="AY39" s="373" t="e">
        <f ca="1">IF($AX39="","",IF(_xll.ciqfunctions.udf.CIQ($AX39,"iq_offer_date")&gt;Date,0,_xll.ciqfunctions.udf.CIQ($AX39,"iq_offer_date")))</f>
        <v>#NAME?</v>
      </c>
      <c r="AZ39" s="374" t="e">
        <f ca="1">IF($AX39="","",RANK(AY39,$AY$10:$AY$510)+COUNTIF($AY$10:AY39,AY39)-1)</f>
        <v>#NAME?</v>
      </c>
      <c r="BE39" s="348">
        <f t="shared" si="6"/>
        <v>30</v>
      </c>
      <c r="BF39" s="348" t="e">
        <f ca="1">_xll.ciqfunctions.udf.CIQ("Nasdaq:AMZN", "IQ_FIXED_INCOME_LIST", 30)</f>
        <v>#NAME?</v>
      </c>
      <c r="BG39" s="376" t="e">
        <f ca="1">IF($BF39="","",_xll.ciqfunctions.udf.CIQ($BF39,"iq_security_level"))</f>
        <v>#NAME?</v>
      </c>
      <c r="BH39" s="348" t="e">
        <f t="shared" ca="1" si="4"/>
        <v>#NAME?</v>
      </c>
      <c r="BJ39" s="348" t="e">
        <f t="shared" ca="1" si="3"/>
        <v>#NAME?</v>
      </c>
      <c r="BK39" s="377" t="e">
        <f ca="1">IF($BJ39="","",_xll.ciqfunctions.udf.CIQ($BJ39,"iq_bond_coupon")/100)</f>
        <v>#NAME?</v>
      </c>
    </row>
    <row r="40" spans="1:63" ht="14.1" customHeight="1">
      <c r="A40" s="463" t="str">
        <f>A8</f>
        <v>Tax Rate (5 Year Average)</v>
      </c>
      <c r="B40" s="464"/>
      <c r="C40" s="464"/>
      <c r="D40" s="464"/>
      <c r="E40" s="464"/>
      <c r="F40" s="464"/>
      <c r="G40" s="464"/>
      <c r="H40" s="468">
        <f>+H8</f>
        <v>0.3</v>
      </c>
      <c r="I40" s="341"/>
      <c r="J40" s="410" t="s">
        <v>669</v>
      </c>
      <c r="K40" s="411" t="s">
        <v>651</v>
      </c>
      <c r="L40" s="412"/>
      <c r="M40" s="412"/>
      <c r="N40" s="412"/>
      <c r="O40" s="412"/>
      <c r="P40" s="412"/>
      <c r="Q40" s="412"/>
      <c r="R40" s="412"/>
      <c r="S40" s="412"/>
      <c r="T40" s="341"/>
      <c r="U40" s="341"/>
      <c r="V40" s="341"/>
      <c r="W40" s="341"/>
      <c r="AC40" s="376"/>
      <c r="AE40" s="376"/>
      <c r="AF40" s="376" t="s">
        <v>670</v>
      </c>
      <c r="AH40" s="422" t="e">
        <f t="shared" si="8"/>
        <v>#NAME?</v>
      </c>
      <c r="AI40" s="423" t="e">
        <f ca="1">IF(_xll.ciqfunctions.udf.CIQPC($N$1,"IQ_LASTSALEPRICE","-1Y",DATE(AH40,12,31))/100=0,"NA",_xll.ciqfunctions.udf.CIQPC($N$1,"IQ_LASTSALEPRICE","-1Y",DATE(AH40,12,31))/100)</f>
        <v>#NAME?</v>
      </c>
      <c r="AP40" s="348" t="s">
        <v>497</v>
      </c>
      <c r="AQ40" s="348" t="s">
        <v>671</v>
      </c>
      <c r="AR40" s="348" t="s">
        <v>672</v>
      </c>
      <c r="AX40" s="348" t="e">
        <f ca="1">_xll.ciqfunctions.udf.CIQ("Nasdaq:AMZN", "IQ_BOND_LIST", 31)</f>
        <v>#NAME?</v>
      </c>
      <c r="AY40" s="373" t="e">
        <f ca="1">IF($AX40="","",IF(_xll.ciqfunctions.udf.CIQ($AX40,"iq_offer_date")&gt;Date,0,_xll.ciqfunctions.udf.CIQ($AX40,"iq_offer_date")))</f>
        <v>#NAME?</v>
      </c>
      <c r="AZ40" s="374" t="e">
        <f ca="1">IF($AX40="","",RANK(AY40,$AY$10:$AY$510)+COUNTIF($AY$10:AY40,AY40)-1)</f>
        <v>#NAME?</v>
      </c>
      <c r="BE40" s="348">
        <f t="shared" si="6"/>
        <v>31</v>
      </c>
      <c r="BF40" s="348" t="e">
        <f ca="1">_xll.ciqfunctions.udf.CIQ("Nasdaq:AMZN", "IQ_FIXED_INCOME_LIST", 31)</f>
        <v>#NAME?</v>
      </c>
      <c r="BG40" s="376" t="e">
        <f ca="1">IF($BF40="","",_xll.ciqfunctions.udf.CIQ($BF40,"iq_security_level"))</f>
        <v>#NAME?</v>
      </c>
      <c r="BH40" s="348" t="e">
        <f t="shared" ca="1" si="4"/>
        <v>#NAME?</v>
      </c>
      <c r="BJ40" s="348" t="e">
        <f t="shared" ca="1" si="3"/>
        <v>#NAME?</v>
      </c>
      <c r="BK40" s="377" t="e">
        <f ca="1">IF($BJ40="","",_xll.ciqfunctions.udf.CIQ($BJ40,"iq_bond_coupon")/100)</f>
        <v>#NAME?</v>
      </c>
    </row>
    <row r="41" spans="1:63" ht="14.1" customHeight="1">
      <c r="A41" s="469" t="s">
        <v>673</v>
      </c>
      <c r="B41" s="464"/>
      <c r="C41" s="464"/>
      <c r="D41" s="464"/>
      <c r="E41" s="464"/>
      <c r="F41" s="464"/>
      <c r="G41" s="464"/>
      <c r="H41" s="470">
        <f>+H39*(1-H40)</f>
        <v>1.9774999999999997E-2</v>
      </c>
      <c r="I41" s="341"/>
      <c r="J41" s="413">
        <f>H49</f>
        <v>7.0050365453809132E-2</v>
      </c>
      <c r="K41" s="425">
        <f>L41-$W$28</f>
        <v>2.0000000000000004E-2</v>
      </c>
      <c r="L41" s="426">
        <f>M41-$W$28</f>
        <v>2.7500000000000004E-2</v>
      </c>
      <c r="M41" s="426">
        <f>N41-$W$28</f>
        <v>3.5000000000000003E-2</v>
      </c>
      <c r="N41" s="426">
        <f>O41-$W$28</f>
        <v>4.2500000000000003E-2</v>
      </c>
      <c r="O41" s="427">
        <v>0.05</v>
      </c>
      <c r="P41" s="426">
        <f>O41+$W$28</f>
        <v>5.7500000000000002E-2</v>
      </c>
      <c r="Q41" s="426">
        <f>P41+$W$28</f>
        <v>6.5000000000000002E-2</v>
      </c>
      <c r="R41" s="426">
        <f>Q41+$W$28</f>
        <v>7.2500000000000009E-2</v>
      </c>
      <c r="S41" s="426">
        <f>R41+$W$28</f>
        <v>8.0000000000000016E-2</v>
      </c>
      <c r="T41" s="341"/>
      <c r="U41" s="341"/>
      <c r="V41" s="341"/>
      <c r="W41" s="341"/>
      <c r="AC41" s="376"/>
      <c r="AE41" s="376"/>
      <c r="AF41" s="376" t="s">
        <v>674</v>
      </c>
      <c r="AH41" s="422" t="e">
        <f t="shared" si="8"/>
        <v>#NAME?</v>
      </c>
      <c r="AI41" s="423" t="e">
        <f ca="1">IF(_xll.ciqfunctions.udf.CIQPC($N$1,"IQ_LASTSALEPRICE","-1Y",DATE(AH41,12,31))/100=0,"NA",_xll.ciqfunctions.udf.CIQPC($N$1,"IQ_LASTSALEPRICE","-1Y",DATE(AH41,12,31))/100)</f>
        <v>#NAME?</v>
      </c>
      <c r="AP41" s="348" t="s">
        <v>497</v>
      </c>
      <c r="AQ41" s="348" t="s">
        <v>675</v>
      </c>
      <c r="AR41" s="348" t="s">
        <v>676</v>
      </c>
      <c r="AX41" s="348" t="e">
        <f ca="1">_xll.ciqfunctions.udf.CIQ("Nasdaq:AMZN", "IQ_BOND_LIST", 32)</f>
        <v>#NAME?</v>
      </c>
      <c r="AY41" s="373" t="e">
        <f ca="1">IF($AX41="","",IF(_xll.ciqfunctions.udf.CIQ($AX41,"iq_offer_date")&gt;Date,0,_xll.ciqfunctions.udf.CIQ($AX41,"iq_offer_date")))</f>
        <v>#NAME?</v>
      </c>
      <c r="AZ41" s="374" t="e">
        <f ca="1">IF($AX41="","",RANK(AY41,$AY$10:$AY$510)+COUNTIF($AY$10:AY41,AY41)-1)</f>
        <v>#NAME?</v>
      </c>
      <c r="BE41" s="348">
        <f t="shared" si="6"/>
        <v>32</v>
      </c>
      <c r="BF41" s="348" t="e">
        <f ca="1">_xll.ciqfunctions.udf.CIQ("Nasdaq:AMZN", "IQ_FIXED_INCOME_LIST", 32)</f>
        <v>#NAME?</v>
      </c>
      <c r="BG41" s="376" t="e">
        <f ca="1">IF($BF41="","",_xll.ciqfunctions.udf.CIQ($BF41,"iq_security_level"))</f>
        <v>#NAME?</v>
      </c>
      <c r="BH41" s="348" t="e">
        <f t="shared" ca="1" si="4"/>
        <v>#NAME?</v>
      </c>
      <c r="BJ41" s="348" t="e">
        <f t="shared" ca="1" si="3"/>
        <v>#NAME?</v>
      </c>
      <c r="BK41" s="377" t="e">
        <f ca="1">IF($BJ41="","",_xll.ciqfunctions.udf.CIQ($BJ41,"iq_bond_coupon")/100)</f>
        <v>#NAME?</v>
      </c>
    </row>
    <row r="42" spans="1:63" ht="14.1" customHeight="1">
      <c r="A42" s="463" t="str">
        <f>"Multiplied by: "&amp;TEXT($B$1,"TTTTTT")&amp;" D/(D+P+E)"</f>
        <v>Multiplied by: Nasdaq:AMZN D/(D+P+E)</v>
      </c>
      <c r="B42" s="464"/>
      <c r="C42" s="464"/>
      <c r="D42" s="464"/>
      <c r="E42" s="464"/>
      <c r="F42" s="464"/>
      <c r="G42" s="464"/>
      <c r="H42" s="468">
        <f>+H12</f>
        <v>5.7508708090444442E-2</v>
      </c>
      <c r="I42" s="341"/>
      <c r="J42" s="416">
        <f>J43-$W$29</f>
        <v>0.35000000000000003</v>
      </c>
      <c r="K42" s="428">
        <f t="dataTable" ref="K42:S48" dt2D="1" dtr="0" r1="H35" r2="H36"/>
        <v>8.1372347024885397E-3</v>
      </c>
      <c r="L42" s="429">
        <v>1.076223470248854E-2</v>
      </c>
      <c r="M42" s="429">
        <v>1.3387234702488541E-2</v>
      </c>
      <c r="N42" s="429">
        <v>1.601223470248854E-2</v>
      </c>
      <c r="O42" s="429">
        <v>1.8637234702488542E-2</v>
      </c>
      <c r="P42" s="429">
        <v>2.1262234702488544E-2</v>
      </c>
      <c r="Q42" s="429">
        <v>2.388723470248854E-2</v>
      </c>
      <c r="R42" s="429">
        <v>2.6512234702488542E-2</v>
      </c>
      <c r="S42" s="429">
        <v>2.9137234702488544E-2</v>
      </c>
      <c r="T42" s="341"/>
      <c r="U42" s="341"/>
      <c r="V42" s="341"/>
      <c r="W42" s="341"/>
      <c r="AC42" s="376"/>
      <c r="AE42" s="376"/>
      <c r="AF42" s="376" t="s">
        <v>677</v>
      </c>
      <c r="AH42" s="422" t="e">
        <f t="shared" si="8"/>
        <v>#NAME?</v>
      </c>
      <c r="AI42" s="423" t="e">
        <f ca="1">IF(_xll.ciqfunctions.udf.CIQPC($N$1,"IQ_LASTSALEPRICE","-1Y",DATE(AH42,12,31))/100=0,"NA",_xll.ciqfunctions.udf.CIQPC($N$1,"IQ_LASTSALEPRICE","-1Y",DATE(AH42,12,31))/100)</f>
        <v>#NAME?</v>
      </c>
      <c r="AP42" s="348" t="s">
        <v>497</v>
      </c>
      <c r="AQ42" s="348" t="s">
        <v>678</v>
      </c>
      <c r="AR42" s="348" t="s">
        <v>679</v>
      </c>
      <c r="AX42" s="348" t="e">
        <f ca="1">_xll.ciqfunctions.udf.CIQ("Nasdaq:AMZN", "IQ_BOND_LIST", 33)</f>
        <v>#NAME?</v>
      </c>
      <c r="AY42" s="373" t="e">
        <f ca="1">IF($AX42="","",IF(_xll.ciqfunctions.udf.CIQ($AX42,"iq_offer_date")&gt;Date,0,_xll.ciqfunctions.udf.CIQ($AX42,"iq_offer_date")))</f>
        <v>#NAME?</v>
      </c>
      <c r="AZ42" s="374" t="e">
        <f ca="1">IF($AX42="","",RANK(AY42,$AY$10:$AY$510)+COUNTIF($AY$10:AY42,AY42)-1)</f>
        <v>#NAME?</v>
      </c>
      <c r="BE42" s="348">
        <f t="shared" si="6"/>
        <v>33</v>
      </c>
      <c r="BF42" s="348" t="e">
        <f ca="1">_xll.ciqfunctions.udf.CIQ("Nasdaq:AMZN", "IQ_FIXED_INCOME_LIST", 33)</f>
        <v>#NAME?</v>
      </c>
      <c r="BG42" s="376" t="e">
        <f ca="1">IF($BF42="","",_xll.ciqfunctions.udf.CIQ($BF42,"iq_security_level"))</f>
        <v>#NAME?</v>
      </c>
      <c r="BH42" s="348" t="e">
        <f t="shared" ca="1" si="4"/>
        <v>#NAME?</v>
      </c>
      <c r="BJ42" s="348" t="e">
        <f t="shared" ca="1" si="3"/>
        <v>#NAME?</v>
      </c>
      <c r="BK42" s="377" t="e">
        <f ca="1">IF($BJ42="","",_xll.ciqfunctions.udf.CIQ($BJ42,"iq_bond_coupon")/100)</f>
        <v>#NAME?</v>
      </c>
    </row>
    <row r="43" spans="1:63" ht="14.1" customHeight="1">
      <c r="A43" s="463" t="s">
        <v>680</v>
      </c>
      <c r="B43" s="464"/>
      <c r="C43" s="464"/>
      <c r="D43" s="464"/>
      <c r="E43" s="464"/>
      <c r="F43" s="464"/>
      <c r="G43" s="464"/>
      <c r="H43" s="466">
        <f>+H41*H42</f>
        <v>1.1372347024885387E-3</v>
      </c>
      <c r="I43" s="341"/>
      <c r="J43" s="416">
        <f>J44-$W$29</f>
        <v>0.4</v>
      </c>
      <c r="K43" s="430">
        <v>9.1372347024885406E-3</v>
      </c>
      <c r="L43" s="431">
        <v>1.2137234702488542E-2</v>
      </c>
      <c r="M43" s="431">
        <v>1.5137234702488541E-2</v>
      </c>
      <c r="N43" s="431">
        <v>1.8137234702488542E-2</v>
      </c>
      <c r="O43" s="431">
        <v>2.1137234702488544E-2</v>
      </c>
      <c r="P43" s="431">
        <v>2.413723470248854E-2</v>
      </c>
      <c r="Q43" s="431">
        <v>2.7137234702488543E-2</v>
      </c>
      <c r="R43" s="431">
        <v>3.0137234702488545E-2</v>
      </c>
      <c r="S43" s="431">
        <v>3.3137234702488548E-2</v>
      </c>
      <c r="T43" s="341"/>
      <c r="U43" s="341"/>
      <c r="V43" s="341"/>
      <c r="W43" s="341"/>
      <c r="AC43" s="376"/>
      <c r="AE43" s="376"/>
      <c r="AF43" s="376" t="s">
        <v>681</v>
      </c>
      <c r="AH43" s="422" t="e">
        <f t="shared" si="8"/>
        <v>#NAME?</v>
      </c>
      <c r="AI43" s="423" t="e">
        <f ca="1">IF(_xll.ciqfunctions.udf.CIQPC($N$1,"IQ_LASTSALEPRICE","-1Y",DATE(AH43,12,31))/100=0,"NA",_xll.ciqfunctions.udf.CIQPC($N$1,"IQ_LASTSALEPRICE","-1Y",DATE(AH43,12,31))/100)</f>
        <v>#NAME?</v>
      </c>
      <c r="AP43" s="348" t="s">
        <v>497</v>
      </c>
      <c r="AQ43" s="348" t="s">
        <v>682</v>
      </c>
      <c r="AR43" s="348" t="s">
        <v>683</v>
      </c>
      <c r="AX43" s="348" t="e">
        <f ca="1">_xll.ciqfunctions.udf.CIQ("Nasdaq:AMZN", "IQ_BOND_LIST", 34)</f>
        <v>#NAME?</v>
      </c>
      <c r="AY43" s="373" t="e">
        <f ca="1">IF($AX43="","",IF(_xll.ciqfunctions.udf.CIQ($AX43,"iq_offer_date")&gt;Date,0,_xll.ciqfunctions.udf.CIQ($AX43,"iq_offer_date")))</f>
        <v>#NAME?</v>
      </c>
      <c r="AZ43" s="374" t="e">
        <f ca="1">IF($AX43="","",RANK(AY43,$AY$10:$AY$510)+COUNTIF($AY$10:AY43,AY43)-1)</f>
        <v>#NAME?</v>
      </c>
      <c r="BE43" s="348">
        <f t="shared" si="6"/>
        <v>34</v>
      </c>
      <c r="BF43" s="348" t="e">
        <f ca="1">_xll.ciqfunctions.udf.CIQ("Nasdaq:AMZN", "IQ_FIXED_INCOME_LIST", 34)</f>
        <v>#NAME?</v>
      </c>
      <c r="BG43" s="376" t="e">
        <f ca="1">IF($BF43="","",_xll.ciqfunctions.udf.CIQ($BF43,"iq_security_level"))</f>
        <v>#NAME?</v>
      </c>
      <c r="BH43" s="348" t="e">
        <f t="shared" ca="1" si="4"/>
        <v>#NAME?</v>
      </c>
      <c r="BJ43" s="348" t="e">
        <f t="shared" ca="1" si="3"/>
        <v>#NAME?</v>
      </c>
      <c r="BK43" s="377" t="e">
        <f ca="1">IF($BJ43="","",_xll.ciqfunctions.udf.CIQ($BJ43,"iq_bond_coupon")/100)</f>
        <v>#NAME?</v>
      </c>
    </row>
    <row r="44" spans="1:63" ht="14.1" customHeight="1">
      <c r="A44" s="463"/>
      <c r="B44" s="464"/>
      <c r="C44" s="464"/>
      <c r="D44" s="464"/>
      <c r="E44" s="464"/>
      <c r="F44" s="464"/>
      <c r="G44" s="464"/>
      <c r="H44" s="465"/>
      <c r="I44" s="341"/>
      <c r="J44" s="416">
        <f>J45-$W$29</f>
        <v>0.45</v>
      </c>
      <c r="K44" s="430">
        <v>1.0137234702488541E-2</v>
      </c>
      <c r="L44" s="431">
        <v>1.3512234702488541E-2</v>
      </c>
      <c r="M44" s="431">
        <v>1.6887234702488541E-2</v>
      </c>
      <c r="N44" s="431">
        <v>2.0262234702488544E-2</v>
      </c>
      <c r="O44" s="431">
        <v>2.363723470248854E-2</v>
      </c>
      <c r="P44" s="431">
        <v>2.7012234702488543E-2</v>
      </c>
      <c r="Q44" s="431">
        <v>3.0387234702488539E-2</v>
      </c>
      <c r="R44" s="431">
        <v>3.3762234702488549E-2</v>
      </c>
      <c r="S44" s="431">
        <v>3.7137234702488552E-2</v>
      </c>
      <c r="T44" s="341"/>
      <c r="U44" s="341"/>
      <c r="V44" s="341"/>
      <c r="W44" s="341"/>
      <c r="AC44" s="376"/>
      <c r="AE44" s="376"/>
      <c r="AF44" s="376" t="s">
        <v>684</v>
      </c>
      <c r="AP44" s="348" t="s">
        <v>497</v>
      </c>
      <c r="AQ44" s="348" t="s">
        <v>685</v>
      </c>
      <c r="AR44" s="348" t="s">
        <v>686</v>
      </c>
      <c r="AX44" s="348" t="e">
        <f ca="1">_xll.ciqfunctions.udf.CIQ("Nasdaq:AMZN", "IQ_BOND_LIST", 35)</f>
        <v>#NAME?</v>
      </c>
      <c r="AY44" s="373" t="e">
        <f ca="1">IF($AX44="","",IF(_xll.ciqfunctions.udf.CIQ($AX44,"iq_offer_date")&gt;Date,0,_xll.ciqfunctions.udf.CIQ($AX44,"iq_offer_date")))</f>
        <v>#NAME?</v>
      </c>
      <c r="AZ44" s="374" t="e">
        <f ca="1">IF($AX44="","",RANK(AY44,$AY$10:$AY$510)+COUNTIF($AY$10:AY44,AY44)-1)</f>
        <v>#NAME?</v>
      </c>
      <c r="BE44" s="348">
        <f t="shared" si="6"/>
        <v>35</v>
      </c>
      <c r="BF44" s="348" t="e">
        <f ca="1">_xll.ciqfunctions.udf.CIQ("Nasdaq:AMZN", "IQ_FIXED_INCOME_LIST", 35)</f>
        <v>#NAME?</v>
      </c>
      <c r="BG44" s="376" t="e">
        <f ca="1">IF($BF44="","",_xll.ciqfunctions.udf.CIQ($BF44,"iq_security_level"))</f>
        <v>#NAME?</v>
      </c>
      <c r="BH44" s="348" t="e">
        <f t="shared" ca="1" si="4"/>
        <v>#NAME?</v>
      </c>
      <c r="BJ44" s="348" t="e">
        <f t="shared" ca="1" si="3"/>
        <v>#NAME?</v>
      </c>
      <c r="BK44" s="377" t="e">
        <f ca="1">IF($BJ44="","",_xll.ciqfunctions.udf.CIQ($BJ44,"iq_bond_coupon")/100)</f>
        <v>#NAME?</v>
      </c>
    </row>
    <row r="45" spans="1:63" ht="14.1" customHeight="1">
      <c r="A45" s="469" t="str">
        <f>+A18</f>
        <v>Nasdaq:AMZN Cost of Preferred (Rp)</v>
      </c>
      <c r="B45" s="472"/>
      <c r="C45" s="472"/>
      <c r="D45" s="472"/>
      <c r="E45" s="472"/>
      <c r="F45" s="472"/>
      <c r="G45" s="472"/>
      <c r="H45" s="470">
        <f>+H18</f>
        <v>0</v>
      </c>
      <c r="I45" s="341"/>
      <c r="J45" s="358">
        <v>0.5</v>
      </c>
      <c r="K45" s="430">
        <v>1.1137234702488541E-2</v>
      </c>
      <c r="L45" s="431">
        <v>1.488723470248854E-2</v>
      </c>
      <c r="M45" s="431">
        <v>1.8637234702488542E-2</v>
      </c>
      <c r="N45" s="431">
        <v>2.2387234702488538E-2</v>
      </c>
      <c r="O45" s="431">
        <v>2.6137234702488542E-2</v>
      </c>
      <c r="P45" s="431">
        <v>2.9887234702488538E-2</v>
      </c>
      <c r="Q45" s="431">
        <v>3.3637234702488542E-2</v>
      </c>
      <c r="R45" s="431">
        <v>3.7387234702488545E-2</v>
      </c>
      <c r="S45" s="431">
        <v>4.1137234702488548E-2</v>
      </c>
      <c r="T45" s="341"/>
      <c r="U45" s="341"/>
      <c r="V45" s="341"/>
      <c r="W45" s="341"/>
      <c r="AC45" s="376"/>
      <c r="AE45" s="376"/>
      <c r="AF45" s="376" t="s">
        <v>687</v>
      </c>
      <c r="AP45" s="348" t="s">
        <v>504</v>
      </c>
      <c r="AQ45" s="348" t="s">
        <v>688</v>
      </c>
      <c r="AR45" s="348" t="s">
        <v>689</v>
      </c>
      <c r="AX45" s="348" t="e">
        <f ca="1">_xll.ciqfunctions.udf.CIQ("Nasdaq:AMZN", "IQ_BOND_LIST", 36)</f>
        <v>#NAME?</v>
      </c>
      <c r="AY45" s="373" t="e">
        <f ca="1">IF($AX45="","",IF(_xll.ciqfunctions.udf.CIQ($AX45,"iq_offer_date")&gt;Date,0,_xll.ciqfunctions.udf.CIQ($AX45,"iq_offer_date")))</f>
        <v>#NAME?</v>
      </c>
      <c r="AZ45" s="374" t="e">
        <f ca="1">IF($AX45="","",RANK(AY45,$AY$10:$AY$510)+COUNTIF($AY$10:AY45,AY45)-1)</f>
        <v>#NAME?</v>
      </c>
      <c r="BE45" s="348">
        <f t="shared" si="6"/>
        <v>36</v>
      </c>
      <c r="BF45" s="348" t="e">
        <f ca="1">_xll.ciqfunctions.udf.CIQ("Nasdaq:AMZN", "IQ_FIXED_INCOME_LIST", 36)</f>
        <v>#NAME?</v>
      </c>
      <c r="BG45" s="376" t="e">
        <f ca="1">IF($BF45="","",_xll.ciqfunctions.udf.CIQ($BF45,"iq_security_level"))</f>
        <v>#NAME?</v>
      </c>
      <c r="BH45" s="348" t="e">
        <f t="shared" ca="1" si="4"/>
        <v>#NAME?</v>
      </c>
      <c r="BJ45" s="348" t="e">
        <f t="shared" ca="1" si="3"/>
        <v>#NAME?</v>
      </c>
      <c r="BK45" s="377" t="e">
        <f ca="1">IF($BJ45="","",_xll.ciqfunctions.udf.CIQ($BJ45,"iq_bond_coupon")/100)</f>
        <v>#NAME?</v>
      </c>
    </row>
    <row r="46" spans="1:63" ht="14.1" customHeight="1">
      <c r="A46" s="463" t="str">
        <f>"Multiplied by: "&amp;TEXT($B$1,"TTTTTT")&amp;" P/(D+P+E)"</f>
        <v>Multiplied by: Nasdaq:AMZN P/(D+P+E)</v>
      </c>
      <c r="B46" s="464"/>
      <c r="C46" s="464"/>
      <c r="D46" s="464"/>
      <c r="E46" s="464"/>
      <c r="F46" s="464"/>
      <c r="G46" s="464"/>
      <c r="H46" s="468">
        <f>+W8/(W7+W8+W9)</f>
        <v>0</v>
      </c>
      <c r="I46" s="341"/>
      <c r="J46" s="416">
        <f>J45+$W$29</f>
        <v>0.55000000000000004</v>
      </c>
      <c r="K46" s="430">
        <v>1.2137234702488542E-2</v>
      </c>
      <c r="L46" s="431">
        <v>1.626223470248854E-2</v>
      </c>
      <c r="M46" s="431">
        <v>2.0387234702488544E-2</v>
      </c>
      <c r="N46" s="431">
        <v>2.451223470248854E-2</v>
      </c>
      <c r="O46" s="431">
        <v>2.8637234702488544E-2</v>
      </c>
      <c r="P46" s="431">
        <v>3.2762234702488548E-2</v>
      </c>
      <c r="Q46" s="431">
        <v>3.6887234702488544E-2</v>
      </c>
      <c r="R46" s="431">
        <v>4.1012234702488548E-2</v>
      </c>
      <c r="S46" s="431">
        <v>4.5137234702488552E-2</v>
      </c>
      <c r="T46" s="341"/>
      <c r="U46" s="341"/>
      <c r="V46" s="341"/>
      <c r="W46" s="341"/>
      <c r="AC46" s="376"/>
      <c r="AE46" s="376"/>
      <c r="AF46" s="376" t="s">
        <v>690</v>
      </c>
      <c r="AP46" s="348" t="s">
        <v>504</v>
      </c>
      <c r="AQ46" s="348" t="s">
        <v>691</v>
      </c>
      <c r="AR46" s="348" t="s">
        <v>692</v>
      </c>
      <c r="AX46" s="348" t="e">
        <f ca="1">_xll.ciqfunctions.udf.CIQ("Nasdaq:AMZN", "IQ_BOND_LIST", 37)</f>
        <v>#NAME?</v>
      </c>
      <c r="AY46" s="373" t="e">
        <f ca="1">IF($AX46="","",IF(_xll.ciqfunctions.udf.CIQ($AX46,"iq_offer_date")&gt;Date,0,_xll.ciqfunctions.udf.CIQ($AX46,"iq_offer_date")))</f>
        <v>#NAME?</v>
      </c>
      <c r="AZ46" s="374" t="e">
        <f ca="1">IF($AX46="","",RANK(AY46,$AY$10:$AY$510)+COUNTIF($AY$10:AY46,AY46)-1)</f>
        <v>#NAME?</v>
      </c>
      <c r="BE46" s="348">
        <f t="shared" si="6"/>
        <v>37</v>
      </c>
      <c r="BF46" s="348" t="e">
        <f ca="1">_xll.ciqfunctions.udf.CIQ("Nasdaq:AMZN", "IQ_FIXED_INCOME_LIST", 37)</f>
        <v>#NAME?</v>
      </c>
      <c r="BG46" s="376" t="e">
        <f ca="1">IF($BF46="","",_xll.ciqfunctions.udf.CIQ($BF46,"iq_security_level"))</f>
        <v>#NAME?</v>
      </c>
      <c r="BH46" s="348" t="e">
        <f t="shared" ca="1" si="4"/>
        <v>#NAME?</v>
      </c>
      <c r="BJ46" s="348" t="e">
        <f t="shared" ca="1" si="3"/>
        <v>#NAME?</v>
      </c>
      <c r="BK46" s="377" t="e">
        <f ca="1">IF($BJ46="","",_xll.ciqfunctions.udf.CIQ($BJ46,"iq_bond_coupon")/100)</f>
        <v>#NAME?</v>
      </c>
    </row>
    <row r="47" spans="1:63" ht="14.1" customHeight="1">
      <c r="A47" s="463" t="s">
        <v>693</v>
      </c>
      <c r="B47" s="464"/>
      <c r="C47" s="464"/>
      <c r="D47" s="464"/>
      <c r="E47" s="464"/>
      <c r="F47" s="464"/>
      <c r="G47" s="464"/>
      <c r="H47" s="473">
        <f>+H45*H46</f>
        <v>0</v>
      </c>
      <c r="I47" s="341"/>
      <c r="J47" s="416">
        <f>J46+$W$29</f>
        <v>0.60000000000000009</v>
      </c>
      <c r="K47" s="430">
        <v>1.3137234702488542E-2</v>
      </c>
      <c r="L47" s="431">
        <v>1.7637234702488541E-2</v>
      </c>
      <c r="M47" s="431">
        <v>2.2137234702488545E-2</v>
      </c>
      <c r="N47" s="431">
        <v>2.6637234702488542E-2</v>
      </c>
      <c r="O47" s="431">
        <v>3.1137234702488546E-2</v>
      </c>
      <c r="P47" s="431">
        <v>3.563723470248855E-2</v>
      </c>
      <c r="Q47" s="431">
        <v>4.0137234702488547E-2</v>
      </c>
      <c r="R47" s="431">
        <v>4.4637234702488551E-2</v>
      </c>
      <c r="S47" s="431">
        <v>4.9137234702488555E-2</v>
      </c>
      <c r="T47" s="341"/>
      <c r="U47" s="341"/>
      <c r="V47" s="341"/>
      <c r="W47" s="341"/>
      <c r="AC47" s="376"/>
      <c r="AE47" s="376"/>
      <c r="AF47" s="376" t="s">
        <v>694</v>
      </c>
      <c r="AP47" s="348" t="s">
        <v>504</v>
      </c>
      <c r="AQ47" s="348" t="s">
        <v>695</v>
      </c>
      <c r="AR47" s="348" t="s">
        <v>696</v>
      </c>
      <c r="AX47" s="348" t="e">
        <f ca="1">_xll.ciqfunctions.udf.CIQ("Nasdaq:AMZN", "IQ_BOND_LIST", 38)</f>
        <v>#NAME?</v>
      </c>
      <c r="AY47" s="373" t="e">
        <f ca="1">IF($AX47="","",IF(_xll.ciqfunctions.udf.CIQ($AX47,"iq_offer_date")&gt;Date,0,_xll.ciqfunctions.udf.CIQ($AX47,"iq_offer_date")))</f>
        <v>#NAME?</v>
      </c>
      <c r="AZ47" s="374" t="e">
        <f ca="1">IF($AX47="","",RANK(AY47,$AY$10:$AY$510)+COUNTIF($AY$10:AY47,AY47)-1)</f>
        <v>#NAME?</v>
      </c>
      <c r="BE47" s="348">
        <f t="shared" si="6"/>
        <v>38</v>
      </c>
      <c r="BF47" s="348" t="e">
        <f ca="1">_xll.ciqfunctions.udf.CIQ("Nasdaq:AMZN", "IQ_FIXED_INCOME_LIST", 38)</f>
        <v>#NAME?</v>
      </c>
      <c r="BG47" s="376" t="e">
        <f ca="1">IF($BF47="","",_xll.ciqfunctions.udf.CIQ($BF47,"iq_security_level"))</f>
        <v>#NAME?</v>
      </c>
      <c r="BH47" s="348" t="e">
        <f t="shared" ca="1" si="4"/>
        <v>#NAME?</v>
      </c>
      <c r="BJ47" s="348" t="e">
        <f t="shared" ca="1" si="3"/>
        <v>#NAME?</v>
      </c>
      <c r="BK47" s="377" t="e">
        <f ca="1">IF($BJ47="","",_xll.ciqfunctions.udf.CIQ($BJ47,"iq_bond_coupon")/100)</f>
        <v>#NAME?</v>
      </c>
    </row>
    <row r="48" spans="1:63" ht="14.1" customHeight="1">
      <c r="A48" s="463"/>
      <c r="B48" s="464"/>
      <c r="C48" s="464"/>
      <c r="D48" s="464"/>
      <c r="E48" s="464"/>
      <c r="F48" s="464"/>
      <c r="G48" s="464"/>
      <c r="H48" s="465"/>
      <c r="I48" s="341"/>
      <c r="J48" s="416">
        <f>J47+$W$29</f>
        <v>0.65000000000000013</v>
      </c>
      <c r="K48" s="430">
        <v>1.4137234702488543E-2</v>
      </c>
      <c r="L48" s="431">
        <v>1.9012234702488542E-2</v>
      </c>
      <c r="M48" s="431">
        <v>2.3887234702488547E-2</v>
      </c>
      <c r="N48" s="431">
        <v>2.8762234702488544E-2</v>
      </c>
      <c r="O48" s="431">
        <v>3.3637234702488548E-2</v>
      </c>
      <c r="P48" s="431">
        <v>3.8512234702488553E-2</v>
      </c>
      <c r="Q48" s="431">
        <v>4.338723470248855E-2</v>
      </c>
      <c r="R48" s="431">
        <v>4.8262234702488555E-2</v>
      </c>
      <c r="S48" s="431">
        <v>5.3137234702488559E-2</v>
      </c>
      <c r="T48" s="341"/>
      <c r="U48" s="341"/>
      <c r="V48" s="341"/>
      <c r="W48" s="341"/>
      <c r="AC48" s="376"/>
      <c r="AE48" s="376"/>
      <c r="AF48" s="376" t="s">
        <v>697</v>
      </c>
      <c r="AP48" s="348" t="s">
        <v>504</v>
      </c>
      <c r="AQ48" s="348" t="s">
        <v>698</v>
      </c>
      <c r="AR48" s="348" t="s">
        <v>699</v>
      </c>
      <c r="AY48" s="373" t="str">
        <f>IF($AX48="","",IF(_xll.ciqfunctions.udf.CIQ($AX48,"iq_offer_date")&gt;Date,0,_xll.ciqfunctions.udf.CIQ($AX48,"iq_offer_date")))</f>
        <v/>
      </c>
      <c r="AZ48" s="374" t="str">
        <f>IF($AX48="","",RANK(AY48,$AY$10:$AY$510)+COUNTIF($AY$10:AY48,AY48)-1)</f>
        <v/>
      </c>
      <c r="BE48" s="348">
        <f t="shared" si="6"/>
        <v>39</v>
      </c>
      <c r="BF48" s="348" t="e">
        <f ca="1">_xll.ciqfunctions.udf.CIQ("Nasdaq:AMZN", "IQ_FIXED_INCOME_LIST", 39)</f>
        <v>#NAME?</v>
      </c>
      <c r="BG48" s="376" t="e">
        <f ca="1">IF($BF48="","",_xll.ciqfunctions.udf.CIQ($BF48,"iq_security_level"))</f>
        <v>#NAME?</v>
      </c>
      <c r="BH48" s="348" t="e">
        <f t="shared" ca="1" si="4"/>
        <v>#NAME?</v>
      </c>
      <c r="BJ48" s="348" t="e">
        <f t="shared" ca="1" si="3"/>
        <v>#NAME?</v>
      </c>
      <c r="BK48" s="377" t="e">
        <f ca="1">IF($BJ48="","",_xll.ciqfunctions.udf.CIQ($BJ48,"iq_bond_coupon")/100)</f>
        <v>#NAME?</v>
      </c>
    </row>
    <row r="49" spans="1:63" ht="14.1" customHeight="1" thickBot="1">
      <c r="A49" s="474" t="s">
        <v>597</v>
      </c>
      <c r="B49" s="475"/>
      <c r="C49" s="475"/>
      <c r="D49" s="475"/>
      <c r="E49" s="475"/>
      <c r="F49" s="475"/>
      <c r="G49" s="475"/>
      <c r="H49" s="476">
        <f>+H37+H43+H47</f>
        <v>7.0050365453809132E-2</v>
      </c>
      <c r="I49" s="341"/>
      <c r="J49" s="341"/>
      <c r="K49" s="341"/>
      <c r="L49" s="341"/>
      <c r="M49" s="341"/>
      <c r="N49" s="341"/>
      <c r="O49" s="341"/>
      <c r="P49" s="341"/>
      <c r="Q49" s="341"/>
      <c r="R49" s="341"/>
      <c r="S49" s="341"/>
      <c r="T49" s="341"/>
      <c r="U49" s="341"/>
      <c r="V49" s="341"/>
      <c r="W49" s="341"/>
      <c r="AC49" s="376"/>
      <c r="AE49" s="376"/>
      <c r="AF49" s="376" t="s">
        <v>700</v>
      </c>
      <c r="AP49" s="348" t="s">
        <v>511</v>
      </c>
      <c r="AQ49" s="348" t="s">
        <v>701</v>
      </c>
      <c r="AR49" s="348" t="s">
        <v>702</v>
      </c>
      <c r="AY49" s="373" t="str">
        <f>IF($AX49="","",IF(_xll.ciqfunctions.udf.CIQ($AX49,"iq_offer_date")&gt;Date,0,_xll.ciqfunctions.udf.CIQ($AX49,"iq_offer_date")))</f>
        <v/>
      </c>
      <c r="AZ49" s="374" t="str">
        <f>IF($AX49="","",RANK(AY49,$AY$10:$AY$510)+COUNTIF($AY$10:AY49,AY49)-1)</f>
        <v/>
      </c>
      <c r="BE49" s="348">
        <f t="shared" si="6"/>
        <v>40</v>
      </c>
      <c r="BG49" s="376" t="str">
        <f>IF($BF49="","",_xll.ciqfunctions.udf.CIQ($BF49,"iq_security_level"))</f>
        <v/>
      </c>
      <c r="BH49" s="348" t="str">
        <f t="shared" ref="BH49:BH75" si="9">IF(BF49="","",IF(BG49="Preferred",BH48+1,BH48))</f>
        <v/>
      </c>
      <c r="BJ49" s="348" t="str">
        <f t="shared" ref="BJ49:BJ51" si="10">IF($BF49="","",IF(ISERROR(INDEX($BF$10:$BF$509,MATCH(BE49,$BH$10:$BH$509,0))),"",INDEX($BF$10:$BF$509,MATCH(BE49,$BH$10:$BH$509,0))))</f>
        <v/>
      </c>
      <c r="BK49" s="377" t="str">
        <f>IF($BJ49="","",_xll.ciqfunctions.udf.CIQ($BJ49,"iq_bond_coupon")/100)</f>
        <v/>
      </c>
    </row>
    <row r="50" spans="1:63" ht="14.1" customHeight="1">
      <c r="G50" s="341"/>
      <c r="H50" s="341"/>
      <c r="I50" s="341"/>
      <c r="J50" s="341"/>
      <c r="K50" s="341"/>
      <c r="L50" s="341"/>
      <c r="M50" s="341"/>
      <c r="N50" s="341"/>
      <c r="O50" s="341"/>
      <c r="P50" s="341"/>
      <c r="Q50" s="341"/>
      <c r="R50" s="341"/>
      <c r="S50" s="341"/>
      <c r="T50" s="341"/>
      <c r="U50" s="341"/>
      <c r="V50" s="341"/>
      <c r="W50" s="341"/>
      <c r="AC50" s="376"/>
      <c r="AE50" s="376"/>
      <c r="AF50" s="376" t="s">
        <v>703</v>
      </c>
      <c r="AP50" s="348" t="s">
        <v>511</v>
      </c>
      <c r="AQ50" s="348" t="s">
        <v>704</v>
      </c>
      <c r="AR50" s="348" t="s">
        <v>705</v>
      </c>
      <c r="AY50" s="373" t="str">
        <f>IF($AX50="","",IF(_xll.ciqfunctions.udf.CIQ($AX50,"iq_offer_date")&gt;Date,0,_xll.ciqfunctions.udf.CIQ($AX50,"iq_offer_date")))</f>
        <v/>
      </c>
      <c r="AZ50" s="374" t="str">
        <f>IF($AX50="","",RANK(AY50,$AY$10:$AY$510)+COUNTIF($AY$10:AY50,AY50)-1)</f>
        <v/>
      </c>
      <c r="BE50" s="348">
        <f t="shared" si="6"/>
        <v>41</v>
      </c>
      <c r="BG50" s="376" t="str">
        <f>IF($BF50="","",_xll.ciqfunctions.udf.CIQ($BF50,"iq_security_level"))</f>
        <v/>
      </c>
      <c r="BH50" s="348" t="str">
        <f t="shared" si="9"/>
        <v/>
      </c>
      <c r="BJ50" s="348" t="str">
        <f t="shared" si="10"/>
        <v/>
      </c>
      <c r="BK50" s="377" t="str">
        <f>IF($BJ50="","",_xll.ciqfunctions.udf.CIQ($BJ50,"iq_bond_coupon")/100)</f>
        <v/>
      </c>
    </row>
    <row r="51" spans="1:63" ht="14.1" customHeight="1">
      <c r="A51" s="360" t="s">
        <v>706</v>
      </c>
      <c r="B51" s="398"/>
      <c r="C51" s="398"/>
      <c r="D51" s="398"/>
      <c r="E51" s="398"/>
      <c r="F51" s="341"/>
      <c r="I51" s="341"/>
      <c r="J51" s="341"/>
      <c r="K51" s="432"/>
      <c r="L51" s="432"/>
      <c r="M51" s="432"/>
      <c r="N51" s="432"/>
      <c r="O51" s="432"/>
      <c r="P51" s="432"/>
      <c r="Q51" s="432"/>
      <c r="R51" s="432"/>
      <c r="S51" s="432"/>
      <c r="T51" s="341"/>
      <c r="U51" s="341"/>
      <c r="V51" s="341"/>
      <c r="W51" s="341"/>
      <c r="AC51" s="376"/>
      <c r="AE51" s="376"/>
      <c r="AF51" s="376" t="s">
        <v>707</v>
      </c>
      <c r="AP51" s="348" t="s">
        <v>511</v>
      </c>
      <c r="AQ51" s="348" t="s">
        <v>708</v>
      </c>
      <c r="AR51" s="348" t="s">
        <v>709</v>
      </c>
      <c r="AY51" s="373" t="str">
        <f>IF($AX51="","",IF(_xll.ciqfunctions.udf.CIQ($AX51,"iq_offer_date")&gt;Date,0,_xll.ciqfunctions.udf.CIQ($AX51,"iq_offer_date")))</f>
        <v/>
      </c>
      <c r="AZ51" s="374" t="str">
        <f>IF($AX51="","",RANK(AY51,$AY$10:$AY$510)+COUNTIF($AY$10:AY51,AY51)-1)</f>
        <v/>
      </c>
      <c r="BE51" s="348">
        <f t="shared" si="6"/>
        <v>42</v>
      </c>
      <c r="BG51" s="376" t="str">
        <f>IF($BF51="","",_xll.ciqfunctions.udf.CIQ($BF51,"iq_security_level"))</f>
        <v/>
      </c>
      <c r="BH51" s="348" t="str">
        <f t="shared" si="9"/>
        <v/>
      </c>
      <c r="BJ51" s="348" t="str">
        <f t="shared" si="10"/>
        <v/>
      </c>
      <c r="BK51" s="377" t="str">
        <f>IF($BJ51="","",_xll.ciqfunctions.udf.CIQ($BJ51,"iq_bond_coupon")/100)</f>
        <v/>
      </c>
    </row>
    <row r="52" spans="1:63" ht="14.1" customHeight="1">
      <c r="A52" s="341" t="str">
        <f>"(1) Interest on "&amp;AB20</f>
        <v>(1) Interest on United States Treasury Constant Maturity - 5 Year</v>
      </c>
      <c r="B52" s="341"/>
      <c r="C52" s="341"/>
      <c r="D52" s="341"/>
      <c r="E52" s="341"/>
      <c r="F52" s="341"/>
      <c r="G52" s="341"/>
      <c r="H52" s="341"/>
      <c r="I52" s="341"/>
      <c r="J52" s="341"/>
      <c r="K52" s="432"/>
      <c r="L52" s="432"/>
      <c r="M52" s="432"/>
      <c r="N52" s="432"/>
      <c r="O52" s="432"/>
      <c r="P52" s="432"/>
      <c r="Q52" s="432"/>
      <c r="R52" s="432"/>
      <c r="S52" s="432"/>
      <c r="T52" s="341"/>
      <c r="U52" s="341"/>
      <c r="V52" s="341"/>
      <c r="W52" s="341"/>
      <c r="AC52" s="376"/>
      <c r="AE52" s="376"/>
      <c r="AF52" s="376" t="s">
        <v>710</v>
      </c>
      <c r="AP52" s="348" t="s">
        <v>511</v>
      </c>
      <c r="AQ52" s="348" t="s">
        <v>711</v>
      </c>
      <c r="AR52" s="348" t="s">
        <v>712</v>
      </c>
      <c r="AY52" s="373" t="str">
        <f>IF($AX52="","",IF(_xll.ciqfunctions.udf.CIQ($AX52,"iq_offer_date")&gt;Date,0,_xll.ciqfunctions.udf.CIQ($AX52,"iq_offer_date")))</f>
        <v/>
      </c>
      <c r="AZ52" s="374" t="str">
        <f>IF($AX52="","",RANK(AY52,$AY$10:$AY$510)+COUNTIF($AY$10:AY52,AY52)-1)</f>
        <v/>
      </c>
      <c r="BE52" s="348">
        <f t="shared" si="6"/>
        <v>43</v>
      </c>
      <c r="BG52" s="376" t="str">
        <f>IF($BF52="","",_xll.ciqfunctions.udf.CIQ($BF52,"iq_security_level"))</f>
        <v/>
      </c>
      <c r="BH52" s="348" t="str">
        <f t="shared" si="9"/>
        <v/>
      </c>
      <c r="BK52" s="377"/>
    </row>
    <row r="53" spans="1:63" ht="14.1" customHeight="1">
      <c r="A53" s="341" t="s">
        <v>713</v>
      </c>
      <c r="B53" s="341"/>
      <c r="C53" s="341"/>
      <c r="D53" s="341"/>
      <c r="E53" s="341"/>
      <c r="F53" s="341"/>
      <c r="G53" s="341"/>
      <c r="H53" s="341"/>
      <c r="I53" s="341"/>
      <c r="J53" s="341"/>
      <c r="K53" s="432"/>
      <c r="L53" s="432"/>
      <c r="M53" s="432"/>
      <c r="N53" s="432"/>
      <c r="O53" s="432"/>
      <c r="P53" s="432"/>
      <c r="Q53" s="432"/>
      <c r="R53" s="432"/>
      <c r="S53" s="432"/>
      <c r="T53" s="341"/>
      <c r="U53" s="341"/>
      <c r="V53" s="341"/>
      <c r="W53" s="341"/>
      <c r="AC53" s="376"/>
      <c r="AE53" s="376"/>
      <c r="AF53" s="376" t="s">
        <v>714</v>
      </c>
      <c r="AP53" s="348" t="s">
        <v>511</v>
      </c>
      <c r="AQ53" s="348" t="s">
        <v>715</v>
      </c>
      <c r="AR53" s="348" t="s">
        <v>716</v>
      </c>
      <c r="AY53" s="373" t="str">
        <f>IF($AX53="","",IF(_xll.ciqfunctions.udf.CIQ($AX53,"iq_offer_date")&gt;Date,0,_xll.ciqfunctions.udf.CIQ($AX53,"iq_offer_date")))</f>
        <v/>
      </c>
      <c r="AZ53" s="374" t="str">
        <f>IF($AX53="","",RANK(AY53,$AY$10:$AY$510)+COUNTIF($AY$10:AY53,AY53)-1)</f>
        <v/>
      </c>
      <c r="BE53" s="348">
        <f t="shared" si="6"/>
        <v>44</v>
      </c>
      <c r="BG53" s="376" t="str">
        <f>IF($BF53="","",_xll.ciqfunctions.udf.CIQ($BF53,"iq_security_level"))</f>
        <v/>
      </c>
      <c r="BH53" s="348" t="str">
        <f t="shared" si="9"/>
        <v/>
      </c>
      <c r="BJ53" s="348" t="str">
        <f t="shared" ref="BJ53:BJ116" si="11">IF($BF52="","",IF(ISERROR(INDEX($BF$10:$BF$509,MATCH(BE52,$BH$10:$BH$509,0))),"",INDEX($BF$10:$BF$509,MATCH(BE52,$BH$10:$BH$509,0))))</f>
        <v/>
      </c>
      <c r="BK53" s="377" t="str">
        <f>IF($BJ53="","",_xll.ciqfunctions.udf.CIQ($BJ53,"iq_bond_coupon")/100)</f>
        <v/>
      </c>
    </row>
    <row r="54" spans="1:63" ht="14.1" customHeight="1">
      <c r="A54" s="341" t="s">
        <v>717</v>
      </c>
      <c r="B54" s="341"/>
      <c r="C54" s="341"/>
      <c r="D54" s="341"/>
      <c r="E54" s="341"/>
      <c r="F54" s="341"/>
      <c r="G54" s="341"/>
      <c r="H54" s="341"/>
      <c r="I54" s="341"/>
      <c r="J54" s="341"/>
      <c r="K54" s="432"/>
      <c r="L54" s="432"/>
      <c r="M54" s="432"/>
      <c r="N54" s="432"/>
      <c r="O54" s="432"/>
      <c r="P54" s="432"/>
      <c r="Q54" s="432"/>
      <c r="R54" s="432"/>
      <c r="S54" s="432"/>
      <c r="T54" s="341"/>
      <c r="U54" s="341"/>
      <c r="V54" s="341"/>
      <c r="W54" s="341"/>
      <c r="AC54" s="376"/>
      <c r="AE54" s="376"/>
      <c r="AF54" s="376" t="s">
        <v>718</v>
      </c>
      <c r="AP54" s="348" t="s">
        <v>511</v>
      </c>
      <c r="AQ54" s="348" t="s">
        <v>719</v>
      </c>
      <c r="AR54" s="348" t="s">
        <v>720</v>
      </c>
      <c r="AY54" s="373" t="str">
        <f>IF($AX54="","",IF(_xll.ciqfunctions.udf.CIQ($AX54,"iq_offer_date")&gt;Date,0,_xll.ciqfunctions.udf.CIQ($AX54,"iq_offer_date")))</f>
        <v/>
      </c>
      <c r="AZ54" s="374" t="str">
        <f>IF($AX54="","",RANK(AY54,$AY$10:$AY$510)+COUNTIF($AY$10:AY54,AY54)-1)</f>
        <v/>
      </c>
      <c r="BE54" s="348">
        <f t="shared" si="6"/>
        <v>45</v>
      </c>
      <c r="BG54" s="376" t="str">
        <f>IF($BF54="","",_xll.ciqfunctions.udf.CIQ($BF54,"iq_security_level"))</f>
        <v/>
      </c>
      <c r="BH54" s="348" t="str">
        <f t="shared" si="9"/>
        <v/>
      </c>
      <c r="BJ54" s="348" t="str">
        <f t="shared" si="11"/>
        <v/>
      </c>
      <c r="BK54" s="377" t="str">
        <f>IF($BJ54="","",_xll.ciqfunctions.udf.CIQ($BJ54,"iq_bond_coupon")/100)</f>
        <v/>
      </c>
    </row>
    <row r="55" spans="1:63" ht="14.1" customHeight="1">
      <c r="A55" s="433" t="s">
        <v>721</v>
      </c>
      <c r="B55" s="341"/>
      <c r="C55" s="341"/>
      <c r="D55" s="341"/>
      <c r="E55" s="341"/>
      <c r="F55" s="341"/>
      <c r="G55" s="341"/>
      <c r="H55" s="341"/>
      <c r="I55" s="341"/>
      <c r="J55" s="341"/>
      <c r="K55" s="432"/>
      <c r="L55" s="432"/>
      <c r="M55" s="432"/>
      <c r="N55" s="432"/>
      <c r="O55" s="432"/>
      <c r="P55" s="432"/>
      <c r="Q55" s="432"/>
      <c r="R55" s="432"/>
      <c r="S55" s="432"/>
      <c r="T55" s="341"/>
      <c r="U55" s="341"/>
      <c r="V55" s="341"/>
      <c r="W55" s="341"/>
      <c r="AC55" s="376"/>
      <c r="AE55" s="376"/>
      <c r="AF55" s="376" t="s">
        <v>722</v>
      </c>
      <c r="AP55" s="348" t="s">
        <v>511</v>
      </c>
      <c r="AQ55" s="348" t="s">
        <v>723</v>
      </c>
      <c r="AR55" s="348" t="s">
        <v>724</v>
      </c>
      <c r="AY55" s="373" t="str">
        <f>IF($AX55="","",IF(_xll.ciqfunctions.udf.CIQ($AX55,"iq_offer_date")&gt;Date,0,_xll.ciqfunctions.udf.CIQ($AX55,"iq_offer_date")))</f>
        <v/>
      </c>
      <c r="AZ55" s="374" t="str">
        <f>IF($AX55="","",RANK(AY55,$AY$10:$AY$510)+COUNTIF($AY$10:AY55,AY55)-1)</f>
        <v/>
      </c>
      <c r="BE55" s="348">
        <f t="shared" si="6"/>
        <v>46</v>
      </c>
      <c r="BG55" s="376" t="str">
        <f>IF($BF55="","",_xll.ciqfunctions.udf.CIQ($BF55,"iq_security_level"))</f>
        <v/>
      </c>
      <c r="BH55" s="348" t="str">
        <f t="shared" si="9"/>
        <v/>
      </c>
      <c r="BJ55" s="348" t="str">
        <f t="shared" si="11"/>
        <v/>
      </c>
      <c r="BK55" s="377" t="str">
        <f>IF($BJ55="","",_xll.ciqfunctions.udf.CIQ($BJ55,"iq_bond_coupon")/100)</f>
        <v/>
      </c>
    </row>
    <row r="56" spans="1:63" ht="14.1" customHeight="1">
      <c r="A56" s="434"/>
      <c r="B56" s="341"/>
      <c r="C56" s="341"/>
      <c r="D56" s="341"/>
      <c r="E56" s="341"/>
      <c r="F56" s="341"/>
      <c r="G56" s="341"/>
      <c r="H56" s="341"/>
      <c r="I56" s="341"/>
      <c r="J56" s="341"/>
      <c r="K56" s="432"/>
      <c r="L56" s="432"/>
      <c r="M56" s="432"/>
      <c r="N56" s="432"/>
      <c r="O56" s="432"/>
      <c r="P56" s="432"/>
      <c r="Q56" s="432"/>
      <c r="R56" s="432"/>
      <c r="S56" s="432"/>
      <c r="T56" s="341"/>
      <c r="U56" s="341"/>
      <c r="V56" s="341"/>
      <c r="W56" s="341"/>
      <c r="AC56" s="376"/>
      <c r="AE56" s="376"/>
      <c r="AF56" s="376" t="s">
        <v>725</v>
      </c>
      <c r="AP56" s="348" t="s">
        <v>511</v>
      </c>
      <c r="AQ56" s="348" t="s">
        <v>726</v>
      </c>
      <c r="AR56" s="348" t="s">
        <v>727</v>
      </c>
      <c r="AY56" s="373" t="str">
        <f>IF($AX56="","",IF(_xll.ciqfunctions.udf.CIQ($AX56,"iq_offer_date")&gt;Date,0,_xll.ciqfunctions.udf.CIQ($AX56,"iq_offer_date")))</f>
        <v/>
      </c>
      <c r="AZ56" s="374" t="str">
        <f>IF($AX56="","",RANK(AY56,$AY$10:$AY$510)+COUNTIF($AY$10:AY56,AY56)-1)</f>
        <v/>
      </c>
      <c r="BE56" s="348">
        <f t="shared" si="6"/>
        <v>47</v>
      </c>
      <c r="BG56" s="376" t="str">
        <f>IF($BF56="","",_xll.ciqfunctions.udf.CIQ($BF56,"iq_security_level"))</f>
        <v/>
      </c>
      <c r="BH56" s="348" t="str">
        <f t="shared" si="9"/>
        <v/>
      </c>
      <c r="BJ56" s="348" t="str">
        <f t="shared" si="11"/>
        <v/>
      </c>
      <c r="BK56" s="377" t="str">
        <f>IF($BJ56="","",_xll.ciqfunctions.udf.CIQ($BJ56,"iq_bond_coupon")/100)</f>
        <v/>
      </c>
    </row>
    <row r="57" spans="1:63" ht="14.1" customHeight="1">
      <c r="A57" s="348"/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432"/>
      <c r="M57" s="432"/>
      <c r="N57" s="432"/>
      <c r="O57" s="432"/>
      <c r="P57" s="432"/>
      <c r="Q57" s="432"/>
      <c r="R57" s="432"/>
      <c r="S57" s="432"/>
      <c r="T57" s="432"/>
      <c r="U57" s="432"/>
      <c r="V57" s="432"/>
      <c r="AC57" s="376"/>
      <c r="AE57" s="376"/>
      <c r="AF57" s="376" t="s">
        <v>728</v>
      </c>
      <c r="AP57" s="348" t="s">
        <v>517</v>
      </c>
      <c r="AQ57" s="348" t="s">
        <v>729</v>
      </c>
      <c r="AR57" s="348" t="s">
        <v>730</v>
      </c>
      <c r="AY57" s="373" t="str">
        <f>IF($AX57="","",IF(_xll.ciqfunctions.udf.CIQ($AX57,"iq_offer_date")&gt;Date,0,_xll.ciqfunctions.udf.CIQ($AX57,"iq_offer_date")))</f>
        <v/>
      </c>
      <c r="AZ57" s="374" t="str">
        <f>IF($AX57="","",RANK(AY57,$AY$10:$AY$510)+COUNTIF($AY$10:AY57,AY57)-1)</f>
        <v/>
      </c>
      <c r="BE57" s="348">
        <f t="shared" si="6"/>
        <v>48</v>
      </c>
      <c r="BG57" s="376" t="str">
        <f>IF($BF57="","",_xll.ciqfunctions.udf.CIQ($BF57,"iq_security_level"))</f>
        <v/>
      </c>
      <c r="BH57" s="348" t="str">
        <f t="shared" si="9"/>
        <v/>
      </c>
      <c r="BJ57" s="348" t="str">
        <f t="shared" si="11"/>
        <v/>
      </c>
      <c r="BK57" s="377" t="str">
        <f>IF($BJ57="","",_xll.ciqfunctions.udf.CIQ($BJ57,"iq_bond_coupon")/100)</f>
        <v/>
      </c>
    </row>
    <row r="58" spans="1:63" ht="14.1" customHeight="1"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AC58" s="376"/>
      <c r="AE58" s="376"/>
      <c r="AP58" s="348" t="s">
        <v>517</v>
      </c>
      <c r="AQ58" s="348" t="s">
        <v>731</v>
      </c>
      <c r="AR58" s="348" t="s">
        <v>732</v>
      </c>
      <c r="AY58" s="373" t="str">
        <f>IF($AX58="","",IF(_xll.ciqfunctions.udf.CIQ($AX58,"iq_offer_date")&gt;Date,0,_xll.ciqfunctions.udf.CIQ($AX58,"iq_offer_date")))</f>
        <v/>
      </c>
      <c r="AZ58" s="374" t="str">
        <f>IF($AX58="","",RANK(AY58,$AY$10:$AY$510)+COUNTIF($AY$10:AY58,AY58)-1)</f>
        <v/>
      </c>
      <c r="BE58" s="348">
        <f t="shared" si="6"/>
        <v>49</v>
      </c>
      <c r="BG58" s="376" t="str">
        <f>IF($BF58="","",_xll.ciqfunctions.udf.CIQ($BF58,"iq_security_level"))</f>
        <v/>
      </c>
      <c r="BH58" s="348" t="str">
        <f t="shared" si="9"/>
        <v/>
      </c>
      <c r="BJ58" s="348" t="str">
        <f t="shared" si="11"/>
        <v/>
      </c>
      <c r="BK58" s="377" t="str">
        <f>IF($BJ58="","",_xll.ciqfunctions.udf.CIQ($BJ58,"iq_bond_coupon")/100)</f>
        <v/>
      </c>
    </row>
    <row r="59" spans="1:63" ht="12" hidden="1" customHeight="1" outlineLevel="1">
      <c r="AP59" s="348" t="s">
        <v>517</v>
      </c>
      <c r="AQ59" s="348" t="s">
        <v>733</v>
      </c>
      <c r="AR59" s="348" t="s">
        <v>734</v>
      </c>
      <c r="AY59" s="373" t="str">
        <f>IF($AX59="","",IF(_xll.ciqfunctions.udf.CIQ($AX59,"iq_offer_date")&gt;Date,0,_xll.ciqfunctions.udf.CIQ($AX59,"iq_offer_date")))</f>
        <v/>
      </c>
      <c r="AZ59" s="374" t="str">
        <f>IF($AX59="","",RANK(AY59,$AY$10:$AY$510)+COUNTIF($AY$10:AY59,AY59)-1)</f>
        <v/>
      </c>
      <c r="BE59" s="348">
        <f t="shared" si="6"/>
        <v>50</v>
      </c>
      <c r="BG59" s="376" t="str">
        <f>IF($BF59="","",_xll.ciqfunctions.udf.CIQ($BF59,"iq_security_level"))</f>
        <v/>
      </c>
      <c r="BH59" s="348" t="str">
        <f t="shared" si="9"/>
        <v/>
      </c>
      <c r="BJ59" s="348" t="str">
        <f t="shared" si="11"/>
        <v/>
      </c>
      <c r="BK59" s="377" t="str">
        <f>IF($BJ59="","",_xll.ciqfunctions.udf.CIQ($BJ59,"iq_bond_coupon")/100)</f>
        <v/>
      </c>
    </row>
    <row r="60" spans="1:63" ht="12" hidden="1" customHeight="1" outlineLevel="1">
      <c r="AP60" s="348" t="s">
        <v>517</v>
      </c>
      <c r="AQ60" s="348" t="s">
        <v>735</v>
      </c>
      <c r="AR60" s="348" t="s">
        <v>736</v>
      </c>
      <c r="AY60" s="373" t="str">
        <f>IF($AX60="","",IF(_xll.ciqfunctions.udf.CIQ($AX60,"iq_offer_date")&gt;Date,0,_xll.ciqfunctions.udf.CIQ($AX60,"iq_offer_date")))</f>
        <v/>
      </c>
      <c r="AZ60" s="374" t="str">
        <f>IF($AX60="","",RANK(AY60,$AY$10:$AY$510)+COUNTIF($AY$10:AY60,AY60)-1)</f>
        <v/>
      </c>
      <c r="BE60" s="348">
        <f t="shared" si="6"/>
        <v>51</v>
      </c>
      <c r="BG60" s="376" t="str">
        <f>IF($BF60="","",_xll.ciqfunctions.udf.CIQ($BF60,"iq_security_level"))</f>
        <v/>
      </c>
      <c r="BH60" s="348" t="str">
        <f t="shared" si="9"/>
        <v/>
      </c>
      <c r="BJ60" s="348" t="str">
        <f t="shared" si="11"/>
        <v/>
      </c>
      <c r="BK60" s="377" t="str">
        <f>IF($BJ60="","",_xll.ciqfunctions.udf.CIQ($BJ60,"iq_bond_coupon")/100)</f>
        <v/>
      </c>
    </row>
    <row r="61" spans="1:63" ht="12" hidden="1" customHeight="1" outlineLevel="1">
      <c r="AP61" s="348" t="s">
        <v>517</v>
      </c>
      <c r="AQ61" s="348" t="s">
        <v>737</v>
      </c>
      <c r="AR61" s="348" t="s">
        <v>738</v>
      </c>
      <c r="AY61" s="373" t="str">
        <f>IF($AX61="","",IF(_xll.ciqfunctions.udf.CIQ($AX61,"iq_offer_date")&gt;Date,0,_xll.ciqfunctions.udf.CIQ($AX61,"iq_offer_date")))</f>
        <v/>
      </c>
      <c r="AZ61" s="374" t="str">
        <f>IF($AX61="","",RANK(AY61,$AY$10:$AY$510)+COUNTIF($AY$10:AY61,AY61)-1)</f>
        <v/>
      </c>
      <c r="BE61" s="348">
        <f t="shared" si="6"/>
        <v>52</v>
      </c>
      <c r="BG61" s="376" t="str">
        <f>IF($BF61="","",_xll.ciqfunctions.udf.CIQ($BF61,"iq_security_level"))</f>
        <v/>
      </c>
      <c r="BH61" s="348" t="str">
        <f t="shared" si="9"/>
        <v/>
      </c>
      <c r="BJ61" s="348" t="str">
        <f t="shared" si="11"/>
        <v/>
      </c>
      <c r="BK61" s="377" t="str">
        <f>IF($BJ61="","",_xll.ciqfunctions.udf.CIQ($BJ61,"iq_bond_coupon")/100)</f>
        <v/>
      </c>
    </row>
    <row r="62" spans="1:63" ht="12" hidden="1" customHeight="1" outlineLevel="1">
      <c r="AP62" s="348" t="s">
        <v>517</v>
      </c>
      <c r="AQ62" s="348" t="s">
        <v>739</v>
      </c>
      <c r="AR62" s="348" t="s">
        <v>740</v>
      </c>
      <c r="AY62" s="373" t="str">
        <f>IF($AX62="","",IF(_xll.ciqfunctions.udf.CIQ($AX62,"iq_offer_date")&gt;Date,0,_xll.ciqfunctions.udf.CIQ($AX62,"iq_offer_date")))</f>
        <v/>
      </c>
      <c r="AZ62" s="374" t="str">
        <f>IF($AX62="","",RANK(AY62,$AY$10:$AY$510)+COUNTIF($AY$10:AY62,AY62)-1)</f>
        <v/>
      </c>
      <c r="BE62" s="348">
        <f t="shared" si="6"/>
        <v>53</v>
      </c>
      <c r="BG62" s="376" t="str">
        <f>IF($BF62="","",_xll.ciqfunctions.udf.CIQ($BF62,"iq_security_level"))</f>
        <v/>
      </c>
      <c r="BH62" s="348" t="str">
        <f t="shared" si="9"/>
        <v/>
      </c>
      <c r="BJ62" s="348" t="str">
        <f t="shared" si="11"/>
        <v/>
      </c>
      <c r="BK62" s="377" t="str">
        <f>IF($BJ62="","",_xll.ciqfunctions.udf.CIQ($BJ62,"iq_bond_coupon")/100)</f>
        <v/>
      </c>
    </row>
    <row r="63" spans="1:63" ht="12" hidden="1" customHeight="1" outlineLevel="1">
      <c r="AP63" s="348" t="s">
        <v>517</v>
      </c>
      <c r="AQ63" s="348" t="s">
        <v>741</v>
      </c>
      <c r="AR63" s="348" t="s">
        <v>742</v>
      </c>
      <c r="AY63" s="373" t="str">
        <f>IF($AX63="","",IF(_xll.ciqfunctions.udf.CIQ($AX63,"iq_offer_date")&gt;Date,0,_xll.ciqfunctions.udf.CIQ($AX63,"iq_offer_date")))</f>
        <v/>
      </c>
      <c r="AZ63" s="374" t="str">
        <f>IF($AX63="","",RANK(AY63,$AY$10:$AY$510)+COUNTIF($AY$10:AY63,AY63)-1)</f>
        <v/>
      </c>
      <c r="BE63" s="348">
        <f t="shared" si="6"/>
        <v>54</v>
      </c>
      <c r="BG63" s="376" t="str">
        <f>IF($BF63="","",_xll.ciqfunctions.udf.CIQ($BF63,"iq_security_level"))</f>
        <v/>
      </c>
      <c r="BH63" s="348" t="str">
        <f t="shared" si="9"/>
        <v/>
      </c>
      <c r="BJ63" s="348" t="str">
        <f t="shared" si="11"/>
        <v/>
      </c>
      <c r="BK63" s="377" t="str">
        <f>IF($BJ63="","",_xll.ciqfunctions.udf.CIQ($BJ63,"iq_bond_coupon")/100)</f>
        <v/>
      </c>
    </row>
    <row r="64" spans="1:63" ht="12" hidden="1" customHeight="1" outlineLevel="1">
      <c r="AP64" s="348" t="s">
        <v>517</v>
      </c>
      <c r="AQ64" s="348" t="s">
        <v>743</v>
      </c>
      <c r="AR64" s="348" t="s">
        <v>744</v>
      </c>
      <c r="AY64" s="373" t="str">
        <f>IF($AX64="","",IF(_xll.ciqfunctions.udf.CIQ($AX64,"iq_offer_date")&gt;Date,0,_xll.ciqfunctions.udf.CIQ($AX64,"iq_offer_date")))</f>
        <v/>
      </c>
      <c r="AZ64" s="374" t="str">
        <f>IF($AX64="","",RANK(AY64,$AY$10:$AY$510)+COUNTIF($AY$10:AY64,AY64)-1)</f>
        <v/>
      </c>
      <c r="BE64" s="348">
        <f t="shared" si="6"/>
        <v>55</v>
      </c>
      <c r="BG64" s="376" t="str">
        <f>IF($BF64="","",_xll.ciqfunctions.udf.CIQ($BF64,"iq_security_level"))</f>
        <v/>
      </c>
      <c r="BH64" s="348" t="str">
        <f t="shared" si="9"/>
        <v/>
      </c>
      <c r="BJ64" s="348" t="str">
        <f t="shared" si="11"/>
        <v/>
      </c>
      <c r="BK64" s="377" t="str">
        <f>IF($BJ64="","",_xll.ciqfunctions.udf.CIQ($BJ64,"iq_bond_coupon")/100)</f>
        <v/>
      </c>
    </row>
    <row r="65" spans="42:63" ht="12" hidden="1" customHeight="1" outlineLevel="1">
      <c r="AP65" s="348" t="s">
        <v>523</v>
      </c>
      <c r="AQ65" s="348" t="s">
        <v>745</v>
      </c>
      <c r="AR65" s="348" t="s">
        <v>746</v>
      </c>
      <c r="AY65" s="373" t="str">
        <f>IF($AX65="","",IF(_xll.ciqfunctions.udf.CIQ($AX65,"iq_offer_date")&gt;Date,0,_xll.ciqfunctions.udf.CIQ($AX65,"iq_offer_date")))</f>
        <v/>
      </c>
      <c r="AZ65" s="374" t="str">
        <f>IF($AX65="","",RANK(AY65,$AY$10:$AY$510)+COUNTIF($AY$10:AY65,AY65)-1)</f>
        <v/>
      </c>
      <c r="BE65" s="348">
        <f t="shared" si="6"/>
        <v>56</v>
      </c>
      <c r="BG65" s="376" t="str">
        <f>IF($BF65="","",_xll.ciqfunctions.udf.CIQ($BF65,"iq_security_level"))</f>
        <v/>
      </c>
      <c r="BH65" s="348" t="str">
        <f t="shared" si="9"/>
        <v/>
      </c>
      <c r="BJ65" s="348" t="str">
        <f t="shared" si="11"/>
        <v/>
      </c>
      <c r="BK65" s="377" t="str">
        <f>IF($BJ65="","",_xll.ciqfunctions.udf.CIQ($BJ65,"iq_bond_coupon")/100)</f>
        <v/>
      </c>
    </row>
    <row r="66" spans="42:63" ht="12" hidden="1" customHeight="1" outlineLevel="1">
      <c r="AP66" s="348" t="s">
        <v>523</v>
      </c>
      <c r="AQ66" s="348" t="s">
        <v>747</v>
      </c>
      <c r="AR66" s="348" t="s">
        <v>748</v>
      </c>
      <c r="AY66" s="373" t="str">
        <f>IF($AX66="","",IF(_xll.ciqfunctions.udf.CIQ($AX66,"iq_offer_date")&gt;Date,0,_xll.ciqfunctions.udf.CIQ($AX66,"iq_offer_date")))</f>
        <v/>
      </c>
      <c r="AZ66" s="374" t="str">
        <f>IF($AX66="","",RANK(AY66,$AY$10:$AY$510)+COUNTIF($AY$10:AY66,AY66)-1)</f>
        <v/>
      </c>
      <c r="BE66" s="348">
        <f t="shared" si="6"/>
        <v>57</v>
      </c>
      <c r="BG66" s="376" t="str">
        <f>IF($BF66="","",_xll.ciqfunctions.udf.CIQ($BF66,"iq_security_level"))</f>
        <v/>
      </c>
      <c r="BH66" s="348" t="str">
        <f t="shared" si="9"/>
        <v/>
      </c>
      <c r="BJ66" s="348" t="str">
        <f t="shared" si="11"/>
        <v/>
      </c>
      <c r="BK66" s="377" t="str">
        <f>IF($BJ66="","",_xll.ciqfunctions.udf.CIQ($BJ66,"iq_bond_coupon")/100)</f>
        <v/>
      </c>
    </row>
    <row r="67" spans="42:63" ht="12" hidden="1" customHeight="1" outlineLevel="1">
      <c r="AP67" s="348" t="s">
        <v>523</v>
      </c>
      <c r="AQ67" s="348" t="s">
        <v>749</v>
      </c>
      <c r="AR67" s="348" t="s">
        <v>750</v>
      </c>
      <c r="AY67" s="373" t="str">
        <f>IF($AX67="","",IF(_xll.ciqfunctions.udf.CIQ($AX67,"iq_offer_date")&gt;Date,0,_xll.ciqfunctions.udf.CIQ($AX67,"iq_offer_date")))</f>
        <v/>
      </c>
      <c r="AZ67" s="374" t="str">
        <f>IF($AX67="","",RANK(AY67,$AY$10:$AY$510)+COUNTIF($AY$10:AY67,AY67)-1)</f>
        <v/>
      </c>
      <c r="BE67" s="348">
        <f t="shared" si="6"/>
        <v>58</v>
      </c>
      <c r="BG67" s="376" t="str">
        <f>IF($BF67="","",_xll.ciqfunctions.udf.CIQ($BF67,"iq_security_level"))</f>
        <v/>
      </c>
      <c r="BH67" s="348" t="str">
        <f t="shared" si="9"/>
        <v/>
      </c>
      <c r="BJ67" s="348" t="str">
        <f t="shared" si="11"/>
        <v/>
      </c>
      <c r="BK67" s="377" t="str">
        <f>IF($BJ67="","",_xll.ciqfunctions.udf.CIQ($BJ67,"iq_bond_coupon")/100)</f>
        <v/>
      </c>
    </row>
    <row r="68" spans="42:63" ht="12" hidden="1" customHeight="1" outlineLevel="1">
      <c r="AP68" s="348" t="s">
        <v>523</v>
      </c>
      <c r="AQ68" s="348" t="s">
        <v>751</v>
      </c>
      <c r="AR68" s="348" t="s">
        <v>752</v>
      </c>
      <c r="AY68" s="373" t="str">
        <f>IF($AX68="","",IF(_xll.ciqfunctions.udf.CIQ($AX68,"iq_offer_date")&gt;Date,0,_xll.ciqfunctions.udf.CIQ($AX68,"iq_offer_date")))</f>
        <v/>
      </c>
      <c r="AZ68" s="374" t="str">
        <f>IF($AX68="","",RANK(AY68,$AY$10:$AY$510)+COUNTIF($AY$10:AY68,AY68)-1)</f>
        <v/>
      </c>
      <c r="BE68" s="348">
        <f t="shared" si="6"/>
        <v>59</v>
      </c>
      <c r="BG68" s="376" t="str">
        <f>IF($BF68="","",_xll.ciqfunctions.udf.CIQ($BF68,"iq_security_level"))</f>
        <v/>
      </c>
      <c r="BH68" s="348" t="str">
        <f t="shared" si="9"/>
        <v/>
      </c>
      <c r="BJ68" s="348" t="str">
        <f t="shared" si="11"/>
        <v/>
      </c>
      <c r="BK68" s="377" t="str">
        <f>IF($BJ68="","",_xll.ciqfunctions.udf.CIQ($BJ68,"iq_bond_coupon")/100)</f>
        <v/>
      </c>
    </row>
    <row r="69" spans="42:63" ht="12" hidden="1" customHeight="1" outlineLevel="1">
      <c r="AP69" s="348" t="s">
        <v>523</v>
      </c>
      <c r="AQ69" s="348" t="s">
        <v>753</v>
      </c>
      <c r="AR69" s="348" t="s">
        <v>754</v>
      </c>
      <c r="AY69" s="373" t="str">
        <f>IF($AX69="","",IF(_xll.ciqfunctions.udf.CIQ($AX69,"iq_offer_date")&gt;Date,0,_xll.ciqfunctions.udf.CIQ($AX69,"iq_offer_date")))</f>
        <v/>
      </c>
      <c r="AZ69" s="374" t="str">
        <f>IF($AX69="","",RANK(AY69,$AY$10:$AY$510)+COUNTIF($AY$10:AY69,AY69)-1)</f>
        <v/>
      </c>
      <c r="BE69" s="348">
        <f t="shared" si="6"/>
        <v>60</v>
      </c>
      <c r="BG69" s="376" t="str">
        <f>IF($BF69="","",_xll.ciqfunctions.udf.CIQ($BF69,"iq_security_level"))</f>
        <v/>
      </c>
      <c r="BH69" s="348" t="str">
        <f t="shared" si="9"/>
        <v/>
      </c>
      <c r="BJ69" s="348" t="str">
        <f t="shared" si="11"/>
        <v/>
      </c>
      <c r="BK69" s="377" t="str">
        <f>IF($BJ69="","",_xll.ciqfunctions.udf.CIQ($BJ69,"iq_bond_coupon")/100)</f>
        <v/>
      </c>
    </row>
    <row r="70" spans="42:63" ht="12" hidden="1" customHeight="1" outlineLevel="1">
      <c r="AP70" s="348" t="s">
        <v>523</v>
      </c>
      <c r="AQ70" s="348" t="s">
        <v>755</v>
      </c>
      <c r="AR70" s="348" t="s">
        <v>756</v>
      </c>
      <c r="AY70" s="373" t="str">
        <f>IF($AX70="","",IF(_xll.ciqfunctions.udf.CIQ($AX70,"iq_offer_date")&gt;Date,0,_xll.ciqfunctions.udf.CIQ($AX70,"iq_offer_date")))</f>
        <v/>
      </c>
      <c r="AZ70" s="374" t="str">
        <f>IF($AX70="","",RANK(AY70,$AY$10:$AY$510)+COUNTIF($AY$10:AY70,AY70)-1)</f>
        <v/>
      </c>
      <c r="BE70" s="348">
        <f t="shared" si="6"/>
        <v>61</v>
      </c>
      <c r="BG70" s="376" t="str">
        <f>IF($BF70="","",_xll.ciqfunctions.udf.CIQ($BF70,"iq_security_level"))</f>
        <v/>
      </c>
      <c r="BH70" s="348" t="str">
        <f t="shared" si="9"/>
        <v/>
      </c>
      <c r="BJ70" s="348" t="str">
        <f t="shared" si="11"/>
        <v/>
      </c>
      <c r="BK70" s="377" t="str">
        <f>IF($BJ70="","",_xll.ciqfunctions.udf.CIQ($BJ70,"iq_bond_coupon")/100)</f>
        <v/>
      </c>
    </row>
    <row r="71" spans="42:63" ht="12" hidden="1" customHeight="1" outlineLevel="1">
      <c r="AP71" s="348" t="s">
        <v>530</v>
      </c>
      <c r="AQ71" s="348" t="s">
        <v>757</v>
      </c>
      <c r="AR71" s="348" t="s">
        <v>758</v>
      </c>
      <c r="AY71" s="373" t="str">
        <f>IF($AX71="","",IF(_xll.ciqfunctions.udf.CIQ($AX71,"iq_offer_date")&gt;Date,0,_xll.ciqfunctions.udf.CIQ($AX71,"iq_offer_date")))</f>
        <v/>
      </c>
      <c r="AZ71" s="374" t="str">
        <f>IF($AX71="","",RANK(AY71,$AY$10:$AY$510)+COUNTIF($AY$10:AY71,AY71)-1)</f>
        <v/>
      </c>
      <c r="BE71" s="348">
        <f t="shared" si="6"/>
        <v>62</v>
      </c>
      <c r="BG71" s="376" t="str">
        <f>IF($BF71="","",_xll.ciqfunctions.udf.CIQ($BF71,"iq_security_level"))</f>
        <v/>
      </c>
      <c r="BH71" s="348" t="str">
        <f t="shared" si="9"/>
        <v/>
      </c>
      <c r="BJ71" s="348" t="str">
        <f t="shared" si="11"/>
        <v/>
      </c>
      <c r="BK71" s="377" t="str">
        <f>IF($BJ71="","",_xll.ciqfunctions.udf.CIQ($BJ71,"iq_bond_coupon")/100)</f>
        <v/>
      </c>
    </row>
    <row r="72" spans="42:63" ht="12" hidden="1" customHeight="1" outlineLevel="1">
      <c r="AP72" s="348" t="s">
        <v>530</v>
      </c>
      <c r="AQ72" s="348" t="s">
        <v>759</v>
      </c>
      <c r="AR72" s="348" t="s">
        <v>760</v>
      </c>
      <c r="AY72" s="373" t="str">
        <f>IF($AX72="","",IF(_xll.ciqfunctions.udf.CIQ($AX72,"iq_offer_date")&gt;Date,0,_xll.ciqfunctions.udf.CIQ($AX72,"iq_offer_date")))</f>
        <v/>
      </c>
      <c r="AZ72" s="374" t="str">
        <f>IF($AX72="","",RANK(AY72,$AY$10:$AY$510)+COUNTIF($AY$10:AY72,AY72)-1)</f>
        <v/>
      </c>
      <c r="BE72" s="348">
        <f t="shared" si="6"/>
        <v>63</v>
      </c>
      <c r="BG72" s="376" t="str">
        <f>IF($BF72="","",_xll.ciqfunctions.udf.CIQ($BF72,"iq_security_level"))</f>
        <v/>
      </c>
      <c r="BH72" s="348" t="str">
        <f t="shared" si="9"/>
        <v/>
      </c>
      <c r="BJ72" s="348" t="str">
        <f t="shared" si="11"/>
        <v/>
      </c>
      <c r="BK72" s="377" t="str">
        <f>IF($BJ72="","",_xll.ciqfunctions.udf.CIQ($BJ72,"iq_bond_coupon")/100)</f>
        <v/>
      </c>
    </row>
    <row r="73" spans="42:63" ht="12" hidden="1" customHeight="1" outlineLevel="1">
      <c r="AP73" s="348" t="s">
        <v>530</v>
      </c>
      <c r="AQ73" s="348" t="s">
        <v>761</v>
      </c>
      <c r="AR73" s="348" t="s">
        <v>762</v>
      </c>
      <c r="AY73" s="373" t="str">
        <f>IF($AX73="","",IF(_xll.ciqfunctions.udf.CIQ($AX73,"iq_offer_date")&gt;Date,0,_xll.ciqfunctions.udf.CIQ($AX73,"iq_offer_date")))</f>
        <v/>
      </c>
      <c r="AZ73" s="374" t="str">
        <f>IF($AX73="","",RANK(AY73,$AY$10:$AY$510)+COUNTIF($AY$10:AY73,AY73)-1)</f>
        <v/>
      </c>
      <c r="BE73" s="348">
        <f t="shared" si="6"/>
        <v>64</v>
      </c>
      <c r="BG73" s="376" t="str">
        <f>IF($BF73="","",_xll.ciqfunctions.udf.CIQ($BF73,"iq_security_level"))</f>
        <v/>
      </c>
      <c r="BH73" s="348" t="str">
        <f t="shared" si="9"/>
        <v/>
      </c>
      <c r="BJ73" s="348" t="str">
        <f t="shared" si="11"/>
        <v/>
      </c>
      <c r="BK73" s="377" t="str">
        <f>IF($BJ73="","",_xll.ciqfunctions.udf.CIQ($BJ73,"iq_bond_coupon")/100)</f>
        <v/>
      </c>
    </row>
    <row r="74" spans="42:63" ht="12" hidden="1" customHeight="1" outlineLevel="1">
      <c r="AP74" s="348" t="s">
        <v>530</v>
      </c>
      <c r="AQ74" s="348" t="s">
        <v>763</v>
      </c>
      <c r="AR74" s="348" t="s">
        <v>764</v>
      </c>
      <c r="AY74" s="373" t="str">
        <f>IF($AX74="","",IF(_xll.ciqfunctions.udf.CIQ($AX74,"iq_offer_date")&gt;Date,0,_xll.ciqfunctions.udf.CIQ($AX74,"iq_offer_date")))</f>
        <v/>
      </c>
      <c r="AZ74" s="374" t="str">
        <f>IF($AX74="","",RANK(AY74,$AY$10:$AY$510)+COUNTIF($AY$10:AY74,AY74)-1)</f>
        <v/>
      </c>
      <c r="BE74" s="348">
        <f t="shared" si="6"/>
        <v>65</v>
      </c>
      <c r="BG74" s="376" t="str">
        <f>IF($BF74="","",_xll.ciqfunctions.udf.CIQ($BF74,"iq_security_level"))</f>
        <v/>
      </c>
      <c r="BH74" s="348" t="str">
        <f t="shared" si="9"/>
        <v/>
      </c>
      <c r="BJ74" s="348" t="str">
        <f t="shared" si="11"/>
        <v/>
      </c>
      <c r="BK74" s="377" t="str">
        <f>IF($BJ74="","",_xll.ciqfunctions.udf.CIQ($BJ74,"iq_bond_coupon")/100)</f>
        <v/>
      </c>
    </row>
    <row r="75" spans="42:63" ht="12" hidden="1" customHeight="1" outlineLevel="1">
      <c r="AP75" s="348" t="s">
        <v>537</v>
      </c>
      <c r="AQ75" s="348" t="s">
        <v>765</v>
      </c>
      <c r="AR75" s="348" t="s">
        <v>766</v>
      </c>
      <c r="AY75" s="373" t="str">
        <f>IF($AX75="","",IF(_xll.ciqfunctions.udf.CIQ($AX75,"iq_offer_date")&gt;Date,0,_xll.ciqfunctions.udf.CIQ($AX75,"iq_offer_date")))</f>
        <v/>
      </c>
      <c r="AZ75" s="374" t="str">
        <f>IF($AX75="","",RANK(AY75,$AY$10:$AY$510)+COUNTIF($AY$10:AY75,AY75)-1)</f>
        <v/>
      </c>
      <c r="BE75" s="348">
        <f t="shared" si="6"/>
        <v>66</v>
      </c>
      <c r="BG75" s="376" t="str">
        <f>IF($BF75="","",_xll.ciqfunctions.udf.CIQ($BF75,"iq_security_level"))</f>
        <v/>
      </c>
      <c r="BH75" s="348" t="str">
        <f t="shared" si="9"/>
        <v/>
      </c>
      <c r="BJ75" s="348" t="str">
        <f t="shared" si="11"/>
        <v/>
      </c>
      <c r="BK75" s="377" t="str">
        <f>IF($BJ75="","",_xll.ciqfunctions.udf.CIQ($BJ75,"iq_bond_coupon")/100)</f>
        <v/>
      </c>
    </row>
    <row r="76" spans="42:63" ht="12" hidden="1" customHeight="1" outlineLevel="1">
      <c r="AP76" s="348" t="s">
        <v>537</v>
      </c>
      <c r="AQ76" s="348" t="s">
        <v>767</v>
      </c>
      <c r="AR76" s="348" t="s">
        <v>768</v>
      </c>
      <c r="AY76" s="373" t="str">
        <f>IF($AX76="","",IF(_xll.ciqfunctions.udf.CIQ($AX76,"iq_offer_date")&gt;Date,0,_xll.ciqfunctions.udf.CIQ($AX76,"iq_offer_date")))</f>
        <v/>
      </c>
      <c r="AZ76" s="374" t="str">
        <f>IF($AX76="","",RANK(AY76,$AY$10:$AY$510)+COUNTIF($AY$10:AY76,AY76)-1)</f>
        <v/>
      </c>
      <c r="BE76" s="348">
        <f t="shared" ref="BE76:BE139" si="12">BE75+1</f>
        <v>67</v>
      </c>
      <c r="BG76" s="376" t="str">
        <f>IF($BF76="","",_xll.ciqfunctions.udf.CIQ($BF76,"iq_security_level"))</f>
        <v/>
      </c>
      <c r="BH76" s="348" t="str">
        <f t="shared" ref="BH76:BH139" si="13">IF(BF76="","",IF(BG76="Preferred",BH75+1,BH75))</f>
        <v/>
      </c>
      <c r="BJ76" s="348" t="str">
        <f t="shared" si="11"/>
        <v/>
      </c>
      <c r="BK76" s="377" t="str">
        <f>IF($BJ76="","",_xll.ciqfunctions.udf.CIQ($BJ76,"iq_bond_coupon")/100)</f>
        <v/>
      </c>
    </row>
    <row r="77" spans="42:63" ht="12" hidden="1" customHeight="1" outlineLevel="1">
      <c r="AP77" s="348" t="s">
        <v>537</v>
      </c>
      <c r="AQ77" s="348" t="s">
        <v>769</v>
      </c>
      <c r="AR77" s="348" t="s">
        <v>770</v>
      </c>
      <c r="AY77" s="373" t="str">
        <f>IF($AX77="","",IF(_xll.ciqfunctions.udf.CIQ($AX77,"iq_offer_date")&gt;Date,0,_xll.ciqfunctions.udf.CIQ($AX77,"iq_offer_date")))</f>
        <v/>
      </c>
      <c r="AZ77" s="374" t="str">
        <f>IF($AX77="","",RANK(AY77,$AY$10:$AY$510)+COUNTIF($AY$10:AY77,AY77)-1)</f>
        <v/>
      </c>
      <c r="BE77" s="348">
        <f t="shared" si="12"/>
        <v>68</v>
      </c>
      <c r="BG77" s="376" t="str">
        <f>IF($BF77="","",_xll.ciqfunctions.udf.CIQ($BF77,"iq_security_level"))</f>
        <v/>
      </c>
      <c r="BH77" s="348" t="str">
        <f t="shared" si="13"/>
        <v/>
      </c>
      <c r="BJ77" s="348" t="str">
        <f t="shared" si="11"/>
        <v/>
      </c>
      <c r="BK77" s="377" t="str">
        <f>IF($BJ77="","",_xll.ciqfunctions.udf.CIQ($BJ77,"iq_bond_coupon")/100)</f>
        <v/>
      </c>
    </row>
    <row r="78" spans="42:63" ht="12" hidden="1" customHeight="1" outlineLevel="1">
      <c r="AP78" s="348" t="s">
        <v>537</v>
      </c>
      <c r="AQ78" s="348" t="s">
        <v>771</v>
      </c>
      <c r="AR78" s="348" t="s">
        <v>772</v>
      </c>
      <c r="AY78" s="373" t="str">
        <f>IF($AX78="","",IF(_xll.ciqfunctions.udf.CIQ($AX78,"iq_offer_date")&gt;Date,0,_xll.ciqfunctions.udf.CIQ($AX78,"iq_offer_date")))</f>
        <v/>
      </c>
      <c r="AZ78" s="374" t="str">
        <f>IF($AX78="","",RANK(AY78,$AY$10:$AY$510)+COUNTIF($AY$10:AY78,AY78)-1)</f>
        <v/>
      </c>
      <c r="BE78" s="348">
        <f t="shared" si="12"/>
        <v>69</v>
      </c>
      <c r="BG78" s="376" t="str">
        <f>IF($BF78="","",_xll.ciqfunctions.udf.CIQ($BF78,"iq_security_level"))</f>
        <v/>
      </c>
      <c r="BH78" s="348" t="str">
        <f t="shared" si="13"/>
        <v/>
      </c>
      <c r="BJ78" s="348" t="str">
        <f t="shared" si="11"/>
        <v/>
      </c>
      <c r="BK78" s="377" t="str">
        <f>IF($BJ78="","",_xll.ciqfunctions.udf.CIQ($BJ78,"iq_bond_coupon")/100)</f>
        <v/>
      </c>
    </row>
    <row r="79" spans="42:63" ht="12" hidden="1" customHeight="1" outlineLevel="1">
      <c r="AP79" s="348" t="s">
        <v>543</v>
      </c>
      <c r="AQ79" s="348" t="s">
        <v>773</v>
      </c>
      <c r="AR79" s="348" t="s">
        <v>774</v>
      </c>
      <c r="AY79" s="373" t="str">
        <f>IF($AX79="","",IF(_xll.ciqfunctions.udf.CIQ($AX79,"iq_offer_date")&gt;Date,0,_xll.ciqfunctions.udf.CIQ($AX79,"iq_offer_date")))</f>
        <v/>
      </c>
      <c r="AZ79" s="374" t="str">
        <f>IF($AX79="","",RANK(AY79,$AY$10:$AY$510)+COUNTIF($AY$10:AY79,AY79)-1)</f>
        <v/>
      </c>
      <c r="BE79" s="348">
        <f t="shared" si="12"/>
        <v>70</v>
      </c>
      <c r="BG79" s="376" t="str">
        <f>IF($BF79="","",_xll.ciqfunctions.udf.CIQ($BF79,"iq_security_level"))</f>
        <v/>
      </c>
      <c r="BH79" s="348" t="str">
        <f t="shared" si="13"/>
        <v/>
      </c>
      <c r="BJ79" s="348" t="str">
        <f t="shared" si="11"/>
        <v/>
      </c>
      <c r="BK79" s="377" t="str">
        <f>IF($BJ79="","",_xll.ciqfunctions.udf.CIQ($BJ79,"iq_bond_coupon")/100)</f>
        <v/>
      </c>
    </row>
    <row r="80" spans="42:63" ht="12" hidden="1" customHeight="1" outlineLevel="1">
      <c r="AP80" s="348" t="s">
        <v>543</v>
      </c>
      <c r="AQ80" s="348" t="s">
        <v>775</v>
      </c>
      <c r="AR80" s="348" t="s">
        <v>776</v>
      </c>
      <c r="AY80" s="373" t="str">
        <f>IF($AX80="","",IF(_xll.ciqfunctions.udf.CIQ($AX80,"iq_offer_date")&gt;Date,0,_xll.ciqfunctions.udf.CIQ($AX80,"iq_offer_date")))</f>
        <v/>
      </c>
      <c r="AZ80" s="374" t="str">
        <f>IF($AX80="","",RANK(AY80,$AY$10:$AY$510)+COUNTIF($AY$10:AY80,AY80)-1)</f>
        <v/>
      </c>
      <c r="BE80" s="348">
        <f t="shared" si="12"/>
        <v>71</v>
      </c>
      <c r="BG80" s="376" t="str">
        <f>IF($BF80="","",_xll.ciqfunctions.udf.CIQ($BF80,"iq_security_level"))</f>
        <v/>
      </c>
      <c r="BH80" s="348" t="str">
        <f t="shared" si="13"/>
        <v/>
      </c>
      <c r="BJ80" s="348" t="str">
        <f t="shared" si="11"/>
        <v/>
      </c>
      <c r="BK80" s="377" t="str">
        <f>IF($BJ80="","",_xll.ciqfunctions.udf.CIQ($BJ80,"iq_bond_coupon")/100)</f>
        <v/>
      </c>
    </row>
    <row r="81" spans="42:63" ht="12" hidden="1" customHeight="1" outlineLevel="1">
      <c r="AP81" s="348" t="s">
        <v>543</v>
      </c>
      <c r="AQ81" s="348" t="s">
        <v>777</v>
      </c>
      <c r="AR81" s="348" t="s">
        <v>778</v>
      </c>
      <c r="AY81" s="373" t="str">
        <f>IF($AX81="","",IF(_xll.ciqfunctions.udf.CIQ($AX81,"iq_offer_date")&gt;Date,0,_xll.ciqfunctions.udf.CIQ($AX81,"iq_offer_date")))</f>
        <v/>
      </c>
      <c r="AZ81" s="374" t="str">
        <f>IF($AX81="","",RANK(AY81,$AY$10:$AY$510)+COUNTIF($AY$10:AY81,AY81)-1)</f>
        <v/>
      </c>
      <c r="BE81" s="348">
        <f t="shared" si="12"/>
        <v>72</v>
      </c>
      <c r="BG81" s="376" t="str">
        <f>IF($BF81="","",_xll.ciqfunctions.udf.CIQ($BF81,"iq_security_level"))</f>
        <v/>
      </c>
      <c r="BH81" s="348" t="str">
        <f t="shared" si="13"/>
        <v/>
      </c>
      <c r="BJ81" s="348" t="str">
        <f t="shared" si="11"/>
        <v/>
      </c>
      <c r="BK81" s="377" t="str">
        <f>IF($BJ81="","",_xll.ciqfunctions.udf.CIQ($BJ81,"iq_bond_coupon")/100)</f>
        <v/>
      </c>
    </row>
    <row r="82" spans="42:63" ht="12" hidden="1" customHeight="1" outlineLevel="1">
      <c r="AP82" s="348" t="s">
        <v>543</v>
      </c>
      <c r="AQ82" s="348" t="s">
        <v>779</v>
      </c>
      <c r="AR82" s="348" t="s">
        <v>780</v>
      </c>
      <c r="AY82" s="373" t="str">
        <f>IF($AX82="","",IF(_xll.ciqfunctions.udf.CIQ($AX82,"iq_offer_date")&gt;Date,0,_xll.ciqfunctions.udf.CIQ($AX82,"iq_offer_date")))</f>
        <v/>
      </c>
      <c r="AZ82" s="374" t="str">
        <f>IF($AX82="","",RANK(AY82,$AY$10:$AY$510)+COUNTIF($AY$10:AY82,AY82)-1)</f>
        <v/>
      </c>
      <c r="BE82" s="348">
        <f t="shared" si="12"/>
        <v>73</v>
      </c>
      <c r="BG82" s="376" t="str">
        <f>IF($BF82="","",_xll.ciqfunctions.udf.CIQ($BF82,"iq_security_level"))</f>
        <v/>
      </c>
      <c r="BH82" s="348" t="str">
        <f t="shared" si="13"/>
        <v/>
      </c>
      <c r="BJ82" s="348" t="str">
        <f t="shared" si="11"/>
        <v/>
      </c>
      <c r="BK82" s="377" t="str">
        <f>IF($BJ82="","",_xll.ciqfunctions.udf.CIQ($BJ82,"iq_bond_coupon")/100)</f>
        <v/>
      </c>
    </row>
    <row r="83" spans="42:63" ht="12" hidden="1" customHeight="1" outlineLevel="1">
      <c r="AP83" s="348" t="s">
        <v>543</v>
      </c>
      <c r="AQ83" s="348" t="s">
        <v>781</v>
      </c>
      <c r="AR83" s="348" t="s">
        <v>782</v>
      </c>
      <c r="AY83" s="373" t="str">
        <f>IF($AX83="","",IF(_xll.ciqfunctions.udf.CIQ($AX83,"iq_offer_date")&gt;Date,0,_xll.ciqfunctions.udf.CIQ($AX83,"iq_offer_date")))</f>
        <v/>
      </c>
      <c r="AZ83" s="374" t="str">
        <f>IF($AX83="","",RANK(AY83,$AY$10:$AY$510)+COUNTIF($AY$10:AY83,AY83)-1)</f>
        <v/>
      </c>
      <c r="BE83" s="348">
        <f t="shared" si="12"/>
        <v>74</v>
      </c>
      <c r="BG83" s="376" t="str">
        <f>IF($BF83="","",_xll.ciqfunctions.udf.CIQ($BF83,"iq_security_level"))</f>
        <v/>
      </c>
      <c r="BH83" s="348" t="str">
        <f t="shared" si="13"/>
        <v/>
      </c>
      <c r="BJ83" s="348" t="str">
        <f t="shared" si="11"/>
        <v/>
      </c>
      <c r="BK83" s="377" t="str">
        <f>IF($BJ83="","",_xll.ciqfunctions.udf.CIQ($BJ83,"iq_bond_coupon")/100)</f>
        <v/>
      </c>
    </row>
    <row r="84" spans="42:63" ht="12" hidden="1" customHeight="1" outlineLevel="1">
      <c r="AP84" s="348" t="s">
        <v>552</v>
      </c>
      <c r="AQ84" s="348" t="s">
        <v>783</v>
      </c>
      <c r="AR84" s="348" t="s">
        <v>784</v>
      </c>
      <c r="AY84" s="373" t="str">
        <f>IF($AX84="","",IF(_xll.ciqfunctions.udf.CIQ($AX84,"iq_offer_date")&gt;Date,0,_xll.ciqfunctions.udf.CIQ($AX84,"iq_offer_date")))</f>
        <v/>
      </c>
      <c r="AZ84" s="374" t="str">
        <f>IF($AX84="","",RANK(AY84,$AY$10:$AY$510)+COUNTIF($AY$10:AY84,AY84)-1)</f>
        <v/>
      </c>
      <c r="BE84" s="348">
        <f t="shared" si="12"/>
        <v>75</v>
      </c>
      <c r="BG84" s="376" t="str">
        <f>IF($BF84="","",_xll.ciqfunctions.udf.CIQ($BF84,"iq_security_level"))</f>
        <v/>
      </c>
      <c r="BH84" s="348" t="str">
        <f t="shared" si="13"/>
        <v/>
      </c>
      <c r="BJ84" s="348" t="str">
        <f t="shared" si="11"/>
        <v/>
      </c>
      <c r="BK84" s="377" t="str">
        <f>IF($BJ84="","",_xll.ciqfunctions.udf.CIQ($BJ84,"iq_bond_coupon")/100)</f>
        <v/>
      </c>
    </row>
    <row r="85" spans="42:63" ht="12" hidden="1" customHeight="1" outlineLevel="1">
      <c r="AP85" s="348" t="s">
        <v>552</v>
      </c>
      <c r="AQ85" s="348" t="s">
        <v>785</v>
      </c>
      <c r="AR85" s="348" t="s">
        <v>786</v>
      </c>
      <c r="AY85" s="373" t="str">
        <f>IF($AX85="","",IF(_xll.ciqfunctions.udf.CIQ($AX85,"iq_offer_date")&gt;Date,0,_xll.ciqfunctions.udf.CIQ($AX85,"iq_offer_date")))</f>
        <v/>
      </c>
      <c r="AZ85" s="374" t="str">
        <f>IF($AX85="","",RANK(AY85,$AY$10:$AY$510)+COUNTIF($AY$10:AY85,AY85)-1)</f>
        <v/>
      </c>
      <c r="BE85" s="348">
        <f t="shared" si="12"/>
        <v>76</v>
      </c>
      <c r="BG85" s="376" t="str">
        <f>IF($BF85="","",_xll.ciqfunctions.udf.CIQ($BF85,"iq_security_level"))</f>
        <v/>
      </c>
      <c r="BH85" s="348" t="str">
        <f t="shared" si="13"/>
        <v/>
      </c>
      <c r="BJ85" s="348" t="str">
        <f t="shared" si="11"/>
        <v/>
      </c>
      <c r="BK85" s="377" t="str">
        <f>IF($BJ85="","",_xll.ciqfunctions.udf.CIQ($BJ85,"iq_bond_coupon")/100)</f>
        <v/>
      </c>
    </row>
    <row r="86" spans="42:63" ht="12" hidden="1" customHeight="1" outlineLevel="1">
      <c r="AP86" s="348" t="s">
        <v>552</v>
      </c>
      <c r="AQ86" s="348" t="s">
        <v>787</v>
      </c>
      <c r="AR86" s="348" t="s">
        <v>788</v>
      </c>
      <c r="AY86" s="373" t="str">
        <f>IF($AX86="","",IF(_xll.ciqfunctions.udf.CIQ($AX86,"iq_offer_date")&gt;Date,0,_xll.ciqfunctions.udf.CIQ($AX86,"iq_offer_date")))</f>
        <v/>
      </c>
      <c r="AZ86" s="374" t="str">
        <f>IF($AX86="","",RANK(AY86,$AY$10:$AY$510)+COUNTIF($AY$10:AY86,AY86)-1)</f>
        <v/>
      </c>
      <c r="BE86" s="348">
        <f t="shared" si="12"/>
        <v>77</v>
      </c>
      <c r="BG86" s="376" t="str">
        <f>IF($BF86="","",_xll.ciqfunctions.udf.CIQ($BF86,"iq_security_level"))</f>
        <v/>
      </c>
      <c r="BH86" s="348" t="str">
        <f t="shared" si="13"/>
        <v/>
      </c>
      <c r="BJ86" s="348" t="str">
        <f t="shared" si="11"/>
        <v/>
      </c>
      <c r="BK86" s="377" t="str">
        <f>IF($BJ86="","",_xll.ciqfunctions.udf.CIQ($BJ86,"iq_bond_coupon")/100)</f>
        <v/>
      </c>
    </row>
    <row r="87" spans="42:63" ht="12" hidden="1" customHeight="1" outlineLevel="1">
      <c r="AP87" s="348" t="s">
        <v>552</v>
      </c>
      <c r="AQ87" s="348" t="s">
        <v>789</v>
      </c>
      <c r="AR87" s="348" t="s">
        <v>790</v>
      </c>
      <c r="AY87" s="373" t="str">
        <f>IF($AX87="","",IF(_xll.ciqfunctions.udf.CIQ($AX87,"iq_offer_date")&gt;Date,0,_xll.ciqfunctions.udf.CIQ($AX87,"iq_offer_date")))</f>
        <v/>
      </c>
      <c r="AZ87" s="374" t="str">
        <f>IF($AX87="","",RANK(AY87,$AY$10:$AY$510)+COUNTIF($AY$10:AY87,AY87)-1)</f>
        <v/>
      </c>
      <c r="BE87" s="348">
        <f t="shared" si="12"/>
        <v>78</v>
      </c>
      <c r="BG87" s="376" t="str">
        <f>IF($BF87="","",_xll.ciqfunctions.udf.CIQ($BF87,"iq_security_level"))</f>
        <v/>
      </c>
      <c r="BH87" s="348" t="str">
        <f t="shared" si="13"/>
        <v/>
      </c>
      <c r="BJ87" s="348" t="str">
        <f t="shared" si="11"/>
        <v/>
      </c>
      <c r="BK87" s="377" t="str">
        <f>IF($BJ87="","",_xll.ciqfunctions.udf.CIQ($BJ87,"iq_bond_coupon")/100)</f>
        <v/>
      </c>
    </row>
    <row r="88" spans="42:63" ht="12" hidden="1" customHeight="1" outlineLevel="1">
      <c r="AP88" s="348" t="s">
        <v>567</v>
      </c>
      <c r="AQ88" s="348" t="s">
        <v>791</v>
      </c>
      <c r="AR88" s="348" t="s">
        <v>792</v>
      </c>
      <c r="AY88" s="373" t="str">
        <f>IF($AX88="","",IF(_xll.ciqfunctions.udf.CIQ($AX88,"iq_offer_date")&gt;Date,0,_xll.ciqfunctions.udf.CIQ($AX88,"iq_offer_date")))</f>
        <v/>
      </c>
      <c r="AZ88" s="374" t="str">
        <f>IF($AX88="","",RANK(AY88,$AY$10:$AY$510)+COUNTIF($AY$10:AY88,AY88)-1)</f>
        <v/>
      </c>
      <c r="BE88" s="348">
        <f t="shared" si="12"/>
        <v>79</v>
      </c>
      <c r="BG88" s="376" t="str">
        <f>IF($BF88="","",_xll.ciqfunctions.udf.CIQ($BF88,"iq_security_level"))</f>
        <v/>
      </c>
      <c r="BH88" s="348" t="str">
        <f t="shared" si="13"/>
        <v/>
      </c>
      <c r="BJ88" s="348" t="str">
        <f t="shared" si="11"/>
        <v/>
      </c>
      <c r="BK88" s="377" t="str">
        <f>IF($BJ88="","",_xll.ciqfunctions.udf.CIQ($BJ88,"iq_bond_coupon")/100)</f>
        <v/>
      </c>
    </row>
    <row r="89" spans="42:63" ht="12" hidden="1" customHeight="1" outlineLevel="1">
      <c r="AP89" s="348" t="s">
        <v>567</v>
      </c>
      <c r="AQ89" s="348" t="s">
        <v>793</v>
      </c>
      <c r="AR89" s="348" t="s">
        <v>794</v>
      </c>
      <c r="AY89" s="373" t="str">
        <f>IF($AX89="","",IF(_xll.ciqfunctions.udf.CIQ($AX89,"iq_offer_date")&gt;Date,0,_xll.ciqfunctions.udf.CIQ($AX89,"iq_offer_date")))</f>
        <v/>
      </c>
      <c r="AZ89" s="374" t="str">
        <f>IF($AX89="","",RANK(AY89,$AY$10:$AY$510)+COUNTIF($AY$10:AY89,AY89)-1)</f>
        <v/>
      </c>
      <c r="BE89" s="348">
        <f t="shared" si="12"/>
        <v>80</v>
      </c>
      <c r="BG89" s="376" t="str">
        <f>IF($BF89="","",_xll.ciqfunctions.udf.CIQ($BF89,"iq_security_level"))</f>
        <v/>
      </c>
      <c r="BH89" s="348" t="str">
        <f t="shared" si="13"/>
        <v/>
      </c>
      <c r="BJ89" s="348" t="str">
        <f t="shared" si="11"/>
        <v/>
      </c>
      <c r="BK89" s="377" t="str">
        <f>IF($BJ89="","",_xll.ciqfunctions.udf.CIQ($BJ89,"iq_bond_coupon")/100)</f>
        <v/>
      </c>
    </row>
    <row r="90" spans="42:63" ht="15" hidden="1" customHeight="1" outlineLevel="1">
      <c r="AP90" s="348" t="s">
        <v>567</v>
      </c>
      <c r="AQ90" s="348" t="s">
        <v>795</v>
      </c>
      <c r="AR90" s="348" t="s">
        <v>796</v>
      </c>
      <c r="AY90" s="373" t="str">
        <f>IF($AX90="","",IF(_xll.ciqfunctions.udf.CIQ($AX90,"iq_offer_date")&gt;Date,0,_xll.ciqfunctions.udf.CIQ($AX90,"iq_offer_date")))</f>
        <v/>
      </c>
      <c r="AZ90" s="374" t="str">
        <f>IF($AX90="","",RANK(AY90,$AY$10:$AY$510)+COUNTIF($AY$10:AY90,AY90)-1)</f>
        <v/>
      </c>
      <c r="BE90" s="348">
        <f t="shared" si="12"/>
        <v>81</v>
      </c>
      <c r="BG90" s="376" t="str">
        <f>IF($BF90="","",_xll.ciqfunctions.udf.CIQ($BF90,"iq_security_level"))</f>
        <v/>
      </c>
      <c r="BH90" s="348" t="str">
        <f t="shared" si="13"/>
        <v/>
      </c>
      <c r="BJ90" s="348" t="str">
        <f t="shared" si="11"/>
        <v/>
      </c>
      <c r="BK90" s="377" t="str">
        <f>IF($BJ90="","",_xll.ciqfunctions.udf.CIQ($BJ90,"iq_bond_coupon")/100)</f>
        <v/>
      </c>
    </row>
    <row r="91" spans="42:63" ht="12" hidden="1" customHeight="1" outlineLevel="1">
      <c r="AP91" s="348" t="s">
        <v>567</v>
      </c>
      <c r="AQ91" s="348" t="s">
        <v>797</v>
      </c>
      <c r="AR91" s="348" t="s">
        <v>798</v>
      </c>
      <c r="AY91" s="373" t="str">
        <f>IF($AX91="","",IF(_xll.ciqfunctions.udf.CIQ($AX91,"iq_offer_date")&gt;Date,0,_xll.ciqfunctions.udf.CIQ($AX91,"iq_offer_date")))</f>
        <v/>
      </c>
      <c r="AZ91" s="374" t="str">
        <f>IF($AX91="","",RANK(AY91,$AY$10:$AY$510)+COUNTIF($AY$10:AY91,AY91)-1)</f>
        <v/>
      </c>
      <c r="BE91" s="348">
        <f t="shared" si="12"/>
        <v>82</v>
      </c>
      <c r="BG91" s="376" t="str">
        <f>IF($BF91="","",_xll.ciqfunctions.udf.CIQ($BF91,"iq_security_level"))</f>
        <v/>
      </c>
      <c r="BH91" s="348" t="str">
        <f t="shared" si="13"/>
        <v/>
      </c>
      <c r="BJ91" s="348" t="str">
        <f t="shared" si="11"/>
        <v/>
      </c>
      <c r="BK91" s="377" t="str">
        <f>IF($BJ91="","",_xll.ciqfunctions.udf.CIQ($BJ91,"iq_bond_coupon")/100)</f>
        <v/>
      </c>
    </row>
    <row r="92" spans="42:63" ht="12" hidden="1" customHeight="1" outlineLevel="1">
      <c r="AP92" s="348" t="s">
        <v>567</v>
      </c>
      <c r="AQ92" s="348" t="s">
        <v>799</v>
      </c>
      <c r="AR92" s="348" t="s">
        <v>800</v>
      </c>
      <c r="AY92" s="373" t="str">
        <f>IF($AX92="","",IF(_xll.ciqfunctions.udf.CIQ($AX92,"iq_offer_date")&gt;Date,0,_xll.ciqfunctions.udf.CIQ($AX92,"iq_offer_date")))</f>
        <v/>
      </c>
      <c r="AZ92" s="374" t="str">
        <f>IF($AX92="","",RANK(AY92,$AY$10:$AY$510)+COUNTIF($AY$10:AY92,AY92)-1)</f>
        <v/>
      </c>
      <c r="BE92" s="348">
        <f t="shared" si="12"/>
        <v>83</v>
      </c>
      <c r="BG92" s="376" t="str">
        <f>IF($BF92="","",_xll.ciqfunctions.udf.CIQ($BF92,"iq_security_level"))</f>
        <v/>
      </c>
      <c r="BH92" s="348" t="str">
        <f t="shared" si="13"/>
        <v/>
      </c>
      <c r="BJ92" s="348" t="str">
        <f t="shared" si="11"/>
        <v/>
      </c>
      <c r="BK92" s="377" t="str">
        <f>IF($BJ92="","",_xll.ciqfunctions.udf.CIQ($BJ92,"iq_bond_coupon")/100)</f>
        <v/>
      </c>
    </row>
    <row r="93" spans="42:63" ht="12" hidden="1" customHeight="1" outlineLevel="1">
      <c r="AP93" s="348" t="s">
        <v>579</v>
      </c>
      <c r="AQ93" s="348" t="s">
        <v>801</v>
      </c>
      <c r="AR93" s="348" t="s">
        <v>802</v>
      </c>
      <c r="AY93" s="373" t="str">
        <f>IF($AX93="","",IF(_xll.ciqfunctions.udf.CIQ($AX93,"iq_offer_date")&gt;Date,0,_xll.ciqfunctions.udf.CIQ($AX93,"iq_offer_date")))</f>
        <v/>
      </c>
      <c r="AZ93" s="374" t="str">
        <f>IF($AX93="","",RANK(AY93,$AY$10:$AY$510)+COUNTIF($AY$10:AY93,AY93)-1)</f>
        <v/>
      </c>
      <c r="BE93" s="348">
        <f t="shared" si="12"/>
        <v>84</v>
      </c>
      <c r="BG93" s="376" t="str">
        <f>IF($BF93="","",_xll.ciqfunctions.udf.CIQ($BF93,"iq_security_level"))</f>
        <v/>
      </c>
      <c r="BH93" s="348" t="str">
        <f t="shared" si="13"/>
        <v/>
      </c>
      <c r="BJ93" s="348" t="str">
        <f t="shared" si="11"/>
        <v/>
      </c>
      <c r="BK93" s="377" t="str">
        <f>IF($BJ93="","",_xll.ciqfunctions.udf.CIQ($BJ93,"iq_bond_coupon")/100)</f>
        <v/>
      </c>
    </row>
    <row r="94" spans="42:63" ht="12" hidden="1" customHeight="1" outlineLevel="1">
      <c r="AP94" s="348" t="s">
        <v>579</v>
      </c>
      <c r="AQ94" s="348" t="s">
        <v>803</v>
      </c>
      <c r="AR94" s="348" t="s">
        <v>804</v>
      </c>
      <c r="AY94" s="373" t="str">
        <f>IF($AX94="","",IF(_xll.ciqfunctions.udf.CIQ($AX94,"iq_offer_date")&gt;Date,0,_xll.ciqfunctions.udf.CIQ($AX94,"iq_offer_date")))</f>
        <v/>
      </c>
      <c r="AZ94" s="374" t="str">
        <f>IF($AX94="","",RANK(AY94,$AY$10:$AY$510)+COUNTIF($AY$10:AY94,AY94)-1)</f>
        <v/>
      </c>
      <c r="BE94" s="348">
        <f t="shared" si="12"/>
        <v>85</v>
      </c>
      <c r="BG94" s="376" t="str">
        <f>IF($BF94="","",_xll.ciqfunctions.udf.CIQ($BF94,"iq_security_level"))</f>
        <v/>
      </c>
      <c r="BH94" s="348" t="str">
        <f t="shared" si="13"/>
        <v/>
      </c>
      <c r="BJ94" s="348" t="str">
        <f t="shared" si="11"/>
        <v/>
      </c>
      <c r="BK94" s="377" t="str">
        <f>IF($BJ94="","",_xll.ciqfunctions.udf.CIQ($BJ94,"iq_bond_coupon")/100)</f>
        <v/>
      </c>
    </row>
    <row r="95" spans="42:63" ht="12" hidden="1" customHeight="1" outlineLevel="1">
      <c r="AP95" s="348" t="s">
        <v>579</v>
      </c>
      <c r="AQ95" s="348" t="s">
        <v>805</v>
      </c>
      <c r="AR95" s="348" t="s">
        <v>806</v>
      </c>
      <c r="AY95" s="373" t="str">
        <f>IF($AX95="","",IF(_xll.ciqfunctions.udf.CIQ($AX95,"iq_offer_date")&gt;Date,0,_xll.ciqfunctions.udf.CIQ($AX95,"iq_offer_date")))</f>
        <v/>
      </c>
      <c r="AZ95" s="374" t="str">
        <f>IF($AX95="","",RANK(AY95,$AY$10:$AY$510)+COUNTIF($AY$10:AY95,AY95)-1)</f>
        <v/>
      </c>
      <c r="BE95" s="348">
        <f t="shared" si="12"/>
        <v>86</v>
      </c>
      <c r="BG95" s="376" t="str">
        <f>IF($BF95="","",_xll.ciqfunctions.udf.CIQ($BF95,"iq_security_level"))</f>
        <v/>
      </c>
      <c r="BH95" s="348" t="str">
        <f t="shared" si="13"/>
        <v/>
      </c>
      <c r="BJ95" s="348" t="str">
        <f t="shared" si="11"/>
        <v/>
      </c>
      <c r="BK95" s="377" t="str">
        <f>IF($BJ95="","",_xll.ciqfunctions.udf.CIQ($BJ95,"iq_bond_coupon")/100)</f>
        <v/>
      </c>
    </row>
    <row r="96" spans="42:63" ht="12" hidden="1" customHeight="1" outlineLevel="1">
      <c r="AP96" s="348" t="s">
        <v>579</v>
      </c>
      <c r="AQ96" s="348" t="s">
        <v>807</v>
      </c>
      <c r="AR96" s="348" t="s">
        <v>808</v>
      </c>
      <c r="AY96" s="373" t="str">
        <f>IF($AX96="","",IF(_xll.ciqfunctions.udf.CIQ($AX96,"iq_offer_date")&gt;Date,0,_xll.ciqfunctions.udf.CIQ($AX96,"iq_offer_date")))</f>
        <v/>
      </c>
      <c r="AZ96" s="374" t="str">
        <f>IF($AX96="","",RANK(AY96,$AY$10:$AY$510)+COUNTIF($AY$10:AY96,AY96)-1)</f>
        <v/>
      </c>
      <c r="BE96" s="348">
        <f t="shared" si="12"/>
        <v>87</v>
      </c>
      <c r="BG96" s="376" t="str">
        <f>IF($BF96="","",_xll.ciqfunctions.udf.CIQ($BF96,"iq_security_level"))</f>
        <v/>
      </c>
      <c r="BH96" s="348" t="str">
        <f t="shared" si="13"/>
        <v/>
      </c>
      <c r="BJ96" s="348" t="str">
        <f t="shared" si="11"/>
        <v/>
      </c>
      <c r="BK96" s="377" t="str">
        <f>IF($BJ96="","",_xll.ciqfunctions.udf.CIQ($BJ96,"iq_bond_coupon")/100)</f>
        <v/>
      </c>
    </row>
    <row r="97" spans="42:63" ht="12" hidden="1" customHeight="1" outlineLevel="1">
      <c r="AP97" s="348" t="s">
        <v>592</v>
      </c>
      <c r="AQ97" s="348" t="s">
        <v>809</v>
      </c>
      <c r="AR97" s="348" t="s">
        <v>810</v>
      </c>
      <c r="AY97" s="373" t="str">
        <f>IF($AX97="","",IF(_xll.ciqfunctions.udf.CIQ($AX97,"iq_offer_date")&gt;Date,0,_xll.ciqfunctions.udf.CIQ($AX97,"iq_offer_date")))</f>
        <v/>
      </c>
      <c r="AZ97" s="374" t="str">
        <f>IF($AX97="","",RANK(AY97,$AY$10:$AY$510)+COUNTIF($AY$10:AY97,AY97)-1)</f>
        <v/>
      </c>
      <c r="BE97" s="348">
        <f t="shared" si="12"/>
        <v>88</v>
      </c>
      <c r="BG97" s="376" t="str">
        <f>IF($BF97="","",_xll.ciqfunctions.udf.CIQ($BF97,"iq_security_level"))</f>
        <v/>
      </c>
      <c r="BH97" s="348" t="str">
        <f t="shared" si="13"/>
        <v/>
      </c>
      <c r="BJ97" s="348" t="str">
        <f t="shared" si="11"/>
        <v/>
      </c>
      <c r="BK97" s="377" t="str">
        <f>IF($BJ97="","",_xll.ciqfunctions.udf.CIQ($BJ97,"iq_bond_coupon")/100)</f>
        <v/>
      </c>
    </row>
    <row r="98" spans="42:63" ht="12" hidden="1" customHeight="1" outlineLevel="1">
      <c r="AP98" s="348" t="s">
        <v>592</v>
      </c>
      <c r="AQ98" s="348" t="s">
        <v>811</v>
      </c>
      <c r="AR98" s="348" t="s">
        <v>812</v>
      </c>
      <c r="AY98" s="373" t="str">
        <f>IF($AX98="","",IF(_xll.ciqfunctions.udf.CIQ($AX98,"iq_offer_date")&gt;Date,0,_xll.ciqfunctions.udf.CIQ($AX98,"iq_offer_date")))</f>
        <v/>
      </c>
      <c r="AZ98" s="374" t="str">
        <f>IF($AX98="","",RANK(AY98,$AY$10:$AY$510)+COUNTIF($AY$10:AY98,AY98)-1)</f>
        <v/>
      </c>
      <c r="BE98" s="348">
        <f t="shared" si="12"/>
        <v>89</v>
      </c>
      <c r="BG98" s="376" t="str">
        <f>IF($BF98="","",_xll.ciqfunctions.udf.CIQ($BF98,"iq_security_level"))</f>
        <v/>
      </c>
      <c r="BH98" s="348" t="str">
        <f t="shared" si="13"/>
        <v/>
      </c>
      <c r="BJ98" s="348" t="str">
        <f t="shared" si="11"/>
        <v/>
      </c>
      <c r="BK98" s="377" t="str">
        <f>IF($BJ98="","",_xll.ciqfunctions.udf.CIQ($BJ98,"iq_bond_coupon")/100)</f>
        <v/>
      </c>
    </row>
    <row r="99" spans="42:63" ht="12" hidden="1" customHeight="1" outlineLevel="1">
      <c r="AP99" s="348" t="s">
        <v>592</v>
      </c>
      <c r="AQ99" s="348" t="s">
        <v>813</v>
      </c>
      <c r="AR99" s="348" t="s">
        <v>814</v>
      </c>
      <c r="AY99" s="373" t="str">
        <f>IF($AX99="","",IF(_xll.ciqfunctions.udf.CIQ($AX99,"iq_offer_date")&gt;Date,0,_xll.ciqfunctions.udf.CIQ($AX99,"iq_offer_date")))</f>
        <v/>
      </c>
      <c r="AZ99" s="374" t="str">
        <f>IF($AX99="","",RANK(AY99,$AY$10:$AY$510)+COUNTIF($AY$10:AY99,AY99)-1)</f>
        <v/>
      </c>
      <c r="BE99" s="348">
        <f t="shared" si="12"/>
        <v>90</v>
      </c>
      <c r="BG99" s="376" t="str">
        <f>IF($BF99="","",_xll.ciqfunctions.udf.CIQ($BF99,"iq_security_level"))</f>
        <v/>
      </c>
      <c r="BH99" s="348" t="str">
        <f t="shared" si="13"/>
        <v/>
      </c>
      <c r="BJ99" s="348" t="str">
        <f t="shared" si="11"/>
        <v/>
      </c>
      <c r="BK99" s="377" t="str">
        <f>IF($BJ99="","",_xll.ciqfunctions.udf.CIQ($BJ99,"iq_bond_coupon")/100)</f>
        <v/>
      </c>
    </row>
    <row r="100" spans="42:63" ht="12" hidden="1" customHeight="1" outlineLevel="1">
      <c r="AP100" s="348" t="s">
        <v>592</v>
      </c>
      <c r="AQ100" s="348" t="s">
        <v>815</v>
      </c>
      <c r="AR100" s="348" t="s">
        <v>816</v>
      </c>
      <c r="AY100" s="373" t="str">
        <f>IF($AX100="","",IF(_xll.ciqfunctions.udf.CIQ($AX100,"iq_offer_date")&gt;Date,0,_xll.ciqfunctions.udf.CIQ($AX100,"iq_offer_date")))</f>
        <v/>
      </c>
      <c r="AZ100" s="374" t="str">
        <f>IF($AX100="","",RANK(AY100,$AY$10:$AY$510)+COUNTIF($AY$10:AY100,AY100)-1)</f>
        <v/>
      </c>
      <c r="BE100" s="348">
        <f t="shared" si="12"/>
        <v>91</v>
      </c>
      <c r="BG100" s="376" t="str">
        <f>IF($BF100="","",_xll.ciqfunctions.udf.CIQ($BF100,"iq_security_level"))</f>
        <v/>
      </c>
      <c r="BH100" s="348" t="str">
        <f t="shared" si="13"/>
        <v/>
      </c>
      <c r="BJ100" s="348" t="str">
        <f t="shared" si="11"/>
        <v/>
      </c>
      <c r="BK100" s="377" t="str">
        <f>IF($BJ100="","",_xll.ciqfunctions.udf.CIQ($BJ100,"iq_bond_coupon")/100)</f>
        <v/>
      </c>
    </row>
    <row r="101" spans="42:63" ht="12" hidden="1" customHeight="1" outlineLevel="1">
      <c r="AP101" s="348" t="s">
        <v>592</v>
      </c>
      <c r="AQ101" s="348" t="s">
        <v>817</v>
      </c>
      <c r="AR101" s="348" t="s">
        <v>818</v>
      </c>
      <c r="AY101" s="373" t="str">
        <f>IF($AX101="","",IF(_xll.ciqfunctions.udf.CIQ($AX101,"iq_offer_date")&gt;Date,0,_xll.ciqfunctions.udf.CIQ($AX101,"iq_offer_date")))</f>
        <v/>
      </c>
      <c r="AZ101" s="374" t="str">
        <f>IF($AX101="","",RANK(AY101,$AY$10:$AY$510)+COUNTIF($AY$10:AY101,AY101)-1)</f>
        <v/>
      </c>
      <c r="BE101" s="348">
        <f t="shared" si="12"/>
        <v>92</v>
      </c>
      <c r="BG101" s="376" t="str">
        <f>IF($BF101="","",_xll.ciqfunctions.udf.CIQ($BF101,"iq_security_level"))</f>
        <v/>
      </c>
      <c r="BH101" s="348" t="str">
        <f t="shared" si="13"/>
        <v/>
      </c>
      <c r="BJ101" s="348" t="str">
        <f t="shared" si="11"/>
        <v/>
      </c>
      <c r="BK101" s="377" t="str">
        <f>IF($BJ101="","",_xll.ciqfunctions.udf.CIQ($BJ101,"iq_bond_coupon")/100)</f>
        <v/>
      </c>
    </row>
    <row r="102" spans="42:63" ht="12" hidden="1" customHeight="1" outlineLevel="1">
      <c r="AP102" s="348" t="s">
        <v>592</v>
      </c>
      <c r="AQ102" s="348" t="s">
        <v>819</v>
      </c>
      <c r="AR102" s="348" t="s">
        <v>820</v>
      </c>
      <c r="AY102" s="373" t="str">
        <f>IF($AX102="","",IF(_xll.ciqfunctions.udf.CIQ($AX102,"iq_offer_date")&gt;Date,0,_xll.ciqfunctions.udf.CIQ($AX102,"iq_offer_date")))</f>
        <v/>
      </c>
      <c r="AZ102" s="374" t="str">
        <f>IF($AX102="","",RANK(AY102,$AY$10:$AY$510)+COUNTIF($AY$10:AY102,AY102)-1)</f>
        <v/>
      </c>
      <c r="BE102" s="348">
        <f t="shared" si="12"/>
        <v>93</v>
      </c>
      <c r="BG102" s="376" t="str">
        <f>IF($BF102="","",_xll.ciqfunctions.udf.CIQ($BF102,"iq_security_level"))</f>
        <v/>
      </c>
      <c r="BH102" s="348" t="str">
        <f t="shared" si="13"/>
        <v/>
      </c>
      <c r="BJ102" s="348" t="str">
        <f t="shared" si="11"/>
        <v/>
      </c>
      <c r="BK102" s="377" t="str">
        <f>IF($BJ102="","",_xll.ciqfunctions.udf.CIQ($BJ102,"iq_bond_coupon")/100)</f>
        <v/>
      </c>
    </row>
    <row r="103" spans="42:63" ht="12" hidden="1" customHeight="1" outlineLevel="1">
      <c r="AP103" s="348" t="s">
        <v>592</v>
      </c>
      <c r="AQ103" s="348" t="s">
        <v>821</v>
      </c>
      <c r="AR103" s="348" t="s">
        <v>822</v>
      </c>
      <c r="AY103" s="373" t="str">
        <f>IF($AX103="","",IF(_xll.ciqfunctions.udf.CIQ($AX103,"iq_offer_date")&gt;Date,0,_xll.ciqfunctions.udf.CIQ($AX103,"iq_offer_date")))</f>
        <v/>
      </c>
      <c r="AZ103" s="374" t="str">
        <f>IF($AX103="","",RANK(AY103,$AY$10:$AY$510)+COUNTIF($AY$10:AY103,AY103)-1)</f>
        <v/>
      </c>
      <c r="BE103" s="348">
        <f t="shared" si="12"/>
        <v>94</v>
      </c>
      <c r="BG103" s="376" t="str">
        <f>IF($BF103="","",_xll.ciqfunctions.udf.CIQ($BF103,"iq_security_level"))</f>
        <v/>
      </c>
      <c r="BH103" s="348" t="str">
        <f t="shared" si="13"/>
        <v/>
      </c>
      <c r="BJ103" s="348" t="str">
        <f t="shared" si="11"/>
        <v/>
      </c>
      <c r="BK103" s="377" t="str">
        <f>IF($BJ103="","",_xll.ciqfunctions.udf.CIQ($BJ103,"iq_bond_coupon")/100)</f>
        <v/>
      </c>
    </row>
    <row r="104" spans="42:63" ht="12" hidden="1" customHeight="1" outlineLevel="1">
      <c r="AP104" s="348" t="s">
        <v>604</v>
      </c>
      <c r="AQ104" s="348" t="s">
        <v>823</v>
      </c>
      <c r="AR104" s="348" t="s">
        <v>824</v>
      </c>
      <c r="AY104" s="373" t="str">
        <f>IF($AX104="","",IF(_xll.ciqfunctions.udf.CIQ($AX104,"iq_offer_date")&gt;Date,0,_xll.ciqfunctions.udf.CIQ($AX104,"iq_offer_date")))</f>
        <v/>
      </c>
      <c r="AZ104" s="374" t="str">
        <f>IF($AX104="","",RANK(AY104,$AY$10:$AY$510)+COUNTIF($AY$10:AY104,AY104)-1)</f>
        <v/>
      </c>
      <c r="BE104" s="348">
        <f t="shared" si="12"/>
        <v>95</v>
      </c>
      <c r="BG104" s="376" t="str">
        <f>IF($BF104="","",_xll.ciqfunctions.udf.CIQ($BF104,"iq_security_level"))</f>
        <v/>
      </c>
      <c r="BH104" s="348" t="str">
        <f t="shared" si="13"/>
        <v/>
      </c>
      <c r="BJ104" s="348" t="str">
        <f t="shared" si="11"/>
        <v/>
      </c>
      <c r="BK104" s="377" t="str">
        <f>IF($BJ104="","",_xll.ciqfunctions.udf.CIQ($BJ104,"iq_bond_coupon")/100)</f>
        <v/>
      </c>
    </row>
    <row r="105" spans="42:63" ht="12" hidden="1" customHeight="1" outlineLevel="1">
      <c r="AP105" s="348" t="s">
        <v>604</v>
      </c>
      <c r="AQ105" s="348" t="s">
        <v>825</v>
      </c>
      <c r="AR105" s="348" t="s">
        <v>826</v>
      </c>
      <c r="AY105" s="373" t="str">
        <f>IF($AX105="","",IF(_xll.ciqfunctions.udf.CIQ($AX105,"iq_offer_date")&gt;Date,0,_xll.ciqfunctions.udf.CIQ($AX105,"iq_offer_date")))</f>
        <v/>
      </c>
      <c r="AZ105" s="374" t="str">
        <f>IF($AX105="","",RANK(AY105,$AY$10:$AY$510)+COUNTIF($AY$10:AY105,AY105)-1)</f>
        <v/>
      </c>
      <c r="BE105" s="348">
        <f t="shared" si="12"/>
        <v>96</v>
      </c>
      <c r="BG105" s="376" t="str">
        <f>IF($BF105="","",_xll.ciqfunctions.udf.CIQ($BF105,"iq_security_level"))</f>
        <v/>
      </c>
      <c r="BH105" s="348" t="str">
        <f t="shared" si="13"/>
        <v/>
      </c>
      <c r="BJ105" s="348" t="str">
        <f t="shared" si="11"/>
        <v/>
      </c>
      <c r="BK105" s="377" t="str">
        <f>IF($BJ105="","",_xll.ciqfunctions.udf.CIQ($BJ105,"iq_bond_coupon")/100)</f>
        <v/>
      </c>
    </row>
    <row r="106" spans="42:63" ht="12" hidden="1" customHeight="1" outlineLevel="1">
      <c r="AP106" s="348" t="s">
        <v>604</v>
      </c>
      <c r="AQ106" s="348" t="s">
        <v>827</v>
      </c>
      <c r="AR106" s="348" t="s">
        <v>828</v>
      </c>
      <c r="AY106" s="373" t="str">
        <f>IF($AX106="","",IF(_xll.ciqfunctions.udf.CIQ($AX106,"iq_offer_date")&gt;Date,0,_xll.ciqfunctions.udf.CIQ($AX106,"iq_offer_date")))</f>
        <v/>
      </c>
      <c r="AZ106" s="374" t="str">
        <f>IF($AX106="","",RANK(AY106,$AY$10:$AY$510)+COUNTIF($AY$10:AY106,AY106)-1)</f>
        <v/>
      </c>
      <c r="BE106" s="348">
        <f t="shared" si="12"/>
        <v>97</v>
      </c>
      <c r="BG106" s="376" t="str">
        <f>IF($BF106="","",_xll.ciqfunctions.udf.CIQ($BF106,"iq_security_level"))</f>
        <v/>
      </c>
      <c r="BH106" s="348" t="str">
        <f t="shared" si="13"/>
        <v/>
      </c>
      <c r="BJ106" s="348" t="str">
        <f t="shared" si="11"/>
        <v/>
      </c>
      <c r="BK106" s="377" t="str">
        <f>IF($BJ106="","",_xll.ciqfunctions.udf.CIQ($BJ106,"iq_bond_coupon")/100)</f>
        <v/>
      </c>
    </row>
    <row r="107" spans="42:63" ht="12" hidden="1" customHeight="1" outlineLevel="1">
      <c r="AP107" s="348" t="s">
        <v>604</v>
      </c>
      <c r="AQ107" s="348" t="s">
        <v>829</v>
      </c>
      <c r="AR107" s="348" t="s">
        <v>830</v>
      </c>
      <c r="AY107" s="373" t="str">
        <f>IF($AX107="","",IF(_xll.ciqfunctions.udf.CIQ($AX107,"iq_offer_date")&gt;Date,0,_xll.ciqfunctions.udf.CIQ($AX107,"iq_offer_date")))</f>
        <v/>
      </c>
      <c r="AZ107" s="374" t="str">
        <f>IF($AX107="","",RANK(AY107,$AY$10:$AY$510)+COUNTIF($AY$10:AY107,AY107)-1)</f>
        <v/>
      </c>
      <c r="BE107" s="348">
        <f t="shared" si="12"/>
        <v>98</v>
      </c>
      <c r="BG107" s="376" t="str">
        <f>IF($BF107="","",_xll.ciqfunctions.udf.CIQ($BF107,"iq_security_level"))</f>
        <v/>
      </c>
      <c r="BH107" s="348" t="str">
        <f t="shared" si="13"/>
        <v/>
      </c>
      <c r="BJ107" s="348" t="str">
        <f t="shared" si="11"/>
        <v/>
      </c>
      <c r="BK107" s="377" t="str">
        <f>IF($BJ107="","",_xll.ciqfunctions.udf.CIQ($BJ107,"iq_bond_coupon")/100)</f>
        <v/>
      </c>
    </row>
    <row r="108" spans="42:63" ht="12" hidden="1" customHeight="1" outlineLevel="1">
      <c r="AP108" s="348" t="s">
        <v>604</v>
      </c>
      <c r="AQ108" s="348" t="s">
        <v>831</v>
      </c>
      <c r="AR108" s="348" t="s">
        <v>832</v>
      </c>
      <c r="AY108" s="373" t="str">
        <f>IF($AX108="","",IF(_xll.ciqfunctions.udf.CIQ($AX108,"iq_offer_date")&gt;Date,0,_xll.ciqfunctions.udf.CIQ($AX108,"iq_offer_date")))</f>
        <v/>
      </c>
      <c r="AZ108" s="374" t="str">
        <f>IF($AX108="","",RANK(AY108,$AY$10:$AY$510)+COUNTIF($AY$10:AY108,AY108)-1)</f>
        <v/>
      </c>
      <c r="BE108" s="348">
        <f t="shared" si="12"/>
        <v>99</v>
      </c>
      <c r="BG108" s="376" t="str">
        <f>IF($BF108="","",_xll.ciqfunctions.udf.CIQ($BF108,"iq_security_level"))</f>
        <v/>
      </c>
      <c r="BH108" s="348" t="str">
        <f t="shared" si="13"/>
        <v/>
      </c>
      <c r="BJ108" s="348" t="str">
        <f t="shared" si="11"/>
        <v/>
      </c>
      <c r="BK108" s="377" t="str">
        <f>IF($BJ108="","",_xll.ciqfunctions.udf.CIQ($BJ108,"iq_bond_coupon")/100)</f>
        <v/>
      </c>
    </row>
    <row r="109" spans="42:63" ht="12" hidden="1" customHeight="1" outlineLevel="1">
      <c r="AP109" s="348" t="s">
        <v>604</v>
      </c>
      <c r="AQ109" s="348" t="s">
        <v>833</v>
      </c>
      <c r="AR109" s="348" t="s">
        <v>834</v>
      </c>
      <c r="AY109" s="373" t="str">
        <f>IF($AX109="","",IF(_xll.ciqfunctions.udf.CIQ($AX109,"iq_offer_date")&gt;Date,0,_xll.ciqfunctions.udf.CIQ($AX109,"iq_offer_date")))</f>
        <v/>
      </c>
      <c r="AZ109" s="374" t="str">
        <f>IF($AX109="","",RANK(AY109,$AY$10:$AY$510)+COUNTIF($AY$10:AY109,AY109)-1)</f>
        <v/>
      </c>
      <c r="BE109" s="348">
        <f t="shared" si="12"/>
        <v>100</v>
      </c>
      <c r="BG109" s="376" t="str">
        <f>IF($BF109="","",_xll.ciqfunctions.udf.CIQ($BF109,"iq_security_level"))</f>
        <v/>
      </c>
      <c r="BH109" s="348" t="str">
        <f t="shared" si="13"/>
        <v/>
      </c>
      <c r="BJ109" s="348" t="str">
        <f t="shared" si="11"/>
        <v/>
      </c>
      <c r="BK109" s="377" t="str">
        <f>IF($BJ109="","",_xll.ciqfunctions.udf.CIQ($BJ109,"iq_bond_coupon")/100)</f>
        <v/>
      </c>
    </row>
    <row r="110" spans="42:63" ht="12" hidden="1" customHeight="1" outlineLevel="1">
      <c r="AP110" s="348" t="s">
        <v>604</v>
      </c>
      <c r="AQ110" s="348" t="s">
        <v>835</v>
      </c>
      <c r="AR110" s="348" t="s">
        <v>836</v>
      </c>
      <c r="AY110" s="373" t="str">
        <f>IF($AX110="","",IF(_xll.ciqfunctions.udf.CIQ($AX110,"iq_offer_date")&gt;Date,0,_xll.ciqfunctions.udf.CIQ($AX110,"iq_offer_date")))</f>
        <v/>
      </c>
      <c r="AZ110" s="374" t="str">
        <f>IF($AX110="","",RANK(AY110,$AY$10:$AY$510)+COUNTIF($AY$10:AY110,AY110)-1)</f>
        <v/>
      </c>
      <c r="BE110" s="348">
        <f t="shared" si="12"/>
        <v>101</v>
      </c>
      <c r="BG110" s="376" t="str">
        <f>IF($BF110="","",_xll.ciqfunctions.udf.CIQ($BF110,"iq_security_level"))</f>
        <v/>
      </c>
      <c r="BH110" s="348" t="str">
        <f t="shared" si="13"/>
        <v/>
      </c>
      <c r="BJ110" s="348" t="str">
        <f t="shared" si="11"/>
        <v/>
      </c>
      <c r="BK110" s="377" t="str">
        <f>IF($BJ110="","",_xll.ciqfunctions.udf.CIQ($BJ110,"iq_bond_coupon")/100)</f>
        <v/>
      </c>
    </row>
    <row r="111" spans="42:63" ht="12" hidden="1" customHeight="1" outlineLevel="1">
      <c r="AP111" s="348" t="s">
        <v>604</v>
      </c>
      <c r="AQ111" s="348" t="s">
        <v>837</v>
      </c>
      <c r="AR111" s="348" t="s">
        <v>838</v>
      </c>
      <c r="AY111" s="373" t="str">
        <f>IF($AX111="","",IF(_xll.ciqfunctions.udf.CIQ($AX111,"iq_offer_date")&gt;Date,0,_xll.ciqfunctions.udf.CIQ($AX111,"iq_offer_date")))</f>
        <v/>
      </c>
      <c r="AZ111" s="374" t="str">
        <f>IF($AX111="","",RANK(AY111,$AY$10:$AY$510)+COUNTIF($AY$10:AY111,AY111)-1)</f>
        <v/>
      </c>
      <c r="BE111" s="348">
        <f t="shared" si="12"/>
        <v>102</v>
      </c>
      <c r="BG111" s="376" t="str">
        <f>IF($BF111="","",_xll.ciqfunctions.udf.CIQ($BF111,"iq_security_level"))</f>
        <v/>
      </c>
      <c r="BH111" s="348" t="str">
        <f t="shared" si="13"/>
        <v/>
      </c>
      <c r="BJ111" s="348" t="str">
        <f t="shared" si="11"/>
        <v/>
      </c>
      <c r="BK111" s="377" t="str">
        <f>IF($BJ111="","",_xll.ciqfunctions.udf.CIQ($BJ111,"iq_bond_coupon")/100)</f>
        <v/>
      </c>
    </row>
    <row r="112" spans="42:63" ht="12" hidden="1" customHeight="1" outlineLevel="1">
      <c r="AP112" s="348" t="s">
        <v>529</v>
      </c>
      <c r="AQ112" s="348" t="s">
        <v>839</v>
      </c>
      <c r="AR112" s="348" t="s">
        <v>840</v>
      </c>
      <c r="AY112" s="373" t="str">
        <f>IF($AX112="","",IF(_xll.ciqfunctions.udf.CIQ($AX112,"iq_offer_date")&gt;Date,0,_xll.ciqfunctions.udf.CIQ($AX112,"iq_offer_date")))</f>
        <v/>
      </c>
      <c r="AZ112" s="374" t="str">
        <f>IF($AX112="","",RANK(AY112,$AY$10:$AY$510)+COUNTIF($AY$10:AY112,AY112)-1)</f>
        <v/>
      </c>
      <c r="BE112" s="348">
        <f t="shared" si="12"/>
        <v>103</v>
      </c>
      <c r="BG112" s="376" t="str">
        <f>IF($BF112="","",_xll.ciqfunctions.udf.CIQ($BF112,"iq_security_level"))</f>
        <v/>
      </c>
      <c r="BH112" s="348" t="str">
        <f t="shared" si="13"/>
        <v/>
      </c>
      <c r="BJ112" s="348" t="str">
        <f t="shared" si="11"/>
        <v/>
      </c>
      <c r="BK112" s="377" t="str">
        <f>IF($BJ112="","",_xll.ciqfunctions.udf.CIQ($BJ112,"iq_bond_coupon")/100)</f>
        <v/>
      </c>
    </row>
    <row r="113" spans="42:63" ht="15" hidden="1" customHeight="1" outlineLevel="1">
      <c r="AP113" s="348" t="s">
        <v>529</v>
      </c>
      <c r="AQ113" s="348" t="s">
        <v>841</v>
      </c>
      <c r="AR113" s="348" t="s">
        <v>842</v>
      </c>
      <c r="AY113" s="373" t="str">
        <f>IF($AX113="","",IF(_xll.ciqfunctions.udf.CIQ($AX113,"iq_offer_date")&gt;Date,0,_xll.ciqfunctions.udf.CIQ($AX113,"iq_offer_date")))</f>
        <v/>
      </c>
      <c r="AZ113" s="374" t="str">
        <f>IF($AX113="","",RANK(AY113,$AY$10:$AY$510)+COUNTIF($AY$10:AY113,AY113)-1)</f>
        <v/>
      </c>
      <c r="BE113" s="348">
        <f t="shared" si="12"/>
        <v>104</v>
      </c>
      <c r="BG113" s="376" t="str">
        <f>IF($BF113="","",_xll.ciqfunctions.udf.CIQ($BF113,"iq_security_level"))</f>
        <v/>
      </c>
      <c r="BH113" s="348" t="str">
        <f t="shared" si="13"/>
        <v/>
      </c>
      <c r="BJ113" s="348" t="str">
        <f t="shared" si="11"/>
        <v/>
      </c>
      <c r="BK113" s="377" t="str">
        <f>IF($BJ113="","",_xll.ciqfunctions.udf.CIQ($BJ113,"iq_bond_coupon")/100)</f>
        <v/>
      </c>
    </row>
    <row r="114" spans="42:63" ht="12" hidden="1" customHeight="1" outlineLevel="1">
      <c r="AP114" s="348" t="s">
        <v>529</v>
      </c>
      <c r="AQ114" s="348" t="s">
        <v>843</v>
      </c>
      <c r="AR114" s="348" t="s">
        <v>844</v>
      </c>
      <c r="AY114" s="373" t="str">
        <f>IF($AX114="","",IF(_xll.ciqfunctions.udf.CIQ($AX114,"iq_offer_date")&gt;Date,0,_xll.ciqfunctions.udf.CIQ($AX114,"iq_offer_date")))</f>
        <v/>
      </c>
      <c r="AZ114" s="374" t="str">
        <f>IF($AX114="","",RANK(AY114,$AY$10:$AY$510)+COUNTIF($AY$10:AY114,AY114)-1)</f>
        <v/>
      </c>
      <c r="BE114" s="348">
        <f t="shared" si="12"/>
        <v>105</v>
      </c>
      <c r="BG114" s="376" t="str">
        <f>IF($BF114="","",_xll.ciqfunctions.udf.CIQ($BF114,"iq_security_level"))</f>
        <v/>
      </c>
      <c r="BH114" s="348" t="str">
        <f t="shared" si="13"/>
        <v/>
      </c>
      <c r="BJ114" s="348" t="str">
        <f t="shared" si="11"/>
        <v/>
      </c>
      <c r="BK114" s="377" t="str">
        <f>IF($BJ114="","",_xll.ciqfunctions.udf.CIQ($BJ114,"iq_bond_coupon")/100)</f>
        <v/>
      </c>
    </row>
    <row r="115" spans="42:63" ht="12" hidden="1" customHeight="1" outlineLevel="1">
      <c r="AP115" s="348" t="s">
        <v>529</v>
      </c>
      <c r="AQ115" s="348" t="s">
        <v>845</v>
      </c>
      <c r="AR115" s="348" t="s">
        <v>846</v>
      </c>
      <c r="AY115" s="373" t="str">
        <f>IF($AX115="","",IF(_xll.ciqfunctions.udf.CIQ($AX115,"iq_offer_date")&gt;Date,0,_xll.ciqfunctions.udf.CIQ($AX115,"iq_offer_date")))</f>
        <v/>
      </c>
      <c r="AZ115" s="374" t="str">
        <f>IF($AX115="","",RANK(AY115,$AY$10:$AY$510)+COUNTIF($AY$10:AY115,AY115)-1)</f>
        <v/>
      </c>
      <c r="BE115" s="348">
        <f t="shared" si="12"/>
        <v>106</v>
      </c>
      <c r="BG115" s="376" t="str">
        <f>IF($BF115="","",_xll.ciqfunctions.udf.CIQ($BF115,"iq_security_level"))</f>
        <v/>
      </c>
      <c r="BH115" s="348" t="str">
        <f t="shared" si="13"/>
        <v/>
      </c>
      <c r="BJ115" s="348" t="str">
        <f t="shared" si="11"/>
        <v/>
      </c>
      <c r="BK115" s="377" t="str">
        <f>IF($BJ115="","",_xll.ciqfunctions.udf.CIQ($BJ115,"iq_bond_coupon")/100)</f>
        <v/>
      </c>
    </row>
    <row r="116" spans="42:63" ht="12" hidden="1" customHeight="1" outlineLevel="1">
      <c r="AP116" s="348" t="s">
        <v>529</v>
      </c>
      <c r="AQ116" s="348" t="s">
        <v>847</v>
      </c>
      <c r="AR116" s="348" t="s">
        <v>848</v>
      </c>
      <c r="AY116" s="373" t="str">
        <f>IF($AX116="","",IF(_xll.ciqfunctions.udf.CIQ($AX116,"iq_offer_date")&gt;Date,0,_xll.ciqfunctions.udf.CIQ($AX116,"iq_offer_date")))</f>
        <v/>
      </c>
      <c r="AZ116" s="374" t="str">
        <f>IF($AX116="","",RANK(AY116,$AY$10:$AY$510)+COUNTIF($AY$10:AY116,AY116)-1)</f>
        <v/>
      </c>
      <c r="BE116" s="348">
        <f t="shared" si="12"/>
        <v>107</v>
      </c>
      <c r="BG116" s="376" t="str">
        <f>IF($BF116="","",_xll.ciqfunctions.udf.CIQ($BF116,"iq_security_level"))</f>
        <v/>
      </c>
      <c r="BH116" s="348" t="str">
        <f t="shared" si="13"/>
        <v/>
      </c>
      <c r="BJ116" s="348" t="str">
        <f t="shared" si="11"/>
        <v/>
      </c>
      <c r="BK116" s="377" t="str">
        <f>IF($BJ116="","",_xll.ciqfunctions.udf.CIQ($BJ116,"iq_bond_coupon")/100)</f>
        <v/>
      </c>
    </row>
    <row r="117" spans="42:63" ht="12" hidden="1" customHeight="1" outlineLevel="1">
      <c r="AP117" s="348" t="s">
        <v>529</v>
      </c>
      <c r="AQ117" s="348" t="s">
        <v>849</v>
      </c>
      <c r="AR117" s="348" t="s">
        <v>850</v>
      </c>
      <c r="AY117" s="373" t="str">
        <f>IF($AX117="","",IF(_xll.ciqfunctions.udf.CIQ($AX117,"iq_offer_date")&gt;Date,0,_xll.ciqfunctions.udf.CIQ($AX117,"iq_offer_date")))</f>
        <v/>
      </c>
      <c r="AZ117" s="374" t="str">
        <f>IF($AX117="","",RANK(AY117,$AY$10:$AY$510)+COUNTIF($AY$10:AY117,AY117)-1)</f>
        <v/>
      </c>
      <c r="BE117" s="348">
        <f t="shared" si="12"/>
        <v>108</v>
      </c>
      <c r="BG117" s="376" t="str">
        <f>IF($BF117="","",_xll.ciqfunctions.udf.CIQ($BF117,"iq_security_level"))</f>
        <v/>
      </c>
      <c r="BH117" s="348" t="str">
        <f t="shared" si="13"/>
        <v/>
      </c>
      <c r="BJ117" s="348" t="str">
        <f t="shared" ref="BJ117:BJ180" si="14">IF($BF116="","",IF(ISERROR(INDEX($BF$10:$BF$509,MATCH(BE116,$BH$10:$BH$509,0))),"",INDEX($BF$10:$BF$509,MATCH(BE116,$BH$10:$BH$509,0))))</f>
        <v/>
      </c>
      <c r="BK117" s="377" t="str">
        <f>IF($BJ117="","",_xll.ciqfunctions.udf.CIQ($BJ117,"iq_bond_coupon")/100)</f>
        <v/>
      </c>
    </row>
    <row r="118" spans="42:63" ht="12" hidden="1" customHeight="1" outlineLevel="1">
      <c r="AP118" s="348" t="s">
        <v>529</v>
      </c>
      <c r="AQ118" s="348" t="s">
        <v>851</v>
      </c>
      <c r="AR118" s="348" t="s">
        <v>852</v>
      </c>
      <c r="AY118" s="373" t="str">
        <f>IF($AX118="","",IF(_xll.ciqfunctions.udf.CIQ($AX118,"iq_offer_date")&gt;Date,0,_xll.ciqfunctions.udf.CIQ($AX118,"iq_offer_date")))</f>
        <v/>
      </c>
      <c r="AZ118" s="374" t="str">
        <f>IF($AX118="","",RANK(AY118,$AY$10:$AY$510)+COUNTIF($AY$10:AY118,AY118)-1)</f>
        <v/>
      </c>
      <c r="BE118" s="348">
        <f t="shared" si="12"/>
        <v>109</v>
      </c>
      <c r="BG118" s="376" t="str">
        <f>IF($BF118="","",_xll.ciqfunctions.udf.CIQ($BF118,"iq_security_level"))</f>
        <v/>
      </c>
      <c r="BH118" s="348" t="str">
        <f t="shared" si="13"/>
        <v/>
      </c>
      <c r="BJ118" s="348" t="str">
        <f t="shared" si="14"/>
        <v/>
      </c>
      <c r="BK118" s="377" t="str">
        <f>IF($BJ118="","",_xll.ciqfunctions.udf.CIQ($BJ118,"iq_bond_coupon")/100)</f>
        <v/>
      </c>
    </row>
    <row r="119" spans="42:63" ht="12" hidden="1" customHeight="1" outlineLevel="1">
      <c r="AP119" s="348" t="s">
        <v>529</v>
      </c>
      <c r="AQ119" s="348" t="s">
        <v>853</v>
      </c>
      <c r="AR119" s="348" t="s">
        <v>854</v>
      </c>
      <c r="AY119" s="373" t="str">
        <f>IF($AX119="","",IF(_xll.ciqfunctions.udf.CIQ($AX119,"iq_offer_date")&gt;Date,0,_xll.ciqfunctions.udf.CIQ($AX119,"iq_offer_date")))</f>
        <v/>
      </c>
      <c r="AZ119" s="374" t="str">
        <f>IF($AX119="","",RANK(AY119,$AY$10:$AY$510)+COUNTIF($AY$10:AY119,AY119)-1)</f>
        <v/>
      </c>
      <c r="BE119" s="348">
        <f t="shared" si="12"/>
        <v>110</v>
      </c>
      <c r="BG119" s="376" t="str">
        <f>IF($BF119="","",_xll.ciqfunctions.udf.CIQ($BF119,"iq_security_level"))</f>
        <v/>
      </c>
      <c r="BH119" s="348" t="str">
        <f t="shared" si="13"/>
        <v/>
      </c>
      <c r="BJ119" s="348" t="str">
        <f t="shared" si="14"/>
        <v/>
      </c>
      <c r="BK119" s="377" t="str">
        <f>IF($BJ119="","",_xll.ciqfunctions.udf.CIQ($BJ119,"iq_bond_coupon")/100)</f>
        <v/>
      </c>
    </row>
    <row r="120" spans="42:63" ht="12" hidden="1" customHeight="1" outlineLevel="1">
      <c r="AP120" s="348" t="s">
        <v>529</v>
      </c>
      <c r="AQ120" s="348" t="s">
        <v>855</v>
      </c>
      <c r="AR120" s="348" t="s">
        <v>536</v>
      </c>
      <c r="AY120" s="373" t="str">
        <f>IF($AX120="","",IF(_xll.ciqfunctions.udf.CIQ($AX120,"iq_offer_date")&gt;Date,0,_xll.ciqfunctions.udf.CIQ($AX120,"iq_offer_date")))</f>
        <v/>
      </c>
      <c r="AZ120" s="374" t="str">
        <f>IF($AX120="","",RANK(AY120,$AY$10:$AY$510)+COUNTIF($AY$10:AY120,AY120)-1)</f>
        <v/>
      </c>
      <c r="BE120" s="348">
        <f t="shared" si="12"/>
        <v>111</v>
      </c>
      <c r="BG120" s="376" t="str">
        <f>IF($BF120="","",_xll.ciqfunctions.udf.CIQ($BF120,"iq_security_level"))</f>
        <v/>
      </c>
      <c r="BH120" s="348" t="str">
        <f t="shared" si="13"/>
        <v/>
      </c>
      <c r="BJ120" s="348" t="str">
        <f t="shared" si="14"/>
        <v/>
      </c>
      <c r="BK120" s="377" t="str">
        <f>IF($BJ120="","",_xll.ciqfunctions.udf.CIQ($BJ120,"iq_bond_coupon")/100)</f>
        <v/>
      </c>
    </row>
    <row r="121" spans="42:63" ht="12" hidden="1" customHeight="1" outlineLevel="1">
      <c r="AP121" s="348" t="s">
        <v>529</v>
      </c>
      <c r="AQ121" s="348" t="s">
        <v>856</v>
      </c>
      <c r="AR121" s="348" t="s">
        <v>857</v>
      </c>
      <c r="AY121" s="373" t="str">
        <f>IF($AX121="","",IF(_xll.ciqfunctions.udf.CIQ($AX121,"iq_offer_date")&gt;Date,0,_xll.ciqfunctions.udf.CIQ($AX121,"iq_offer_date")))</f>
        <v/>
      </c>
      <c r="AZ121" s="374" t="str">
        <f>IF($AX121="","",RANK(AY121,$AY$10:$AY$510)+COUNTIF($AY$10:AY121,AY121)-1)</f>
        <v/>
      </c>
      <c r="BE121" s="348">
        <f t="shared" si="12"/>
        <v>112</v>
      </c>
      <c r="BG121" s="376" t="str">
        <f>IF($BF121="","",_xll.ciqfunctions.udf.CIQ($BF121,"iq_security_level"))</f>
        <v/>
      </c>
      <c r="BH121" s="348" t="str">
        <f t="shared" si="13"/>
        <v/>
      </c>
      <c r="BJ121" s="348" t="str">
        <f t="shared" si="14"/>
        <v/>
      </c>
      <c r="BK121" s="377" t="str">
        <f>IF($BJ121="","",_xll.ciqfunctions.udf.CIQ($BJ121,"iq_bond_coupon")/100)</f>
        <v/>
      </c>
    </row>
    <row r="122" spans="42:63" ht="12" hidden="1" customHeight="1" outlineLevel="1">
      <c r="AP122" s="348" t="s">
        <v>529</v>
      </c>
      <c r="AQ122" s="348" t="s">
        <v>858</v>
      </c>
      <c r="AR122" s="348" t="s">
        <v>859</v>
      </c>
      <c r="AY122" s="373" t="str">
        <f>IF($AX122="","",IF(_xll.ciqfunctions.udf.CIQ($AX122,"iq_offer_date")&gt;Date,0,_xll.ciqfunctions.udf.CIQ($AX122,"iq_offer_date")))</f>
        <v/>
      </c>
      <c r="AZ122" s="374" t="str">
        <f>IF($AX122="","",RANK(AY122,$AY$10:$AY$510)+COUNTIF($AY$10:AY122,AY122)-1)</f>
        <v/>
      </c>
      <c r="BE122" s="348">
        <f t="shared" si="12"/>
        <v>113</v>
      </c>
      <c r="BG122" s="376" t="str">
        <f>IF($BF122="","",_xll.ciqfunctions.udf.CIQ($BF122,"iq_security_level"))</f>
        <v/>
      </c>
      <c r="BH122" s="348" t="str">
        <f t="shared" si="13"/>
        <v/>
      </c>
      <c r="BJ122" s="348" t="str">
        <f t="shared" si="14"/>
        <v/>
      </c>
      <c r="BK122" s="377" t="str">
        <f>IF($BJ122="","",_xll.ciqfunctions.udf.CIQ($BJ122,"iq_bond_coupon")/100)</f>
        <v/>
      </c>
    </row>
    <row r="123" spans="42:63" ht="12" hidden="1" customHeight="1" outlineLevel="1">
      <c r="BE123" s="348">
        <f t="shared" si="12"/>
        <v>114</v>
      </c>
      <c r="BG123" s="376" t="str">
        <f>IF($BF123="","",_xll.ciqfunctions.udf.CIQ($BF123,"iq_security_level"))</f>
        <v/>
      </c>
      <c r="BH123" s="348" t="str">
        <f t="shared" si="13"/>
        <v/>
      </c>
      <c r="BJ123" s="348" t="str">
        <f t="shared" si="14"/>
        <v/>
      </c>
      <c r="BK123" s="377" t="str">
        <f>IF($BJ123="","",_xll.ciqfunctions.udf.CIQ($BJ123,"iq_bond_coupon")/100)</f>
        <v/>
      </c>
    </row>
    <row r="124" spans="42:63" ht="12" hidden="1" customHeight="1" outlineLevel="1">
      <c r="AY124" s="373" t="str">
        <f>IF($AX124="","",_xll.ciqfunctions.udf.CIQ($AX124,"iq_offer_date"))</f>
        <v/>
      </c>
      <c r="AZ124" s="374" t="str">
        <f>IF($AX124="","",RANK(AY124,$AY$10:$AY$510)+COUNTIF($AY$10:AY124,AY124)-1)</f>
        <v/>
      </c>
      <c r="BE124" s="348">
        <f t="shared" si="12"/>
        <v>115</v>
      </c>
      <c r="BG124" s="376" t="str">
        <f>IF($BF124="","",_xll.ciqfunctions.udf.CIQ($BF124,"iq_security_level"))</f>
        <v/>
      </c>
      <c r="BH124" s="348" t="str">
        <f t="shared" si="13"/>
        <v/>
      </c>
      <c r="BJ124" s="348" t="str">
        <f t="shared" si="14"/>
        <v/>
      </c>
      <c r="BK124" s="377" t="str">
        <f>IF($BJ124="","",_xll.ciqfunctions.udf.CIQ($BJ124,"iq_bond_coupon")/100)</f>
        <v/>
      </c>
    </row>
    <row r="125" spans="42:63" ht="12" hidden="1" customHeight="1" outlineLevel="1">
      <c r="AY125" s="373" t="str">
        <f>IF($AX125="","",_xll.ciqfunctions.udf.CIQ($AX125,"iq_offer_date"))</f>
        <v/>
      </c>
      <c r="AZ125" s="374" t="str">
        <f>IF($AX125="","",RANK(AY125,$AY$10:$AY$510)+COUNTIF($AY$10:AY125,AY125)-1)</f>
        <v/>
      </c>
      <c r="BE125" s="348">
        <f t="shared" si="12"/>
        <v>116</v>
      </c>
      <c r="BG125" s="376" t="str">
        <f>IF($BF125="","",_xll.ciqfunctions.udf.CIQ($BF125,"iq_security_level"))</f>
        <v/>
      </c>
      <c r="BH125" s="348" t="str">
        <f t="shared" si="13"/>
        <v/>
      </c>
      <c r="BJ125" s="348" t="str">
        <f t="shared" si="14"/>
        <v/>
      </c>
      <c r="BK125" s="377" t="str">
        <f>IF($BJ125="","",_xll.ciqfunctions.udf.CIQ($BJ125,"iq_bond_coupon")/100)</f>
        <v/>
      </c>
    </row>
    <row r="126" spans="42:63" ht="12" hidden="1" customHeight="1" outlineLevel="1">
      <c r="AY126" s="373" t="str">
        <f>IF($AX126="","",_xll.ciqfunctions.udf.CIQ($AX126,"iq_offer_date"))</f>
        <v/>
      </c>
      <c r="AZ126" s="374" t="str">
        <f>IF($AX126="","",RANK(AY126,$AY$10:$AY$510)+COUNTIF($AY$10:AY126,AY126)-1)</f>
        <v/>
      </c>
      <c r="BE126" s="348">
        <f t="shared" si="12"/>
        <v>117</v>
      </c>
      <c r="BG126" s="376" t="str">
        <f>IF($BF126="","",_xll.ciqfunctions.udf.CIQ($BF126,"iq_security_level"))</f>
        <v/>
      </c>
      <c r="BH126" s="348" t="str">
        <f t="shared" si="13"/>
        <v/>
      </c>
      <c r="BJ126" s="348" t="str">
        <f t="shared" si="14"/>
        <v/>
      </c>
      <c r="BK126" s="377" t="str">
        <f>IF($BJ126="","",_xll.ciqfunctions.udf.CIQ($BJ126,"iq_bond_coupon")/100)</f>
        <v/>
      </c>
    </row>
    <row r="127" spans="42:63" ht="12" hidden="1" customHeight="1" outlineLevel="1">
      <c r="AY127" s="373" t="str">
        <f>IF($AX127="","",_xll.ciqfunctions.udf.CIQ($AX127,"iq_offer_date"))</f>
        <v/>
      </c>
      <c r="AZ127" s="374" t="str">
        <f>IF($AX127="","",RANK(AY127,$AY$10:$AY$510)+COUNTIF($AY$10:AY127,AY127)-1)</f>
        <v/>
      </c>
      <c r="BE127" s="348">
        <f t="shared" si="12"/>
        <v>118</v>
      </c>
      <c r="BG127" s="376" t="str">
        <f>IF($BF127="","",_xll.ciqfunctions.udf.CIQ($BF127,"iq_security_level"))</f>
        <v/>
      </c>
      <c r="BH127" s="348" t="str">
        <f t="shared" si="13"/>
        <v/>
      </c>
      <c r="BJ127" s="348" t="str">
        <f t="shared" si="14"/>
        <v/>
      </c>
      <c r="BK127" s="377" t="str">
        <f>IF($BJ127="","",_xll.ciqfunctions.udf.CIQ($BJ127,"iq_bond_coupon")/100)</f>
        <v/>
      </c>
    </row>
    <row r="128" spans="42:63" ht="12" hidden="1" customHeight="1" outlineLevel="1">
      <c r="AY128" s="373" t="str">
        <f>IF($AX128="","",_xll.ciqfunctions.udf.CIQ($AX128,"iq_offer_date"))</f>
        <v/>
      </c>
      <c r="AZ128" s="374" t="str">
        <f>IF($AX128="","",RANK(AY128,$AY$10:$AY$510)+COUNTIF($AY$10:AY128,AY128)-1)</f>
        <v/>
      </c>
      <c r="BE128" s="348">
        <f t="shared" si="12"/>
        <v>119</v>
      </c>
      <c r="BG128" s="376" t="str">
        <f>IF($BF128="","",_xll.ciqfunctions.udf.CIQ($BF128,"iq_security_level"))</f>
        <v/>
      </c>
      <c r="BH128" s="348" t="str">
        <f t="shared" si="13"/>
        <v/>
      </c>
      <c r="BJ128" s="348" t="str">
        <f t="shared" si="14"/>
        <v/>
      </c>
      <c r="BK128" s="377" t="str">
        <f>IF($BJ128="","",_xll.ciqfunctions.udf.CIQ($BJ128,"iq_bond_coupon")/100)</f>
        <v/>
      </c>
    </row>
    <row r="129" spans="51:63" ht="12" hidden="1" customHeight="1" outlineLevel="1">
      <c r="AY129" s="373" t="str">
        <f>IF($AX129="","",_xll.ciqfunctions.udf.CIQ($AX129,"iq_offer_date"))</f>
        <v/>
      </c>
      <c r="AZ129" s="374" t="str">
        <f>IF($AX129="","",RANK(AY129,$AY$10:$AY$510)+COUNTIF($AY$10:AY129,AY129)-1)</f>
        <v/>
      </c>
      <c r="BE129" s="348">
        <f t="shared" si="12"/>
        <v>120</v>
      </c>
      <c r="BG129" s="376" t="str">
        <f>IF($BF129="","",_xll.ciqfunctions.udf.CIQ($BF129,"iq_security_level"))</f>
        <v/>
      </c>
      <c r="BH129" s="348" t="str">
        <f t="shared" si="13"/>
        <v/>
      </c>
      <c r="BJ129" s="348" t="str">
        <f t="shared" si="14"/>
        <v/>
      </c>
      <c r="BK129" s="377" t="str">
        <f>IF($BJ129="","",_xll.ciqfunctions.udf.CIQ($BJ129,"iq_bond_coupon")/100)</f>
        <v/>
      </c>
    </row>
    <row r="130" spans="51:63" ht="12" hidden="1" customHeight="1" outlineLevel="1">
      <c r="AY130" s="373" t="str">
        <f>IF($AX130="","",_xll.ciqfunctions.udf.CIQ($AX130,"iq_offer_date"))</f>
        <v/>
      </c>
      <c r="AZ130" s="374" t="str">
        <f>IF($AX130="","",RANK(AY130,$AY$10:$AY$510)+COUNTIF($AY$10:AY130,AY130)-1)</f>
        <v/>
      </c>
      <c r="BE130" s="348">
        <f t="shared" si="12"/>
        <v>121</v>
      </c>
      <c r="BG130" s="376" t="str">
        <f>IF($BF130="","",_xll.ciqfunctions.udf.CIQ($BF130,"iq_security_level"))</f>
        <v/>
      </c>
      <c r="BH130" s="348" t="str">
        <f t="shared" si="13"/>
        <v/>
      </c>
      <c r="BJ130" s="348" t="str">
        <f t="shared" si="14"/>
        <v/>
      </c>
      <c r="BK130" s="377" t="str">
        <f>IF($BJ130="","",_xll.ciqfunctions.udf.CIQ($BJ130,"iq_bond_coupon")/100)</f>
        <v/>
      </c>
    </row>
    <row r="131" spans="51:63" ht="12" hidden="1" customHeight="1" outlineLevel="1">
      <c r="AY131" s="373" t="str">
        <f>IF($AX131="","",_xll.ciqfunctions.udf.CIQ($AX131,"iq_offer_date"))</f>
        <v/>
      </c>
      <c r="AZ131" s="374" t="str">
        <f>IF($AX131="","",RANK(AY131,$AY$10:$AY$510)+COUNTIF($AY$10:AY131,AY131)-1)</f>
        <v/>
      </c>
      <c r="BE131" s="348">
        <f t="shared" si="12"/>
        <v>122</v>
      </c>
      <c r="BG131" s="376" t="str">
        <f>IF($BF131="","",_xll.ciqfunctions.udf.CIQ($BF131,"iq_security_level"))</f>
        <v/>
      </c>
      <c r="BH131" s="348" t="str">
        <f t="shared" si="13"/>
        <v/>
      </c>
      <c r="BJ131" s="348" t="str">
        <f t="shared" si="14"/>
        <v/>
      </c>
      <c r="BK131" s="377" t="str">
        <f>IF($BJ131="","",_xll.ciqfunctions.udf.CIQ($BJ131,"iq_bond_coupon")/100)</f>
        <v/>
      </c>
    </row>
    <row r="132" spans="51:63" ht="12" hidden="1" customHeight="1" outlineLevel="1">
      <c r="AY132" s="373" t="str">
        <f>IF($AX132="","",_xll.ciqfunctions.udf.CIQ($AX132,"iq_offer_date"))</f>
        <v/>
      </c>
      <c r="AZ132" s="374" t="str">
        <f>IF($AX132="","",RANK(AY132,$AY$10:$AY$510)+COUNTIF($AY$10:AY132,AY132)-1)</f>
        <v/>
      </c>
      <c r="BE132" s="348">
        <f t="shared" si="12"/>
        <v>123</v>
      </c>
      <c r="BG132" s="376" t="str">
        <f>IF($BF132="","",_xll.ciqfunctions.udf.CIQ($BF132,"iq_security_level"))</f>
        <v/>
      </c>
      <c r="BH132" s="348" t="str">
        <f t="shared" si="13"/>
        <v/>
      </c>
      <c r="BJ132" s="348" t="str">
        <f t="shared" si="14"/>
        <v/>
      </c>
      <c r="BK132" s="377" t="str">
        <f>IF($BJ132="","",_xll.ciqfunctions.udf.CIQ($BJ132,"iq_bond_coupon")/100)</f>
        <v/>
      </c>
    </row>
    <row r="133" spans="51:63" ht="12" hidden="1" customHeight="1" outlineLevel="1">
      <c r="AY133" s="373" t="str">
        <f>IF($AX133="","",_xll.ciqfunctions.udf.CIQ($AX133,"iq_offer_date"))</f>
        <v/>
      </c>
      <c r="AZ133" s="374" t="str">
        <f>IF($AX133="","",RANK(AY133,$AY$10:$AY$510)+COUNTIF($AY$10:AY133,AY133)-1)</f>
        <v/>
      </c>
      <c r="BE133" s="348">
        <f t="shared" si="12"/>
        <v>124</v>
      </c>
      <c r="BG133" s="376" t="str">
        <f>IF($BF133="","",_xll.ciqfunctions.udf.CIQ($BF133,"iq_security_level"))</f>
        <v/>
      </c>
      <c r="BH133" s="348" t="str">
        <f t="shared" si="13"/>
        <v/>
      </c>
      <c r="BJ133" s="348" t="str">
        <f t="shared" si="14"/>
        <v/>
      </c>
      <c r="BK133" s="377" t="str">
        <f>IF($BJ133="","",_xll.ciqfunctions.udf.CIQ($BJ133,"iq_bond_coupon")/100)</f>
        <v/>
      </c>
    </row>
    <row r="134" spans="51:63" ht="12" hidden="1" customHeight="1" outlineLevel="1">
      <c r="AY134" s="373" t="str">
        <f>IF($AX134="","",_xll.ciqfunctions.udf.CIQ($AX134,"iq_offer_date"))</f>
        <v/>
      </c>
      <c r="AZ134" s="374" t="str">
        <f>IF($AX134="","",RANK(AY134,$AY$10:$AY$510)+COUNTIF($AY$10:AY134,AY134)-1)</f>
        <v/>
      </c>
      <c r="BE134" s="348">
        <f t="shared" si="12"/>
        <v>125</v>
      </c>
      <c r="BG134" s="376" t="str">
        <f>IF($BF134="","",_xll.ciqfunctions.udf.CIQ($BF134,"iq_security_level"))</f>
        <v/>
      </c>
      <c r="BH134" s="348" t="str">
        <f t="shared" si="13"/>
        <v/>
      </c>
      <c r="BJ134" s="348" t="str">
        <f t="shared" si="14"/>
        <v/>
      </c>
      <c r="BK134" s="377" t="str">
        <f>IF($BJ134="","",_xll.ciqfunctions.udf.CIQ($BJ134,"iq_bond_coupon")/100)</f>
        <v/>
      </c>
    </row>
    <row r="135" spans="51:63" ht="12" hidden="1" customHeight="1" outlineLevel="1">
      <c r="AY135" s="373" t="str">
        <f>IF($AX135="","",_xll.ciqfunctions.udf.CIQ($AX135,"iq_offer_date"))</f>
        <v/>
      </c>
      <c r="AZ135" s="374" t="str">
        <f>IF($AX135="","",RANK(AY135,$AY$10:$AY$510)+COUNTIF($AY$10:AY135,AY135)-1)</f>
        <v/>
      </c>
      <c r="BE135" s="348">
        <f t="shared" si="12"/>
        <v>126</v>
      </c>
      <c r="BG135" s="376" t="str">
        <f>IF($BF135="","",_xll.ciqfunctions.udf.CIQ($BF135,"iq_security_level"))</f>
        <v/>
      </c>
      <c r="BH135" s="348" t="str">
        <f t="shared" si="13"/>
        <v/>
      </c>
      <c r="BJ135" s="348" t="str">
        <f t="shared" si="14"/>
        <v/>
      </c>
      <c r="BK135" s="377" t="str">
        <f>IF($BJ135="","",_xll.ciqfunctions.udf.CIQ($BJ135,"iq_bond_coupon")/100)</f>
        <v/>
      </c>
    </row>
    <row r="136" spans="51:63" ht="12" hidden="1" customHeight="1" outlineLevel="1">
      <c r="AY136" s="373" t="str">
        <f>IF($AX136="","",_xll.ciqfunctions.udf.CIQ($AX136,"iq_offer_date"))</f>
        <v/>
      </c>
      <c r="AZ136" s="374" t="str">
        <f>IF($AX136="","",RANK(AY136,$AY$10:$AY$510)+COUNTIF($AY$10:AY136,AY136)-1)</f>
        <v/>
      </c>
      <c r="BE136" s="348">
        <f t="shared" si="12"/>
        <v>127</v>
      </c>
      <c r="BG136" s="376" t="str">
        <f>IF($BF136="","",_xll.ciqfunctions.udf.CIQ($BF136,"iq_security_level"))</f>
        <v/>
      </c>
      <c r="BH136" s="348" t="str">
        <f t="shared" si="13"/>
        <v/>
      </c>
      <c r="BJ136" s="348" t="str">
        <f t="shared" si="14"/>
        <v/>
      </c>
      <c r="BK136" s="377" t="str">
        <f>IF($BJ136="","",_xll.ciqfunctions.udf.CIQ($BJ136,"iq_bond_coupon")/100)</f>
        <v/>
      </c>
    </row>
    <row r="137" spans="51:63" ht="12" hidden="1" customHeight="1" outlineLevel="1">
      <c r="AY137" s="373" t="str">
        <f>IF($AX137="","",_xll.ciqfunctions.udf.CIQ($AX137,"iq_offer_date"))</f>
        <v/>
      </c>
      <c r="AZ137" s="374" t="str">
        <f>IF($AX137="","",RANK(AY137,$AY$10:$AY$510)+COUNTIF($AY$10:AY137,AY137)-1)</f>
        <v/>
      </c>
      <c r="BE137" s="348">
        <f t="shared" si="12"/>
        <v>128</v>
      </c>
      <c r="BG137" s="376" t="str">
        <f>IF($BF137="","",_xll.ciqfunctions.udf.CIQ($BF137,"iq_security_level"))</f>
        <v/>
      </c>
      <c r="BH137" s="348" t="str">
        <f t="shared" si="13"/>
        <v/>
      </c>
      <c r="BJ137" s="348" t="str">
        <f t="shared" si="14"/>
        <v/>
      </c>
      <c r="BK137" s="377" t="str">
        <f>IF($BJ137="","",_xll.ciqfunctions.udf.CIQ($BJ137,"iq_bond_coupon")/100)</f>
        <v/>
      </c>
    </row>
    <row r="138" spans="51:63" ht="12" hidden="1" customHeight="1" outlineLevel="1">
      <c r="AY138" s="373" t="str">
        <f>IF($AX138="","",_xll.ciqfunctions.udf.CIQ($AX138,"iq_offer_date"))</f>
        <v/>
      </c>
      <c r="AZ138" s="374" t="str">
        <f>IF($AX138="","",RANK(AY138,$AY$10:$AY$510)+COUNTIF($AY$10:AY138,AY138)-1)</f>
        <v/>
      </c>
      <c r="BE138" s="348">
        <f t="shared" si="12"/>
        <v>129</v>
      </c>
      <c r="BG138" s="376" t="str">
        <f>IF($BF138="","",_xll.ciqfunctions.udf.CIQ($BF138,"iq_security_level"))</f>
        <v/>
      </c>
      <c r="BH138" s="348" t="str">
        <f t="shared" si="13"/>
        <v/>
      </c>
      <c r="BJ138" s="348" t="str">
        <f t="shared" si="14"/>
        <v/>
      </c>
      <c r="BK138" s="377" t="str">
        <f>IF($BJ138="","",_xll.ciqfunctions.udf.CIQ($BJ138,"iq_bond_coupon")/100)</f>
        <v/>
      </c>
    </row>
    <row r="139" spans="51:63" ht="12" hidden="1" customHeight="1" outlineLevel="1">
      <c r="AY139" s="373" t="str">
        <f>IF($AX139="","",_xll.ciqfunctions.udf.CIQ($AX139,"iq_offer_date"))</f>
        <v/>
      </c>
      <c r="AZ139" s="374" t="str">
        <f>IF($AX139="","",RANK(AY139,$AY$10:$AY$510)+COUNTIF($AY$10:AY139,AY139)-1)</f>
        <v/>
      </c>
      <c r="BE139" s="348">
        <f t="shared" si="12"/>
        <v>130</v>
      </c>
      <c r="BG139" s="376" t="str">
        <f>IF($BF139="","",_xll.ciqfunctions.udf.CIQ($BF139,"iq_security_level"))</f>
        <v/>
      </c>
      <c r="BH139" s="348" t="str">
        <f t="shared" si="13"/>
        <v/>
      </c>
      <c r="BJ139" s="348" t="str">
        <f t="shared" si="14"/>
        <v/>
      </c>
      <c r="BK139" s="377" t="str">
        <f>IF($BJ139="","",_xll.ciqfunctions.udf.CIQ($BJ139,"iq_bond_coupon")/100)</f>
        <v/>
      </c>
    </row>
    <row r="140" spans="51:63" ht="12" hidden="1" customHeight="1" outlineLevel="1">
      <c r="AY140" s="373" t="str">
        <f>IF($AX140="","",_xll.ciqfunctions.udf.CIQ($AX140,"iq_offer_date"))</f>
        <v/>
      </c>
      <c r="AZ140" s="374" t="str">
        <f>IF($AX140="","",RANK(AY140,$AY$10:$AY$510)+COUNTIF($AY$10:AY140,AY140)-1)</f>
        <v/>
      </c>
      <c r="BE140" s="348">
        <f t="shared" ref="BE140:BE203" si="15">BE139+1</f>
        <v>131</v>
      </c>
      <c r="BG140" s="376" t="str">
        <f>IF($BF140="","",_xll.ciqfunctions.udf.CIQ($BF140,"iq_security_level"))</f>
        <v/>
      </c>
      <c r="BH140" s="348" t="str">
        <f t="shared" ref="BH140:BH203" si="16">IF(BF140="","",IF(BG140="Preferred",BH139+1,BH139))</f>
        <v/>
      </c>
      <c r="BJ140" s="348" t="str">
        <f t="shared" si="14"/>
        <v/>
      </c>
      <c r="BK140" s="377" t="str">
        <f>IF($BJ140="","",_xll.ciqfunctions.udf.CIQ($BJ140,"iq_bond_coupon")/100)</f>
        <v/>
      </c>
    </row>
    <row r="141" spans="51:63" ht="12" hidden="1" customHeight="1" outlineLevel="1">
      <c r="AY141" s="373" t="str">
        <f>IF($AX141="","",_xll.ciqfunctions.udf.CIQ($AX141,"iq_offer_date"))</f>
        <v/>
      </c>
      <c r="AZ141" s="374" t="str">
        <f>IF($AX141="","",RANK(AY141,$AY$10:$AY$510)+COUNTIF($AY$10:AY141,AY141)-1)</f>
        <v/>
      </c>
      <c r="BE141" s="348">
        <f t="shared" si="15"/>
        <v>132</v>
      </c>
      <c r="BG141" s="376" t="str">
        <f>IF($BF141="","",_xll.ciqfunctions.udf.CIQ($BF141,"iq_security_level"))</f>
        <v/>
      </c>
      <c r="BH141" s="348" t="str">
        <f t="shared" si="16"/>
        <v/>
      </c>
      <c r="BJ141" s="348" t="str">
        <f t="shared" si="14"/>
        <v/>
      </c>
      <c r="BK141" s="377" t="str">
        <f>IF($BJ141="","",_xll.ciqfunctions.udf.CIQ($BJ141,"iq_bond_coupon")/100)</f>
        <v/>
      </c>
    </row>
    <row r="142" spans="51:63" ht="12" hidden="1" customHeight="1" outlineLevel="1">
      <c r="AY142" s="373" t="str">
        <f>IF($AX142="","",_xll.ciqfunctions.udf.CIQ($AX142,"iq_offer_date"))</f>
        <v/>
      </c>
      <c r="AZ142" s="374" t="str">
        <f>IF($AX142="","",RANK(AY142,$AY$10:$AY$510)+COUNTIF($AY$10:AY142,AY142)-1)</f>
        <v/>
      </c>
      <c r="BE142" s="348">
        <f t="shared" si="15"/>
        <v>133</v>
      </c>
      <c r="BG142" s="376" t="str">
        <f>IF($BF142="","",_xll.ciqfunctions.udf.CIQ($BF142,"iq_security_level"))</f>
        <v/>
      </c>
      <c r="BH142" s="348" t="str">
        <f t="shared" si="16"/>
        <v/>
      </c>
      <c r="BJ142" s="348" t="str">
        <f t="shared" si="14"/>
        <v/>
      </c>
      <c r="BK142" s="377" t="str">
        <f>IF($BJ142="","",_xll.ciqfunctions.udf.CIQ($BJ142,"iq_bond_coupon")/100)</f>
        <v/>
      </c>
    </row>
    <row r="143" spans="51:63" ht="12" hidden="1" customHeight="1" outlineLevel="1">
      <c r="AY143" s="373" t="str">
        <f>IF($AX143="","",_xll.ciqfunctions.udf.CIQ($AX143,"iq_offer_date"))</f>
        <v/>
      </c>
      <c r="AZ143" s="374" t="str">
        <f>IF($AX143="","",RANK(AY143,$AY$10:$AY$510)+COUNTIF($AY$10:AY143,AY143)-1)</f>
        <v/>
      </c>
      <c r="BE143" s="348">
        <f t="shared" si="15"/>
        <v>134</v>
      </c>
      <c r="BG143" s="376" t="str">
        <f>IF($BF143="","",_xll.ciqfunctions.udf.CIQ($BF143,"iq_security_level"))</f>
        <v/>
      </c>
      <c r="BH143" s="348" t="str">
        <f t="shared" si="16"/>
        <v/>
      </c>
      <c r="BJ143" s="348" t="str">
        <f t="shared" si="14"/>
        <v/>
      </c>
      <c r="BK143" s="377" t="str">
        <f>IF($BJ143="","",_xll.ciqfunctions.udf.CIQ($BJ143,"iq_bond_coupon")/100)</f>
        <v/>
      </c>
    </row>
    <row r="144" spans="51:63" ht="12" hidden="1" customHeight="1" outlineLevel="1">
      <c r="AY144" s="373" t="str">
        <f>IF($AX144="","",_xll.ciqfunctions.udf.CIQ($AX144,"iq_offer_date"))</f>
        <v/>
      </c>
      <c r="AZ144" s="374" t="str">
        <f>IF($AX144="","",RANK(AY144,$AY$10:$AY$510)+COUNTIF($AY$10:AY144,AY144)-1)</f>
        <v/>
      </c>
      <c r="BE144" s="348">
        <f t="shared" si="15"/>
        <v>135</v>
      </c>
      <c r="BG144" s="376" t="str">
        <f>IF($BF144="","",_xll.ciqfunctions.udf.CIQ($BF144,"iq_security_level"))</f>
        <v/>
      </c>
      <c r="BH144" s="348" t="str">
        <f t="shared" si="16"/>
        <v/>
      </c>
      <c r="BJ144" s="348" t="str">
        <f t="shared" si="14"/>
        <v/>
      </c>
      <c r="BK144" s="377" t="str">
        <f>IF($BJ144="","",_xll.ciqfunctions.udf.CIQ($BJ144,"iq_bond_coupon")/100)</f>
        <v/>
      </c>
    </row>
    <row r="145" spans="51:63" ht="12" hidden="1" customHeight="1" outlineLevel="1">
      <c r="AY145" s="373" t="str">
        <f>IF($AX145="","",_xll.ciqfunctions.udf.CIQ($AX145,"iq_offer_date"))</f>
        <v/>
      </c>
      <c r="AZ145" s="374" t="str">
        <f>IF($AX145="","",RANK(AY145,$AY$10:$AY$510)+COUNTIF($AY$10:AY145,AY145)-1)</f>
        <v/>
      </c>
      <c r="BE145" s="348">
        <f t="shared" si="15"/>
        <v>136</v>
      </c>
      <c r="BG145" s="376" t="str">
        <f>IF($BF145="","",_xll.ciqfunctions.udf.CIQ($BF145,"iq_security_level"))</f>
        <v/>
      </c>
      <c r="BH145" s="348" t="str">
        <f t="shared" si="16"/>
        <v/>
      </c>
      <c r="BJ145" s="348" t="str">
        <f t="shared" si="14"/>
        <v/>
      </c>
      <c r="BK145" s="377" t="str">
        <f>IF($BJ145="","",_xll.ciqfunctions.udf.CIQ($BJ145,"iq_bond_coupon")/100)</f>
        <v/>
      </c>
    </row>
    <row r="146" spans="51:63" ht="12" hidden="1" customHeight="1" outlineLevel="1">
      <c r="AY146" s="373" t="str">
        <f>IF($AX146="","",_xll.ciqfunctions.udf.CIQ($AX146,"iq_offer_date"))</f>
        <v/>
      </c>
      <c r="AZ146" s="374" t="str">
        <f>IF($AX146="","",RANK(AY146,$AY$10:$AY$510)+COUNTIF($AY$10:AY146,AY146)-1)</f>
        <v/>
      </c>
      <c r="BE146" s="348">
        <f t="shared" si="15"/>
        <v>137</v>
      </c>
      <c r="BG146" s="376" t="str">
        <f>IF($BF146="","",_xll.ciqfunctions.udf.CIQ($BF146,"iq_security_level"))</f>
        <v/>
      </c>
      <c r="BH146" s="348" t="str">
        <f t="shared" si="16"/>
        <v/>
      </c>
      <c r="BJ146" s="348" t="str">
        <f t="shared" si="14"/>
        <v/>
      </c>
      <c r="BK146" s="377" t="str">
        <f>IF($BJ146="","",_xll.ciqfunctions.udf.CIQ($BJ146,"iq_bond_coupon")/100)</f>
        <v/>
      </c>
    </row>
    <row r="147" spans="51:63" ht="12" hidden="1" customHeight="1" outlineLevel="1">
      <c r="AY147" s="373" t="str">
        <f>IF($AX147="","",_xll.ciqfunctions.udf.CIQ($AX147,"iq_offer_date"))</f>
        <v/>
      </c>
      <c r="AZ147" s="374" t="str">
        <f>IF($AX147="","",RANK(AY147,$AY$10:$AY$510)+COUNTIF($AY$10:AY147,AY147)-1)</f>
        <v/>
      </c>
      <c r="BE147" s="348">
        <f t="shared" si="15"/>
        <v>138</v>
      </c>
      <c r="BG147" s="376" t="str">
        <f>IF($BF147="","",_xll.ciqfunctions.udf.CIQ($BF147,"iq_security_level"))</f>
        <v/>
      </c>
      <c r="BH147" s="348" t="str">
        <f t="shared" si="16"/>
        <v/>
      </c>
      <c r="BJ147" s="348" t="str">
        <f t="shared" si="14"/>
        <v/>
      </c>
      <c r="BK147" s="377" t="str">
        <f>IF($BJ147="","",_xll.ciqfunctions.udf.CIQ($BJ147,"iq_bond_coupon")/100)</f>
        <v/>
      </c>
    </row>
    <row r="148" spans="51:63" ht="12" hidden="1" customHeight="1" outlineLevel="1">
      <c r="AY148" s="373" t="str">
        <f>IF($AX148="","",_xll.ciqfunctions.udf.CIQ($AX148,"iq_offer_date"))</f>
        <v/>
      </c>
      <c r="AZ148" s="374" t="str">
        <f>IF($AX148="","",RANK(AY148,$AY$10:$AY$510)+COUNTIF($AY$10:AY148,AY148)-1)</f>
        <v/>
      </c>
      <c r="BE148" s="348">
        <f t="shared" si="15"/>
        <v>139</v>
      </c>
      <c r="BG148" s="376" t="str">
        <f>IF($BF148="","",_xll.ciqfunctions.udf.CIQ($BF148,"iq_security_level"))</f>
        <v/>
      </c>
      <c r="BH148" s="348" t="str">
        <f t="shared" si="16"/>
        <v/>
      </c>
      <c r="BJ148" s="348" t="str">
        <f t="shared" si="14"/>
        <v/>
      </c>
      <c r="BK148" s="377" t="str">
        <f>IF($BJ148="","",_xll.ciqfunctions.udf.CIQ($BJ148,"iq_bond_coupon")/100)</f>
        <v/>
      </c>
    </row>
    <row r="149" spans="51:63" ht="12" hidden="1" customHeight="1" outlineLevel="1">
      <c r="AY149" s="373" t="str">
        <f>IF($AX149="","",_xll.ciqfunctions.udf.CIQ($AX149,"iq_offer_date"))</f>
        <v/>
      </c>
      <c r="AZ149" s="374" t="str">
        <f>IF($AX149="","",RANK(AY149,$AY$10:$AY$510)+COUNTIF($AY$10:AY149,AY149)-1)</f>
        <v/>
      </c>
      <c r="BE149" s="348">
        <f t="shared" si="15"/>
        <v>140</v>
      </c>
      <c r="BG149" s="376" t="str">
        <f>IF($BF149="","",_xll.ciqfunctions.udf.CIQ($BF149,"iq_security_level"))</f>
        <v/>
      </c>
      <c r="BH149" s="348" t="str">
        <f t="shared" si="16"/>
        <v/>
      </c>
      <c r="BJ149" s="348" t="str">
        <f t="shared" si="14"/>
        <v/>
      </c>
      <c r="BK149" s="377" t="str">
        <f>IF($BJ149="","",_xll.ciqfunctions.udf.CIQ($BJ149,"iq_bond_coupon")/100)</f>
        <v/>
      </c>
    </row>
    <row r="150" spans="51:63" ht="12" hidden="1" customHeight="1" outlineLevel="1">
      <c r="AY150" s="373" t="str">
        <f>IF($AX150="","",_xll.ciqfunctions.udf.CIQ($AX150,"iq_offer_date"))</f>
        <v/>
      </c>
      <c r="AZ150" s="374" t="str">
        <f>IF($AX150="","",RANK(AY150,$AY$10:$AY$510)+COUNTIF($AY$10:AY150,AY150)-1)</f>
        <v/>
      </c>
      <c r="BE150" s="348">
        <f t="shared" si="15"/>
        <v>141</v>
      </c>
      <c r="BG150" s="376" t="str">
        <f>IF($BF150="","",_xll.ciqfunctions.udf.CIQ($BF150,"iq_security_level"))</f>
        <v/>
      </c>
      <c r="BH150" s="348" t="str">
        <f t="shared" si="16"/>
        <v/>
      </c>
      <c r="BJ150" s="348" t="str">
        <f t="shared" si="14"/>
        <v/>
      </c>
      <c r="BK150" s="377" t="str">
        <f>IF($BJ150="","",_xll.ciqfunctions.udf.CIQ($BJ150,"iq_bond_coupon")/100)</f>
        <v/>
      </c>
    </row>
    <row r="151" spans="51:63" ht="12" hidden="1" customHeight="1" outlineLevel="1">
      <c r="AY151" s="373" t="str">
        <f>IF($AX151="","",_xll.ciqfunctions.udf.CIQ($AX151,"iq_offer_date"))</f>
        <v/>
      </c>
      <c r="AZ151" s="374" t="str">
        <f>IF($AX151="","",RANK(AY151,$AY$10:$AY$510)+COUNTIF($AY$10:AY151,AY151)-1)</f>
        <v/>
      </c>
      <c r="BE151" s="348">
        <f t="shared" si="15"/>
        <v>142</v>
      </c>
      <c r="BG151" s="376" t="str">
        <f>IF($BF151="","",_xll.ciqfunctions.udf.CIQ($BF151,"iq_security_level"))</f>
        <v/>
      </c>
      <c r="BH151" s="348" t="str">
        <f t="shared" si="16"/>
        <v/>
      </c>
      <c r="BJ151" s="348" t="str">
        <f t="shared" si="14"/>
        <v/>
      </c>
      <c r="BK151" s="377" t="str">
        <f>IF($BJ151="","",_xll.ciqfunctions.udf.CIQ($BJ151,"iq_bond_coupon")/100)</f>
        <v/>
      </c>
    </row>
    <row r="152" spans="51:63" ht="12" hidden="1" customHeight="1" outlineLevel="1">
      <c r="AY152" s="373" t="str">
        <f>IF($AX152="","",_xll.ciqfunctions.udf.CIQ($AX152,"iq_offer_date"))</f>
        <v/>
      </c>
      <c r="AZ152" s="374" t="str">
        <f>IF($AX152="","",RANK(AY152,$AY$10:$AY$510)+COUNTIF($AY$10:AY152,AY152)-1)</f>
        <v/>
      </c>
      <c r="BE152" s="348">
        <f t="shared" si="15"/>
        <v>143</v>
      </c>
      <c r="BG152" s="376" t="str">
        <f>IF($BF152="","",_xll.ciqfunctions.udf.CIQ($BF152,"iq_security_level"))</f>
        <v/>
      </c>
      <c r="BH152" s="348" t="str">
        <f t="shared" si="16"/>
        <v/>
      </c>
      <c r="BJ152" s="348" t="str">
        <f t="shared" si="14"/>
        <v/>
      </c>
      <c r="BK152" s="377" t="str">
        <f>IF($BJ152="","",_xll.ciqfunctions.udf.CIQ($BJ152,"iq_bond_coupon")/100)</f>
        <v/>
      </c>
    </row>
    <row r="153" spans="51:63" ht="12" hidden="1" customHeight="1" outlineLevel="1">
      <c r="AY153" s="373" t="str">
        <f>IF($AX153="","",_xll.ciqfunctions.udf.CIQ($AX153,"iq_offer_date"))</f>
        <v/>
      </c>
      <c r="AZ153" s="374" t="str">
        <f>IF($AX153="","",RANK(AY153,$AY$10:$AY$510)+COUNTIF($AY$10:AY153,AY153)-1)</f>
        <v/>
      </c>
      <c r="BE153" s="348">
        <f t="shared" si="15"/>
        <v>144</v>
      </c>
      <c r="BG153" s="376" t="str">
        <f>IF($BF153="","",_xll.ciqfunctions.udf.CIQ($BF153,"iq_security_level"))</f>
        <v/>
      </c>
      <c r="BH153" s="348" t="str">
        <f t="shared" si="16"/>
        <v/>
      </c>
      <c r="BJ153" s="348" t="str">
        <f t="shared" si="14"/>
        <v/>
      </c>
      <c r="BK153" s="377" t="str">
        <f>IF($BJ153="","",_xll.ciqfunctions.udf.CIQ($BJ153,"iq_bond_coupon")/100)</f>
        <v/>
      </c>
    </row>
    <row r="154" spans="51:63" ht="12" hidden="1" customHeight="1" outlineLevel="1">
      <c r="AY154" s="373" t="str">
        <f>IF($AX154="","",_xll.ciqfunctions.udf.CIQ($AX154,"iq_offer_date"))</f>
        <v/>
      </c>
      <c r="AZ154" s="374" t="str">
        <f>IF($AX154="","",RANK(AY154,$AY$10:$AY$510)+COUNTIF($AY$10:AY154,AY154)-1)</f>
        <v/>
      </c>
      <c r="BE154" s="348">
        <f t="shared" si="15"/>
        <v>145</v>
      </c>
      <c r="BG154" s="376" t="str">
        <f>IF($BF154="","",_xll.ciqfunctions.udf.CIQ($BF154,"iq_security_level"))</f>
        <v/>
      </c>
      <c r="BH154" s="348" t="str">
        <f t="shared" si="16"/>
        <v/>
      </c>
      <c r="BJ154" s="348" t="str">
        <f t="shared" si="14"/>
        <v/>
      </c>
      <c r="BK154" s="377" t="str">
        <f>IF($BJ154="","",_xll.ciqfunctions.udf.CIQ($BJ154,"iq_bond_coupon")/100)</f>
        <v/>
      </c>
    </row>
    <row r="155" spans="51:63" ht="12" hidden="1" customHeight="1" outlineLevel="1">
      <c r="AY155" s="373" t="str">
        <f>IF($AX155="","",_xll.ciqfunctions.udf.CIQ($AX155,"iq_offer_date"))</f>
        <v/>
      </c>
      <c r="AZ155" s="374" t="str">
        <f>IF($AX155="","",RANK(AY155,$AY$10:$AY$510)+COUNTIF($AY$10:AY155,AY155)-1)</f>
        <v/>
      </c>
      <c r="BE155" s="348">
        <f t="shared" si="15"/>
        <v>146</v>
      </c>
      <c r="BG155" s="376" t="str">
        <f>IF($BF155="","",_xll.ciqfunctions.udf.CIQ($BF155,"iq_security_level"))</f>
        <v/>
      </c>
      <c r="BH155" s="348" t="str">
        <f t="shared" si="16"/>
        <v/>
      </c>
      <c r="BJ155" s="348" t="str">
        <f t="shared" si="14"/>
        <v/>
      </c>
      <c r="BK155" s="377" t="str">
        <f>IF($BJ155="","",_xll.ciqfunctions.udf.CIQ($BJ155,"iq_bond_coupon")/100)</f>
        <v/>
      </c>
    </row>
    <row r="156" spans="51:63" ht="15" hidden="1" customHeight="1" outlineLevel="1">
      <c r="AY156" s="373" t="str">
        <f>IF($AX156="","",_xll.ciqfunctions.udf.CIQ($AX156,"iq_offer_date"))</f>
        <v/>
      </c>
      <c r="AZ156" s="374" t="str">
        <f>IF($AX156="","",RANK(AY156,$AY$10:$AY$510)+COUNTIF($AY$10:AY156,AY156)-1)</f>
        <v/>
      </c>
      <c r="BE156" s="348">
        <f t="shared" si="15"/>
        <v>147</v>
      </c>
      <c r="BG156" s="376" t="str">
        <f>IF($BF156="","",_xll.ciqfunctions.udf.CIQ($BF156,"iq_security_level"))</f>
        <v/>
      </c>
      <c r="BH156" s="348" t="str">
        <f t="shared" si="16"/>
        <v/>
      </c>
      <c r="BJ156" s="348" t="str">
        <f t="shared" si="14"/>
        <v/>
      </c>
      <c r="BK156" s="377" t="str">
        <f>IF($BJ156="","",_xll.ciqfunctions.udf.CIQ($BJ156,"iq_bond_coupon")/100)</f>
        <v/>
      </c>
    </row>
    <row r="157" spans="51:63" ht="12" hidden="1" customHeight="1" outlineLevel="1">
      <c r="AY157" s="373" t="str">
        <f>IF($AX157="","",_xll.ciqfunctions.udf.CIQ($AX157,"iq_offer_date"))</f>
        <v/>
      </c>
      <c r="AZ157" s="374" t="str">
        <f>IF($AX157="","",RANK(AY157,$AY$10:$AY$510)+COUNTIF($AY$10:AY157,AY157)-1)</f>
        <v/>
      </c>
      <c r="BE157" s="348">
        <f t="shared" si="15"/>
        <v>148</v>
      </c>
      <c r="BG157" s="376" t="str">
        <f>IF($BF157="","",_xll.ciqfunctions.udf.CIQ($BF157,"iq_security_level"))</f>
        <v/>
      </c>
      <c r="BH157" s="348" t="str">
        <f t="shared" si="16"/>
        <v/>
      </c>
      <c r="BJ157" s="348" t="str">
        <f t="shared" si="14"/>
        <v/>
      </c>
      <c r="BK157" s="377" t="str">
        <f>IF($BJ157="","",_xll.ciqfunctions.udf.CIQ($BJ157,"iq_bond_coupon")/100)</f>
        <v/>
      </c>
    </row>
    <row r="158" spans="51:63" ht="12" hidden="1" customHeight="1" outlineLevel="1">
      <c r="AY158" s="373" t="str">
        <f>IF($AX158="","",_xll.ciqfunctions.udf.CIQ($AX158,"iq_offer_date"))</f>
        <v/>
      </c>
      <c r="AZ158" s="374" t="str">
        <f>IF($AX158="","",RANK(AY158,$AY$10:$AY$510)+COUNTIF($AY$10:AY158,AY158)-1)</f>
        <v/>
      </c>
      <c r="BE158" s="348">
        <f t="shared" si="15"/>
        <v>149</v>
      </c>
      <c r="BG158" s="376" t="str">
        <f>IF($BF158="","",_xll.ciqfunctions.udf.CIQ($BF158,"iq_security_level"))</f>
        <v/>
      </c>
      <c r="BH158" s="348" t="str">
        <f t="shared" si="16"/>
        <v/>
      </c>
      <c r="BJ158" s="348" t="str">
        <f t="shared" si="14"/>
        <v/>
      </c>
      <c r="BK158" s="377" t="str">
        <f>IF($BJ158="","",_xll.ciqfunctions.udf.CIQ($BJ158,"iq_bond_coupon")/100)</f>
        <v/>
      </c>
    </row>
    <row r="159" spans="51:63" ht="12" hidden="1" customHeight="1" outlineLevel="1">
      <c r="AY159" s="373" t="str">
        <f>IF($AX159="","",_xll.ciqfunctions.udf.CIQ($AX159,"iq_offer_date"))</f>
        <v/>
      </c>
      <c r="AZ159" s="374" t="str">
        <f>IF($AX159="","",RANK(AY159,$AY$10:$AY$510)+COUNTIF($AY$10:AY159,AY159)-1)</f>
        <v/>
      </c>
      <c r="BE159" s="348">
        <f t="shared" si="15"/>
        <v>150</v>
      </c>
      <c r="BG159" s="376" t="str">
        <f>IF($BF159="","",_xll.ciqfunctions.udf.CIQ($BF159,"iq_security_level"))</f>
        <v/>
      </c>
      <c r="BH159" s="348" t="str">
        <f t="shared" si="16"/>
        <v/>
      </c>
      <c r="BJ159" s="348" t="str">
        <f t="shared" si="14"/>
        <v/>
      </c>
      <c r="BK159" s="377" t="str">
        <f>IF($BJ159="","",_xll.ciqfunctions.udf.CIQ($BJ159,"iq_bond_coupon")/100)</f>
        <v/>
      </c>
    </row>
    <row r="160" spans="51:63" ht="12" hidden="1" customHeight="1" outlineLevel="1">
      <c r="AY160" s="373" t="str">
        <f>IF($AX160="","",_xll.ciqfunctions.udf.CIQ($AX160,"iq_offer_date"))</f>
        <v/>
      </c>
      <c r="AZ160" s="374" t="str">
        <f>IF($AX160="","",RANK(AY160,$AY$10:$AY$510)+COUNTIF($AY$10:AY160,AY160)-1)</f>
        <v/>
      </c>
      <c r="BE160" s="348">
        <f t="shared" si="15"/>
        <v>151</v>
      </c>
      <c r="BG160" s="376" t="str">
        <f>IF($BF160="","",_xll.ciqfunctions.udf.CIQ($BF160,"iq_security_level"))</f>
        <v/>
      </c>
      <c r="BH160" s="348" t="str">
        <f t="shared" si="16"/>
        <v/>
      </c>
      <c r="BJ160" s="348" t="str">
        <f t="shared" si="14"/>
        <v/>
      </c>
      <c r="BK160" s="377" t="str">
        <f>IF($BJ160="","",_xll.ciqfunctions.udf.CIQ($BJ160,"iq_bond_coupon")/100)</f>
        <v/>
      </c>
    </row>
    <row r="161" spans="51:63" ht="12" hidden="1" customHeight="1" outlineLevel="1">
      <c r="AY161" s="373" t="str">
        <f>IF($AX161="","",_xll.ciqfunctions.udf.CIQ($AX161,"iq_offer_date"))</f>
        <v/>
      </c>
      <c r="AZ161" s="374" t="str">
        <f>IF($AX161="","",RANK(AY161,$AY$10:$AY$510)+COUNTIF($AY$10:AY161,AY161)-1)</f>
        <v/>
      </c>
      <c r="BE161" s="348">
        <f t="shared" si="15"/>
        <v>152</v>
      </c>
      <c r="BG161" s="376" t="str">
        <f>IF($BF161="","",_xll.ciqfunctions.udf.CIQ($BF161,"iq_security_level"))</f>
        <v/>
      </c>
      <c r="BH161" s="348" t="str">
        <f t="shared" si="16"/>
        <v/>
      </c>
      <c r="BJ161" s="348" t="str">
        <f t="shared" si="14"/>
        <v/>
      </c>
      <c r="BK161" s="377" t="str">
        <f>IF($BJ161="","",_xll.ciqfunctions.udf.CIQ($BJ161,"iq_bond_coupon")/100)</f>
        <v/>
      </c>
    </row>
    <row r="162" spans="51:63" ht="12" hidden="1" customHeight="1" outlineLevel="1">
      <c r="AY162" s="373" t="str">
        <f>IF($AX162="","",_xll.ciqfunctions.udf.CIQ($AX162,"iq_offer_date"))</f>
        <v/>
      </c>
      <c r="AZ162" s="374" t="str">
        <f>IF($AX162="","",RANK(AY162,$AY$10:$AY$510)+COUNTIF($AY$10:AY162,AY162)-1)</f>
        <v/>
      </c>
      <c r="BE162" s="348">
        <f t="shared" si="15"/>
        <v>153</v>
      </c>
      <c r="BG162" s="376" t="str">
        <f>IF($BF162="","",_xll.ciqfunctions.udf.CIQ($BF162,"iq_security_level"))</f>
        <v/>
      </c>
      <c r="BH162" s="348" t="str">
        <f t="shared" si="16"/>
        <v/>
      </c>
      <c r="BJ162" s="348" t="str">
        <f t="shared" si="14"/>
        <v/>
      </c>
      <c r="BK162" s="377" t="str">
        <f>IF($BJ162="","",_xll.ciqfunctions.udf.CIQ($BJ162,"iq_bond_coupon")/100)</f>
        <v/>
      </c>
    </row>
    <row r="163" spans="51:63" ht="12" hidden="1" customHeight="1" outlineLevel="1">
      <c r="AY163" s="373" t="str">
        <f>IF($AX163="","",_xll.ciqfunctions.udf.CIQ($AX163,"iq_offer_date"))</f>
        <v/>
      </c>
      <c r="AZ163" s="374" t="str">
        <f>IF($AX163="","",RANK(AY163,$AY$10:$AY$510)+COUNTIF($AY$10:AY163,AY163)-1)</f>
        <v/>
      </c>
      <c r="BE163" s="348">
        <f t="shared" si="15"/>
        <v>154</v>
      </c>
      <c r="BG163" s="376" t="str">
        <f>IF($BF163="","",_xll.ciqfunctions.udf.CIQ($BF163,"iq_security_level"))</f>
        <v/>
      </c>
      <c r="BH163" s="348" t="str">
        <f t="shared" si="16"/>
        <v/>
      </c>
      <c r="BJ163" s="348" t="str">
        <f t="shared" si="14"/>
        <v/>
      </c>
      <c r="BK163" s="377" t="str">
        <f>IF($BJ163="","",_xll.ciqfunctions.udf.CIQ($BJ163,"iq_bond_coupon")/100)</f>
        <v/>
      </c>
    </row>
    <row r="164" spans="51:63" ht="12" hidden="1" customHeight="1" outlineLevel="1">
      <c r="AY164" s="373" t="str">
        <f>IF($AX164="","",_xll.ciqfunctions.udf.CIQ($AX164,"iq_offer_date"))</f>
        <v/>
      </c>
      <c r="AZ164" s="374" t="str">
        <f>IF($AX164="","",RANK(AY164,$AY$10:$AY$510)+COUNTIF($AY$10:AY164,AY164)-1)</f>
        <v/>
      </c>
      <c r="BE164" s="348">
        <f t="shared" si="15"/>
        <v>155</v>
      </c>
      <c r="BG164" s="376" t="str">
        <f>IF($BF164="","",_xll.ciqfunctions.udf.CIQ($BF164,"iq_security_level"))</f>
        <v/>
      </c>
      <c r="BH164" s="348" t="str">
        <f t="shared" si="16"/>
        <v/>
      </c>
      <c r="BJ164" s="348" t="str">
        <f t="shared" si="14"/>
        <v/>
      </c>
      <c r="BK164" s="377" t="str">
        <f>IF($BJ164="","",_xll.ciqfunctions.udf.CIQ($BJ164,"iq_bond_coupon")/100)</f>
        <v/>
      </c>
    </row>
    <row r="165" spans="51:63" ht="12" hidden="1" customHeight="1" outlineLevel="1">
      <c r="AY165" s="373" t="str">
        <f>IF($AX165="","",_xll.ciqfunctions.udf.CIQ($AX165,"iq_offer_date"))</f>
        <v/>
      </c>
      <c r="AZ165" s="374" t="str">
        <f>IF($AX165="","",RANK(AY165,$AY$10:$AY$510)+COUNTIF($AY$10:AY165,AY165)-1)</f>
        <v/>
      </c>
      <c r="BE165" s="348">
        <f t="shared" si="15"/>
        <v>156</v>
      </c>
      <c r="BG165" s="376" t="str">
        <f>IF($BF165="","",_xll.ciqfunctions.udf.CIQ($BF165,"iq_security_level"))</f>
        <v/>
      </c>
      <c r="BH165" s="348" t="str">
        <f t="shared" si="16"/>
        <v/>
      </c>
      <c r="BJ165" s="348" t="str">
        <f t="shared" si="14"/>
        <v/>
      </c>
      <c r="BK165" s="377" t="str">
        <f>IF($BJ165="","",_xll.ciqfunctions.udf.CIQ($BJ165,"iq_bond_coupon")/100)</f>
        <v/>
      </c>
    </row>
    <row r="166" spans="51:63" ht="12" hidden="1" customHeight="1" outlineLevel="1">
      <c r="AY166" s="373" t="str">
        <f>IF($AX166="","",_xll.ciqfunctions.udf.CIQ($AX166,"iq_offer_date"))</f>
        <v/>
      </c>
      <c r="AZ166" s="374" t="str">
        <f>IF($AX166="","",RANK(AY166,$AY$10:$AY$510)+COUNTIF($AY$10:AY166,AY166)-1)</f>
        <v/>
      </c>
      <c r="BE166" s="348">
        <f t="shared" si="15"/>
        <v>157</v>
      </c>
      <c r="BG166" s="376" t="str">
        <f>IF($BF166="","",_xll.ciqfunctions.udf.CIQ($BF166,"iq_security_level"))</f>
        <v/>
      </c>
      <c r="BH166" s="348" t="str">
        <f t="shared" si="16"/>
        <v/>
      </c>
      <c r="BJ166" s="348" t="str">
        <f t="shared" si="14"/>
        <v/>
      </c>
      <c r="BK166" s="377" t="str">
        <f>IF($BJ166="","",_xll.ciqfunctions.udf.CIQ($BJ166,"iq_bond_coupon")/100)</f>
        <v/>
      </c>
    </row>
    <row r="167" spans="51:63" ht="12" hidden="1" customHeight="1" outlineLevel="1">
      <c r="AY167" s="373" t="str">
        <f>IF($AX167="","",_xll.ciqfunctions.udf.CIQ($AX167,"iq_offer_date"))</f>
        <v/>
      </c>
      <c r="AZ167" s="374" t="str">
        <f>IF($AX167="","",RANK(AY167,$AY$10:$AY$510)+COUNTIF($AY$10:AY167,AY167)-1)</f>
        <v/>
      </c>
      <c r="BE167" s="348">
        <f t="shared" si="15"/>
        <v>158</v>
      </c>
      <c r="BG167" s="376" t="str">
        <f>IF($BF167="","",_xll.ciqfunctions.udf.CIQ($BF167,"iq_security_level"))</f>
        <v/>
      </c>
      <c r="BH167" s="348" t="str">
        <f t="shared" si="16"/>
        <v/>
      </c>
      <c r="BJ167" s="348" t="str">
        <f t="shared" si="14"/>
        <v/>
      </c>
      <c r="BK167" s="377" t="str">
        <f>IF($BJ167="","",_xll.ciqfunctions.udf.CIQ($BJ167,"iq_bond_coupon")/100)</f>
        <v/>
      </c>
    </row>
    <row r="168" spans="51:63" ht="12" hidden="1" customHeight="1" outlineLevel="1">
      <c r="AY168" s="373" t="str">
        <f>IF($AX168="","",_xll.ciqfunctions.udf.CIQ($AX168,"iq_offer_date"))</f>
        <v/>
      </c>
      <c r="AZ168" s="374" t="str">
        <f>IF($AX168="","",RANK(AY168,$AY$10:$AY$510)+COUNTIF($AY$10:AY168,AY168)-1)</f>
        <v/>
      </c>
      <c r="BE168" s="348">
        <f t="shared" si="15"/>
        <v>159</v>
      </c>
      <c r="BG168" s="376" t="str">
        <f>IF($BF168="","",_xll.ciqfunctions.udf.CIQ($BF168,"iq_security_level"))</f>
        <v/>
      </c>
      <c r="BH168" s="348" t="str">
        <f t="shared" si="16"/>
        <v/>
      </c>
      <c r="BJ168" s="348" t="str">
        <f t="shared" si="14"/>
        <v/>
      </c>
      <c r="BK168" s="377" t="str">
        <f>IF($BJ168="","",_xll.ciqfunctions.udf.CIQ($BJ168,"iq_bond_coupon")/100)</f>
        <v/>
      </c>
    </row>
    <row r="169" spans="51:63" ht="12" hidden="1" customHeight="1" outlineLevel="1">
      <c r="AY169" s="373" t="str">
        <f>IF($AX169="","",_xll.ciqfunctions.udf.CIQ($AX169,"iq_offer_date"))</f>
        <v/>
      </c>
      <c r="AZ169" s="374" t="str">
        <f>IF($AX169="","",RANK(AY169,$AY$10:$AY$510)+COUNTIF($AY$10:AY169,AY169)-1)</f>
        <v/>
      </c>
      <c r="BE169" s="348">
        <f t="shared" si="15"/>
        <v>160</v>
      </c>
      <c r="BG169" s="376" t="str">
        <f>IF($BF169="","",_xll.ciqfunctions.udf.CIQ($BF169,"iq_security_level"))</f>
        <v/>
      </c>
      <c r="BH169" s="348" t="str">
        <f t="shared" si="16"/>
        <v/>
      </c>
      <c r="BJ169" s="348" t="str">
        <f t="shared" si="14"/>
        <v/>
      </c>
      <c r="BK169" s="377" t="str">
        <f>IF($BJ169="","",_xll.ciqfunctions.udf.CIQ($BJ169,"iq_bond_coupon")/100)</f>
        <v/>
      </c>
    </row>
    <row r="170" spans="51:63" ht="12" hidden="1" customHeight="1" outlineLevel="1">
      <c r="AY170" s="373" t="str">
        <f>IF($AX170="","",_xll.ciqfunctions.udf.CIQ($AX170,"iq_offer_date"))</f>
        <v/>
      </c>
      <c r="AZ170" s="374" t="str">
        <f>IF($AX170="","",RANK(AY170,$AY$10:$AY$510)+COUNTIF($AY$10:AY170,AY170)-1)</f>
        <v/>
      </c>
      <c r="BE170" s="348">
        <f t="shared" si="15"/>
        <v>161</v>
      </c>
      <c r="BG170" s="376" t="str">
        <f>IF($BF170="","",_xll.ciqfunctions.udf.CIQ($BF170,"iq_security_level"))</f>
        <v/>
      </c>
      <c r="BH170" s="348" t="str">
        <f t="shared" si="16"/>
        <v/>
      </c>
      <c r="BJ170" s="348" t="str">
        <f t="shared" si="14"/>
        <v/>
      </c>
      <c r="BK170" s="377" t="str">
        <f>IF($BJ170="","",_xll.ciqfunctions.udf.CIQ($BJ170,"iq_bond_coupon")/100)</f>
        <v/>
      </c>
    </row>
    <row r="171" spans="51:63" ht="12" hidden="1" customHeight="1" outlineLevel="1">
      <c r="AY171" s="373" t="str">
        <f>IF($AX171="","",_xll.ciqfunctions.udf.CIQ($AX171,"iq_offer_date"))</f>
        <v/>
      </c>
      <c r="AZ171" s="374" t="str">
        <f>IF($AX171="","",RANK(AY171,$AY$10:$AY$510)+COUNTIF($AY$10:AY171,AY171)-1)</f>
        <v/>
      </c>
      <c r="BE171" s="348">
        <f t="shared" si="15"/>
        <v>162</v>
      </c>
      <c r="BG171" s="376" t="str">
        <f>IF($BF171="","",_xll.ciqfunctions.udf.CIQ($BF171,"iq_security_level"))</f>
        <v/>
      </c>
      <c r="BH171" s="348" t="str">
        <f t="shared" si="16"/>
        <v/>
      </c>
      <c r="BJ171" s="348" t="str">
        <f t="shared" si="14"/>
        <v/>
      </c>
      <c r="BK171" s="377" t="str">
        <f>IF($BJ171="","",_xll.ciqfunctions.udf.CIQ($BJ171,"iq_bond_coupon")/100)</f>
        <v/>
      </c>
    </row>
    <row r="172" spans="51:63" ht="12" hidden="1" customHeight="1" outlineLevel="1">
      <c r="AY172" s="373" t="str">
        <f>IF($AX172="","",_xll.ciqfunctions.udf.CIQ($AX172,"iq_offer_date"))</f>
        <v/>
      </c>
      <c r="AZ172" s="374" t="str">
        <f>IF($AX172="","",RANK(AY172,$AY$10:$AY$510)+COUNTIF($AY$10:AY172,AY172)-1)</f>
        <v/>
      </c>
      <c r="BE172" s="348">
        <f t="shared" si="15"/>
        <v>163</v>
      </c>
      <c r="BG172" s="376" t="str">
        <f>IF($BF172="","",_xll.ciqfunctions.udf.CIQ($BF172,"iq_security_level"))</f>
        <v/>
      </c>
      <c r="BH172" s="348" t="str">
        <f t="shared" si="16"/>
        <v/>
      </c>
      <c r="BJ172" s="348" t="str">
        <f t="shared" si="14"/>
        <v/>
      </c>
      <c r="BK172" s="377" t="str">
        <f>IF($BJ172="","",_xll.ciqfunctions.udf.CIQ($BJ172,"iq_bond_coupon")/100)</f>
        <v/>
      </c>
    </row>
    <row r="173" spans="51:63" ht="12" hidden="1" customHeight="1" outlineLevel="1">
      <c r="AY173" s="373" t="str">
        <f>IF($AX173="","",_xll.ciqfunctions.udf.CIQ($AX173,"iq_offer_date"))</f>
        <v/>
      </c>
      <c r="AZ173" s="374" t="str">
        <f>IF($AX173="","",RANK(AY173,$AY$10:$AY$510)+COUNTIF($AY$10:AY173,AY173)-1)</f>
        <v/>
      </c>
      <c r="BE173" s="348">
        <f t="shared" si="15"/>
        <v>164</v>
      </c>
      <c r="BG173" s="376" t="str">
        <f>IF($BF173="","",_xll.ciqfunctions.udf.CIQ($BF173,"iq_security_level"))</f>
        <v/>
      </c>
      <c r="BH173" s="348" t="str">
        <f t="shared" si="16"/>
        <v/>
      </c>
      <c r="BJ173" s="348" t="str">
        <f t="shared" si="14"/>
        <v/>
      </c>
      <c r="BK173" s="377" t="str">
        <f>IF($BJ173="","",_xll.ciqfunctions.udf.CIQ($BJ173,"iq_bond_coupon")/100)</f>
        <v/>
      </c>
    </row>
    <row r="174" spans="51:63" ht="12" hidden="1" customHeight="1" outlineLevel="1">
      <c r="AY174" s="373" t="str">
        <f>IF($AX174="","",_xll.ciqfunctions.udf.CIQ($AX174,"iq_offer_date"))</f>
        <v/>
      </c>
      <c r="AZ174" s="374" t="str">
        <f>IF($AX174="","",RANK(AY174,$AY$10:$AY$510)+COUNTIF($AY$10:AY174,AY174)-1)</f>
        <v/>
      </c>
      <c r="BE174" s="348">
        <f t="shared" si="15"/>
        <v>165</v>
      </c>
      <c r="BG174" s="376" t="str">
        <f>IF($BF174="","",_xll.ciqfunctions.udf.CIQ($BF174,"iq_security_level"))</f>
        <v/>
      </c>
      <c r="BH174" s="348" t="str">
        <f t="shared" si="16"/>
        <v/>
      </c>
      <c r="BJ174" s="348" t="str">
        <f t="shared" si="14"/>
        <v/>
      </c>
      <c r="BK174" s="377" t="str">
        <f>IF($BJ174="","",_xll.ciqfunctions.udf.CIQ($BJ174,"iq_bond_coupon")/100)</f>
        <v/>
      </c>
    </row>
    <row r="175" spans="51:63" ht="12" hidden="1" customHeight="1" outlineLevel="1">
      <c r="AY175" s="373" t="str">
        <f>IF($AX175="","",_xll.ciqfunctions.udf.CIQ($AX175,"iq_offer_date"))</f>
        <v/>
      </c>
      <c r="AZ175" s="374" t="str">
        <f>IF($AX175="","",RANK(AY175,$AY$10:$AY$510)+COUNTIF($AY$10:AY175,AY175)-1)</f>
        <v/>
      </c>
      <c r="BE175" s="348">
        <f t="shared" si="15"/>
        <v>166</v>
      </c>
      <c r="BG175" s="376" t="str">
        <f>IF($BF175="","",_xll.ciqfunctions.udf.CIQ($BF175,"iq_security_level"))</f>
        <v/>
      </c>
      <c r="BH175" s="348" t="str">
        <f t="shared" si="16"/>
        <v/>
      </c>
      <c r="BJ175" s="348" t="str">
        <f t="shared" si="14"/>
        <v/>
      </c>
      <c r="BK175" s="377" t="str">
        <f>IF($BJ175="","",_xll.ciqfunctions.udf.CIQ($BJ175,"iq_bond_coupon")/100)</f>
        <v/>
      </c>
    </row>
    <row r="176" spans="51:63" ht="12" hidden="1" customHeight="1" outlineLevel="1">
      <c r="AY176" s="373" t="str">
        <f>IF($AX176="","",_xll.ciqfunctions.udf.CIQ($AX176,"iq_offer_date"))</f>
        <v/>
      </c>
      <c r="AZ176" s="374" t="str">
        <f>IF($AX176="","",RANK(AY176,$AY$10:$AY$510)+COUNTIF($AY$10:AY176,AY176)-1)</f>
        <v/>
      </c>
      <c r="BE176" s="348">
        <f t="shared" si="15"/>
        <v>167</v>
      </c>
      <c r="BG176" s="376" t="str">
        <f>IF($BF176="","",_xll.ciqfunctions.udf.CIQ($BF176,"iq_security_level"))</f>
        <v/>
      </c>
      <c r="BH176" s="348" t="str">
        <f t="shared" si="16"/>
        <v/>
      </c>
      <c r="BJ176" s="348" t="str">
        <f t="shared" si="14"/>
        <v/>
      </c>
      <c r="BK176" s="377" t="str">
        <f>IF($BJ176="","",_xll.ciqfunctions.udf.CIQ($BJ176,"iq_bond_coupon")/100)</f>
        <v/>
      </c>
    </row>
    <row r="177" spans="51:63" ht="12" hidden="1" customHeight="1" outlineLevel="1">
      <c r="AY177" s="373" t="str">
        <f>IF($AX177="","",_xll.ciqfunctions.udf.CIQ($AX177,"iq_offer_date"))</f>
        <v/>
      </c>
      <c r="AZ177" s="374" t="str">
        <f>IF($AX177="","",RANK(AY177,$AY$10:$AY$510)+COUNTIF($AY$10:AY177,AY177)-1)</f>
        <v/>
      </c>
      <c r="BE177" s="348">
        <f t="shared" si="15"/>
        <v>168</v>
      </c>
      <c r="BG177" s="376" t="str">
        <f>IF($BF177="","",_xll.ciqfunctions.udf.CIQ($BF177,"iq_security_level"))</f>
        <v/>
      </c>
      <c r="BH177" s="348" t="str">
        <f t="shared" si="16"/>
        <v/>
      </c>
      <c r="BJ177" s="348" t="str">
        <f t="shared" si="14"/>
        <v/>
      </c>
      <c r="BK177" s="377" t="str">
        <f>IF($BJ177="","",_xll.ciqfunctions.udf.CIQ($BJ177,"iq_bond_coupon")/100)</f>
        <v/>
      </c>
    </row>
    <row r="178" spans="51:63" ht="12" hidden="1" customHeight="1" outlineLevel="1">
      <c r="AY178" s="373" t="str">
        <f>IF($AX178="","",_xll.ciqfunctions.udf.CIQ($AX178,"iq_offer_date"))</f>
        <v/>
      </c>
      <c r="AZ178" s="374" t="str">
        <f>IF($AX178="","",RANK(AY178,$AY$10:$AY$510)+COUNTIF($AY$10:AY178,AY178)-1)</f>
        <v/>
      </c>
      <c r="BE178" s="348">
        <f t="shared" si="15"/>
        <v>169</v>
      </c>
      <c r="BG178" s="376" t="str">
        <f>IF($BF178="","",_xll.ciqfunctions.udf.CIQ($BF178,"iq_security_level"))</f>
        <v/>
      </c>
      <c r="BH178" s="348" t="str">
        <f t="shared" si="16"/>
        <v/>
      </c>
      <c r="BJ178" s="348" t="str">
        <f t="shared" si="14"/>
        <v/>
      </c>
      <c r="BK178" s="377" t="str">
        <f>IF($BJ178="","",_xll.ciqfunctions.udf.CIQ($BJ178,"iq_bond_coupon")/100)</f>
        <v/>
      </c>
    </row>
    <row r="179" spans="51:63" ht="12" hidden="1" customHeight="1" outlineLevel="1">
      <c r="AY179" s="373" t="str">
        <f>IF($AX179="","",_xll.ciqfunctions.udf.CIQ($AX179,"iq_offer_date"))</f>
        <v/>
      </c>
      <c r="AZ179" s="374" t="str">
        <f>IF($AX179="","",RANK(AY179,$AY$10:$AY$510)+COUNTIF($AY$10:AY179,AY179)-1)</f>
        <v/>
      </c>
      <c r="BE179" s="348">
        <f t="shared" si="15"/>
        <v>170</v>
      </c>
      <c r="BG179" s="376" t="str">
        <f>IF($BF179="","",_xll.ciqfunctions.udf.CIQ($BF179,"iq_security_level"))</f>
        <v/>
      </c>
      <c r="BH179" s="348" t="str">
        <f t="shared" si="16"/>
        <v/>
      </c>
      <c r="BJ179" s="348" t="str">
        <f t="shared" si="14"/>
        <v/>
      </c>
      <c r="BK179" s="377" t="str">
        <f>IF($BJ179="","",_xll.ciqfunctions.udf.CIQ($BJ179,"iq_bond_coupon")/100)</f>
        <v/>
      </c>
    </row>
    <row r="180" spans="51:63" ht="12" hidden="1" customHeight="1" outlineLevel="1">
      <c r="AY180" s="373" t="str">
        <f>IF($AX180="","",_xll.ciqfunctions.udf.CIQ($AX180,"iq_offer_date"))</f>
        <v/>
      </c>
      <c r="AZ180" s="374" t="str">
        <f>IF($AX180="","",RANK(AY180,$AY$10:$AY$510)+COUNTIF($AY$10:AY180,AY180)-1)</f>
        <v/>
      </c>
      <c r="BE180" s="348">
        <f t="shared" si="15"/>
        <v>171</v>
      </c>
      <c r="BG180" s="376" t="str">
        <f>IF($BF180="","",_xll.ciqfunctions.udf.CIQ($BF180,"iq_security_level"))</f>
        <v/>
      </c>
      <c r="BH180" s="348" t="str">
        <f t="shared" si="16"/>
        <v/>
      </c>
      <c r="BJ180" s="348" t="str">
        <f t="shared" si="14"/>
        <v/>
      </c>
      <c r="BK180" s="377" t="str">
        <f>IF($BJ180="","",_xll.ciqfunctions.udf.CIQ($BJ180,"iq_bond_coupon")/100)</f>
        <v/>
      </c>
    </row>
    <row r="181" spans="51:63" ht="12" hidden="1" customHeight="1" outlineLevel="1">
      <c r="AY181" s="373" t="str">
        <f>IF($AX181="","",_xll.ciqfunctions.udf.CIQ($AX181,"iq_offer_date"))</f>
        <v/>
      </c>
      <c r="AZ181" s="374" t="str">
        <f>IF($AX181="","",RANK(AY181,$AY$10:$AY$510)+COUNTIF($AY$10:AY181,AY181)-1)</f>
        <v/>
      </c>
      <c r="BE181" s="348">
        <f t="shared" si="15"/>
        <v>172</v>
      </c>
      <c r="BG181" s="376" t="str">
        <f>IF($BF181="","",_xll.ciqfunctions.udf.CIQ($BF181,"iq_security_level"))</f>
        <v/>
      </c>
      <c r="BH181" s="348" t="str">
        <f t="shared" si="16"/>
        <v/>
      </c>
      <c r="BJ181" s="348" t="str">
        <f t="shared" ref="BJ181:BJ244" si="17">IF($BF180="","",IF(ISERROR(INDEX($BF$10:$BF$509,MATCH(BE180,$BH$10:$BH$509,0))),"",INDEX($BF$10:$BF$509,MATCH(BE180,$BH$10:$BH$509,0))))</f>
        <v/>
      </c>
      <c r="BK181" s="377" t="str">
        <f>IF($BJ181="","",_xll.ciqfunctions.udf.CIQ($BJ181,"iq_bond_coupon")/100)</f>
        <v/>
      </c>
    </row>
    <row r="182" spans="51:63" ht="12" hidden="1" customHeight="1" outlineLevel="1">
      <c r="AY182" s="373" t="str">
        <f>IF($AX182="","",_xll.ciqfunctions.udf.CIQ($AX182,"iq_offer_date"))</f>
        <v/>
      </c>
      <c r="AZ182" s="374" t="str">
        <f>IF($AX182="","",RANK(AY182,$AY$10:$AY$510)+COUNTIF($AY$10:AY182,AY182)-1)</f>
        <v/>
      </c>
      <c r="BE182" s="348">
        <f t="shared" si="15"/>
        <v>173</v>
      </c>
      <c r="BG182" s="376" t="str">
        <f>IF($BF182="","",_xll.ciqfunctions.udf.CIQ($BF182,"iq_security_level"))</f>
        <v/>
      </c>
      <c r="BH182" s="348" t="str">
        <f t="shared" si="16"/>
        <v/>
      </c>
      <c r="BJ182" s="348" t="str">
        <f t="shared" si="17"/>
        <v/>
      </c>
      <c r="BK182" s="377" t="str">
        <f>IF($BJ182="","",_xll.ciqfunctions.udf.CIQ($BJ182,"iq_bond_coupon")/100)</f>
        <v/>
      </c>
    </row>
    <row r="183" spans="51:63" ht="12" hidden="1" customHeight="1" outlineLevel="1">
      <c r="AY183" s="373" t="str">
        <f>IF($AX183="","",_xll.ciqfunctions.udf.CIQ($AX183,"iq_offer_date"))</f>
        <v/>
      </c>
      <c r="AZ183" s="374" t="str">
        <f>IF($AX183="","",RANK(AY183,$AY$10:$AY$510)+COUNTIF($AY$10:AY183,AY183)-1)</f>
        <v/>
      </c>
      <c r="BE183" s="348">
        <f t="shared" si="15"/>
        <v>174</v>
      </c>
      <c r="BG183" s="376" t="str">
        <f>IF($BF183="","",_xll.ciqfunctions.udf.CIQ($BF183,"iq_security_level"))</f>
        <v/>
      </c>
      <c r="BH183" s="348" t="str">
        <f t="shared" si="16"/>
        <v/>
      </c>
      <c r="BJ183" s="348" t="str">
        <f t="shared" si="17"/>
        <v/>
      </c>
      <c r="BK183" s="377" t="str">
        <f>IF($BJ183="","",_xll.ciqfunctions.udf.CIQ($BJ183,"iq_bond_coupon")/100)</f>
        <v/>
      </c>
    </row>
    <row r="184" spans="51:63" ht="12" hidden="1" customHeight="1" outlineLevel="1">
      <c r="AY184" s="373" t="str">
        <f>IF($AX184="","",_xll.ciqfunctions.udf.CIQ($AX184,"iq_offer_date"))</f>
        <v/>
      </c>
      <c r="AZ184" s="374" t="str">
        <f>IF($AX184="","",RANK(AY184,$AY$10:$AY$510)+COUNTIF($AY$10:AY184,AY184)-1)</f>
        <v/>
      </c>
      <c r="BE184" s="348">
        <f t="shared" si="15"/>
        <v>175</v>
      </c>
      <c r="BG184" s="376" t="str">
        <f>IF($BF184="","",_xll.ciqfunctions.udf.CIQ($BF184,"iq_security_level"))</f>
        <v/>
      </c>
      <c r="BH184" s="348" t="str">
        <f t="shared" si="16"/>
        <v/>
      </c>
      <c r="BJ184" s="348" t="str">
        <f t="shared" si="17"/>
        <v/>
      </c>
      <c r="BK184" s="377" t="str">
        <f>IF($BJ184="","",_xll.ciqfunctions.udf.CIQ($BJ184,"iq_bond_coupon")/100)</f>
        <v/>
      </c>
    </row>
    <row r="185" spans="51:63" ht="12" hidden="1" customHeight="1" outlineLevel="1">
      <c r="AY185" s="373" t="str">
        <f>IF($AX185="","",_xll.ciqfunctions.udf.CIQ($AX185,"iq_offer_date"))</f>
        <v/>
      </c>
      <c r="AZ185" s="374" t="str">
        <f>IF($AX185="","",RANK(AY185,$AY$10:$AY$510)+COUNTIF($AY$10:AY185,AY185)-1)</f>
        <v/>
      </c>
      <c r="BE185" s="348">
        <f t="shared" si="15"/>
        <v>176</v>
      </c>
      <c r="BG185" s="376" t="str">
        <f>IF($BF185="","",_xll.ciqfunctions.udf.CIQ($BF185,"iq_security_level"))</f>
        <v/>
      </c>
      <c r="BH185" s="348" t="str">
        <f t="shared" si="16"/>
        <v/>
      </c>
      <c r="BJ185" s="348" t="str">
        <f t="shared" si="17"/>
        <v/>
      </c>
      <c r="BK185" s="377" t="str">
        <f>IF($BJ185="","",_xll.ciqfunctions.udf.CIQ($BJ185,"iq_bond_coupon")/100)</f>
        <v/>
      </c>
    </row>
    <row r="186" spans="51:63" ht="12" hidden="1" customHeight="1" outlineLevel="1">
      <c r="AY186" s="373" t="str">
        <f>IF($AX186="","",_xll.ciqfunctions.udf.CIQ($AX186,"iq_offer_date"))</f>
        <v/>
      </c>
      <c r="AZ186" s="374" t="str">
        <f>IF($AX186="","",RANK(AY186,$AY$10:$AY$510)+COUNTIF($AY$10:AY186,AY186)-1)</f>
        <v/>
      </c>
      <c r="BE186" s="348">
        <f t="shared" si="15"/>
        <v>177</v>
      </c>
      <c r="BG186" s="376" t="str">
        <f>IF($BF186="","",_xll.ciqfunctions.udf.CIQ($BF186,"iq_security_level"))</f>
        <v/>
      </c>
      <c r="BH186" s="348" t="str">
        <f t="shared" si="16"/>
        <v/>
      </c>
      <c r="BJ186" s="348" t="str">
        <f t="shared" si="17"/>
        <v/>
      </c>
      <c r="BK186" s="377" t="str">
        <f>IF($BJ186="","",_xll.ciqfunctions.udf.CIQ($BJ186,"iq_bond_coupon")/100)</f>
        <v/>
      </c>
    </row>
    <row r="187" spans="51:63" ht="12" hidden="1" customHeight="1" outlineLevel="1">
      <c r="AY187" s="373" t="str">
        <f>IF($AX187="","",_xll.ciqfunctions.udf.CIQ($AX187,"iq_offer_date"))</f>
        <v/>
      </c>
      <c r="AZ187" s="374" t="str">
        <f>IF($AX187="","",RANK(AY187,$AY$10:$AY$510)+COUNTIF($AY$10:AY187,AY187)-1)</f>
        <v/>
      </c>
      <c r="BE187" s="348">
        <f t="shared" si="15"/>
        <v>178</v>
      </c>
      <c r="BG187" s="376" t="str">
        <f>IF($BF187="","",_xll.ciqfunctions.udf.CIQ($BF187,"iq_security_level"))</f>
        <v/>
      </c>
      <c r="BH187" s="348" t="str">
        <f t="shared" si="16"/>
        <v/>
      </c>
      <c r="BJ187" s="348" t="str">
        <f t="shared" si="17"/>
        <v/>
      </c>
      <c r="BK187" s="377" t="str">
        <f>IF($BJ187="","",_xll.ciqfunctions.udf.CIQ($BJ187,"iq_bond_coupon")/100)</f>
        <v/>
      </c>
    </row>
    <row r="188" spans="51:63" ht="12" hidden="1" customHeight="1" outlineLevel="1">
      <c r="AY188" s="373" t="str">
        <f>IF($AX188="","",_xll.ciqfunctions.udf.CIQ($AX188,"iq_offer_date"))</f>
        <v/>
      </c>
      <c r="AZ188" s="374" t="str">
        <f>IF($AX188="","",RANK(AY188,$AY$10:$AY$510)+COUNTIF($AY$10:AY188,AY188)-1)</f>
        <v/>
      </c>
      <c r="BE188" s="348">
        <f t="shared" si="15"/>
        <v>179</v>
      </c>
      <c r="BG188" s="376" t="str">
        <f>IF($BF188="","",_xll.ciqfunctions.udf.CIQ($BF188,"iq_security_level"))</f>
        <v/>
      </c>
      <c r="BH188" s="348" t="str">
        <f t="shared" si="16"/>
        <v/>
      </c>
      <c r="BJ188" s="348" t="str">
        <f t="shared" si="17"/>
        <v/>
      </c>
      <c r="BK188" s="377" t="str">
        <f>IF($BJ188="","",_xll.ciqfunctions.udf.CIQ($BJ188,"iq_bond_coupon")/100)</f>
        <v/>
      </c>
    </row>
    <row r="189" spans="51:63" ht="12" hidden="1" customHeight="1" outlineLevel="1">
      <c r="AY189" s="373" t="str">
        <f>IF($AX189="","",_xll.ciqfunctions.udf.CIQ($AX189,"iq_offer_date"))</f>
        <v/>
      </c>
      <c r="AZ189" s="374" t="str">
        <f>IF($AX189="","",RANK(AY189,$AY$10:$AY$510)+COUNTIF($AY$10:AY189,AY189)-1)</f>
        <v/>
      </c>
      <c r="BE189" s="348">
        <f t="shared" si="15"/>
        <v>180</v>
      </c>
      <c r="BG189" s="376" t="str">
        <f>IF($BF189="","",_xll.ciqfunctions.udf.CIQ($BF189,"iq_security_level"))</f>
        <v/>
      </c>
      <c r="BH189" s="348" t="str">
        <f t="shared" si="16"/>
        <v/>
      </c>
      <c r="BJ189" s="348" t="str">
        <f t="shared" si="17"/>
        <v/>
      </c>
      <c r="BK189" s="377" t="str">
        <f>IF($BJ189="","",_xll.ciqfunctions.udf.CIQ($BJ189,"iq_bond_coupon")/100)</f>
        <v/>
      </c>
    </row>
    <row r="190" spans="51:63" ht="12" hidden="1" customHeight="1" outlineLevel="1">
      <c r="AY190" s="373" t="str">
        <f>IF($AX190="","",_xll.ciqfunctions.udf.CIQ($AX190,"iq_offer_date"))</f>
        <v/>
      </c>
      <c r="AZ190" s="374" t="str">
        <f>IF($AX190="","",RANK(AY190,$AY$10:$AY$510)+COUNTIF($AY$10:AY190,AY190)-1)</f>
        <v/>
      </c>
      <c r="BE190" s="348">
        <f t="shared" si="15"/>
        <v>181</v>
      </c>
      <c r="BG190" s="376" t="str">
        <f>IF($BF190="","",_xll.ciqfunctions.udf.CIQ($BF190,"iq_security_level"))</f>
        <v/>
      </c>
      <c r="BH190" s="348" t="str">
        <f t="shared" si="16"/>
        <v/>
      </c>
      <c r="BJ190" s="348" t="str">
        <f t="shared" si="17"/>
        <v/>
      </c>
      <c r="BK190" s="377" t="str">
        <f>IF($BJ190="","",_xll.ciqfunctions.udf.CIQ($BJ190,"iq_bond_coupon")/100)</f>
        <v/>
      </c>
    </row>
    <row r="191" spans="51:63" ht="12" hidden="1" customHeight="1" outlineLevel="1">
      <c r="AY191" s="373" t="str">
        <f>IF($AX191="","",_xll.ciqfunctions.udf.CIQ($AX191,"iq_offer_date"))</f>
        <v/>
      </c>
      <c r="AZ191" s="374" t="str">
        <f>IF($AX191="","",RANK(AY191,$AY$10:$AY$510)+COUNTIF($AY$10:AY191,AY191)-1)</f>
        <v/>
      </c>
      <c r="BE191" s="348">
        <f t="shared" si="15"/>
        <v>182</v>
      </c>
      <c r="BG191" s="376" t="str">
        <f>IF($BF191="","",_xll.ciqfunctions.udf.CIQ($BF191,"iq_security_level"))</f>
        <v/>
      </c>
      <c r="BH191" s="348" t="str">
        <f t="shared" si="16"/>
        <v/>
      </c>
      <c r="BJ191" s="348" t="str">
        <f t="shared" si="17"/>
        <v/>
      </c>
      <c r="BK191" s="377" t="str">
        <f>IF($BJ191="","",_xll.ciqfunctions.udf.CIQ($BJ191,"iq_bond_coupon")/100)</f>
        <v/>
      </c>
    </row>
    <row r="192" spans="51:63" ht="12" hidden="1" customHeight="1" outlineLevel="1">
      <c r="AY192" s="373" t="str">
        <f>IF($AX192="","",_xll.ciqfunctions.udf.CIQ($AX192,"iq_offer_date"))</f>
        <v/>
      </c>
      <c r="AZ192" s="374" t="str">
        <f>IF($AX192="","",RANK(AY192,$AY$10:$AY$510)+COUNTIF($AY$10:AY192,AY192)-1)</f>
        <v/>
      </c>
      <c r="BE192" s="348">
        <f t="shared" si="15"/>
        <v>183</v>
      </c>
      <c r="BG192" s="376" t="str">
        <f>IF($BF192="","",_xll.ciqfunctions.udf.CIQ($BF192,"iq_security_level"))</f>
        <v/>
      </c>
      <c r="BH192" s="348" t="str">
        <f t="shared" si="16"/>
        <v/>
      </c>
      <c r="BJ192" s="348" t="str">
        <f t="shared" si="17"/>
        <v/>
      </c>
      <c r="BK192" s="377" t="str">
        <f>IF($BJ192="","",_xll.ciqfunctions.udf.CIQ($BJ192,"iq_bond_coupon")/100)</f>
        <v/>
      </c>
    </row>
    <row r="193" spans="51:63" ht="12" hidden="1" customHeight="1" outlineLevel="1">
      <c r="AY193" s="373" t="str">
        <f>IF($AX193="","",_xll.ciqfunctions.udf.CIQ($AX193,"iq_offer_date"))</f>
        <v/>
      </c>
      <c r="AZ193" s="374" t="str">
        <f>IF($AX193="","",RANK(AY193,$AY$10:$AY$510)+COUNTIF($AY$10:AY193,AY193)-1)</f>
        <v/>
      </c>
      <c r="BE193" s="348">
        <f t="shared" si="15"/>
        <v>184</v>
      </c>
      <c r="BG193" s="376" t="str">
        <f>IF($BF193="","",_xll.ciqfunctions.udf.CIQ($BF193,"iq_security_level"))</f>
        <v/>
      </c>
      <c r="BH193" s="348" t="str">
        <f t="shared" si="16"/>
        <v/>
      </c>
      <c r="BJ193" s="348" t="str">
        <f t="shared" si="17"/>
        <v/>
      </c>
      <c r="BK193" s="377" t="str">
        <f>IF($BJ193="","",_xll.ciqfunctions.udf.CIQ($BJ193,"iq_bond_coupon")/100)</f>
        <v/>
      </c>
    </row>
    <row r="194" spans="51:63" ht="12" hidden="1" customHeight="1" outlineLevel="1">
      <c r="AY194" s="373" t="str">
        <f>IF($AX194="","",_xll.ciqfunctions.udf.CIQ($AX194,"iq_offer_date"))</f>
        <v/>
      </c>
      <c r="AZ194" s="374" t="str">
        <f>IF($AX194="","",RANK(AY194,$AY$10:$AY$510)+COUNTIF($AY$10:AY194,AY194)-1)</f>
        <v/>
      </c>
      <c r="BE194" s="348">
        <f t="shared" si="15"/>
        <v>185</v>
      </c>
      <c r="BG194" s="376" t="str">
        <f>IF($BF194="","",_xll.ciqfunctions.udf.CIQ($BF194,"iq_security_level"))</f>
        <v/>
      </c>
      <c r="BH194" s="348" t="str">
        <f t="shared" si="16"/>
        <v/>
      </c>
      <c r="BJ194" s="348" t="str">
        <f t="shared" si="17"/>
        <v/>
      </c>
      <c r="BK194" s="377" t="str">
        <f>IF($BJ194="","",_xll.ciqfunctions.udf.CIQ($BJ194,"iq_bond_coupon")/100)</f>
        <v/>
      </c>
    </row>
    <row r="195" spans="51:63" ht="12" hidden="1" customHeight="1" outlineLevel="1">
      <c r="AY195" s="373" t="str">
        <f>IF($AX195="","",_xll.ciqfunctions.udf.CIQ($AX195,"iq_offer_date"))</f>
        <v/>
      </c>
      <c r="AZ195" s="374" t="str">
        <f>IF($AX195="","",RANK(AY195,$AY$10:$AY$510)+COUNTIF($AY$10:AY195,AY195)-1)</f>
        <v/>
      </c>
      <c r="BE195" s="348">
        <f t="shared" si="15"/>
        <v>186</v>
      </c>
      <c r="BG195" s="376" t="str">
        <f>IF($BF195="","",_xll.ciqfunctions.udf.CIQ($BF195,"iq_security_level"))</f>
        <v/>
      </c>
      <c r="BH195" s="348" t="str">
        <f t="shared" si="16"/>
        <v/>
      </c>
      <c r="BJ195" s="348" t="str">
        <f t="shared" si="17"/>
        <v/>
      </c>
      <c r="BK195" s="377" t="str">
        <f>IF($BJ195="","",_xll.ciqfunctions.udf.CIQ($BJ195,"iq_bond_coupon")/100)</f>
        <v/>
      </c>
    </row>
    <row r="196" spans="51:63" ht="12" hidden="1" customHeight="1" outlineLevel="1">
      <c r="AY196" s="373" t="str">
        <f>IF($AX196="","",_xll.ciqfunctions.udf.CIQ($AX196,"iq_offer_date"))</f>
        <v/>
      </c>
      <c r="AZ196" s="374" t="str">
        <f>IF($AX196="","",RANK(AY196,$AY$10:$AY$510)+COUNTIF($AY$10:AY196,AY196)-1)</f>
        <v/>
      </c>
      <c r="BE196" s="348">
        <f t="shared" si="15"/>
        <v>187</v>
      </c>
      <c r="BG196" s="376" t="str">
        <f>IF($BF196="","",_xll.ciqfunctions.udf.CIQ($BF196,"iq_security_level"))</f>
        <v/>
      </c>
      <c r="BH196" s="348" t="str">
        <f t="shared" si="16"/>
        <v/>
      </c>
      <c r="BJ196" s="348" t="str">
        <f t="shared" si="17"/>
        <v/>
      </c>
      <c r="BK196" s="377" t="str">
        <f>IF($BJ196="","",_xll.ciqfunctions.udf.CIQ($BJ196,"iq_bond_coupon")/100)</f>
        <v/>
      </c>
    </row>
    <row r="197" spans="51:63" ht="12" hidden="1" customHeight="1" outlineLevel="1">
      <c r="AY197" s="373" t="str">
        <f>IF($AX197="","",_xll.ciqfunctions.udf.CIQ($AX197,"iq_offer_date"))</f>
        <v/>
      </c>
      <c r="AZ197" s="374" t="str">
        <f>IF($AX197="","",RANK(AY197,$AY$10:$AY$510)+COUNTIF($AY$10:AY197,AY197)-1)</f>
        <v/>
      </c>
      <c r="BE197" s="348">
        <f t="shared" si="15"/>
        <v>188</v>
      </c>
      <c r="BG197" s="376" t="str">
        <f>IF($BF197="","",_xll.ciqfunctions.udf.CIQ($BF197,"iq_security_level"))</f>
        <v/>
      </c>
      <c r="BH197" s="348" t="str">
        <f t="shared" si="16"/>
        <v/>
      </c>
      <c r="BJ197" s="348" t="str">
        <f t="shared" si="17"/>
        <v/>
      </c>
      <c r="BK197" s="377" t="str">
        <f>IF($BJ197="","",_xll.ciqfunctions.udf.CIQ($BJ197,"iq_bond_coupon")/100)</f>
        <v/>
      </c>
    </row>
    <row r="198" spans="51:63" ht="12" hidden="1" customHeight="1" outlineLevel="1">
      <c r="AY198" s="373" t="str">
        <f>IF($AX198="","",_xll.ciqfunctions.udf.CIQ($AX198,"iq_offer_date"))</f>
        <v/>
      </c>
      <c r="AZ198" s="374" t="str">
        <f>IF($AX198="","",RANK(AY198,$AY$10:$AY$510)+COUNTIF($AY$10:AY198,AY198)-1)</f>
        <v/>
      </c>
      <c r="BE198" s="348">
        <f t="shared" si="15"/>
        <v>189</v>
      </c>
      <c r="BG198" s="376" t="str">
        <f>IF($BF198="","",_xll.ciqfunctions.udf.CIQ($BF198,"iq_security_level"))</f>
        <v/>
      </c>
      <c r="BH198" s="348" t="str">
        <f t="shared" si="16"/>
        <v/>
      </c>
      <c r="BJ198" s="348" t="str">
        <f t="shared" si="17"/>
        <v/>
      </c>
      <c r="BK198" s="377" t="str">
        <f>IF($BJ198="","",_xll.ciqfunctions.udf.CIQ($BJ198,"iq_bond_coupon")/100)</f>
        <v/>
      </c>
    </row>
    <row r="199" spans="51:63" ht="12" hidden="1" customHeight="1" outlineLevel="1">
      <c r="AY199" s="373" t="str">
        <f>IF($AX199="","",_xll.ciqfunctions.udf.CIQ($AX199,"iq_offer_date"))</f>
        <v/>
      </c>
      <c r="AZ199" s="374" t="str">
        <f>IF($AX199="","",RANK(AY199,$AY$10:$AY$510)+COUNTIF($AY$10:AY199,AY199)-1)</f>
        <v/>
      </c>
      <c r="BE199" s="348">
        <f t="shared" si="15"/>
        <v>190</v>
      </c>
      <c r="BG199" s="376" t="str">
        <f>IF($BF199="","",_xll.ciqfunctions.udf.CIQ($BF199,"iq_security_level"))</f>
        <v/>
      </c>
      <c r="BH199" s="348" t="str">
        <f t="shared" si="16"/>
        <v/>
      </c>
      <c r="BJ199" s="348" t="str">
        <f t="shared" si="17"/>
        <v/>
      </c>
      <c r="BK199" s="377" t="str">
        <f>IF($BJ199="","",_xll.ciqfunctions.udf.CIQ($BJ199,"iq_bond_coupon")/100)</f>
        <v/>
      </c>
    </row>
    <row r="200" spans="51:63" ht="12" hidden="1" customHeight="1" outlineLevel="1">
      <c r="AY200" s="373" t="str">
        <f>IF($AX200="","",_xll.ciqfunctions.udf.CIQ($AX200,"iq_offer_date"))</f>
        <v/>
      </c>
      <c r="AZ200" s="374" t="str">
        <f>IF($AX200="","",RANK(AY200,$AY$10:$AY$510)+COUNTIF($AY$10:AY200,AY200)-1)</f>
        <v/>
      </c>
      <c r="BE200" s="348">
        <f t="shared" si="15"/>
        <v>191</v>
      </c>
      <c r="BG200" s="376" t="str">
        <f>IF($BF200="","",_xll.ciqfunctions.udf.CIQ($BF200,"iq_security_level"))</f>
        <v/>
      </c>
      <c r="BH200" s="348" t="str">
        <f t="shared" si="16"/>
        <v/>
      </c>
      <c r="BJ200" s="348" t="str">
        <f t="shared" si="17"/>
        <v/>
      </c>
      <c r="BK200" s="377" t="str">
        <f>IF($BJ200="","",_xll.ciqfunctions.udf.CIQ($BJ200,"iq_bond_coupon")/100)</f>
        <v/>
      </c>
    </row>
    <row r="201" spans="51:63" ht="12" hidden="1" customHeight="1" outlineLevel="1">
      <c r="AY201" s="373" t="str">
        <f>IF($AX201="","",_xll.ciqfunctions.udf.CIQ($AX201,"iq_offer_date"))</f>
        <v/>
      </c>
      <c r="AZ201" s="374" t="str">
        <f>IF($AX201="","",RANK(AY201,$AY$10:$AY$510)+COUNTIF($AY$10:AY201,AY201)-1)</f>
        <v/>
      </c>
      <c r="BE201" s="348">
        <f t="shared" si="15"/>
        <v>192</v>
      </c>
      <c r="BG201" s="376" t="str">
        <f>IF($BF201="","",_xll.ciqfunctions.udf.CIQ($BF201,"iq_security_level"))</f>
        <v/>
      </c>
      <c r="BH201" s="348" t="str">
        <f t="shared" si="16"/>
        <v/>
      </c>
      <c r="BJ201" s="348" t="str">
        <f t="shared" si="17"/>
        <v/>
      </c>
      <c r="BK201" s="377" t="str">
        <f>IF($BJ201="","",_xll.ciqfunctions.udf.CIQ($BJ201,"iq_bond_coupon")/100)</f>
        <v/>
      </c>
    </row>
    <row r="202" spans="51:63" ht="12" hidden="1" customHeight="1" outlineLevel="1">
      <c r="AY202" s="373" t="str">
        <f>IF($AX202="","",_xll.ciqfunctions.udf.CIQ($AX202,"iq_offer_date"))</f>
        <v/>
      </c>
      <c r="AZ202" s="374" t="str">
        <f>IF($AX202="","",RANK(AY202,$AY$10:$AY$510)+COUNTIF($AY$10:AY202,AY202)-1)</f>
        <v/>
      </c>
      <c r="BE202" s="348">
        <f t="shared" si="15"/>
        <v>193</v>
      </c>
      <c r="BG202" s="376" t="str">
        <f>IF($BF202="","",_xll.ciqfunctions.udf.CIQ($BF202,"iq_security_level"))</f>
        <v/>
      </c>
      <c r="BH202" s="348" t="str">
        <f t="shared" si="16"/>
        <v/>
      </c>
      <c r="BJ202" s="348" t="str">
        <f t="shared" si="17"/>
        <v/>
      </c>
      <c r="BK202" s="377" t="str">
        <f>IF($BJ202="","",_xll.ciqfunctions.udf.CIQ($BJ202,"iq_bond_coupon")/100)</f>
        <v/>
      </c>
    </row>
    <row r="203" spans="51:63" ht="12" hidden="1" customHeight="1" outlineLevel="1">
      <c r="AY203" s="373" t="str">
        <f>IF($AX203="","",_xll.ciqfunctions.udf.CIQ($AX203,"iq_offer_date"))</f>
        <v/>
      </c>
      <c r="AZ203" s="374" t="str">
        <f>IF($AX203="","",RANK(AY203,$AY$10:$AY$510)+COUNTIF($AY$10:AY203,AY203)-1)</f>
        <v/>
      </c>
      <c r="BE203" s="348">
        <f t="shared" si="15"/>
        <v>194</v>
      </c>
      <c r="BG203" s="376" t="str">
        <f>IF($BF203="","",_xll.ciqfunctions.udf.CIQ($BF203,"iq_security_level"))</f>
        <v/>
      </c>
      <c r="BH203" s="348" t="str">
        <f t="shared" si="16"/>
        <v/>
      </c>
      <c r="BJ203" s="348" t="str">
        <f t="shared" si="17"/>
        <v/>
      </c>
      <c r="BK203" s="377" t="str">
        <f>IF($BJ203="","",_xll.ciqfunctions.udf.CIQ($BJ203,"iq_bond_coupon")/100)</f>
        <v/>
      </c>
    </row>
    <row r="204" spans="51:63" ht="12" hidden="1" customHeight="1" outlineLevel="1">
      <c r="AY204" s="373" t="str">
        <f>IF($AX204="","",_xll.ciqfunctions.udf.CIQ($AX204,"iq_offer_date"))</f>
        <v/>
      </c>
      <c r="AZ204" s="374" t="str">
        <f>IF($AX204="","",RANK(AY204,$AY$10:$AY$510)+COUNTIF($AY$10:AY204,AY204)-1)</f>
        <v/>
      </c>
      <c r="BE204" s="348">
        <f t="shared" ref="BE204:BE267" si="18">BE203+1</f>
        <v>195</v>
      </c>
      <c r="BG204" s="376" t="str">
        <f>IF($BF204="","",_xll.ciqfunctions.udf.CIQ($BF204,"iq_security_level"))</f>
        <v/>
      </c>
      <c r="BH204" s="348" t="str">
        <f t="shared" ref="BH204:BH267" si="19">IF(BF204="","",IF(BG204="Preferred",BH203+1,BH203))</f>
        <v/>
      </c>
      <c r="BJ204" s="348" t="str">
        <f t="shared" si="17"/>
        <v/>
      </c>
      <c r="BK204" s="377" t="str">
        <f>IF($BJ204="","",_xll.ciqfunctions.udf.CIQ($BJ204,"iq_bond_coupon")/100)</f>
        <v/>
      </c>
    </row>
    <row r="205" spans="51:63" ht="12" hidden="1" customHeight="1" outlineLevel="1">
      <c r="AY205" s="373" t="str">
        <f>IF($AX205="","",_xll.ciqfunctions.udf.CIQ($AX205,"iq_offer_date"))</f>
        <v/>
      </c>
      <c r="AZ205" s="374" t="str">
        <f>IF($AX205="","",RANK(AY205,$AY$10:$AY$510)+COUNTIF($AY$10:AY205,AY205)-1)</f>
        <v/>
      </c>
      <c r="BE205" s="348">
        <f t="shared" si="18"/>
        <v>196</v>
      </c>
      <c r="BG205" s="376" t="str">
        <f>IF($BF205="","",_xll.ciqfunctions.udf.CIQ($BF205,"iq_security_level"))</f>
        <v/>
      </c>
      <c r="BH205" s="348" t="str">
        <f t="shared" si="19"/>
        <v/>
      </c>
      <c r="BJ205" s="348" t="str">
        <f t="shared" si="17"/>
        <v/>
      </c>
      <c r="BK205" s="377" t="str">
        <f>IF($BJ205="","",_xll.ciqfunctions.udf.CIQ($BJ205,"iq_bond_coupon")/100)</f>
        <v/>
      </c>
    </row>
    <row r="206" spans="51:63" ht="12" hidden="1" customHeight="1" outlineLevel="1">
      <c r="AY206" s="373" t="str">
        <f>IF($AX206="","",_xll.ciqfunctions.udf.CIQ($AX206,"iq_offer_date"))</f>
        <v/>
      </c>
      <c r="AZ206" s="374" t="str">
        <f>IF($AX206="","",RANK(AY206,$AY$10:$AY$510)+COUNTIF($AY$10:AY206,AY206)-1)</f>
        <v/>
      </c>
      <c r="BE206" s="348">
        <f t="shared" si="18"/>
        <v>197</v>
      </c>
      <c r="BG206" s="376" t="str">
        <f>IF($BF206="","",_xll.ciqfunctions.udf.CIQ($BF206,"iq_security_level"))</f>
        <v/>
      </c>
      <c r="BH206" s="348" t="str">
        <f t="shared" si="19"/>
        <v/>
      </c>
      <c r="BJ206" s="348" t="str">
        <f t="shared" si="17"/>
        <v/>
      </c>
      <c r="BK206" s="377" t="str">
        <f>IF($BJ206="","",_xll.ciqfunctions.udf.CIQ($BJ206,"iq_bond_coupon")/100)</f>
        <v/>
      </c>
    </row>
    <row r="207" spans="51:63" ht="12" hidden="1" customHeight="1" outlineLevel="1">
      <c r="AY207" s="373" t="str">
        <f>IF($AX207="","",_xll.ciqfunctions.udf.CIQ($AX207,"iq_offer_date"))</f>
        <v/>
      </c>
      <c r="AZ207" s="374" t="str">
        <f>IF($AX207="","",RANK(AY207,$AY$10:$AY$510)+COUNTIF($AY$10:AY207,AY207)-1)</f>
        <v/>
      </c>
      <c r="BE207" s="348">
        <f t="shared" si="18"/>
        <v>198</v>
      </c>
      <c r="BG207" s="376" t="str">
        <f>IF($BF207="","",_xll.ciqfunctions.udf.CIQ($BF207,"iq_security_level"))</f>
        <v/>
      </c>
      <c r="BH207" s="348" t="str">
        <f t="shared" si="19"/>
        <v/>
      </c>
      <c r="BJ207" s="348" t="str">
        <f t="shared" si="17"/>
        <v/>
      </c>
      <c r="BK207" s="377" t="str">
        <f>IF($BJ207="","",_xll.ciqfunctions.udf.CIQ($BJ207,"iq_bond_coupon")/100)</f>
        <v/>
      </c>
    </row>
    <row r="208" spans="51:63" ht="12" hidden="1" customHeight="1" outlineLevel="1">
      <c r="AY208" s="373" t="str">
        <f>IF($AX208="","",_xll.ciqfunctions.udf.CIQ($AX208,"iq_offer_date"))</f>
        <v/>
      </c>
      <c r="AZ208" s="374" t="str">
        <f>IF($AX208="","",RANK(AY208,$AY$10:$AY$510)+COUNTIF($AY$10:AY208,AY208)-1)</f>
        <v/>
      </c>
      <c r="BE208" s="348">
        <f t="shared" si="18"/>
        <v>199</v>
      </c>
      <c r="BG208" s="376" t="str">
        <f>IF($BF208="","",_xll.ciqfunctions.udf.CIQ($BF208,"iq_security_level"))</f>
        <v/>
      </c>
      <c r="BH208" s="348" t="str">
        <f t="shared" si="19"/>
        <v/>
      </c>
      <c r="BJ208" s="348" t="str">
        <f t="shared" si="17"/>
        <v/>
      </c>
      <c r="BK208" s="377" t="str">
        <f>IF($BJ208="","",_xll.ciqfunctions.udf.CIQ($BJ208,"iq_bond_coupon")/100)</f>
        <v/>
      </c>
    </row>
    <row r="209" spans="51:63" ht="12" hidden="1" customHeight="1" outlineLevel="1">
      <c r="AY209" s="373" t="str">
        <f>IF($AX209="","",_xll.ciqfunctions.udf.CIQ($AX209,"iq_offer_date"))</f>
        <v/>
      </c>
      <c r="AZ209" s="374" t="str">
        <f>IF($AX209="","",RANK(AY209,$AY$10:$AY$510)+COUNTIF($AY$10:AY209,AY209)-1)</f>
        <v/>
      </c>
      <c r="BE209" s="348">
        <f t="shared" si="18"/>
        <v>200</v>
      </c>
      <c r="BG209" s="376" t="str">
        <f>IF($BF209="","",_xll.ciqfunctions.udf.CIQ($BF209,"iq_security_level"))</f>
        <v/>
      </c>
      <c r="BH209" s="348" t="str">
        <f t="shared" si="19"/>
        <v/>
      </c>
      <c r="BJ209" s="348" t="str">
        <f t="shared" si="17"/>
        <v/>
      </c>
      <c r="BK209" s="377" t="str">
        <f>IF($BJ209="","",_xll.ciqfunctions.udf.CIQ($BJ209,"iq_bond_coupon")/100)</f>
        <v/>
      </c>
    </row>
    <row r="210" spans="51:63" ht="12" hidden="1" customHeight="1" outlineLevel="1">
      <c r="AY210" s="373" t="str">
        <f>IF($AX210="","",_xll.ciqfunctions.udf.CIQ($AX210,"iq_offer_date"))</f>
        <v/>
      </c>
      <c r="AZ210" s="374" t="str">
        <f>IF($AX210="","",RANK(AY210,$AY$10:$AY$510)+COUNTIF($AY$10:AY210,AY210)-1)</f>
        <v/>
      </c>
      <c r="BE210" s="348">
        <f t="shared" si="18"/>
        <v>201</v>
      </c>
      <c r="BG210" s="376" t="str">
        <f>IF($BF210="","",_xll.ciqfunctions.udf.CIQ($BF210,"iq_security_level"))</f>
        <v/>
      </c>
      <c r="BH210" s="348" t="str">
        <f t="shared" si="19"/>
        <v/>
      </c>
      <c r="BJ210" s="348" t="str">
        <f t="shared" si="17"/>
        <v/>
      </c>
      <c r="BK210" s="377" t="str">
        <f>IF($BJ210="","",_xll.ciqfunctions.udf.CIQ($BJ210,"iq_bond_coupon")/100)</f>
        <v/>
      </c>
    </row>
    <row r="211" spans="51:63" ht="12" hidden="1" customHeight="1" outlineLevel="1">
      <c r="AY211" s="373" t="str">
        <f>IF($AX211="","",_xll.ciqfunctions.udf.CIQ($AX211,"iq_offer_date"))</f>
        <v/>
      </c>
      <c r="AZ211" s="374" t="str">
        <f>IF($AX211="","",RANK(AY211,$AY$10:$AY$510)+COUNTIF($AY$10:AY211,AY211)-1)</f>
        <v/>
      </c>
      <c r="BE211" s="348">
        <f t="shared" si="18"/>
        <v>202</v>
      </c>
      <c r="BG211" s="376" t="str">
        <f>IF($BF211="","",_xll.ciqfunctions.udf.CIQ($BF211,"iq_security_level"))</f>
        <v/>
      </c>
      <c r="BH211" s="348" t="str">
        <f t="shared" si="19"/>
        <v/>
      </c>
      <c r="BJ211" s="348" t="str">
        <f t="shared" si="17"/>
        <v/>
      </c>
      <c r="BK211" s="377" t="str">
        <f>IF($BJ211="","",_xll.ciqfunctions.udf.CIQ($BJ211,"iq_bond_coupon")/100)</f>
        <v/>
      </c>
    </row>
    <row r="212" spans="51:63" ht="12" hidden="1" customHeight="1" outlineLevel="1">
      <c r="AY212" s="373" t="str">
        <f>IF($AX212="","",_xll.ciqfunctions.udf.CIQ($AX212,"iq_offer_date"))</f>
        <v/>
      </c>
      <c r="AZ212" s="374" t="str">
        <f>IF($AX212="","",RANK(AY212,$AY$10:$AY$510)+COUNTIF($AY$10:AY212,AY212)-1)</f>
        <v/>
      </c>
      <c r="BE212" s="348">
        <f t="shared" si="18"/>
        <v>203</v>
      </c>
      <c r="BG212" s="376" t="str">
        <f>IF($BF212="","",_xll.ciqfunctions.udf.CIQ($BF212,"iq_security_level"))</f>
        <v/>
      </c>
      <c r="BH212" s="348" t="str">
        <f t="shared" si="19"/>
        <v/>
      </c>
      <c r="BJ212" s="348" t="str">
        <f t="shared" si="17"/>
        <v/>
      </c>
      <c r="BK212" s="377" t="str">
        <f>IF($BJ212="","",_xll.ciqfunctions.udf.CIQ($BJ212,"iq_bond_coupon")/100)</f>
        <v/>
      </c>
    </row>
    <row r="213" spans="51:63" ht="12" hidden="1" customHeight="1" outlineLevel="1">
      <c r="AY213" s="373" t="str">
        <f>IF($AX213="","",_xll.ciqfunctions.udf.CIQ($AX213,"iq_offer_date"))</f>
        <v/>
      </c>
      <c r="AZ213" s="374" t="str">
        <f>IF($AX213="","",RANK(AY213,$AY$10:$AY$510)+COUNTIF($AY$10:AY213,AY213)-1)</f>
        <v/>
      </c>
      <c r="BE213" s="348">
        <f t="shared" si="18"/>
        <v>204</v>
      </c>
      <c r="BG213" s="376" t="str">
        <f>IF($BF213="","",_xll.ciqfunctions.udf.CIQ($BF213,"iq_security_level"))</f>
        <v/>
      </c>
      <c r="BH213" s="348" t="str">
        <f t="shared" si="19"/>
        <v/>
      </c>
      <c r="BJ213" s="348" t="str">
        <f t="shared" si="17"/>
        <v/>
      </c>
      <c r="BK213" s="377" t="str">
        <f>IF($BJ213="","",_xll.ciqfunctions.udf.CIQ($BJ213,"iq_bond_coupon")/100)</f>
        <v/>
      </c>
    </row>
    <row r="214" spans="51:63" ht="12" hidden="1" customHeight="1" outlineLevel="1">
      <c r="AY214" s="373" t="str">
        <f>IF($AX214="","",_xll.ciqfunctions.udf.CIQ($AX214,"iq_offer_date"))</f>
        <v/>
      </c>
      <c r="AZ214" s="374" t="str">
        <f>IF($AX214="","",RANK(AY214,$AY$10:$AY$510)+COUNTIF($AY$10:AY214,AY214)-1)</f>
        <v/>
      </c>
      <c r="BE214" s="348">
        <f t="shared" si="18"/>
        <v>205</v>
      </c>
      <c r="BG214" s="376" t="str">
        <f>IF($BF214="","",_xll.ciqfunctions.udf.CIQ($BF214,"iq_security_level"))</f>
        <v/>
      </c>
      <c r="BH214" s="348" t="str">
        <f t="shared" si="19"/>
        <v/>
      </c>
      <c r="BJ214" s="348" t="str">
        <f t="shared" si="17"/>
        <v/>
      </c>
      <c r="BK214" s="377" t="str">
        <f>IF($BJ214="","",_xll.ciqfunctions.udf.CIQ($BJ214,"iq_bond_coupon")/100)</f>
        <v/>
      </c>
    </row>
    <row r="215" spans="51:63" ht="12" hidden="1" customHeight="1" outlineLevel="1">
      <c r="AY215" s="373" t="str">
        <f>IF($AX215="","",_xll.ciqfunctions.udf.CIQ($AX215,"iq_offer_date"))</f>
        <v/>
      </c>
      <c r="AZ215" s="374" t="str">
        <f>IF($AX215="","",RANK(AY215,$AY$10:$AY$510)+COUNTIF($AY$10:AY215,AY215)-1)</f>
        <v/>
      </c>
      <c r="BE215" s="348">
        <f t="shared" si="18"/>
        <v>206</v>
      </c>
      <c r="BG215" s="376" t="str">
        <f>IF($BF215="","",_xll.ciqfunctions.udf.CIQ($BF215,"iq_security_level"))</f>
        <v/>
      </c>
      <c r="BH215" s="348" t="str">
        <f t="shared" si="19"/>
        <v/>
      </c>
      <c r="BJ215" s="348" t="str">
        <f t="shared" si="17"/>
        <v/>
      </c>
      <c r="BK215" s="377" t="str">
        <f>IF($BJ215="","",_xll.ciqfunctions.udf.CIQ($BJ215,"iq_bond_coupon")/100)</f>
        <v/>
      </c>
    </row>
    <row r="216" spans="51:63" ht="12" hidden="1" customHeight="1" outlineLevel="1">
      <c r="AY216" s="373" t="str">
        <f>IF($AX216="","",_xll.ciqfunctions.udf.CIQ($AX216,"iq_offer_date"))</f>
        <v/>
      </c>
      <c r="AZ216" s="374" t="str">
        <f>IF($AX216="","",RANK(AY216,$AY$10:$AY$510)+COUNTIF($AY$10:AY216,AY216)-1)</f>
        <v/>
      </c>
      <c r="BE216" s="348">
        <f t="shared" si="18"/>
        <v>207</v>
      </c>
      <c r="BG216" s="376" t="str">
        <f>IF($BF216="","",_xll.ciqfunctions.udf.CIQ($BF216,"iq_security_level"))</f>
        <v/>
      </c>
      <c r="BH216" s="348" t="str">
        <f t="shared" si="19"/>
        <v/>
      </c>
      <c r="BJ216" s="348" t="str">
        <f t="shared" si="17"/>
        <v/>
      </c>
      <c r="BK216" s="377" t="str">
        <f>IF($BJ216="","",_xll.ciqfunctions.udf.CIQ($BJ216,"iq_bond_coupon")/100)</f>
        <v/>
      </c>
    </row>
    <row r="217" spans="51:63" ht="12" hidden="1" customHeight="1" outlineLevel="1">
      <c r="AY217" s="373" t="str">
        <f>IF($AX217="","",_xll.ciqfunctions.udf.CIQ($AX217,"iq_offer_date"))</f>
        <v/>
      </c>
      <c r="AZ217" s="374" t="str">
        <f>IF($AX217="","",RANK(AY217,$AY$10:$AY$510)+COUNTIF($AY$10:AY217,AY217)-1)</f>
        <v/>
      </c>
      <c r="BE217" s="348">
        <f t="shared" si="18"/>
        <v>208</v>
      </c>
      <c r="BG217" s="376" t="str">
        <f>IF($BF217="","",_xll.ciqfunctions.udf.CIQ($BF217,"iq_security_level"))</f>
        <v/>
      </c>
      <c r="BH217" s="348" t="str">
        <f t="shared" si="19"/>
        <v/>
      </c>
      <c r="BJ217" s="348" t="str">
        <f t="shared" si="17"/>
        <v/>
      </c>
      <c r="BK217" s="377" t="str">
        <f>IF($BJ217="","",_xll.ciqfunctions.udf.CIQ($BJ217,"iq_bond_coupon")/100)</f>
        <v/>
      </c>
    </row>
    <row r="218" spans="51:63" ht="12" hidden="1" customHeight="1" outlineLevel="1">
      <c r="AY218" s="373" t="str">
        <f>IF($AX218="","",_xll.ciqfunctions.udf.CIQ($AX218,"iq_offer_date"))</f>
        <v/>
      </c>
      <c r="AZ218" s="374" t="str">
        <f>IF($AX218="","",RANK(AY218,$AY$10:$AY$510)+COUNTIF($AY$10:AY218,AY218)-1)</f>
        <v/>
      </c>
      <c r="BE218" s="348">
        <f t="shared" si="18"/>
        <v>209</v>
      </c>
      <c r="BG218" s="376" t="str">
        <f>IF($BF218="","",_xll.ciqfunctions.udf.CIQ($BF218,"iq_security_level"))</f>
        <v/>
      </c>
      <c r="BH218" s="348" t="str">
        <f t="shared" si="19"/>
        <v/>
      </c>
      <c r="BJ218" s="348" t="str">
        <f t="shared" si="17"/>
        <v/>
      </c>
      <c r="BK218" s="377" t="str">
        <f>IF($BJ218="","",_xll.ciqfunctions.udf.CIQ($BJ218,"iq_bond_coupon")/100)</f>
        <v/>
      </c>
    </row>
    <row r="219" spans="51:63" ht="12" hidden="1" customHeight="1" outlineLevel="1">
      <c r="AY219" s="373" t="str">
        <f>IF($AX219="","",_xll.ciqfunctions.udf.CIQ($AX219,"iq_offer_date"))</f>
        <v/>
      </c>
      <c r="AZ219" s="374" t="str">
        <f>IF($AX219="","",RANK(AY219,$AY$10:$AY$510)+COUNTIF($AY$10:AY219,AY219)-1)</f>
        <v/>
      </c>
      <c r="BE219" s="348">
        <f t="shared" si="18"/>
        <v>210</v>
      </c>
      <c r="BG219" s="376" t="str">
        <f>IF($BF219="","",_xll.ciqfunctions.udf.CIQ($BF219,"iq_security_level"))</f>
        <v/>
      </c>
      <c r="BH219" s="348" t="str">
        <f t="shared" si="19"/>
        <v/>
      </c>
      <c r="BJ219" s="348" t="str">
        <f t="shared" si="17"/>
        <v/>
      </c>
      <c r="BK219" s="377" t="str">
        <f>IF($BJ219="","",_xll.ciqfunctions.udf.CIQ($BJ219,"iq_bond_coupon")/100)</f>
        <v/>
      </c>
    </row>
    <row r="220" spans="51:63" ht="12" hidden="1" customHeight="1" outlineLevel="1">
      <c r="AY220" s="373" t="str">
        <f>IF($AX220="","",_xll.ciqfunctions.udf.CIQ($AX220,"iq_offer_date"))</f>
        <v/>
      </c>
      <c r="AZ220" s="374" t="str">
        <f>IF($AX220="","",RANK(AY220,$AY$10:$AY$510)+COUNTIF($AY$10:AY220,AY220)-1)</f>
        <v/>
      </c>
      <c r="BE220" s="348">
        <f t="shared" si="18"/>
        <v>211</v>
      </c>
      <c r="BG220" s="376" t="str">
        <f>IF($BF220="","",_xll.ciqfunctions.udf.CIQ($BF220,"iq_security_level"))</f>
        <v/>
      </c>
      <c r="BH220" s="348" t="str">
        <f t="shared" si="19"/>
        <v/>
      </c>
      <c r="BJ220" s="348" t="str">
        <f t="shared" si="17"/>
        <v/>
      </c>
      <c r="BK220" s="377" t="str">
        <f>IF($BJ220="","",_xll.ciqfunctions.udf.CIQ($BJ220,"iq_bond_coupon")/100)</f>
        <v/>
      </c>
    </row>
    <row r="221" spans="51:63" ht="12" hidden="1" customHeight="1" outlineLevel="1">
      <c r="AY221" s="373" t="str">
        <f>IF($AX221="","",_xll.ciqfunctions.udf.CIQ($AX221,"iq_offer_date"))</f>
        <v/>
      </c>
      <c r="AZ221" s="374" t="str">
        <f>IF($AX221="","",RANK(AY221,$AY$10:$AY$510)+COUNTIF($AY$10:AY221,AY221)-1)</f>
        <v/>
      </c>
      <c r="BE221" s="348">
        <f t="shared" si="18"/>
        <v>212</v>
      </c>
      <c r="BG221" s="376" t="str">
        <f>IF($BF221="","",_xll.ciqfunctions.udf.CIQ($BF221,"iq_security_level"))</f>
        <v/>
      </c>
      <c r="BH221" s="348" t="str">
        <f t="shared" si="19"/>
        <v/>
      </c>
      <c r="BJ221" s="348" t="str">
        <f t="shared" si="17"/>
        <v/>
      </c>
      <c r="BK221" s="377" t="str">
        <f>IF($BJ221="","",_xll.ciqfunctions.udf.CIQ($BJ221,"iq_bond_coupon")/100)</f>
        <v/>
      </c>
    </row>
    <row r="222" spans="51:63" ht="12" hidden="1" customHeight="1" outlineLevel="1">
      <c r="AY222" s="373" t="str">
        <f>IF($AX222="","",_xll.ciqfunctions.udf.CIQ($AX222,"iq_offer_date"))</f>
        <v/>
      </c>
      <c r="AZ222" s="374" t="str">
        <f>IF($AX222="","",RANK(AY222,$AY$10:$AY$510)+COUNTIF($AY$10:AY222,AY222)-1)</f>
        <v/>
      </c>
      <c r="BE222" s="348">
        <f t="shared" si="18"/>
        <v>213</v>
      </c>
      <c r="BG222" s="376" t="str">
        <f>IF($BF222="","",_xll.ciqfunctions.udf.CIQ($BF222,"iq_security_level"))</f>
        <v/>
      </c>
      <c r="BH222" s="348" t="str">
        <f t="shared" si="19"/>
        <v/>
      </c>
      <c r="BJ222" s="348" t="str">
        <f t="shared" si="17"/>
        <v/>
      </c>
      <c r="BK222" s="377" t="str">
        <f>IF($BJ222="","",_xll.ciqfunctions.udf.CIQ($BJ222,"iq_bond_coupon")/100)</f>
        <v/>
      </c>
    </row>
    <row r="223" spans="51:63" ht="12" hidden="1" customHeight="1" outlineLevel="1">
      <c r="AY223" s="373" t="str">
        <f>IF($AX223="","",_xll.ciqfunctions.udf.CIQ($AX223,"iq_offer_date"))</f>
        <v/>
      </c>
      <c r="AZ223" s="374" t="str">
        <f>IF($AX223="","",RANK(AY223,$AY$10:$AY$510)+COUNTIF($AY$10:AY223,AY223)-1)</f>
        <v/>
      </c>
      <c r="BE223" s="348">
        <f t="shared" si="18"/>
        <v>214</v>
      </c>
      <c r="BG223" s="376" t="str">
        <f>IF($BF223="","",_xll.ciqfunctions.udf.CIQ($BF223,"iq_security_level"))</f>
        <v/>
      </c>
      <c r="BH223" s="348" t="str">
        <f t="shared" si="19"/>
        <v/>
      </c>
      <c r="BJ223" s="348" t="str">
        <f t="shared" si="17"/>
        <v/>
      </c>
      <c r="BK223" s="377" t="str">
        <f>IF($BJ223="","",_xll.ciqfunctions.udf.CIQ($BJ223,"iq_bond_coupon")/100)</f>
        <v/>
      </c>
    </row>
    <row r="224" spans="51:63" ht="12" hidden="1" customHeight="1" outlineLevel="1">
      <c r="AY224" s="373" t="str">
        <f>IF($AX224="","",_xll.ciqfunctions.udf.CIQ($AX224,"iq_offer_date"))</f>
        <v/>
      </c>
      <c r="AZ224" s="374" t="str">
        <f>IF($AX224="","",RANK(AY224,$AY$10:$AY$510)+COUNTIF($AY$10:AY224,AY224)-1)</f>
        <v/>
      </c>
      <c r="BE224" s="348">
        <f t="shared" si="18"/>
        <v>215</v>
      </c>
      <c r="BG224" s="376" t="str">
        <f>IF($BF224="","",_xll.ciqfunctions.udf.CIQ($BF224,"iq_security_level"))</f>
        <v/>
      </c>
      <c r="BH224" s="348" t="str">
        <f t="shared" si="19"/>
        <v/>
      </c>
      <c r="BJ224" s="348" t="str">
        <f t="shared" si="17"/>
        <v/>
      </c>
      <c r="BK224" s="377" t="str">
        <f>IF($BJ224="","",_xll.ciqfunctions.udf.CIQ($BJ224,"iq_bond_coupon")/100)</f>
        <v/>
      </c>
    </row>
    <row r="225" spans="51:63" ht="12" hidden="1" customHeight="1" outlineLevel="1">
      <c r="AY225" s="373" t="str">
        <f>IF($AX225="","",_xll.ciqfunctions.udf.CIQ($AX225,"iq_offer_date"))</f>
        <v/>
      </c>
      <c r="AZ225" s="374" t="str">
        <f>IF($AX225="","",RANK(AY225,$AY$10:$AY$510)+COUNTIF($AY$10:AY225,AY225)-1)</f>
        <v/>
      </c>
      <c r="BE225" s="348">
        <f t="shared" si="18"/>
        <v>216</v>
      </c>
      <c r="BG225" s="376" t="str">
        <f>IF($BF225="","",_xll.ciqfunctions.udf.CIQ($BF225,"iq_security_level"))</f>
        <v/>
      </c>
      <c r="BH225" s="348" t="str">
        <f t="shared" si="19"/>
        <v/>
      </c>
      <c r="BJ225" s="348" t="str">
        <f t="shared" si="17"/>
        <v/>
      </c>
      <c r="BK225" s="377" t="str">
        <f>IF($BJ225="","",_xll.ciqfunctions.udf.CIQ($BJ225,"iq_bond_coupon")/100)</f>
        <v/>
      </c>
    </row>
    <row r="226" spans="51:63" ht="12" hidden="1" customHeight="1" outlineLevel="1">
      <c r="AY226" s="373" t="str">
        <f>IF($AX226="","",_xll.ciqfunctions.udf.CIQ($AX226,"iq_offer_date"))</f>
        <v/>
      </c>
      <c r="AZ226" s="374" t="str">
        <f>IF($AX226="","",RANK(AY226,$AY$10:$AY$510)+COUNTIF($AY$10:AY226,AY226)-1)</f>
        <v/>
      </c>
      <c r="BE226" s="348">
        <f t="shared" si="18"/>
        <v>217</v>
      </c>
      <c r="BG226" s="376" t="str">
        <f>IF($BF226="","",_xll.ciqfunctions.udf.CIQ($BF226,"iq_security_level"))</f>
        <v/>
      </c>
      <c r="BH226" s="348" t="str">
        <f t="shared" si="19"/>
        <v/>
      </c>
      <c r="BJ226" s="348" t="str">
        <f t="shared" si="17"/>
        <v/>
      </c>
      <c r="BK226" s="377" t="str">
        <f>IF($BJ226="","",_xll.ciqfunctions.udf.CIQ($BJ226,"iq_bond_coupon")/100)</f>
        <v/>
      </c>
    </row>
    <row r="227" spans="51:63" ht="12" hidden="1" customHeight="1" outlineLevel="1">
      <c r="AY227" s="373" t="str">
        <f>IF($AX227="","",_xll.ciqfunctions.udf.CIQ($AX227,"iq_offer_date"))</f>
        <v/>
      </c>
      <c r="AZ227" s="374" t="str">
        <f>IF($AX227="","",RANK(AY227,$AY$10:$AY$510)+COUNTIF($AY$10:AY227,AY227)-1)</f>
        <v/>
      </c>
      <c r="BE227" s="348">
        <f t="shared" si="18"/>
        <v>218</v>
      </c>
      <c r="BG227" s="376" t="str">
        <f>IF($BF227="","",_xll.ciqfunctions.udf.CIQ($BF227,"iq_security_level"))</f>
        <v/>
      </c>
      <c r="BH227" s="348" t="str">
        <f t="shared" si="19"/>
        <v/>
      </c>
      <c r="BJ227" s="348" t="str">
        <f t="shared" si="17"/>
        <v/>
      </c>
      <c r="BK227" s="377" t="str">
        <f>IF($BJ227="","",_xll.ciqfunctions.udf.CIQ($BJ227,"iq_bond_coupon")/100)</f>
        <v/>
      </c>
    </row>
    <row r="228" spans="51:63" ht="12" hidden="1" customHeight="1" outlineLevel="1">
      <c r="AY228" s="373" t="str">
        <f>IF($AX228="","",_xll.ciqfunctions.udf.CIQ($AX228,"iq_offer_date"))</f>
        <v/>
      </c>
      <c r="AZ228" s="374" t="str">
        <f>IF($AX228="","",RANK(AY228,$AY$10:$AY$510)+COUNTIF($AY$10:AY228,AY228)-1)</f>
        <v/>
      </c>
      <c r="BE228" s="348">
        <f t="shared" si="18"/>
        <v>219</v>
      </c>
      <c r="BG228" s="376" t="str">
        <f>IF($BF228="","",_xll.ciqfunctions.udf.CIQ($BF228,"iq_security_level"))</f>
        <v/>
      </c>
      <c r="BH228" s="348" t="str">
        <f t="shared" si="19"/>
        <v/>
      </c>
      <c r="BJ228" s="348" t="str">
        <f t="shared" si="17"/>
        <v/>
      </c>
      <c r="BK228" s="377" t="str">
        <f>IF($BJ228="","",_xll.ciqfunctions.udf.CIQ($BJ228,"iq_bond_coupon")/100)</f>
        <v/>
      </c>
    </row>
    <row r="229" spans="51:63" ht="12" hidden="1" customHeight="1" outlineLevel="1">
      <c r="AY229" s="373" t="str">
        <f>IF($AX229="","",_xll.ciqfunctions.udf.CIQ($AX229,"iq_offer_date"))</f>
        <v/>
      </c>
      <c r="AZ229" s="374" t="str">
        <f>IF($AX229="","",RANK(AY229,$AY$10:$AY$510)+COUNTIF($AY$10:AY229,AY229)-1)</f>
        <v/>
      </c>
      <c r="BE229" s="348">
        <f t="shared" si="18"/>
        <v>220</v>
      </c>
      <c r="BG229" s="376" t="str">
        <f>IF($BF229="","",_xll.ciqfunctions.udf.CIQ($BF229,"iq_security_level"))</f>
        <v/>
      </c>
      <c r="BH229" s="348" t="str">
        <f t="shared" si="19"/>
        <v/>
      </c>
      <c r="BJ229" s="348" t="str">
        <f t="shared" si="17"/>
        <v/>
      </c>
      <c r="BK229" s="377" t="str">
        <f>IF($BJ229="","",_xll.ciqfunctions.udf.CIQ($BJ229,"iq_bond_coupon")/100)</f>
        <v/>
      </c>
    </row>
    <row r="230" spans="51:63" ht="12" hidden="1" customHeight="1" outlineLevel="1">
      <c r="AY230" s="373" t="str">
        <f>IF($AX230="","",_xll.ciqfunctions.udf.CIQ($AX230,"iq_offer_date"))</f>
        <v/>
      </c>
      <c r="AZ230" s="374" t="str">
        <f>IF($AX230="","",RANK(AY230,$AY$10:$AY$510)+COUNTIF($AY$10:AY230,AY230)-1)</f>
        <v/>
      </c>
      <c r="BE230" s="348">
        <f t="shared" si="18"/>
        <v>221</v>
      </c>
      <c r="BG230" s="376" t="str">
        <f>IF($BF230="","",_xll.ciqfunctions.udf.CIQ($BF230,"iq_security_level"))</f>
        <v/>
      </c>
      <c r="BH230" s="348" t="str">
        <f t="shared" si="19"/>
        <v/>
      </c>
      <c r="BJ230" s="348" t="str">
        <f t="shared" si="17"/>
        <v/>
      </c>
      <c r="BK230" s="377" t="str">
        <f>IF($BJ230="","",_xll.ciqfunctions.udf.CIQ($BJ230,"iq_bond_coupon")/100)</f>
        <v/>
      </c>
    </row>
    <row r="231" spans="51:63" ht="12" hidden="1" customHeight="1" outlineLevel="1">
      <c r="AY231" s="373" t="str">
        <f>IF($AX231="","",_xll.ciqfunctions.udf.CIQ($AX231,"iq_offer_date"))</f>
        <v/>
      </c>
      <c r="AZ231" s="374" t="str">
        <f>IF($AX231="","",RANK(AY231,$AY$10:$AY$510)+COUNTIF($AY$10:AY231,AY231)-1)</f>
        <v/>
      </c>
      <c r="BE231" s="348">
        <f t="shared" si="18"/>
        <v>222</v>
      </c>
      <c r="BG231" s="376" t="str">
        <f>IF($BF231="","",_xll.ciqfunctions.udf.CIQ($BF231,"iq_security_level"))</f>
        <v/>
      </c>
      <c r="BH231" s="348" t="str">
        <f t="shared" si="19"/>
        <v/>
      </c>
      <c r="BJ231" s="348" t="str">
        <f t="shared" si="17"/>
        <v/>
      </c>
      <c r="BK231" s="377" t="str">
        <f>IF($BJ231="","",_xll.ciqfunctions.udf.CIQ($BJ231,"iq_bond_coupon")/100)</f>
        <v/>
      </c>
    </row>
    <row r="232" spans="51:63" ht="12" hidden="1" customHeight="1" outlineLevel="1">
      <c r="AY232" s="373" t="str">
        <f>IF($AX232="","",_xll.ciqfunctions.udf.CIQ($AX232,"iq_offer_date"))</f>
        <v/>
      </c>
      <c r="AZ232" s="374" t="str">
        <f>IF($AX232="","",RANK(AY232,$AY$10:$AY$510)+COUNTIF($AY$10:AY232,AY232)-1)</f>
        <v/>
      </c>
      <c r="BE232" s="348">
        <f t="shared" si="18"/>
        <v>223</v>
      </c>
      <c r="BG232" s="376" t="str">
        <f>IF($BF232="","",_xll.ciqfunctions.udf.CIQ($BF232,"iq_security_level"))</f>
        <v/>
      </c>
      <c r="BH232" s="348" t="str">
        <f t="shared" si="19"/>
        <v/>
      </c>
      <c r="BJ232" s="348" t="str">
        <f t="shared" si="17"/>
        <v/>
      </c>
      <c r="BK232" s="377" t="str">
        <f>IF($BJ232="","",_xll.ciqfunctions.udf.CIQ($BJ232,"iq_bond_coupon")/100)</f>
        <v/>
      </c>
    </row>
    <row r="233" spans="51:63" ht="12" hidden="1" customHeight="1" outlineLevel="1">
      <c r="AY233" s="373" t="str">
        <f>IF($AX233="","",_xll.ciqfunctions.udf.CIQ($AX233,"iq_offer_date"))</f>
        <v/>
      </c>
      <c r="AZ233" s="374" t="str">
        <f>IF($AX233="","",RANK(AY233,$AY$10:$AY$510)+COUNTIF($AY$10:AY233,AY233)-1)</f>
        <v/>
      </c>
      <c r="BE233" s="348">
        <f t="shared" si="18"/>
        <v>224</v>
      </c>
      <c r="BG233" s="376" t="str">
        <f>IF($BF233="","",_xll.ciqfunctions.udf.CIQ($BF233,"iq_security_level"))</f>
        <v/>
      </c>
      <c r="BH233" s="348" t="str">
        <f t="shared" si="19"/>
        <v/>
      </c>
      <c r="BJ233" s="348" t="str">
        <f t="shared" si="17"/>
        <v/>
      </c>
      <c r="BK233" s="377" t="str">
        <f>IF($BJ233="","",_xll.ciqfunctions.udf.CIQ($BJ233,"iq_bond_coupon")/100)</f>
        <v/>
      </c>
    </row>
    <row r="234" spans="51:63" hidden="1" outlineLevel="1">
      <c r="AY234" s="373" t="str">
        <f>IF($AX234="","",_xll.ciqfunctions.udf.CIQ($AX234,"iq_offer_date"))</f>
        <v/>
      </c>
      <c r="AZ234" s="374" t="str">
        <f>IF($AX234="","",RANK(AY234,$AY$10:$AY$510)+COUNTIF($AY$10:AY234,AY234)-1)</f>
        <v/>
      </c>
      <c r="BE234" s="348">
        <f t="shared" si="18"/>
        <v>225</v>
      </c>
      <c r="BG234" s="376" t="str">
        <f>IF($BF234="","",_xll.ciqfunctions.udf.CIQ($BF234,"iq_security_level"))</f>
        <v/>
      </c>
      <c r="BH234" s="348" t="str">
        <f t="shared" si="19"/>
        <v/>
      </c>
      <c r="BJ234" s="348" t="str">
        <f t="shared" si="17"/>
        <v/>
      </c>
      <c r="BK234" s="377" t="str">
        <f>IF($BJ234="","",_xll.ciqfunctions.udf.CIQ($BJ234,"iq_bond_coupon")/100)</f>
        <v/>
      </c>
    </row>
    <row r="235" spans="51:63" hidden="1" outlineLevel="1">
      <c r="AY235" s="373" t="str">
        <f>IF($AX235="","",_xll.ciqfunctions.udf.CIQ($AX235,"iq_offer_date"))</f>
        <v/>
      </c>
      <c r="AZ235" s="374" t="str">
        <f>IF($AX235="","",RANK(AY235,$AY$10:$AY$510)+COUNTIF($AY$10:AY235,AY235)-1)</f>
        <v/>
      </c>
      <c r="BE235" s="348">
        <f t="shared" si="18"/>
        <v>226</v>
      </c>
      <c r="BG235" s="376" t="str">
        <f>IF($BF235="","",_xll.ciqfunctions.udf.CIQ($BF235,"iq_security_level"))</f>
        <v/>
      </c>
      <c r="BH235" s="348" t="str">
        <f t="shared" si="19"/>
        <v/>
      </c>
      <c r="BJ235" s="348" t="str">
        <f t="shared" si="17"/>
        <v/>
      </c>
      <c r="BK235" s="377" t="str">
        <f>IF($BJ235="","",_xll.ciqfunctions.udf.CIQ($BJ235,"iq_bond_coupon")/100)</f>
        <v/>
      </c>
    </row>
    <row r="236" spans="51:63" hidden="1" outlineLevel="1">
      <c r="AY236" s="373" t="str">
        <f>IF($AX236="","",_xll.ciqfunctions.udf.CIQ($AX236,"iq_offer_date"))</f>
        <v/>
      </c>
      <c r="AZ236" s="374" t="str">
        <f>IF($AX236="","",RANK(AY236,$AY$10:$AY$510)+COUNTIF($AY$10:AY236,AY236)-1)</f>
        <v/>
      </c>
      <c r="BE236" s="348">
        <f t="shared" si="18"/>
        <v>227</v>
      </c>
      <c r="BG236" s="376" t="str">
        <f>IF($BF236="","",_xll.ciqfunctions.udf.CIQ($BF236,"iq_security_level"))</f>
        <v/>
      </c>
      <c r="BH236" s="348" t="str">
        <f t="shared" si="19"/>
        <v/>
      </c>
      <c r="BJ236" s="348" t="str">
        <f t="shared" si="17"/>
        <v/>
      </c>
      <c r="BK236" s="377" t="str">
        <f>IF($BJ236="","",_xll.ciqfunctions.udf.CIQ($BJ236,"iq_bond_coupon")/100)</f>
        <v/>
      </c>
    </row>
    <row r="237" spans="51:63" hidden="1" outlineLevel="1">
      <c r="AY237" s="373" t="str">
        <f>IF($AX237="","",_xll.ciqfunctions.udf.CIQ($AX237,"iq_offer_date"))</f>
        <v/>
      </c>
      <c r="AZ237" s="374" t="str">
        <f>IF($AX237="","",RANK(AY237,$AY$10:$AY$510)+COUNTIF($AY$10:AY237,AY237)-1)</f>
        <v/>
      </c>
      <c r="BE237" s="348">
        <f t="shared" si="18"/>
        <v>228</v>
      </c>
      <c r="BG237" s="376" t="str">
        <f>IF($BF237="","",_xll.ciqfunctions.udf.CIQ($BF237,"iq_security_level"))</f>
        <v/>
      </c>
      <c r="BH237" s="348" t="str">
        <f t="shared" si="19"/>
        <v/>
      </c>
      <c r="BJ237" s="348" t="str">
        <f t="shared" si="17"/>
        <v/>
      </c>
      <c r="BK237" s="377" t="str">
        <f>IF($BJ237="","",_xll.ciqfunctions.udf.CIQ($BJ237,"iq_bond_coupon")/100)</f>
        <v/>
      </c>
    </row>
    <row r="238" spans="51:63" hidden="1" outlineLevel="1">
      <c r="AY238" s="373" t="str">
        <f>IF($AX238="","",_xll.ciqfunctions.udf.CIQ($AX238,"iq_offer_date"))</f>
        <v/>
      </c>
      <c r="AZ238" s="374" t="str">
        <f>IF($AX238="","",RANK(AY238,$AY$10:$AY$510)+COUNTIF($AY$10:AY238,AY238)-1)</f>
        <v/>
      </c>
      <c r="BE238" s="348">
        <f t="shared" si="18"/>
        <v>229</v>
      </c>
      <c r="BG238" s="376" t="str">
        <f>IF($BF238="","",_xll.ciqfunctions.udf.CIQ($BF238,"iq_security_level"))</f>
        <v/>
      </c>
      <c r="BH238" s="348" t="str">
        <f t="shared" si="19"/>
        <v/>
      </c>
      <c r="BJ238" s="348" t="str">
        <f t="shared" si="17"/>
        <v/>
      </c>
      <c r="BK238" s="377" t="str">
        <f>IF($BJ238="","",_xll.ciqfunctions.udf.CIQ($BJ238,"iq_bond_coupon")/100)</f>
        <v/>
      </c>
    </row>
    <row r="239" spans="51:63" hidden="1" outlineLevel="1">
      <c r="AY239" s="373" t="str">
        <f>IF($AX239="","",_xll.ciqfunctions.udf.CIQ($AX239,"iq_offer_date"))</f>
        <v/>
      </c>
      <c r="AZ239" s="374" t="str">
        <f>IF($AX239="","",RANK(AY239,$AY$10:$AY$510)+COUNTIF($AY$10:AY239,AY239)-1)</f>
        <v/>
      </c>
      <c r="BE239" s="348">
        <f t="shared" si="18"/>
        <v>230</v>
      </c>
      <c r="BG239" s="376" t="str">
        <f>IF($BF239="","",_xll.ciqfunctions.udf.CIQ($BF239,"iq_security_level"))</f>
        <v/>
      </c>
      <c r="BH239" s="348" t="str">
        <f t="shared" si="19"/>
        <v/>
      </c>
      <c r="BJ239" s="348" t="str">
        <f t="shared" si="17"/>
        <v/>
      </c>
      <c r="BK239" s="377" t="str">
        <f>IF($BJ239="","",_xll.ciqfunctions.udf.CIQ($BJ239,"iq_bond_coupon")/100)</f>
        <v/>
      </c>
    </row>
    <row r="240" spans="51:63" hidden="1" outlineLevel="1">
      <c r="AY240" s="373" t="str">
        <f>IF($AX240="","",_xll.ciqfunctions.udf.CIQ($AX240,"iq_offer_date"))</f>
        <v/>
      </c>
      <c r="AZ240" s="374" t="str">
        <f>IF($AX240="","",RANK(AY240,$AY$10:$AY$510)+COUNTIF($AY$10:AY240,AY240)-1)</f>
        <v/>
      </c>
      <c r="BE240" s="348">
        <f t="shared" si="18"/>
        <v>231</v>
      </c>
      <c r="BG240" s="376" t="str">
        <f>IF($BF240="","",_xll.ciqfunctions.udf.CIQ($BF240,"iq_security_level"))</f>
        <v/>
      </c>
      <c r="BH240" s="348" t="str">
        <f t="shared" si="19"/>
        <v/>
      </c>
      <c r="BJ240" s="348" t="str">
        <f t="shared" si="17"/>
        <v/>
      </c>
      <c r="BK240" s="377" t="str">
        <f>IF($BJ240="","",_xll.ciqfunctions.udf.CIQ($BJ240,"iq_bond_coupon")/100)</f>
        <v/>
      </c>
    </row>
    <row r="241" spans="51:63" hidden="1" outlineLevel="1">
      <c r="AY241" s="373" t="str">
        <f>IF($AX241="","",_xll.ciqfunctions.udf.CIQ($AX241,"iq_offer_date"))</f>
        <v/>
      </c>
      <c r="AZ241" s="374" t="str">
        <f>IF($AX241="","",RANK(AY241,$AY$10:$AY$510)+COUNTIF($AY$10:AY241,AY241)-1)</f>
        <v/>
      </c>
      <c r="BE241" s="348">
        <f t="shared" si="18"/>
        <v>232</v>
      </c>
      <c r="BG241" s="376" t="str">
        <f>IF($BF241="","",_xll.ciqfunctions.udf.CIQ($BF241,"iq_security_level"))</f>
        <v/>
      </c>
      <c r="BH241" s="348" t="str">
        <f t="shared" si="19"/>
        <v/>
      </c>
      <c r="BJ241" s="348" t="str">
        <f t="shared" si="17"/>
        <v/>
      </c>
      <c r="BK241" s="377" t="str">
        <f>IF($BJ241="","",_xll.ciqfunctions.udf.CIQ($BJ241,"iq_bond_coupon")/100)</f>
        <v/>
      </c>
    </row>
    <row r="242" spans="51:63" hidden="1" outlineLevel="1">
      <c r="AY242" s="373" t="str">
        <f>IF($AX242="","",_xll.ciqfunctions.udf.CIQ($AX242,"iq_offer_date"))</f>
        <v/>
      </c>
      <c r="AZ242" s="374" t="str">
        <f>IF($AX242="","",RANK(AY242,$AY$10:$AY$510)+COUNTIF($AY$10:AY242,AY242)-1)</f>
        <v/>
      </c>
      <c r="BE242" s="348">
        <f t="shared" si="18"/>
        <v>233</v>
      </c>
      <c r="BG242" s="376" t="str">
        <f>IF($BF242="","",_xll.ciqfunctions.udf.CIQ($BF242,"iq_security_level"))</f>
        <v/>
      </c>
      <c r="BH242" s="348" t="str">
        <f t="shared" si="19"/>
        <v/>
      </c>
      <c r="BJ242" s="348" t="str">
        <f t="shared" si="17"/>
        <v/>
      </c>
      <c r="BK242" s="377" t="str">
        <f>IF($BJ242="","",_xll.ciqfunctions.udf.CIQ($BJ242,"iq_bond_coupon")/100)</f>
        <v/>
      </c>
    </row>
    <row r="243" spans="51:63" hidden="1" outlineLevel="1">
      <c r="AY243" s="373" t="str">
        <f>IF($AX243="","",_xll.ciqfunctions.udf.CIQ($AX243,"iq_offer_date"))</f>
        <v/>
      </c>
      <c r="AZ243" s="374" t="str">
        <f>IF($AX243="","",RANK(AY243,$AY$10:$AY$510)+COUNTIF($AY$10:AY243,AY243)-1)</f>
        <v/>
      </c>
      <c r="BE243" s="348">
        <f t="shared" si="18"/>
        <v>234</v>
      </c>
      <c r="BG243" s="376" t="str">
        <f>IF($BF243="","",_xll.ciqfunctions.udf.CIQ($BF243,"iq_security_level"))</f>
        <v/>
      </c>
      <c r="BH243" s="348" t="str">
        <f t="shared" si="19"/>
        <v/>
      </c>
      <c r="BJ243" s="348" t="str">
        <f t="shared" si="17"/>
        <v/>
      </c>
      <c r="BK243" s="377" t="str">
        <f>IF($BJ243="","",_xll.ciqfunctions.udf.CIQ($BJ243,"iq_bond_coupon")/100)</f>
        <v/>
      </c>
    </row>
    <row r="244" spans="51:63" hidden="1" outlineLevel="1">
      <c r="AY244" s="373" t="str">
        <f>IF($AX244="","",_xll.ciqfunctions.udf.CIQ($AX244,"iq_offer_date"))</f>
        <v/>
      </c>
      <c r="AZ244" s="374" t="str">
        <f>IF($AX244="","",RANK(AY244,$AY$10:$AY$510)+COUNTIF($AY$10:AY244,AY244)-1)</f>
        <v/>
      </c>
      <c r="BE244" s="348">
        <f t="shared" si="18"/>
        <v>235</v>
      </c>
      <c r="BG244" s="376" t="str">
        <f>IF($BF244="","",_xll.ciqfunctions.udf.CIQ($BF244,"iq_security_level"))</f>
        <v/>
      </c>
      <c r="BH244" s="348" t="str">
        <f t="shared" si="19"/>
        <v/>
      </c>
      <c r="BJ244" s="348" t="str">
        <f t="shared" si="17"/>
        <v/>
      </c>
      <c r="BK244" s="377" t="str">
        <f>IF($BJ244="","",_xll.ciqfunctions.udf.CIQ($BJ244,"iq_bond_coupon")/100)</f>
        <v/>
      </c>
    </row>
    <row r="245" spans="51:63" hidden="1" outlineLevel="1">
      <c r="AY245" s="373" t="str">
        <f>IF($AX245="","",_xll.ciqfunctions.udf.CIQ($AX245,"iq_offer_date"))</f>
        <v/>
      </c>
      <c r="AZ245" s="374" t="str">
        <f>IF($AX245="","",RANK(AY245,$AY$10:$AY$510)+COUNTIF($AY$10:AY245,AY245)-1)</f>
        <v/>
      </c>
      <c r="BE245" s="348">
        <f t="shared" si="18"/>
        <v>236</v>
      </c>
      <c r="BG245" s="376" t="str">
        <f>IF($BF245="","",_xll.ciqfunctions.udf.CIQ($BF245,"iq_security_level"))</f>
        <v/>
      </c>
      <c r="BH245" s="348" t="str">
        <f t="shared" si="19"/>
        <v/>
      </c>
      <c r="BJ245" s="348" t="str">
        <f t="shared" ref="BJ245:BJ308" si="20">IF($BF244="","",IF(ISERROR(INDEX($BF$10:$BF$509,MATCH(BE244,$BH$10:$BH$509,0))),"",INDEX($BF$10:$BF$509,MATCH(BE244,$BH$10:$BH$509,0))))</f>
        <v/>
      </c>
      <c r="BK245" s="377" t="str">
        <f>IF($BJ245="","",_xll.ciqfunctions.udf.CIQ($BJ245,"iq_bond_coupon")/100)</f>
        <v/>
      </c>
    </row>
    <row r="246" spans="51:63" hidden="1" outlineLevel="1">
      <c r="AY246" s="373" t="str">
        <f>IF($AX246="","",_xll.ciqfunctions.udf.CIQ($AX246,"iq_offer_date"))</f>
        <v/>
      </c>
      <c r="AZ246" s="374" t="str">
        <f>IF($AX246="","",RANK(AY246,$AY$10:$AY$510)+COUNTIF($AY$10:AY246,AY246)-1)</f>
        <v/>
      </c>
      <c r="BE246" s="348">
        <f t="shared" si="18"/>
        <v>237</v>
      </c>
      <c r="BG246" s="376" t="str">
        <f>IF($BF246="","",_xll.ciqfunctions.udf.CIQ($BF246,"iq_security_level"))</f>
        <v/>
      </c>
      <c r="BH246" s="348" t="str">
        <f t="shared" si="19"/>
        <v/>
      </c>
      <c r="BJ246" s="348" t="str">
        <f t="shared" si="20"/>
        <v/>
      </c>
      <c r="BK246" s="377" t="str">
        <f>IF($BJ246="","",_xll.ciqfunctions.udf.CIQ($BJ246,"iq_bond_coupon")/100)</f>
        <v/>
      </c>
    </row>
    <row r="247" spans="51:63" hidden="1" outlineLevel="1">
      <c r="AY247" s="373" t="str">
        <f>IF($AX247="","",_xll.ciqfunctions.udf.CIQ($AX247,"iq_offer_date"))</f>
        <v/>
      </c>
      <c r="AZ247" s="374" t="str">
        <f>IF($AX247="","",RANK(AY247,$AY$10:$AY$510)+COUNTIF($AY$10:AY247,AY247)-1)</f>
        <v/>
      </c>
      <c r="BE247" s="348">
        <f t="shared" si="18"/>
        <v>238</v>
      </c>
      <c r="BG247" s="376" t="str">
        <f>IF($BF247="","",_xll.ciqfunctions.udf.CIQ($BF247,"iq_security_level"))</f>
        <v/>
      </c>
      <c r="BH247" s="348" t="str">
        <f t="shared" si="19"/>
        <v/>
      </c>
      <c r="BJ247" s="348" t="str">
        <f t="shared" si="20"/>
        <v/>
      </c>
      <c r="BK247" s="377" t="str">
        <f>IF($BJ247="","",_xll.ciqfunctions.udf.CIQ($BJ247,"iq_bond_coupon")/100)</f>
        <v/>
      </c>
    </row>
    <row r="248" spans="51:63" hidden="1" outlineLevel="1">
      <c r="AY248" s="373" t="str">
        <f>IF($AX248="","",_xll.ciqfunctions.udf.CIQ($AX248,"iq_offer_date"))</f>
        <v/>
      </c>
      <c r="AZ248" s="374" t="str">
        <f>IF($AX248="","",RANK(AY248,$AY$10:$AY$510)+COUNTIF($AY$10:AY248,AY248)-1)</f>
        <v/>
      </c>
      <c r="BE248" s="348">
        <f t="shared" si="18"/>
        <v>239</v>
      </c>
      <c r="BG248" s="376" t="str">
        <f>IF($BF248="","",_xll.ciqfunctions.udf.CIQ($BF248,"iq_security_level"))</f>
        <v/>
      </c>
      <c r="BH248" s="348" t="str">
        <f t="shared" si="19"/>
        <v/>
      </c>
      <c r="BJ248" s="348" t="str">
        <f t="shared" si="20"/>
        <v/>
      </c>
      <c r="BK248" s="377" t="str">
        <f>IF($BJ248="","",_xll.ciqfunctions.udf.CIQ($BJ248,"iq_bond_coupon")/100)</f>
        <v/>
      </c>
    </row>
    <row r="249" spans="51:63" hidden="1" outlineLevel="1">
      <c r="AY249" s="373" t="str">
        <f>IF($AX249="","",_xll.ciqfunctions.udf.CIQ($AX249,"iq_offer_date"))</f>
        <v/>
      </c>
      <c r="AZ249" s="374" t="str">
        <f>IF($AX249="","",RANK(AY249,$AY$10:$AY$510)+COUNTIF($AY$10:AY249,AY249)-1)</f>
        <v/>
      </c>
      <c r="BE249" s="348">
        <f t="shared" si="18"/>
        <v>240</v>
      </c>
      <c r="BG249" s="376" t="str">
        <f>IF($BF249="","",_xll.ciqfunctions.udf.CIQ($BF249,"iq_security_level"))</f>
        <v/>
      </c>
      <c r="BH249" s="348" t="str">
        <f t="shared" si="19"/>
        <v/>
      </c>
      <c r="BJ249" s="348" t="str">
        <f t="shared" si="20"/>
        <v/>
      </c>
      <c r="BK249" s="377" t="str">
        <f>IF($BJ249="","",_xll.ciqfunctions.udf.CIQ($BJ249,"iq_bond_coupon")/100)</f>
        <v/>
      </c>
    </row>
    <row r="250" spans="51:63" hidden="1" outlineLevel="1">
      <c r="AY250" s="373" t="str">
        <f>IF($AX250="","",_xll.ciqfunctions.udf.CIQ($AX250,"iq_offer_date"))</f>
        <v/>
      </c>
      <c r="AZ250" s="374" t="str">
        <f>IF($AX250="","",RANK(AY250,$AY$10:$AY$510)+COUNTIF($AY$10:AY250,AY250)-1)</f>
        <v/>
      </c>
      <c r="BE250" s="348">
        <f t="shared" si="18"/>
        <v>241</v>
      </c>
      <c r="BG250" s="376" t="str">
        <f>IF($BF250="","",_xll.ciqfunctions.udf.CIQ($BF250,"iq_security_level"))</f>
        <v/>
      </c>
      <c r="BH250" s="348" t="str">
        <f t="shared" si="19"/>
        <v/>
      </c>
      <c r="BJ250" s="348" t="str">
        <f t="shared" si="20"/>
        <v/>
      </c>
      <c r="BK250" s="377" t="str">
        <f>IF($BJ250="","",_xll.ciqfunctions.udf.CIQ($BJ250,"iq_bond_coupon")/100)</f>
        <v/>
      </c>
    </row>
    <row r="251" spans="51:63" hidden="1" outlineLevel="1">
      <c r="AY251" s="373" t="str">
        <f>IF($AX251="","",_xll.ciqfunctions.udf.CIQ($AX251,"iq_offer_date"))</f>
        <v/>
      </c>
      <c r="AZ251" s="374" t="str">
        <f>IF($AX251="","",RANK(AY251,$AY$10:$AY$510)+COUNTIF($AY$10:AY251,AY251)-1)</f>
        <v/>
      </c>
      <c r="BE251" s="348">
        <f t="shared" si="18"/>
        <v>242</v>
      </c>
      <c r="BG251" s="376" t="str">
        <f>IF($BF251="","",_xll.ciqfunctions.udf.CIQ($BF251,"iq_security_level"))</f>
        <v/>
      </c>
      <c r="BH251" s="348" t="str">
        <f t="shared" si="19"/>
        <v/>
      </c>
      <c r="BJ251" s="348" t="str">
        <f t="shared" si="20"/>
        <v/>
      </c>
      <c r="BK251" s="377" t="str">
        <f>IF($BJ251="","",_xll.ciqfunctions.udf.CIQ($BJ251,"iq_bond_coupon")/100)</f>
        <v/>
      </c>
    </row>
    <row r="252" spans="51:63" hidden="1" outlineLevel="1">
      <c r="AY252" s="373" t="str">
        <f>IF($AX252="","",_xll.ciqfunctions.udf.CIQ($AX252,"iq_offer_date"))</f>
        <v/>
      </c>
      <c r="AZ252" s="374" t="str">
        <f>IF($AX252="","",RANK(AY252,$AY$10:$AY$510)+COUNTIF($AY$10:AY252,AY252)-1)</f>
        <v/>
      </c>
      <c r="BE252" s="348">
        <f t="shared" si="18"/>
        <v>243</v>
      </c>
      <c r="BG252" s="376" t="str">
        <f>IF($BF252="","",_xll.ciqfunctions.udf.CIQ($BF252,"iq_security_level"))</f>
        <v/>
      </c>
      <c r="BH252" s="348" t="str">
        <f t="shared" si="19"/>
        <v/>
      </c>
      <c r="BJ252" s="348" t="str">
        <f t="shared" si="20"/>
        <v/>
      </c>
      <c r="BK252" s="377" t="str">
        <f>IF($BJ252="","",_xll.ciqfunctions.udf.CIQ($BJ252,"iq_bond_coupon")/100)</f>
        <v/>
      </c>
    </row>
    <row r="253" spans="51:63" hidden="1" outlineLevel="1">
      <c r="AY253" s="373" t="str">
        <f>IF($AX253="","",_xll.ciqfunctions.udf.CIQ($AX253,"iq_offer_date"))</f>
        <v/>
      </c>
      <c r="AZ253" s="374" t="str">
        <f>IF($AX253="","",RANK(AY253,$AY$10:$AY$510)+COUNTIF($AY$10:AY253,AY253)-1)</f>
        <v/>
      </c>
      <c r="BE253" s="348">
        <f t="shared" si="18"/>
        <v>244</v>
      </c>
      <c r="BG253" s="376" t="str">
        <f>IF($BF253="","",_xll.ciqfunctions.udf.CIQ($BF253,"iq_security_level"))</f>
        <v/>
      </c>
      <c r="BH253" s="348" t="str">
        <f t="shared" si="19"/>
        <v/>
      </c>
      <c r="BJ253" s="348" t="str">
        <f t="shared" si="20"/>
        <v/>
      </c>
      <c r="BK253" s="377" t="str">
        <f>IF($BJ253="","",_xll.ciqfunctions.udf.CIQ($BJ253,"iq_bond_coupon")/100)</f>
        <v/>
      </c>
    </row>
    <row r="254" spans="51:63" hidden="1" outlineLevel="1">
      <c r="AY254" s="373" t="str">
        <f>IF($AX254="","",_xll.ciqfunctions.udf.CIQ($AX254,"iq_offer_date"))</f>
        <v/>
      </c>
      <c r="AZ254" s="374" t="str">
        <f>IF($AX254="","",RANK(AY254,$AY$10:$AY$510)+COUNTIF($AY$10:AY254,AY254)-1)</f>
        <v/>
      </c>
      <c r="BE254" s="348">
        <f t="shared" si="18"/>
        <v>245</v>
      </c>
      <c r="BG254" s="376" t="str">
        <f>IF($BF254="","",_xll.ciqfunctions.udf.CIQ($BF254,"iq_security_level"))</f>
        <v/>
      </c>
      <c r="BH254" s="348" t="str">
        <f t="shared" si="19"/>
        <v/>
      </c>
      <c r="BJ254" s="348" t="str">
        <f t="shared" si="20"/>
        <v/>
      </c>
      <c r="BK254" s="377" t="str">
        <f>IF($BJ254="","",_xll.ciqfunctions.udf.CIQ($BJ254,"iq_bond_coupon")/100)</f>
        <v/>
      </c>
    </row>
    <row r="255" spans="51:63" hidden="1" outlineLevel="1">
      <c r="AY255" s="373" t="str">
        <f>IF($AX255="","",_xll.ciqfunctions.udf.CIQ($AX255,"iq_offer_date"))</f>
        <v/>
      </c>
      <c r="AZ255" s="374" t="str">
        <f>IF($AX255="","",RANK(AY255,$AY$10:$AY$510)+COUNTIF($AY$10:AY255,AY255)-1)</f>
        <v/>
      </c>
      <c r="BE255" s="348">
        <f t="shared" si="18"/>
        <v>246</v>
      </c>
      <c r="BG255" s="376" t="str">
        <f>IF($BF255="","",_xll.ciqfunctions.udf.CIQ($BF255,"iq_security_level"))</f>
        <v/>
      </c>
      <c r="BH255" s="348" t="str">
        <f t="shared" si="19"/>
        <v/>
      </c>
      <c r="BJ255" s="348" t="str">
        <f t="shared" si="20"/>
        <v/>
      </c>
      <c r="BK255" s="377" t="str">
        <f>IF($BJ255="","",_xll.ciqfunctions.udf.CIQ($BJ255,"iq_bond_coupon")/100)</f>
        <v/>
      </c>
    </row>
    <row r="256" spans="51:63" hidden="1" outlineLevel="1">
      <c r="AY256" s="373" t="str">
        <f>IF($AX256="","",_xll.ciqfunctions.udf.CIQ($AX256,"iq_offer_date"))</f>
        <v/>
      </c>
      <c r="AZ256" s="374" t="str">
        <f>IF($AX256="","",RANK(AY256,$AY$10:$AY$510)+COUNTIF($AY$10:AY256,AY256)-1)</f>
        <v/>
      </c>
      <c r="BE256" s="348">
        <f t="shared" si="18"/>
        <v>247</v>
      </c>
      <c r="BG256" s="376" t="str">
        <f>IF($BF256="","",_xll.ciqfunctions.udf.CIQ($BF256,"iq_security_level"))</f>
        <v/>
      </c>
      <c r="BH256" s="348" t="str">
        <f t="shared" si="19"/>
        <v/>
      </c>
      <c r="BJ256" s="348" t="str">
        <f t="shared" si="20"/>
        <v/>
      </c>
      <c r="BK256" s="377" t="str">
        <f>IF($BJ256="","",_xll.ciqfunctions.udf.CIQ($BJ256,"iq_bond_coupon")/100)</f>
        <v/>
      </c>
    </row>
    <row r="257" spans="51:63" hidden="1" outlineLevel="1">
      <c r="AY257" s="373" t="str">
        <f>IF($AX257="","",_xll.ciqfunctions.udf.CIQ($AX257,"iq_offer_date"))</f>
        <v/>
      </c>
      <c r="AZ257" s="374" t="str">
        <f>IF($AX257="","",RANK(AY257,$AY$10:$AY$510)+COUNTIF($AY$10:AY257,AY257)-1)</f>
        <v/>
      </c>
      <c r="BE257" s="348">
        <f t="shared" si="18"/>
        <v>248</v>
      </c>
      <c r="BG257" s="376" t="str">
        <f>IF($BF257="","",_xll.ciqfunctions.udf.CIQ($BF257,"iq_security_level"))</f>
        <v/>
      </c>
      <c r="BH257" s="348" t="str">
        <f t="shared" si="19"/>
        <v/>
      </c>
      <c r="BJ257" s="348" t="str">
        <f t="shared" si="20"/>
        <v/>
      </c>
      <c r="BK257" s="377" t="str">
        <f>IF($BJ257="","",_xll.ciqfunctions.udf.CIQ($BJ257,"iq_bond_coupon")/100)</f>
        <v/>
      </c>
    </row>
    <row r="258" spans="51:63" hidden="1" outlineLevel="1">
      <c r="AY258" s="373" t="str">
        <f>IF($AX258="","",_xll.ciqfunctions.udf.CIQ($AX258,"iq_offer_date"))</f>
        <v/>
      </c>
      <c r="AZ258" s="374" t="str">
        <f>IF($AX258="","",RANK(AY258,$AY$10:$AY$510)+COUNTIF($AY$10:AY258,AY258)-1)</f>
        <v/>
      </c>
      <c r="BE258" s="348">
        <f t="shared" si="18"/>
        <v>249</v>
      </c>
      <c r="BG258" s="376" t="str">
        <f>IF($BF258="","",_xll.ciqfunctions.udf.CIQ($BF258,"iq_security_level"))</f>
        <v/>
      </c>
      <c r="BH258" s="348" t="str">
        <f t="shared" si="19"/>
        <v/>
      </c>
      <c r="BJ258" s="348" t="str">
        <f t="shared" si="20"/>
        <v/>
      </c>
      <c r="BK258" s="377" t="str">
        <f>IF($BJ258="","",_xll.ciqfunctions.udf.CIQ($BJ258,"iq_bond_coupon")/100)</f>
        <v/>
      </c>
    </row>
    <row r="259" spans="51:63" hidden="1" outlineLevel="1">
      <c r="AY259" s="373" t="str">
        <f>IF($AX259="","",_xll.ciqfunctions.udf.CIQ($AX259,"iq_offer_date"))</f>
        <v/>
      </c>
      <c r="AZ259" s="374" t="str">
        <f>IF($AX259="","",RANK(AY259,$AY$10:$AY$510)+COUNTIF($AY$10:AY259,AY259)-1)</f>
        <v/>
      </c>
      <c r="BE259" s="348">
        <f t="shared" si="18"/>
        <v>250</v>
      </c>
      <c r="BG259" s="376" t="str">
        <f>IF($BF259="","",_xll.ciqfunctions.udf.CIQ($BF259,"iq_security_level"))</f>
        <v/>
      </c>
      <c r="BH259" s="348" t="str">
        <f t="shared" si="19"/>
        <v/>
      </c>
      <c r="BJ259" s="348" t="str">
        <f t="shared" si="20"/>
        <v/>
      </c>
      <c r="BK259" s="377" t="str">
        <f>IF($BJ259="","",_xll.ciqfunctions.udf.CIQ($BJ259,"iq_bond_coupon")/100)</f>
        <v/>
      </c>
    </row>
    <row r="260" spans="51:63" hidden="1" outlineLevel="1">
      <c r="AY260" s="373" t="str">
        <f>IF($AX260="","",_xll.ciqfunctions.udf.CIQ($AX260,"iq_offer_date"))</f>
        <v/>
      </c>
      <c r="AZ260" s="374" t="str">
        <f>IF($AX260="","",RANK(AY260,$AY$10:$AY$510)+COUNTIF($AY$10:AY260,AY260)-1)</f>
        <v/>
      </c>
      <c r="BE260" s="348">
        <f t="shared" si="18"/>
        <v>251</v>
      </c>
      <c r="BG260" s="376" t="str">
        <f>IF($BF260="","",_xll.ciqfunctions.udf.CIQ($BF260,"iq_security_level"))</f>
        <v/>
      </c>
      <c r="BH260" s="348" t="str">
        <f t="shared" si="19"/>
        <v/>
      </c>
      <c r="BJ260" s="348" t="str">
        <f t="shared" si="20"/>
        <v/>
      </c>
      <c r="BK260" s="377" t="str">
        <f>IF($BJ260="","",_xll.ciqfunctions.udf.CIQ($BJ260,"iq_bond_coupon")/100)</f>
        <v/>
      </c>
    </row>
    <row r="261" spans="51:63" hidden="1" outlineLevel="1">
      <c r="AY261" s="373" t="str">
        <f>IF($AX261="","",_xll.ciqfunctions.udf.CIQ($AX261,"iq_offer_date"))</f>
        <v/>
      </c>
      <c r="AZ261" s="374" t="str">
        <f>IF($AX261="","",RANK(AY261,$AY$10:$AY$510)+COUNTIF($AY$10:AY261,AY261)-1)</f>
        <v/>
      </c>
      <c r="BE261" s="348">
        <f t="shared" si="18"/>
        <v>252</v>
      </c>
      <c r="BG261" s="376" t="str">
        <f>IF($BF261="","",_xll.ciqfunctions.udf.CIQ($BF261,"iq_security_level"))</f>
        <v/>
      </c>
      <c r="BH261" s="348" t="str">
        <f t="shared" si="19"/>
        <v/>
      </c>
      <c r="BJ261" s="348" t="str">
        <f t="shared" si="20"/>
        <v/>
      </c>
      <c r="BK261" s="377" t="str">
        <f>IF($BJ261="","",_xll.ciqfunctions.udf.CIQ($BJ261,"iq_bond_coupon")/100)</f>
        <v/>
      </c>
    </row>
    <row r="262" spans="51:63" hidden="1" outlineLevel="1">
      <c r="AY262" s="373" t="str">
        <f>IF($AX262="","",_xll.ciqfunctions.udf.CIQ($AX262,"iq_offer_date"))</f>
        <v/>
      </c>
      <c r="AZ262" s="374" t="str">
        <f>IF($AX262="","",RANK(AY262,$AY$10:$AY$510)+COUNTIF($AY$10:AY262,AY262)-1)</f>
        <v/>
      </c>
      <c r="BE262" s="348">
        <f t="shared" si="18"/>
        <v>253</v>
      </c>
      <c r="BG262" s="376" t="str">
        <f>IF($BF262="","",_xll.ciqfunctions.udf.CIQ($BF262,"iq_security_level"))</f>
        <v/>
      </c>
      <c r="BH262" s="348" t="str">
        <f t="shared" si="19"/>
        <v/>
      </c>
      <c r="BJ262" s="348" t="str">
        <f t="shared" si="20"/>
        <v/>
      </c>
      <c r="BK262" s="377" t="str">
        <f>IF($BJ262="","",_xll.ciqfunctions.udf.CIQ($BJ262,"iq_bond_coupon")/100)</f>
        <v/>
      </c>
    </row>
    <row r="263" spans="51:63" hidden="1" outlineLevel="1">
      <c r="AY263" s="373" t="str">
        <f>IF($AX263="","",_xll.ciqfunctions.udf.CIQ($AX263,"iq_offer_date"))</f>
        <v/>
      </c>
      <c r="AZ263" s="374" t="str">
        <f>IF($AX263="","",RANK(AY263,$AY$10:$AY$510)+COUNTIF($AY$10:AY263,AY263)-1)</f>
        <v/>
      </c>
      <c r="BE263" s="348">
        <f t="shared" si="18"/>
        <v>254</v>
      </c>
      <c r="BG263" s="376" t="str">
        <f>IF($BF263="","",_xll.ciqfunctions.udf.CIQ($BF263,"iq_security_level"))</f>
        <v/>
      </c>
      <c r="BH263" s="348" t="str">
        <f t="shared" si="19"/>
        <v/>
      </c>
      <c r="BJ263" s="348" t="str">
        <f t="shared" si="20"/>
        <v/>
      </c>
      <c r="BK263" s="377" t="str">
        <f>IF($BJ263="","",_xll.ciqfunctions.udf.CIQ($BJ263,"iq_bond_coupon")/100)</f>
        <v/>
      </c>
    </row>
    <row r="264" spans="51:63" hidden="1" outlineLevel="1">
      <c r="AY264" s="373" t="str">
        <f>IF($AX264="","",_xll.ciqfunctions.udf.CIQ($AX264,"iq_offer_date"))</f>
        <v/>
      </c>
      <c r="AZ264" s="374" t="str">
        <f>IF($AX264="","",RANK(AY264,$AY$10:$AY$510)+COUNTIF($AY$10:AY264,AY264)-1)</f>
        <v/>
      </c>
      <c r="BE264" s="348">
        <f t="shared" si="18"/>
        <v>255</v>
      </c>
      <c r="BG264" s="376" t="str">
        <f>IF($BF264="","",_xll.ciqfunctions.udf.CIQ($BF264,"iq_security_level"))</f>
        <v/>
      </c>
      <c r="BH264" s="348" t="str">
        <f t="shared" si="19"/>
        <v/>
      </c>
      <c r="BJ264" s="348" t="str">
        <f t="shared" si="20"/>
        <v/>
      </c>
      <c r="BK264" s="377" t="str">
        <f>IF($BJ264="","",_xll.ciqfunctions.udf.CIQ($BJ264,"iq_bond_coupon")/100)</f>
        <v/>
      </c>
    </row>
    <row r="265" spans="51:63" hidden="1" outlineLevel="1">
      <c r="AY265" s="373" t="str">
        <f>IF($AX265="","",_xll.ciqfunctions.udf.CIQ($AX265,"iq_offer_date"))</f>
        <v/>
      </c>
      <c r="AZ265" s="374" t="str">
        <f>IF($AX265="","",RANK(AY265,$AY$10:$AY$510)+COUNTIF($AY$10:AY265,AY265)-1)</f>
        <v/>
      </c>
      <c r="BE265" s="348">
        <f t="shared" si="18"/>
        <v>256</v>
      </c>
      <c r="BG265" s="376" t="str">
        <f>IF($BF265="","",_xll.ciqfunctions.udf.CIQ($BF265,"iq_security_level"))</f>
        <v/>
      </c>
      <c r="BH265" s="348" t="str">
        <f t="shared" si="19"/>
        <v/>
      </c>
      <c r="BJ265" s="348" t="str">
        <f t="shared" si="20"/>
        <v/>
      </c>
      <c r="BK265" s="377" t="str">
        <f>IF($BJ265="","",_xll.ciqfunctions.udf.CIQ($BJ265,"iq_bond_coupon")/100)</f>
        <v/>
      </c>
    </row>
    <row r="266" spans="51:63" hidden="1" outlineLevel="1">
      <c r="AY266" s="373" t="str">
        <f>IF($AX266="","",_xll.ciqfunctions.udf.CIQ($AX266,"iq_offer_date"))</f>
        <v/>
      </c>
      <c r="AZ266" s="374" t="str">
        <f>IF($AX266="","",RANK(AY266,$AY$10:$AY$510)+COUNTIF($AY$10:AY266,AY266)-1)</f>
        <v/>
      </c>
      <c r="BE266" s="348">
        <f t="shared" si="18"/>
        <v>257</v>
      </c>
      <c r="BG266" s="376" t="str">
        <f>IF($BF266="","",_xll.ciqfunctions.udf.CIQ($BF266,"iq_security_level"))</f>
        <v/>
      </c>
      <c r="BH266" s="348" t="str">
        <f t="shared" si="19"/>
        <v/>
      </c>
      <c r="BJ266" s="348" t="str">
        <f t="shared" si="20"/>
        <v/>
      </c>
      <c r="BK266" s="377" t="str">
        <f>IF($BJ266="","",_xll.ciqfunctions.udf.CIQ($BJ266,"iq_bond_coupon")/100)</f>
        <v/>
      </c>
    </row>
    <row r="267" spans="51:63" hidden="1" outlineLevel="1">
      <c r="AY267" s="373" t="str">
        <f>IF($AX267="","",_xll.ciqfunctions.udf.CIQ($AX267,"iq_offer_date"))</f>
        <v/>
      </c>
      <c r="AZ267" s="374" t="str">
        <f>IF($AX267="","",RANK(AY267,$AY$10:$AY$510)+COUNTIF($AY$10:AY267,AY267)-1)</f>
        <v/>
      </c>
      <c r="BE267" s="348">
        <f t="shared" si="18"/>
        <v>258</v>
      </c>
      <c r="BG267" s="376" t="str">
        <f>IF($BF267="","",_xll.ciqfunctions.udf.CIQ($BF267,"iq_security_level"))</f>
        <v/>
      </c>
      <c r="BH267" s="348" t="str">
        <f t="shared" si="19"/>
        <v/>
      </c>
      <c r="BJ267" s="348" t="str">
        <f t="shared" si="20"/>
        <v/>
      </c>
      <c r="BK267" s="377" t="str">
        <f>IF($BJ267="","",_xll.ciqfunctions.udf.CIQ($BJ267,"iq_bond_coupon")/100)</f>
        <v/>
      </c>
    </row>
    <row r="268" spans="51:63" hidden="1" outlineLevel="1">
      <c r="AY268" s="373" t="str">
        <f>IF($AX268="","",_xll.ciqfunctions.udf.CIQ($AX268,"iq_offer_date"))</f>
        <v/>
      </c>
      <c r="AZ268" s="374" t="str">
        <f>IF($AX268="","",RANK(AY268,$AY$10:$AY$510)+COUNTIF($AY$10:AY268,AY268)-1)</f>
        <v/>
      </c>
      <c r="BE268" s="348">
        <f t="shared" ref="BE268:BE331" si="21">BE267+1</f>
        <v>259</v>
      </c>
      <c r="BG268" s="376" t="str">
        <f>IF($BF268="","",_xll.ciqfunctions.udf.CIQ($BF268,"iq_security_level"))</f>
        <v/>
      </c>
      <c r="BH268" s="348" t="str">
        <f t="shared" ref="BH268:BH331" si="22">IF(BF268="","",IF(BG268="Preferred",BH267+1,BH267))</f>
        <v/>
      </c>
      <c r="BJ268" s="348" t="str">
        <f t="shared" si="20"/>
        <v/>
      </c>
      <c r="BK268" s="377" t="str">
        <f>IF($BJ268="","",_xll.ciqfunctions.udf.CIQ($BJ268,"iq_bond_coupon")/100)</f>
        <v/>
      </c>
    </row>
    <row r="269" spans="51:63" hidden="1" outlineLevel="1">
      <c r="AY269" s="373" t="str">
        <f>IF($AX269="","",_xll.ciqfunctions.udf.CIQ($AX269,"iq_offer_date"))</f>
        <v/>
      </c>
      <c r="AZ269" s="374" t="str">
        <f>IF($AX269="","",RANK(AY269,$AY$10:$AY$510)+COUNTIF($AY$10:AY269,AY269)-1)</f>
        <v/>
      </c>
      <c r="BE269" s="348">
        <f t="shared" si="21"/>
        <v>260</v>
      </c>
      <c r="BG269" s="376" t="str">
        <f>IF($BF269="","",_xll.ciqfunctions.udf.CIQ($BF269,"iq_security_level"))</f>
        <v/>
      </c>
      <c r="BH269" s="348" t="str">
        <f t="shared" si="22"/>
        <v/>
      </c>
      <c r="BJ269" s="348" t="str">
        <f t="shared" si="20"/>
        <v/>
      </c>
      <c r="BK269" s="377" t="str">
        <f>IF($BJ269="","",_xll.ciqfunctions.udf.CIQ($BJ269,"iq_bond_coupon")/100)</f>
        <v/>
      </c>
    </row>
    <row r="270" spans="51:63" hidden="1" outlineLevel="1">
      <c r="AY270" s="373" t="str">
        <f>IF($AX270="","",_xll.ciqfunctions.udf.CIQ($AX270,"iq_offer_date"))</f>
        <v/>
      </c>
      <c r="AZ270" s="374" t="str">
        <f>IF($AX270="","",RANK(AY270,$AY$10:$AY$510)+COUNTIF($AY$10:AY270,AY270)-1)</f>
        <v/>
      </c>
      <c r="BE270" s="348">
        <f t="shared" si="21"/>
        <v>261</v>
      </c>
      <c r="BG270" s="376" t="str">
        <f>IF($BF270="","",_xll.ciqfunctions.udf.CIQ($BF270,"iq_security_level"))</f>
        <v/>
      </c>
      <c r="BH270" s="348" t="str">
        <f t="shared" si="22"/>
        <v/>
      </c>
      <c r="BJ270" s="348" t="str">
        <f t="shared" si="20"/>
        <v/>
      </c>
      <c r="BK270" s="377" t="str">
        <f>IF($BJ270="","",_xll.ciqfunctions.udf.CIQ($BJ270,"iq_bond_coupon")/100)</f>
        <v/>
      </c>
    </row>
    <row r="271" spans="51:63" hidden="1" outlineLevel="1">
      <c r="AY271" s="373" t="str">
        <f>IF($AX271="","",_xll.ciqfunctions.udf.CIQ($AX271,"iq_offer_date"))</f>
        <v/>
      </c>
      <c r="AZ271" s="374" t="str">
        <f>IF($AX271="","",RANK(AY271,$AY$10:$AY$510)+COUNTIF($AY$10:AY271,AY271)-1)</f>
        <v/>
      </c>
      <c r="BE271" s="348">
        <f t="shared" si="21"/>
        <v>262</v>
      </c>
      <c r="BG271" s="376" t="str">
        <f>IF($BF271="","",_xll.ciqfunctions.udf.CIQ($BF271,"iq_security_level"))</f>
        <v/>
      </c>
      <c r="BH271" s="348" t="str">
        <f t="shared" si="22"/>
        <v/>
      </c>
      <c r="BJ271" s="348" t="str">
        <f t="shared" si="20"/>
        <v/>
      </c>
      <c r="BK271" s="377" t="str">
        <f>IF($BJ271="","",_xll.ciqfunctions.udf.CIQ($BJ271,"iq_bond_coupon")/100)</f>
        <v/>
      </c>
    </row>
    <row r="272" spans="51:63" hidden="1" outlineLevel="1">
      <c r="AY272" s="373" t="str">
        <f>IF($AX272="","",_xll.ciqfunctions.udf.CIQ($AX272,"iq_offer_date"))</f>
        <v/>
      </c>
      <c r="AZ272" s="374" t="str">
        <f>IF($AX272="","",RANK(AY272,$AY$10:$AY$510)+COUNTIF($AY$10:AY272,AY272)-1)</f>
        <v/>
      </c>
      <c r="BE272" s="348">
        <f t="shared" si="21"/>
        <v>263</v>
      </c>
      <c r="BG272" s="376" t="str">
        <f>IF($BF272="","",_xll.ciqfunctions.udf.CIQ($BF272,"iq_security_level"))</f>
        <v/>
      </c>
      <c r="BH272" s="348" t="str">
        <f t="shared" si="22"/>
        <v/>
      </c>
      <c r="BJ272" s="348" t="str">
        <f t="shared" si="20"/>
        <v/>
      </c>
      <c r="BK272" s="377" t="str">
        <f>IF($BJ272="","",_xll.ciqfunctions.udf.CIQ($BJ272,"iq_bond_coupon")/100)</f>
        <v/>
      </c>
    </row>
    <row r="273" spans="51:63" hidden="1" outlineLevel="1">
      <c r="AY273" s="373" t="str">
        <f>IF($AX273="","",_xll.ciqfunctions.udf.CIQ($AX273,"iq_offer_date"))</f>
        <v/>
      </c>
      <c r="AZ273" s="374" t="str">
        <f>IF($AX273="","",RANK(AY273,$AY$10:$AY$510)+COUNTIF($AY$10:AY273,AY273)-1)</f>
        <v/>
      </c>
      <c r="BE273" s="348">
        <f t="shared" si="21"/>
        <v>264</v>
      </c>
      <c r="BG273" s="376" t="str">
        <f>IF($BF273="","",_xll.ciqfunctions.udf.CIQ($BF273,"iq_security_level"))</f>
        <v/>
      </c>
      <c r="BH273" s="348" t="str">
        <f t="shared" si="22"/>
        <v/>
      </c>
      <c r="BJ273" s="348" t="str">
        <f t="shared" si="20"/>
        <v/>
      </c>
      <c r="BK273" s="377" t="str">
        <f>IF($BJ273="","",_xll.ciqfunctions.udf.CIQ($BJ273,"iq_bond_coupon")/100)</f>
        <v/>
      </c>
    </row>
    <row r="274" spans="51:63" hidden="1" outlineLevel="1">
      <c r="AY274" s="373" t="str">
        <f>IF($AX274="","",_xll.ciqfunctions.udf.CIQ($AX274,"iq_offer_date"))</f>
        <v/>
      </c>
      <c r="AZ274" s="374" t="str">
        <f>IF($AX274="","",RANK(AY274,$AY$10:$AY$510)+COUNTIF($AY$10:AY274,AY274)-1)</f>
        <v/>
      </c>
      <c r="BE274" s="348">
        <f t="shared" si="21"/>
        <v>265</v>
      </c>
      <c r="BG274" s="376" t="str">
        <f>IF($BF274="","",_xll.ciqfunctions.udf.CIQ($BF274,"iq_security_level"))</f>
        <v/>
      </c>
      <c r="BH274" s="348" t="str">
        <f t="shared" si="22"/>
        <v/>
      </c>
      <c r="BJ274" s="348" t="str">
        <f t="shared" si="20"/>
        <v/>
      </c>
      <c r="BK274" s="377" t="str">
        <f>IF($BJ274="","",_xll.ciqfunctions.udf.CIQ($BJ274,"iq_bond_coupon")/100)</f>
        <v/>
      </c>
    </row>
    <row r="275" spans="51:63" hidden="1" outlineLevel="1">
      <c r="AY275" s="373" t="str">
        <f>IF($AX275="","",_xll.ciqfunctions.udf.CIQ($AX275,"iq_offer_date"))</f>
        <v/>
      </c>
      <c r="AZ275" s="374" t="str">
        <f>IF($AX275="","",RANK(AY275,$AY$10:$AY$510)+COUNTIF($AY$10:AY275,AY275)-1)</f>
        <v/>
      </c>
      <c r="BE275" s="348">
        <f t="shared" si="21"/>
        <v>266</v>
      </c>
      <c r="BG275" s="376" t="str">
        <f>IF($BF275="","",_xll.ciqfunctions.udf.CIQ($BF275,"iq_security_level"))</f>
        <v/>
      </c>
      <c r="BH275" s="348" t="str">
        <f t="shared" si="22"/>
        <v/>
      </c>
      <c r="BJ275" s="348" t="str">
        <f t="shared" si="20"/>
        <v/>
      </c>
      <c r="BK275" s="377" t="str">
        <f>IF($BJ275="","",_xll.ciqfunctions.udf.CIQ($BJ275,"iq_bond_coupon")/100)</f>
        <v/>
      </c>
    </row>
    <row r="276" spans="51:63" hidden="1" outlineLevel="1">
      <c r="AY276" s="373" t="str">
        <f>IF($AX276="","",_xll.ciqfunctions.udf.CIQ($AX276,"iq_offer_date"))</f>
        <v/>
      </c>
      <c r="AZ276" s="374" t="str">
        <f>IF($AX276="","",RANK(AY276,$AY$10:$AY$510)+COUNTIF($AY$10:AY276,AY276)-1)</f>
        <v/>
      </c>
      <c r="BE276" s="348">
        <f t="shared" si="21"/>
        <v>267</v>
      </c>
      <c r="BG276" s="376" t="str">
        <f>IF($BF276="","",_xll.ciqfunctions.udf.CIQ($BF276,"iq_security_level"))</f>
        <v/>
      </c>
      <c r="BH276" s="348" t="str">
        <f t="shared" si="22"/>
        <v/>
      </c>
      <c r="BJ276" s="348" t="str">
        <f t="shared" si="20"/>
        <v/>
      </c>
      <c r="BK276" s="377" t="str">
        <f>IF($BJ276="","",_xll.ciqfunctions.udf.CIQ($BJ276,"iq_bond_coupon")/100)</f>
        <v/>
      </c>
    </row>
    <row r="277" spans="51:63" hidden="1" outlineLevel="1">
      <c r="AY277" s="373" t="str">
        <f>IF($AX277="","",_xll.ciqfunctions.udf.CIQ($AX277,"iq_offer_date"))</f>
        <v/>
      </c>
      <c r="AZ277" s="374" t="str">
        <f>IF($AX277="","",RANK(AY277,$AY$10:$AY$510)+COUNTIF($AY$10:AY277,AY277)-1)</f>
        <v/>
      </c>
      <c r="BE277" s="348">
        <f t="shared" si="21"/>
        <v>268</v>
      </c>
      <c r="BG277" s="376" t="str">
        <f>IF($BF277="","",_xll.ciqfunctions.udf.CIQ($BF277,"iq_security_level"))</f>
        <v/>
      </c>
      <c r="BH277" s="348" t="str">
        <f t="shared" si="22"/>
        <v/>
      </c>
      <c r="BJ277" s="348" t="str">
        <f t="shared" si="20"/>
        <v/>
      </c>
      <c r="BK277" s="377" t="str">
        <f>IF($BJ277="","",_xll.ciqfunctions.udf.CIQ($BJ277,"iq_bond_coupon")/100)</f>
        <v/>
      </c>
    </row>
    <row r="278" spans="51:63" hidden="1" outlineLevel="1">
      <c r="AY278" s="373" t="str">
        <f>IF($AX278="","",_xll.ciqfunctions.udf.CIQ($AX278,"iq_offer_date"))</f>
        <v/>
      </c>
      <c r="AZ278" s="374" t="str">
        <f>IF($AX278="","",RANK(AY278,$AY$10:$AY$510)+COUNTIF($AY$10:AY278,AY278)-1)</f>
        <v/>
      </c>
      <c r="BE278" s="348">
        <f t="shared" si="21"/>
        <v>269</v>
      </c>
      <c r="BG278" s="376" t="str">
        <f>IF($BF278="","",_xll.ciqfunctions.udf.CIQ($BF278,"iq_security_level"))</f>
        <v/>
      </c>
      <c r="BH278" s="348" t="str">
        <f t="shared" si="22"/>
        <v/>
      </c>
      <c r="BJ278" s="348" t="str">
        <f t="shared" si="20"/>
        <v/>
      </c>
      <c r="BK278" s="377" t="str">
        <f>IF($BJ278="","",_xll.ciqfunctions.udf.CIQ($BJ278,"iq_bond_coupon")/100)</f>
        <v/>
      </c>
    </row>
    <row r="279" spans="51:63" hidden="1" outlineLevel="1">
      <c r="AY279" s="373" t="str">
        <f>IF($AX279="","",_xll.ciqfunctions.udf.CIQ($AX279,"iq_offer_date"))</f>
        <v/>
      </c>
      <c r="AZ279" s="374" t="str">
        <f>IF($AX279="","",RANK(AY279,$AY$10:$AY$510)+COUNTIF($AY$10:AY279,AY279)-1)</f>
        <v/>
      </c>
      <c r="BE279" s="348">
        <f t="shared" si="21"/>
        <v>270</v>
      </c>
      <c r="BG279" s="376" t="str">
        <f>IF($BF279="","",_xll.ciqfunctions.udf.CIQ($BF279,"iq_security_level"))</f>
        <v/>
      </c>
      <c r="BH279" s="348" t="str">
        <f t="shared" si="22"/>
        <v/>
      </c>
      <c r="BJ279" s="348" t="str">
        <f t="shared" si="20"/>
        <v/>
      </c>
      <c r="BK279" s="377" t="str">
        <f>IF($BJ279="","",_xll.ciqfunctions.udf.CIQ($BJ279,"iq_bond_coupon")/100)</f>
        <v/>
      </c>
    </row>
    <row r="280" spans="51:63" hidden="1" outlineLevel="1">
      <c r="AY280" s="373" t="str">
        <f>IF($AX280="","",_xll.ciqfunctions.udf.CIQ($AX280,"iq_offer_date"))</f>
        <v/>
      </c>
      <c r="AZ280" s="374" t="str">
        <f>IF($AX280="","",RANK(AY280,$AY$10:$AY$510)+COUNTIF($AY$10:AY280,AY280)-1)</f>
        <v/>
      </c>
      <c r="BE280" s="348">
        <f t="shared" si="21"/>
        <v>271</v>
      </c>
      <c r="BG280" s="376" t="str">
        <f>IF($BF280="","",_xll.ciqfunctions.udf.CIQ($BF280,"iq_security_level"))</f>
        <v/>
      </c>
      <c r="BH280" s="348" t="str">
        <f t="shared" si="22"/>
        <v/>
      </c>
      <c r="BJ280" s="348" t="str">
        <f t="shared" si="20"/>
        <v/>
      </c>
      <c r="BK280" s="377" t="str">
        <f>IF($BJ280="","",_xll.ciqfunctions.udf.CIQ($BJ280,"iq_bond_coupon")/100)</f>
        <v/>
      </c>
    </row>
    <row r="281" spans="51:63" hidden="1" outlineLevel="1">
      <c r="AY281" s="373" t="str">
        <f>IF($AX281="","",_xll.ciqfunctions.udf.CIQ($AX281,"iq_offer_date"))</f>
        <v/>
      </c>
      <c r="AZ281" s="374" t="str">
        <f>IF($AX281="","",RANK(AY281,$AY$10:$AY$510)+COUNTIF($AY$10:AY281,AY281)-1)</f>
        <v/>
      </c>
      <c r="BE281" s="348">
        <f t="shared" si="21"/>
        <v>272</v>
      </c>
      <c r="BG281" s="376" t="str">
        <f>IF($BF281="","",_xll.ciqfunctions.udf.CIQ($BF281,"iq_security_level"))</f>
        <v/>
      </c>
      <c r="BH281" s="348" t="str">
        <f t="shared" si="22"/>
        <v/>
      </c>
      <c r="BJ281" s="348" t="str">
        <f t="shared" si="20"/>
        <v/>
      </c>
      <c r="BK281" s="377" t="str">
        <f>IF($BJ281="","",_xll.ciqfunctions.udf.CIQ($BJ281,"iq_bond_coupon")/100)</f>
        <v/>
      </c>
    </row>
    <row r="282" spans="51:63" hidden="1" outlineLevel="1">
      <c r="AY282" s="373" t="str">
        <f>IF($AX282="","",_xll.ciqfunctions.udf.CIQ($AX282,"iq_offer_date"))</f>
        <v/>
      </c>
      <c r="AZ282" s="374" t="str">
        <f>IF($AX282="","",RANK(AY282,$AY$10:$AY$510)+COUNTIF($AY$10:AY282,AY282)-1)</f>
        <v/>
      </c>
      <c r="BE282" s="348">
        <f t="shared" si="21"/>
        <v>273</v>
      </c>
      <c r="BG282" s="376" t="str">
        <f>IF($BF282="","",_xll.ciqfunctions.udf.CIQ($BF282,"iq_security_level"))</f>
        <v/>
      </c>
      <c r="BH282" s="348" t="str">
        <f t="shared" si="22"/>
        <v/>
      </c>
      <c r="BJ282" s="348" t="str">
        <f t="shared" si="20"/>
        <v/>
      </c>
      <c r="BK282" s="377" t="str">
        <f>IF($BJ282="","",_xll.ciqfunctions.udf.CIQ($BJ282,"iq_bond_coupon")/100)</f>
        <v/>
      </c>
    </row>
    <row r="283" spans="51:63" hidden="1" outlineLevel="1">
      <c r="AY283" s="373" t="str">
        <f>IF($AX283="","",_xll.ciqfunctions.udf.CIQ($AX283,"iq_offer_date"))</f>
        <v/>
      </c>
      <c r="AZ283" s="374" t="str">
        <f>IF($AX283="","",RANK(AY283,$AY$10:$AY$510)+COUNTIF($AY$10:AY283,AY283)-1)</f>
        <v/>
      </c>
      <c r="BE283" s="348">
        <f t="shared" si="21"/>
        <v>274</v>
      </c>
      <c r="BG283" s="376" t="str">
        <f>IF($BF283="","",_xll.ciqfunctions.udf.CIQ($BF283,"iq_security_level"))</f>
        <v/>
      </c>
      <c r="BH283" s="348" t="str">
        <f t="shared" si="22"/>
        <v/>
      </c>
      <c r="BJ283" s="348" t="str">
        <f t="shared" si="20"/>
        <v/>
      </c>
      <c r="BK283" s="377" t="str">
        <f>IF($BJ283="","",_xll.ciqfunctions.udf.CIQ($BJ283,"iq_bond_coupon")/100)</f>
        <v/>
      </c>
    </row>
    <row r="284" spans="51:63" hidden="1" outlineLevel="1">
      <c r="AY284" s="373" t="str">
        <f>IF($AX284="","",_xll.ciqfunctions.udf.CIQ($AX284,"iq_offer_date"))</f>
        <v/>
      </c>
      <c r="AZ284" s="374" t="str">
        <f>IF($AX284="","",RANK(AY284,$AY$10:$AY$510)+COUNTIF($AY$10:AY284,AY284)-1)</f>
        <v/>
      </c>
      <c r="BE284" s="348">
        <f t="shared" si="21"/>
        <v>275</v>
      </c>
      <c r="BG284" s="376" t="str">
        <f>IF($BF284="","",_xll.ciqfunctions.udf.CIQ($BF284,"iq_security_level"))</f>
        <v/>
      </c>
      <c r="BH284" s="348" t="str">
        <f t="shared" si="22"/>
        <v/>
      </c>
      <c r="BJ284" s="348" t="str">
        <f t="shared" si="20"/>
        <v/>
      </c>
      <c r="BK284" s="377" t="str">
        <f>IF($BJ284="","",_xll.ciqfunctions.udf.CIQ($BJ284,"iq_bond_coupon")/100)</f>
        <v/>
      </c>
    </row>
    <row r="285" spans="51:63" hidden="1" outlineLevel="1">
      <c r="AY285" s="373" t="str">
        <f>IF($AX285="","",_xll.ciqfunctions.udf.CIQ($AX285,"iq_offer_date"))</f>
        <v/>
      </c>
      <c r="AZ285" s="374" t="str">
        <f>IF($AX285="","",RANK(AY285,$AY$10:$AY$510)+COUNTIF($AY$10:AY285,AY285)-1)</f>
        <v/>
      </c>
      <c r="BE285" s="348">
        <f t="shared" si="21"/>
        <v>276</v>
      </c>
      <c r="BG285" s="376" t="str">
        <f>IF($BF285="","",_xll.ciqfunctions.udf.CIQ($BF285,"iq_security_level"))</f>
        <v/>
      </c>
      <c r="BH285" s="348" t="str">
        <f t="shared" si="22"/>
        <v/>
      </c>
      <c r="BJ285" s="348" t="str">
        <f t="shared" si="20"/>
        <v/>
      </c>
      <c r="BK285" s="377" t="str">
        <f>IF($BJ285="","",_xll.ciqfunctions.udf.CIQ($BJ285,"iq_bond_coupon")/100)</f>
        <v/>
      </c>
    </row>
    <row r="286" spans="51:63" hidden="1" outlineLevel="1">
      <c r="AY286" s="373" t="str">
        <f>IF($AX286="","",_xll.ciqfunctions.udf.CIQ($AX286,"iq_offer_date"))</f>
        <v/>
      </c>
      <c r="AZ286" s="374" t="str">
        <f>IF($AX286="","",RANK(AY286,$AY$10:$AY$510)+COUNTIF($AY$10:AY286,AY286)-1)</f>
        <v/>
      </c>
      <c r="BE286" s="348">
        <f t="shared" si="21"/>
        <v>277</v>
      </c>
      <c r="BG286" s="376" t="str">
        <f>IF($BF286="","",_xll.ciqfunctions.udf.CIQ($BF286,"iq_security_level"))</f>
        <v/>
      </c>
      <c r="BH286" s="348" t="str">
        <f t="shared" si="22"/>
        <v/>
      </c>
      <c r="BJ286" s="348" t="str">
        <f t="shared" si="20"/>
        <v/>
      </c>
      <c r="BK286" s="377" t="str">
        <f>IF($BJ286="","",_xll.ciqfunctions.udf.CIQ($BJ286,"iq_bond_coupon")/100)</f>
        <v/>
      </c>
    </row>
    <row r="287" spans="51:63" hidden="1" outlineLevel="1">
      <c r="AY287" s="373" t="str">
        <f>IF($AX287="","",_xll.ciqfunctions.udf.CIQ($AX287,"iq_offer_date"))</f>
        <v/>
      </c>
      <c r="AZ287" s="374" t="str">
        <f>IF($AX287="","",RANK(AY287,$AY$10:$AY$510)+COUNTIF($AY$10:AY287,AY287)-1)</f>
        <v/>
      </c>
      <c r="BE287" s="348">
        <f t="shared" si="21"/>
        <v>278</v>
      </c>
      <c r="BG287" s="376" t="str">
        <f>IF($BF287="","",_xll.ciqfunctions.udf.CIQ($BF287,"iq_security_level"))</f>
        <v/>
      </c>
      <c r="BH287" s="348" t="str">
        <f t="shared" si="22"/>
        <v/>
      </c>
      <c r="BJ287" s="348" t="str">
        <f t="shared" si="20"/>
        <v/>
      </c>
      <c r="BK287" s="377" t="str">
        <f>IF($BJ287="","",_xll.ciqfunctions.udf.CIQ($BJ287,"iq_bond_coupon")/100)</f>
        <v/>
      </c>
    </row>
    <row r="288" spans="51:63" hidden="1" outlineLevel="1">
      <c r="AY288" s="373" t="str">
        <f>IF($AX288="","",_xll.ciqfunctions.udf.CIQ($AX288,"iq_offer_date"))</f>
        <v/>
      </c>
      <c r="AZ288" s="374" t="str">
        <f>IF($AX288="","",RANK(AY288,$AY$10:$AY$510)+COUNTIF($AY$10:AY288,AY288)-1)</f>
        <v/>
      </c>
      <c r="BE288" s="348">
        <f t="shared" si="21"/>
        <v>279</v>
      </c>
      <c r="BG288" s="376" t="str">
        <f>IF($BF288="","",_xll.ciqfunctions.udf.CIQ($BF288,"iq_security_level"))</f>
        <v/>
      </c>
      <c r="BH288" s="348" t="str">
        <f t="shared" si="22"/>
        <v/>
      </c>
      <c r="BJ288" s="348" t="str">
        <f t="shared" si="20"/>
        <v/>
      </c>
      <c r="BK288" s="377" t="str">
        <f>IF($BJ288="","",_xll.ciqfunctions.udf.CIQ($BJ288,"iq_bond_coupon")/100)</f>
        <v/>
      </c>
    </row>
    <row r="289" spans="51:63" hidden="1" outlineLevel="1">
      <c r="AY289" s="373" t="str">
        <f>IF($AX289="","",_xll.ciqfunctions.udf.CIQ($AX289,"iq_offer_date"))</f>
        <v/>
      </c>
      <c r="AZ289" s="374" t="str">
        <f>IF($AX289="","",RANK(AY289,$AY$10:$AY$510)+COUNTIF($AY$10:AY289,AY289)-1)</f>
        <v/>
      </c>
      <c r="BE289" s="348">
        <f t="shared" si="21"/>
        <v>280</v>
      </c>
      <c r="BG289" s="376" t="str">
        <f>IF($BF289="","",_xll.ciqfunctions.udf.CIQ($BF289,"iq_security_level"))</f>
        <v/>
      </c>
      <c r="BH289" s="348" t="str">
        <f t="shared" si="22"/>
        <v/>
      </c>
      <c r="BJ289" s="348" t="str">
        <f t="shared" si="20"/>
        <v/>
      </c>
      <c r="BK289" s="377" t="str">
        <f>IF($BJ289="","",_xll.ciqfunctions.udf.CIQ($BJ289,"iq_bond_coupon")/100)</f>
        <v/>
      </c>
    </row>
    <row r="290" spans="51:63" hidden="1" outlineLevel="1">
      <c r="AY290" s="373" t="str">
        <f>IF($AX290="","",_xll.ciqfunctions.udf.CIQ($AX290,"iq_offer_date"))</f>
        <v/>
      </c>
      <c r="AZ290" s="374" t="str">
        <f>IF($AX290="","",RANK(AY290,$AY$10:$AY$510)+COUNTIF($AY$10:AY290,AY290)-1)</f>
        <v/>
      </c>
      <c r="BE290" s="348">
        <f t="shared" si="21"/>
        <v>281</v>
      </c>
      <c r="BG290" s="376" t="str">
        <f>IF($BF290="","",_xll.ciqfunctions.udf.CIQ($BF290,"iq_security_level"))</f>
        <v/>
      </c>
      <c r="BH290" s="348" t="str">
        <f t="shared" si="22"/>
        <v/>
      </c>
      <c r="BJ290" s="348" t="str">
        <f t="shared" si="20"/>
        <v/>
      </c>
      <c r="BK290" s="377" t="str">
        <f>IF($BJ290="","",_xll.ciqfunctions.udf.CIQ($BJ290,"iq_bond_coupon")/100)</f>
        <v/>
      </c>
    </row>
    <row r="291" spans="51:63" hidden="1" outlineLevel="1">
      <c r="AY291" s="373" t="str">
        <f>IF($AX291="","",_xll.ciqfunctions.udf.CIQ($AX291,"iq_offer_date"))</f>
        <v/>
      </c>
      <c r="AZ291" s="374" t="str">
        <f>IF($AX291="","",RANK(AY291,$AY$10:$AY$510)+COUNTIF($AY$10:AY291,AY291)-1)</f>
        <v/>
      </c>
      <c r="BE291" s="348">
        <f t="shared" si="21"/>
        <v>282</v>
      </c>
      <c r="BG291" s="376" t="str">
        <f>IF($BF291="","",_xll.ciqfunctions.udf.CIQ($BF291,"iq_security_level"))</f>
        <v/>
      </c>
      <c r="BH291" s="348" t="str">
        <f t="shared" si="22"/>
        <v/>
      </c>
      <c r="BJ291" s="348" t="str">
        <f t="shared" si="20"/>
        <v/>
      </c>
      <c r="BK291" s="377" t="str">
        <f>IF($BJ291="","",_xll.ciqfunctions.udf.CIQ($BJ291,"iq_bond_coupon")/100)</f>
        <v/>
      </c>
    </row>
    <row r="292" spans="51:63" hidden="1" outlineLevel="1">
      <c r="AY292" s="373" t="str">
        <f>IF($AX292="","",_xll.ciqfunctions.udf.CIQ($AX292,"iq_offer_date"))</f>
        <v/>
      </c>
      <c r="AZ292" s="374" t="str">
        <f>IF($AX292="","",RANK(AY292,$AY$10:$AY$510)+COUNTIF($AY$10:AY292,AY292)-1)</f>
        <v/>
      </c>
      <c r="BE292" s="348">
        <f t="shared" si="21"/>
        <v>283</v>
      </c>
      <c r="BG292" s="376" t="str">
        <f>IF($BF292="","",_xll.ciqfunctions.udf.CIQ($BF292,"iq_security_level"))</f>
        <v/>
      </c>
      <c r="BH292" s="348" t="str">
        <f t="shared" si="22"/>
        <v/>
      </c>
      <c r="BJ292" s="348" t="str">
        <f t="shared" si="20"/>
        <v/>
      </c>
      <c r="BK292" s="377" t="str">
        <f>IF($BJ292="","",_xll.ciqfunctions.udf.CIQ($BJ292,"iq_bond_coupon")/100)</f>
        <v/>
      </c>
    </row>
    <row r="293" spans="51:63" hidden="1" outlineLevel="1">
      <c r="AY293" s="373" t="str">
        <f>IF($AX293="","",_xll.ciqfunctions.udf.CIQ($AX293,"iq_offer_date"))</f>
        <v/>
      </c>
      <c r="AZ293" s="374" t="str">
        <f>IF($AX293="","",RANK(AY293,$AY$10:$AY$510)+COUNTIF($AY$10:AY293,AY293)-1)</f>
        <v/>
      </c>
      <c r="BE293" s="348">
        <f t="shared" si="21"/>
        <v>284</v>
      </c>
      <c r="BG293" s="376" t="str">
        <f>IF($BF293="","",_xll.ciqfunctions.udf.CIQ($BF293,"iq_security_level"))</f>
        <v/>
      </c>
      <c r="BH293" s="348" t="str">
        <f t="shared" si="22"/>
        <v/>
      </c>
      <c r="BJ293" s="348" t="str">
        <f t="shared" si="20"/>
        <v/>
      </c>
      <c r="BK293" s="377" t="str">
        <f>IF($BJ293="","",_xll.ciqfunctions.udf.CIQ($BJ293,"iq_bond_coupon")/100)</f>
        <v/>
      </c>
    </row>
    <row r="294" spans="51:63" hidden="1" outlineLevel="1">
      <c r="AY294" s="373" t="str">
        <f>IF($AX294="","",_xll.ciqfunctions.udf.CIQ($AX294,"iq_offer_date"))</f>
        <v/>
      </c>
      <c r="AZ294" s="374" t="str">
        <f>IF($AX294="","",RANK(AY294,$AY$10:$AY$510)+COUNTIF($AY$10:AY294,AY294)-1)</f>
        <v/>
      </c>
      <c r="BE294" s="348">
        <f t="shared" si="21"/>
        <v>285</v>
      </c>
      <c r="BG294" s="376" t="str">
        <f>IF($BF294="","",_xll.ciqfunctions.udf.CIQ($BF294,"iq_security_level"))</f>
        <v/>
      </c>
      <c r="BH294" s="348" t="str">
        <f t="shared" si="22"/>
        <v/>
      </c>
      <c r="BJ294" s="348" t="str">
        <f t="shared" si="20"/>
        <v/>
      </c>
      <c r="BK294" s="377" t="str">
        <f>IF($BJ294="","",_xll.ciqfunctions.udf.CIQ($BJ294,"iq_bond_coupon")/100)</f>
        <v/>
      </c>
    </row>
    <row r="295" spans="51:63" hidden="1" outlineLevel="1">
      <c r="AY295" s="373" t="str">
        <f>IF($AX295="","",_xll.ciqfunctions.udf.CIQ($AX295,"iq_offer_date"))</f>
        <v/>
      </c>
      <c r="AZ295" s="374" t="str">
        <f>IF($AX295="","",RANK(AY295,$AY$10:$AY$510)+COUNTIF($AY$10:AY295,AY295)-1)</f>
        <v/>
      </c>
      <c r="BE295" s="348">
        <f t="shared" si="21"/>
        <v>286</v>
      </c>
      <c r="BG295" s="376" t="str">
        <f>IF($BF295="","",_xll.ciqfunctions.udf.CIQ($BF295,"iq_security_level"))</f>
        <v/>
      </c>
      <c r="BH295" s="348" t="str">
        <f t="shared" si="22"/>
        <v/>
      </c>
      <c r="BJ295" s="348" t="str">
        <f t="shared" si="20"/>
        <v/>
      </c>
      <c r="BK295" s="377" t="str">
        <f>IF($BJ295="","",_xll.ciqfunctions.udf.CIQ($BJ295,"iq_bond_coupon")/100)</f>
        <v/>
      </c>
    </row>
    <row r="296" spans="51:63" hidden="1" outlineLevel="1">
      <c r="AY296" s="373" t="str">
        <f>IF($AX296="","",_xll.ciqfunctions.udf.CIQ($AX296,"iq_offer_date"))</f>
        <v/>
      </c>
      <c r="AZ296" s="374" t="str">
        <f>IF($AX296="","",RANK(AY296,$AY$10:$AY$510)+COUNTIF($AY$10:AY296,AY296)-1)</f>
        <v/>
      </c>
      <c r="BE296" s="348">
        <f t="shared" si="21"/>
        <v>287</v>
      </c>
      <c r="BG296" s="376" t="str">
        <f>IF($BF296="","",_xll.ciqfunctions.udf.CIQ($BF296,"iq_security_level"))</f>
        <v/>
      </c>
      <c r="BH296" s="348" t="str">
        <f t="shared" si="22"/>
        <v/>
      </c>
      <c r="BJ296" s="348" t="str">
        <f t="shared" si="20"/>
        <v/>
      </c>
      <c r="BK296" s="377" t="str">
        <f>IF($BJ296="","",_xll.ciqfunctions.udf.CIQ($BJ296,"iq_bond_coupon")/100)</f>
        <v/>
      </c>
    </row>
    <row r="297" spans="51:63" hidden="1" outlineLevel="1">
      <c r="AY297" s="373" t="str">
        <f>IF($AX297="","",_xll.ciqfunctions.udf.CIQ($AX297,"iq_offer_date"))</f>
        <v/>
      </c>
      <c r="AZ297" s="374" t="str">
        <f>IF($AX297="","",RANK(AY297,$AY$10:$AY$510)+COUNTIF($AY$10:AY297,AY297)-1)</f>
        <v/>
      </c>
      <c r="BE297" s="348">
        <f t="shared" si="21"/>
        <v>288</v>
      </c>
      <c r="BG297" s="376" t="str">
        <f>IF($BF297="","",_xll.ciqfunctions.udf.CIQ($BF297,"iq_security_level"))</f>
        <v/>
      </c>
      <c r="BH297" s="348" t="str">
        <f t="shared" si="22"/>
        <v/>
      </c>
      <c r="BJ297" s="348" t="str">
        <f t="shared" si="20"/>
        <v/>
      </c>
      <c r="BK297" s="377" t="str">
        <f>IF($BJ297="","",_xll.ciqfunctions.udf.CIQ($BJ297,"iq_bond_coupon")/100)</f>
        <v/>
      </c>
    </row>
    <row r="298" spans="51:63" hidden="1" outlineLevel="1">
      <c r="AY298" s="373" t="str">
        <f>IF($AX298="","",_xll.ciqfunctions.udf.CIQ($AX298,"iq_offer_date"))</f>
        <v/>
      </c>
      <c r="AZ298" s="374" t="str">
        <f>IF($AX298="","",RANK(AY298,$AY$10:$AY$510)+COUNTIF($AY$10:AY298,AY298)-1)</f>
        <v/>
      </c>
      <c r="BE298" s="348">
        <f t="shared" si="21"/>
        <v>289</v>
      </c>
      <c r="BG298" s="376" t="str">
        <f>IF($BF298="","",_xll.ciqfunctions.udf.CIQ($BF298,"iq_security_level"))</f>
        <v/>
      </c>
      <c r="BH298" s="348" t="str">
        <f t="shared" si="22"/>
        <v/>
      </c>
      <c r="BJ298" s="348" t="str">
        <f t="shared" si="20"/>
        <v/>
      </c>
      <c r="BK298" s="377" t="str">
        <f>IF($BJ298="","",_xll.ciqfunctions.udf.CIQ($BJ298,"iq_bond_coupon")/100)</f>
        <v/>
      </c>
    </row>
    <row r="299" spans="51:63" hidden="1" outlineLevel="1">
      <c r="AY299" s="373" t="str">
        <f>IF($AX299="","",_xll.ciqfunctions.udf.CIQ($AX299,"iq_offer_date"))</f>
        <v/>
      </c>
      <c r="AZ299" s="374" t="str">
        <f>IF($AX299="","",RANK(AY299,$AY$10:$AY$510)+COUNTIF($AY$10:AY299,AY299)-1)</f>
        <v/>
      </c>
      <c r="BE299" s="348">
        <f t="shared" si="21"/>
        <v>290</v>
      </c>
      <c r="BG299" s="376" t="str">
        <f>IF($BF299="","",_xll.ciqfunctions.udf.CIQ($BF299,"iq_security_level"))</f>
        <v/>
      </c>
      <c r="BH299" s="348" t="str">
        <f t="shared" si="22"/>
        <v/>
      </c>
      <c r="BJ299" s="348" t="str">
        <f t="shared" si="20"/>
        <v/>
      </c>
      <c r="BK299" s="377" t="str">
        <f>IF($BJ299="","",_xll.ciqfunctions.udf.CIQ($BJ299,"iq_bond_coupon")/100)</f>
        <v/>
      </c>
    </row>
    <row r="300" spans="51:63" hidden="1" outlineLevel="1">
      <c r="AY300" s="373" t="str">
        <f>IF($AX300="","",_xll.ciqfunctions.udf.CIQ($AX300,"iq_offer_date"))</f>
        <v/>
      </c>
      <c r="AZ300" s="374" t="str">
        <f>IF($AX300="","",RANK(AY300,$AY$10:$AY$510)+COUNTIF($AY$10:AY300,AY300)-1)</f>
        <v/>
      </c>
      <c r="BE300" s="348">
        <f t="shared" si="21"/>
        <v>291</v>
      </c>
      <c r="BG300" s="376" t="str">
        <f>IF($BF300="","",_xll.ciqfunctions.udf.CIQ($BF300,"iq_security_level"))</f>
        <v/>
      </c>
      <c r="BH300" s="348" t="str">
        <f t="shared" si="22"/>
        <v/>
      </c>
      <c r="BJ300" s="348" t="str">
        <f t="shared" si="20"/>
        <v/>
      </c>
      <c r="BK300" s="377" t="str">
        <f>IF($BJ300="","",_xll.ciqfunctions.udf.CIQ($BJ300,"iq_bond_coupon")/100)</f>
        <v/>
      </c>
    </row>
    <row r="301" spans="51:63" hidden="1" outlineLevel="1">
      <c r="AY301" s="373" t="str">
        <f>IF($AX301="","",_xll.ciqfunctions.udf.CIQ($AX301,"iq_offer_date"))</f>
        <v/>
      </c>
      <c r="AZ301" s="374" t="str">
        <f>IF($AX301="","",RANK(AY301,$AY$10:$AY$510)+COUNTIF($AY$10:AY301,AY301)-1)</f>
        <v/>
      </c>
      <c r="BE301" s="348">
        <f t="shared" si="21"/>
        <v>292</v>
      </c>
      <c r="BG301" s="376" t="str">
        <f>IF($BF301="","",_xll.ciqfunctions.udf.CIQ($BF301,"iq_security_level"))</f>
        <v/>
      </c>
      <c r="BH301" s="348" t="str">
        <f t="shared" si="22"/>
        <v/>
      </c>
      <c r="BJ301" s="348" t="str">
        <f t="shared" si="20"/>
        <v/>
      </c>
      <c r="BK301" s="377" t="str">
        <f>IF($BJ301="","",_xll.ciqfunctions.udf.CIQ($BJ301,"iq_bond_coupon")/100)</f>
        <v/>
      </c>
    </row>
    <row r="302" spans="51:63" hidden="1" outlineLevel="1">
      <c r="AY302" s="373" t="str">
        <f>IF($AX302="","",_xll.ciqfunctions.udf.CIQ($AX302,"iq_offer_date"))</f>
        <v/>
      </c>
      <c r="AZ302" s="374" t="str">
        <f>IF($AX302="","",RANK(AY302,$AY$10:$AY$510)+COUNTIF($AY$10:AY302,AY302)-1)</f>
        <v/>
      </c>
      <c r="BE302" s="348">
        <f t="shared" si="21"/>
        <v>293</v>
      </c>
      <c r="BG302" s="376" t="str">
        <f>IF($BF302="","",_xll.ciqfunctions.udf.CIQ($BF302,"iq_security_level"))</f>
        <v/>
      </c>
      <c r="BH302" s="348" t="str">
        <f t="shared" si="22"/>
        <v/>
      </c>
      <c r="BJ302" s="348" t="str">
        <f t="shared" si="20"/>
        <v/>
      </c>
      <c r="BK302" s="377" t="str">
        <f>IF($BJ302="","",_xll.ciqfunctions.udf.CIQ($BJ302,"iq_bond_coupon")/100)</f>
        <v/>
      </c>
    </row>
    <row r="303" spans="51:63" hidden="1" outlineLevel="1">
      <c r="AY303" s="373" t="str">
        <f>IF($AX303="","",_xll.ciqfunctions.udf.CIQ($AX303,"iq_offer_date"))</f>
        <v/>
      </c>
      <c r="AZ303" s="374" t="str">
        <f>IF($AX303="","",RANK(AY303,$AY$10:$AY$510)+COUNTIF($AY$10:AY303,AY303)-1)</f>
        <v/>
      </c>
      <c r="BE303" s="348">
        <f t="shared" si="21"/>
        <v>294</v>
      </c>
      <c r="BG303" s="376" t="str">
        <f>IF($BF303="","",_xll.ciqfunctions.udf.CIQ($BF303,"iq_security_level"))</f>
        <v/>
      </c>
      <c r="BH303" s="348" t="str">
        <f t="shared" si="22"/>
        <v/>
      </c>
      <c r="BJ303" s="348" t="str">
        <f t="shared" si="20"/>
        <v/>
      </c>
      <c r="BK303" s="377" t="str">
        <f>IF($BJ303="","",_xll.ciqfunctions.udf.CIQ($BJ303,"iq_bond_coupon")/100)</f>
        <v/>
      </c>
    </row>
    <row r="304" spans="51:63" hidden="1" outlineLevel="1">
      <c r="AY304" s="373" t="str">
        <f>IF($AX304="","",_xll.ciqfunctions.udf.CIQ($AX304,"iq_offer_date"))</f>
        <v/>
      </c>
      <c r="AZ304" s="374" t="str">
        <f>IF($AX304="","",RANK(AY304,$AY$10:$AY$510)+COUNTIF($AY$10:AY304,AY304)-1)</f>
        <v/>
      </c>
      <c r="BE304" s="348">
        <f t="shared" si="21"/>
        <v>295</v>
      </c>
      <c r="BG304" s="376" t="str">
        <f>IF($BF304="","",_xll.ciqfunctions.udf.CIQ($BF304,"iq_security_level"))</f>
        <v/>
      </c>
      <c r="BH304" s="348" t="str">
        <f t="shared" si="22"/>
        <v/>
      </c>
      <c r="BJ304" s="348" t="str">
        <f t="shared" si="20"/>
        <v/>
      </c>
      <c r="BK304" s="377" t="str">
        <f>IF($BJ304="","",_xll.ciqfunctions.udf.CIQ($BJ304,"iq_bond_coupon")/100)</f>
        <v/>
      </c>
    </row>
    <row r="305" spans="51:63" hidden="1" outlineLevel="1">
      <c r="AY305" s="373" t="str">
        <f>IF($AX305="","",_xll.ciqfunctions.udf.CIQ($AX305,"iq_offer_date"))</f>
        <v/>
      </c>
      <c r="AZ305" s="374" t="str">
        <f>IF($AX305="","",RANK(AY305,$AY$10:$AY$510)+COUNTIF($AY$10:AY305,AY305)-1)</f>
        <v/>
      </c>
      <c r="BE305" s="348">
        <f t="shared" si="21"/>
        <v>296</v>
      </c>
      <c r="BG305" s="376" t="str">
        <f>IF($BF305="","",_xll.ciqfunctions.udf.CIQ($BF305,"iq_security_level"))</f>
        <v/>
      </c>
      <c r="BH305" s="348" t="str">
        <f t="shared" si="22"/>
        <v/>
      </c>
      <c r="BJ305" s="348" t="str">
        <f t="shared" si="20"/>
        <v/>
      </c>
      <c r="BK305" s="377" t="str">
        <f>IF($BJ305="","",_xll.ciqfunctions.udf.CIQ($BJ305,"iq_bond_coupon")/100)</f>
        <v/>
      </c>
    </row>
    <row r="306" spans="51:63" hidden="1" outlineLevel="1">
      <c r="AY306" s="373" t="str">
        <f>IF($AX306="","",_xll.ciqfunctions.udf.CIQ($AX306,"iq_offer_date"))</f>
        <v/>
      </c>
      <c r="AZ306" s="374" t="str">
        <f>IF($AX306="","",RANK(AY306,$AY$10:$AY$510)+COUNTIF($AY$10:AY306,AY306)-1)</f>
        <v/>
      </c>
      <c r="BE306" s="348">
        <f t="shared" si="21"/>
        <v>297</v>
      </c>
      <c r="BG306" s="376" t="str">
        <f>IF($BF306="","",_xll.ciqfunctions.udf.CIQ($BF306,"iq_security_level"))</f>
        <v/>
      </c>
      <c r="BH306" s="348" t="str">
        <f t="shared" si="22"/>
        <v/>
      </c>
      <c r="BJ306" s="348" t="str">
        <f t="shared" si="20"/>
        <v/>
      </c>
      <c r="BK306" s="377" t="str">
        <f>IF($BJ306="","",_xll.ciqfunctions.udf.CIQ($BJ306,"iq_bond_coupon")/100)</f>
        <v/>
      </c>
    </row>
    <row r="307" spans="51:63" hidden="1" outlineLevel="1">
      <c r="AY307" s="373" t="str">
        <f>IF($AX307="","",_xll.ciqfunctions.udf.CIQ($AX307,"iq_offer_date"))</f>
        <v/>
      </c>
      <c r="AZ307" s="374" t="str">
        <f>IF($AX307="","",RANK(AY307,$AY$10:$AY$510)+COUNTIF($AY$10:AY307,AY307)-1)</f>
        <v/>
      </c>
      <c r="BE307" s="348">
        <f t="shared" si="21"/>
        <v>298</v>
      </c>
      <c r="BG307" s="376" t="str">
        <f>IF($BF307="","",_xll.ciqfunctions.udf.CIQ($BF307,"iq_security_level"))</f>
        <v/>
      </c>
      <c r="BH307" s="348" t="str">
        <f t="shared" si="22"/>
        <v/>
      </c>
      <c r="BJ307" s="348" t="str">
        <f t="shared" si="20"/>
        <v/>
      </c>
      <c r="BK307" s="377" t="str">
        <f>IF($BJ307="","",_xll.ciqfunctions.udf.CIQ($BJ307,"iq_bond_coupon")/100)</f>
        <v/>
      </c>
    </row>
    <row r="308" spans="51:63" hidden="1" outlineLevel="1">
      <c r="AY308" s="373" t="str">
        <f>IF($AX308="","",_xll.ciqfunctions.udf.CIQ($AX308,"iq_offer_date"))</f>
        <v/>
      </c>
      <c r="AZ308" s="374" t="str">
        <f>IF($AX308="","",RANK(AY308,$AY$10:$AY$510)+COUNTIF($AY$10:AY308,AY308)-1)</f>
        <v/>
      </c>
      <c r="BE308" s="348">
        <f t="shared" si="21"/>
        <v>299</v>
      </c>
      <c r="BG308" s="376" t="str">
        <f>IF($BF308="","",_xll.ciqfunctions.udf.CIQ($BF308,"iq_security_level"))</f>
        <v/>
      </c>
      <c r="BH308" s="348" t="str">
        <f t="shared" si="22"/>
        <v/>
      </c>
      <c r="BJ308" s="348" t="str">
        <f t="shared" si="20"/>
        <v/>
      </c>
      <c r="BK308" s="377" t="str">
        <f>IF($BJ308="","",_xll.ciqfunctions.udf.CIQ($BJ308,"iq_bond_coupon")/100)</f>
        <v/>
      </c>
    </row>
    <row r="309" spans="51:63" hidden="1" outlineLevel="1">
      <c r="AY309" s="373" t="str">
        <f>IF($AX309="","",_xll.ciqfunctions.udf.CIQ($AX309,"iq_offer_date"))</f>
        <v/>
      </c>
      <c r="AZ309" s="374" t="str">
        <f>IF($AX309="","",RANK(AY309,$AY$10:$AY$510)+COUNTIF($AY$10:AY309,AY309)-1)</f>
        <v/>
      </c>
      <c r="BE309" s="348">
        <f t="shared" si="21"/>
        <v>300</v>
      </c>
      <c r="BG309" s="376" t="str">
        <f>IF($BF309="","",_xll.ciqfunctions.udf.CIQ($BF309,"iq_security_level"))</f>
        <v/>
      </c>
      <c r="BH309" s="348" t="str">
        <f t="shared" si="22"/>
        <v/>
      </c>
      <c r="BJ309" s="348" t="str">
        <f t="shared" ref="BJ309:BJ372" si="23">IF($BF308="","",IF(ISERROR(INDEX($BF$10:$BF$509,MATCH(BE308,$BH$10:$BH$509,0))),"",INDEX($BF$10:$BF$509,MATCH(BE308,$BH$10:$BH$509,0))))</f>
        <v/>
      </c>
      <c r="BK309" s="377" t="str">
        <f>IF($BJ309="","",_xll.ciqfunctions.udf.CIQ($BJ309,"iq_bond_coupon")/100)</f>
        <v/>
      </c>
    </row>
    <row r="310" spans="51:63" hidden="1" outlineLevel="1">
      <c r="AY310" s="373" t="str">
        <f>IF($AX310="","",_xll.ciqfunctions.udf.CIQ($AX310,"iq_offer_date"))</f>
        <v/>
      </c>
      <c r="AZ310" s="374" t="str">
        <f>IF($AX310="","",RANK(AY310,$AY$10:$AY$510)+COUNTIF($AY$10:AY310,AY310)-1)</f>
        <v/>
      </c>
      <c r="BE310" s="348">
        <f t="shared" si="21"/>
        <v>301</v>
      </c>
      <c r="BG310" s="376" t="str">
        <f>IF($BF310="","",_xll.ciqfunctions.udf.CIQ($BF310,"iq_security_level"))</f>
        <v/>
      </c>
      <c r="BH310" s="348" t="str">
        <f t="shared" si="22"/>
        <v/>
      </c>
      <c r="BJ310" s="348" t="str">
        <f t="shared" si="23"/>
        <v/>
      </c>
      <c r="BK310" s="377" t="str">
        <f>IF($BJ310="","",_xll.ciqfunctions.udf.CIQ($BJ310,"iq_bond_coupon")/100)</f>
        <v/>
      </c>
    </row>
    <row r="311" spans="51:63" hidden="1" outlineLevel="1">
      <c r="AY311" s="373" t="str">
        <f>IF($AX311="","",_xll.ciqfunctions.udf.CIQ($AX311,"iq_offer_date"))</f>
        <v/>
      </c>
      <c r="AZ311" s="374" t="str">
        <f>IF($AX311="","",RANK(AY311,$AY$10:$AY$510)+COUNTIF($AY$10:AY311,AY311)-1)</f>
        <v/>
      </c>
      <c r="BE311" s="348">
        <f t="shared" si="21"/>
        <v>302</v>
      </c>
      <c r="BG311" s="376" t="str">
        <f>IF($BF311="","",_xll.ciqfunctions.udf.CIQ($BF311,"iq_security_level"))</f>
        <v/>
      </c>
      <c r="BH311" s="348" t="str">
        <f t="shared" si="22"/>
        <v/>
      </c>
      <c r="BJ311" s="348" t="str">
        <f t="shared" si="23"/>
        <v/>
      </c>
      <c r="BK311" s="377" t="str">
        <f>IF($BJ311="","",_xll.ciqfunctions.udf.CIQ($BJ311,"iq_bond_coupon")/100)</f>
        <v/>
      </c>
    </row>
    <row r="312" spans="51:63" hidden="1" outlineLevel="1">
      <c r="AY312" s="373" t="str">
        <f>IF($AX312="","",_xll.ciqfunctions.udf.CIQ($AX312,"iq_offer_date"))</f>
        <v/>
      </c>
      <c r="AZ312" s="374" t="str">
        <f>IF($AX312="","",RANK(AY312,$AY$10:$AY$510)+COUNTIF($AY$10:AY312,AY312)-1)</f>
        <v/>
      </c>
      <c r="BE312" s="348">
        <f t="shared" si="21"/>
        <v>303</v>
      </c>
      <c r="BG312" s="376" t="str">
        <f>IF($BF312="","",_xll.ciqfunctions.udf.CIQ($BF312,"iq_security_level"))</f>
        <v/>
      </c>
      <c r="BH312" s="348" t="str">
        <f t="shared" si="22"/>
        <v/>
      </c>
      <c r="BJ312" s="348" t="str">
        <f t="shared" si="23"/>
        <v/>
      </c>
      <c r="BK312" s="377" t="str">
        <f>IF($BJ312="","",_xll.ciqfunctions.udf.CIQ($BJ312,"iq_bond_coupon")/100)</f>
        <v/>
      </c>
    </row>
    <row r="313" spans="51:63" hidden="1" outlineLevel="1">
      <c r="AY313" s="373" t="str">
        <f>IF($AX313="","",_xll.ciqfunctions.udf.CIQ($AX313,"iq_offer_date"))</f>
        <v/>
      </c>
      <c r="AZ313" s="374" t="str">
        <f>IF($AX313="","",RANK(AY313,$AY$10:$AY$510)+COUNTIF($AY$10:AY313,AY313)-1)</f>
        <v/>
      </c>
      <c r="BE313" s="348">
        <f t="shared" si="21"/>
        <v>304</v>
      </c>
      <c r="BG313" s="376" t="str">
        <f>IF($BF313="","",_xll.ciqfunctions.udf.CIQ($BF313,"iq_security_level"))</f>
        <v/>
      </c>
      <c r="BH313" s="348" t="str">
        <f t="shared" si="22"/>
        <v/>
      </c>
      <c r="BJ313" s="348" t="str">
        <f t="shared" si="23"/>
        <v/>
      </c>
      <c r="BK313" s="377" t="str">
        <f>IF($BJ313="","",_xll.ciqfunctions.udf.CIQ($BJ313,"iq_bond_coupon")/100)</f>
        <v/>
      </c>
    </row>
    <row r="314" spans="51:63" hidden="1" outlineLevel="1">
      <c r="AY314" s="373" t="str">
        <f>IF($AX314="","",_xll.ciqfunctions.udf.CIQ($AX314,"iq_offer_date"))</f>
        <v/>
      </c>
      <c r="AZ314" s="374" t="str">
        <f>IF($AX314="","",RANK(AY314,$AY$10:$AY$510)+COUNTIF($AY$10:AY314,AY314)-1)</f>
        <v/>
      </c>
      <c r="BE314" s="348">
        <f t="shared" si="21"/>
        <v>305</v>
      </c>
      <c r="BG314" s="376" t="str">
        <f>IF($BF314="","",_xll.ciqfunctions.udf.CIQ($BF314,"iq_security_level"))</f>
        <v/>
      </c>
      <c r="BH314" s="348" t="str">
        <f t="shared" si="22"/>
        <v/>
      </c>
      <c r="BJ314" s="348" t="str">
        <f t="shared" si="23"/>
        <v/>
      </c>
      <c r="BK314" s="377" t="str">
        <f>IF($BJ314="","",_xll.ciqfunctions.udf.CIQ($BJ314,"iq_bond_coupon")/100)</f>
        <v/>
      </c>
    </row>
    <row r="315" spans="51:63" hidden="1" outlineLevel="1">
      <c r="AY315" s="373" t="str">
        <f>IF($AX315="","",_xll.ciqfunctions.udf.CIQ($AX315,"iq_offer_date"))</f>
        <v/>
      </c>
      <c r="AZ315" s="374" t="str">
        <f>IF($AX315="","",RANK(AY315,$AY$10:$AY$510)+COUNTIF($AY$10:AY315,AY315)-1)</f>
        <v/>
      </c>
      <c r="BE315" s="348">
        <f t="shared" si="21"/>
        <v>306</v>
      </c>
      <c r="BG315" s="376" t="str">
        <f>IF($BF315="","",_xll.ciqfunctions.udf.CIQ($BF315,"iq_security_level"))</f>
        <v/>
      </c>
      <c r="BH315" s="348" t="str">
        <f t="shared" si="22"/>
        <v/>
      </c>
      <c r="BJ315" s="348" t="str">
        <f t="shared" si="23"/>
        <v/>
      </c>
      <c r="BK315" s="377" t="str">
        <f>IF($BJ315="","",_xll.ciqfunctions.udf.CIQ($BJ315,"iq_bond_coupon")/100)</f>
        <v/>
      </c>
    </row>
    <row r="316" spans="51:63" hidden="1" outlineLevel="1">
      <c r="AY316" s="373" t="str">
        <f>IF($AX316="","",_xll.ciqfunctions.udf.CIQ($AX316,"iq_offer_date"))</f>
        <v/>
      </c>
      <c r="AZ316" s="374" t="str">
        <f>IF($AX316="","",RANK(AY316,$AY$10:$AY$510)+COUNTIF($AY$10:AY316,AY316)-1)</f>
        <v/>
      </c>
      <c r="BE316" s="348">
        <f t="shared" si="21"/>
        <v>307</v>
      </c>
      <c r="BG316" s="376" t="str">
        <f>IF($BF316="","",_xll.ciqfunctions.udf.CIQ($BF316,"iq_security_level"))</f>
        <v/>
      </c>
      <c r="BH316" s="348" t="str">
        <f t="shared" si="22"/>
        <v/>
      </c>
      <c r="BJ316" s="348" t="str">
        <f t="shared" si="23"/>
        <v/>
      </c>
      <c r="BK316" s="377" t="str">
        <f>IF($BJ316="","",_xll.ciqfunctions.udf.CIQ($BJ316,"iq_bond_coupon")/100)</f>
        <v/>
      </c>
    </row>
    <row r="317" spans="51:63" hidden="1" outlineLevel="1">
      <c r="AY317" s="373" t="str">
        <f>IF($AX317="","",_xll.ciqfunctions.udf.CIQ($AX317,"iq_offer_date"))</f>
        <v/>
      </c>
      <c r="AZ317" s="374" t="str">
        <f>IF($AX317="","",RANK(AY317,$AY$10:$AY$510)+COUNTIF($AY$10:AY317,AY317)-1)</f>
        <v/>
      </c>
      <c r="BE317" s="348">
        <f t="shared" si="21"/>
        <v>308</v>
      </c>
      <c r="BG317" s="376" t="str">
        <f>IF($BF317="","",_xll.ciqfunctions.udf.CIQ($BF317,"iq_security_level"))</f>
        <v/>
      </c>
      <c r="BH317" s="348" t="str">
        <f t="shared" si="22"/>
        <v/>
      </c>
      <c r="BJ317" s="348" t="str">
        <f t="shared" si="23"/>
        <v/>
      </c>
      <c r="BK317" s="377" t="str">
        <f>IF($BJ317="","",_xll.ciqfunctions.udf.CIQ($BJ317,"iq_bond_coupon")/100)</f>
        <v/>
      </c>
    </row>
    <row r="318" spans="51:63" hidden="1" outlineLevel="1">
      <c r="AY318" s="373" t="str">
        <f>IF($AX318="","",_xll.ciqfunctions.udf.CIQ($AX318,"iq_offer_date"))</f>
        <v/>
      </c>
      <c r="AZ318" s="374" t="str">
        <f>IF($AX318="","",RANK(AY318,$AY$10:$AY$510)+COUNTIF($AY$10:AY318,AY318)-1)</f>
        <v/>
      </c>
      <c r="BE318" s="348">
        <f t="shared" si="21"/>
        <v>309</v>
      </c>
      <c r="BG318" s="376" t="str">
        <f>IF($BF318="","",_xll.ciqfunctions.udf.CIQ($BF318,"iq_security_level"))</f>
        <v/>
      </c>
      <c r="BH318" s="348" t="str">
        <f t="shared" si="22"/>
        <v/>
      </c>
      <c r="BJ318" s="348" t="str">
        <f t="shared" si="23"/>
        <v/>
      </c>
      <c r="BK318" s="377" t="str">
        <f>IF($BJ318="","",_xll.ciqfunctions.udf.CIQ($BJ318,"iq_bond_coupon")/100)</f>
        <v/>
      </c>
    </row>
    <row r="319" spans="51:63" hidden="1" outlineLevel="1">
      <c r="AY319" s="373" t="str">
        <f>IF($AX319="","",_xll.ciqfunctions.udf.CIQ($AX319,"iq_offer_date"))</f>
        <v/>
      </c>
      <c r="AZ319" s="374" t="str">
        <f>IF($AX319="","",RANK(AY319,$AY$10:$AY$510)+COUNTIF($AY$10:AY319,AY319)-1)</f>
        <v/>
      </c>
      <c r="BE319" s="348">
        <f t="shared" si="21"/>
        <v>310</v>
      </c>
      <c r="BG319" s="376" t="str">
        <f>IF($BF319="","",_xll.ciqfunctions.udf.CIQ($BF319,"iq_security_level"))</f>
        <v/>
      </c>
      <c r="BH319" s="348" t="str">
        <f t="shared" si="22"/>
        <v/>
      </c>
      <c r="BJ319" s="348" t="str">
        <f t="shared" si="23"/>
        <v/>
      </c>
      <c r="BK319" s="377" t="str">
        <f>IF($BJ319="","",_xll.ciqfunctions.udf.CIQ($BJ319,"iq_bond_coupon")/100)</f>
        <v/>
      </c>
    </row>
    <row r="320" spans="51:63" hidden="1" outlineLevel="1">
      <c r="AY320" s="373" t="str">
        <f>IF($AX320="","",_xll.ciqfunctions.udf.CIQ($AX320,"iq_offer_date"))</f>
        <v/>
      </c>
      <c r="AZ320" s="374" t="str">
        <f>IF($AX320="","",RANK(AY320,$AY$10:$AY$510)+COUNTIF($AY$10:AY320,AY320)-1)</f>
        <v/>
      </c>
      <c r="BE320" s="348">
        <f t="shared" si="21"/>
        <v>311</v>
      </c>
      <c r="BG320" s="376" t="str">
        <f>IF($BF320="","",_xll.ciqfunctions.udf.CIQ($BF320,"iq_security_level"))</f>
        <v/>
      </c>
      <c r="BH320" s="348" t="str">
        <f t="shared" si="22"/>
        <v/>
      </c>
      <c r="BJ320" s="348" t="str">
        <f t="shared" si="23"/>
        <v/>
      </c>
      <c r="BK320" s="377" t="str">
        <f>IF($BJ320="","",_xll.ciqfunctions.udf.CIQ($BJ320,"iq_bond_coupon")/100)</f>
        <v/>
      </c>
    </row>
    <row r="321" spans="51:63" hidden="1" outlineLevel="1">
      <c r="AY321" s="373" t="str">
        <f>IF($AX321="","",_xll.ciqfunctions.udf.CIQ($AX321,"iq_offer_date"))</f>
        <v/>
      </c>
      <c r="AZ321" s="374" t="str">
        <f>IF($AX321="","",RANK(AY321,$AY$10:$AY$510)+COUNTIF($AY$10:AY321,AY321)-1)</f>
        <v/>
      </c>
      <c r="BE321" s="348">
        <f t="shared" si="21"/>
        <v>312</v>
      </c>
      <c r="BG321" s="376" t="str">
        <f>IF($BF321="","",_xll.ciqfunctions.udf.CIQ($BF321,"iq_security_level"))</f>
        <v/>
      </c>
      <c r="BH321" s="348" t="str">
        <f t="shared" si="22"/>
        <v/>
      </c>
      <c r="BJ321" s="348" t="str">
        <f t="shared" si="23"/>
        <v/>
      </c>
      <c r="BK321" s="377" t="str">
        <f>IF($BJ321="","",_xll.ciqfunctions.udf.CIQ($BJ321,"iq_bond_coupon")/100)</f>
        <v/>
      </c>
    </row>
    <row r="322" spans="51:63" hidden="1" outlineLevel="1">
      <c r="AY322" s="373" t="str">
        <f>IF($AX322="","",_xll.ciqfunctions.udf.CIQ($AX322,"iq_offer_date"))</f>
        <v/>
      </c>
      <c r="AZ322" s="374" t="str">
        <f>IF($AX322="","",RANK(AY322,$AY$10:$AY$510)+COUNTIF($AY$10:AY322,AY322)-1)</f>
        <v/>
      </c>
      <c r="BE322" s="348">
        <f t="shared" si="21"/>
        <v>313</v>
      </c>
      <c r="BG322" s="376" t="str">
        <f>IF($BF322="","",_xll.ciqfunctions.udf.CIQ($BF322,"iq_security_level"))</f>
        <v/>
      </c>
      <c r="BH322" s="348" t="str">
        <f t="shared" si="22"/>
        <v/>
      </c>
      <c r="BJ322" s="348" t="str">
        <f t="shared" si="23"/>
        <v/>
      </c>
      <c r="BK322" s="377" t="str">
        <f>IF($BJ322="","",_xll.ciqfunctions.udf.CIQ($BJ322,"iq_bond_coupon")/100)</f>
        <v/>
      </c>
    </row>
    <row r="323" spans="51:63" hidden="1" outlineLevel="1">
      <c r="AY323" s="373" t="str">
        <f>IF($AX323="","",_xll.ciqfunctions.udf.CIQ($AX323,"iq_offer_date"))</f>
        <v/>
      </c>
      <c r="AZ323" s="374" t="str">
        <f>IF($AX323="","",RANK(AY323,$AY$10:$AY$510)+COUNTIF($AY$10:AY323,AY323)-1)</f>
        <v/>
      </c>
      <c r="BE323" s="348">
        <f t="shared" si="21"/>
        <v>314</v>
      </c>
      <c r="BG323" s="376" t="str">
        <f>IF($BF323="","",_xll.ciqfunctions.udf.CIQ($BF323,"iq_security_level"))</f>
        <v/>
      </c>
      <c r="BH323" s="348" t="str">
        <f t="shared" si="22"/>
        <v/>
      </c>
      <c r="BJ323" s="348" t="str">
        <f t="shared" si="23"/>
        <v/>
      </c>
      <c r="BK323" s="377" t="str">
        <f>IF($BJ323="","",_xll.ciqfunctions.udf.CIQ($BJ323,"iq_bond_coupon")/100)</f>
        <v/>
      </c>
    </row>
    <row r="324" spans="51:63" hidden="1" outlineLevel="1">
      <c r="AY324" s="373" t="str">
        <f>IF($AX324="","",_xll.ciqfunctions.udf.CIQ($AX324,"iq_offer_date"))</f>
        <v/>
      </c>
      <c r="AZ324" s="374" t="str">
        <f>IF($AX324="","",RANK(AY324,$AY$10:$AY$510)+COUNTIF($AY$10:AY324,AY324)-1)</f>
        <v/>
      </c>
      <c r="BE324" s="348">
        <f t="shared" si="21"/>
        <v>315</v>
      </c>
      <c r="BG324" s="376" t="str">
        <f>IF($BF324="","",_xll.ciqfunctions.udf.CIQ($BF324,"iq_security_level"))</f>
        <v/>
      </c>
      <c r="BH324" s="348" t="str">
        <f t="shared" si="22"/>
        <v/>
      </c>
      <c r="BJ324" s="348" t="str">
        <f t="shared" si="23"/>
        <v/>
      </c>
      <c r="BK324" s="377" t="str">
        <f>IF($BJ324="","",_xll.ciqfunctions.udf.CIQ($BJ324,"iq_bond_coupon")/100)</f>
        <v/>
      </c>
    </row>
    <row r="325" spans="51:63" hidden="1" outlineLevel="1">
      <c r="AY325" s="373" t="str">
        <f>IF($AX325="","",_xll.ciqfunctions.udf.CIQ($AX325,"iq_offer_date"))</f>
        <v/>
      </c>
      <c r="AZ325" s="374" t="str">
        <f>IF($AX325="","",RANK(AY325,$AY$10:$AY$510)+COUNTIF($AY$10:AY325,AY325)-1)</f>
        <v/>
      </c>
      <c r="BE325" s="348">
        <f t="shared" si="21"/>
        <v>316</v>
      </c>
      <c r="BG325" s="376" t="str">
        <f>IF($BF325="","",_xll.ciqfunctions.udf.CIQ($BF325,"iq_security_level"))</f>
        <v/>
      </c>
      <c r="BH325" s="348" t="str">
        <f t="shared" si="22"/>
        <v/>
      </c>
      <c r="BJ325" s="348" t="str">
        <f t="shared" si="23"/>
        <v/>
      </c>
      <c r="BK325" s="377" t="str">
        <f>IF($BJ325="","",_xll.ciqfunctions.udf.CIQ($BJ325,"iq_bond_coupon")/100)</f>
        <v/>
      </c>
    </row>
    <row r="326" spans="51:63" hidden="1" outlineLevel="1">
      <c r="AY326" s="373" t="str">
        <f>IF($AX326="","",_xll.ciqfunctions.udf.CIQ($AX326,"iq_offer_date"))</f>
        <v/>
      </c>
      <c r="AZ326" s="374" t="str">
        <f>IF($AX326="","",RANK(AY326,$AY$10:$AY$510)+COUNTIF($AY$10:AY326,AY326)-1)</f>
        <v/>
      </c>
      <c r="BE326" s="348">
        <f t="shared" si="21"/>
        <v>317</v>
      </c>
      <c r="BG326" s="376" t="str">
        <f>IF($BF326="","",_xll.ciqfunctions.udf.CIQ($BF326,"iq_security_level"))</f>
        <v/>
      </c>
      <c r="BH326" s="348" t="str">
        <f t="shared" si="22"/>
        <v/>
      </c>
      <c r="BJ326" s="348" t="str">
        <f t="shared" si="23"/>
        <v/>
      </c>
      <c r="BK326" s="377" t="str">
        <f>IF($BJ326="","",_xll.ciqfunctions.udf.CIQ($BJ326,"iq_bond_coupon")/100)</f>
        <v/>
      </c>
    </row>
    <row r="327" spans="51:63" hidden="1" outlineLevel="1">
      <c r="AY327" s="373" t="str">
        <f>IF($AX327="","",_xll.ciqfunctions.udf.CIQ($AX327,"iq_offer_date"))</f>
        <v/>
      </c>
      <c r="AZ327" s="374" t="str">
        <f>IF($AX327="","",RANK(AY327,$AY$10:$AY$510)+COUNTIF($AY$10:AY327,AY327)-1)</f>
        <v/>
      </c>
      <c r="BE327" s="348">
        <f t="shared" si="21"/>
        <v>318</v>
      </c>
      <c r="BG327" s="376" t="str">
        <f>IF($BF327="","",_xll.ciqfunctions.udf.CIQ($BF327,"iq_security_level"))</f>
        <v/>
      </c>
      <c r="BH327" s="348" t="str">
        <f t="shared" si="22"/>
        <v/>
      </c>
      <c r="BJ327" s="348" t="str">
        <f t="shared" si="23"/>
        <v/>
      </c>
      <c r="BK327" s="377" t="str">
        <f>IF($BJ327="","",_xll.ciqfunctions.udf.CIQ($BJ327,"iq_bond_coupon")/100)</f>
        <v/>
      </c>
    </row>
    <row r="328" spans="51:63" hidden="1" outlineLevel="1">
      <c r="AY328" s="373" t="str">
        <f>IF($AX328="","",_xll.ciqfunctions.udf.CIQ($AX328,"iq_offer_date"))</f>
        <v/>
      </c>
      <c r="AZ328" s="374" t="str">
        <f>IF($AX328="","",RANK(AY328,$AY$10:$AY$510)+COUNTIF($AY$10:AY328,AY328)-1)</f>
        <v/>
      </c>
      <c r="BE328" s="348">
        <f t="shared" si="21"/>
        <v>319</v>
      </c>
      <c r="BG328" s="376" t="str">
        <f>IF($BF328="","",_xll.ciqfunctions.udf.CIQ($BF328,"iq_security_level"))</f>
        <v/>
      </c>
      <c r="BH328" s="348" t="str">
        <f t="shared" si="22"/>
        <v/>
      </c>
      <c r="BJ328" s="348" t="str">
        <f t="shared" si="23"/>
        <v/>
      </c>
      <c r="BK328" s="377" t="str">
        <f>IF($BJ328="","",_xll.ciqfunctions.udf.CIQ($BJ328,"iq_bond_coupon")/100)</f>
        <v/>
      </c>
    </row>
    <row r="329" spans="51:63" hidden="1" outlineLevel="1">
      <c r="AY329" s="373" t="str">
        <f>IF($AX329="","",_xll.ciqfunctions.udf.CIQ($AX329,"iq_offer_date"))</f>
        <v/>
      </c>
      <c r="AZ329" s="374" t="str">
        <f>IF($AX329="","",RANK(AY329,$AY$10:$AY$510)+COUNTIF($AY$10:AY329,AY329)-1)</f>
        <v/>
      </c>
      <c r="BE329" s="348">
        <f t="shared" si="21"/>
        <v>320</v>
      </c>
      <c r="BG329" s="376" t="str">
        <f>IF($BF329="","",_xll.ciqfunctions.udf.CIQ($BF329,"iq_security_level"))</f>
        <v/>
      </c>
      <c r="BH329" s="348" t="str">
        <f t="shared" si="22"/>
        <v/>
      </c>
      <c r="BJ329" s="348" t="str">
        <f t="shared" si="23"/>
        <v/>
      </c>
      <c r="BK329" s="377" t="str">
        <f>IF($BJ329="","",_xll.ciqfunctions.udf.CIQ($BJ329,"iq_bond_coupon")/100)</f>
        <v/>
      </c>
    </row>
    <row r="330" spans="51:63" hidden="1" outlineLevel="1">
      <c r="AY330" s="373" t="str">
        <f>IF($AX330="","",_xll.ciqfunctions.udf.CIQ($AX330,"iq_offer_date"))</f>
        <v/>
      </c>
      <c r="AZ330" s="374" t="str">
        <f>IF($AX330="","",RANK(AY330,$AY$10:$AY$510)+COUNTIF($AY$10:AY330,AY330)-1)</f>
        <v/>
      </c>
      <c r="BE330" s="348">
        <f t="shared" si="21"/>
        <v>321</v>
      </c>
      <c r="BG330" s="376" t="str">
        <f>IF($BF330="","",_xll.ciqfunctions.udf.CIQ($BF330,"iq_security_level"))</f>
        <v/>
      </c>
      <c r="BH330" s="348" t="str">
        <f t="shared" si="22"/>
        <v/>
      </c>
      <c r="BJ330" s="348" t="str">
        <f t="shared" si="23"/>
        <v/>
      </c>
      <c r="BK330" s="377" t="str">
        <f>IF($BJ330="","",_xll.ciqfunctions.udf.CIQ($BJ330,"iq_bond_coupon")/100)</f>
        <v/>
      </c>
    </row>
    <row r="331" spans="51:63" hidden="1" outlineLevel="1">
      <c r="AY331" s="373" t="str">
        <f>IF($AX331="","",_xll.ciqfunctions.udf.CIQ($AX331,"iq_offer_date"))</f>
        <v/>
      </c>
      <c r="AZ331" s="374" t="str">
        <f>IF($AX331="","",RANK(AY331,$AY$10:$AY$510)+COUNTIF($AY$10:AY331,AY331)-1)</f>
        <v/>
      </c>
      <c r="BE331" s="348">
        <f t="shared" si="21"/>
        <v>322</v>
      </c>
      <c r="BG331" s="376" t="str">
        <f>IF($BF331="","",_xll.ciqfunctions.udf.CIQ($BF331,"iq_security_level"))</f>
        <v/>
      </c>
      <c r="BH331" s="348" t="str">
        <f t="shared" si="22"/>
        <v/>
      </c>
      <c r="BJ331" s="348" t="str">
        <f t="shared" si="23"/>
        <v/>
      </c>
      <c r="BK331" s="377" t="str">
        <f>IF($BJ331="","",_xll.ciqfunctions.udf.CIQ($BJ331,"iq_bond_coupon")/100)</f>
        <v/>
      </c>
    </row>
    <row r="332" spans="51:63" hidden="1" outlineLevel="1">
      <c r="AY332" s="373" t="str">
        <f>IF($AX332="","",_xll.ciqfunctions.udf.CIQ($AX332,"iq_offer_date"))</f>
        <v/>
      </c>
      <c r="AZ332" s="374" t="str">
        <f>IF($AX332="","",RANK(AY332,$AY$10:$AY$510)+COUNTIF($AY$10:AY332,AY332)-1)</f>
        <v/>
      </c>
      <c r="BE332" s="348">
        <f t="shared" ref="BE332:BE395" si="24">BE331+1</f>
        <v>323</v>
      </c>
      <c r="BG332" s="376" t="str">
        <f>IF($BF332="","",_xll.ciqfunctions.udf.CIQ($BF332,"iq_security_level"))</f>
        <v/>
      </c>
      <c r="BH332" s="348" t="str">
        <f t="shared" ref="BH332:BH395" si="25">IF(BF332="","",IF(BG332="Preferred",BH331+1,BH331))</f>
        <v/>
      </c>
      <c r="BJ332" s="348" t="str">
        <f t="shared" si="23"/>
        <v/>
      </c>
      <c r="BK332" s="377" t="str">
        <f>IF($BJ332="","",_xll.ciqfunctions.udf.CIQ($BJ332,"iq_bond_coupon")/100)</f>
        <v/>
      </c>
    </row>
    <row r="333" spans="51:63" hidden="1" outlineLevel="1">
      <c r="AY333" s="373" t="str">
        <f>IF($AX333="","",_xll.ciqfunctions.udf.CIQ($AX333,"iq_offer_date"))</f>
        <v/>
      </c>
      <c r="AZ333" s="374" t="str">
        <f>IF($AX333="","",RANK(AY333,$AY$10:$AY$510)+COUNTIF($AY$10:AY333,AY333)-1)</f>
        <v/>
      </c>
      <c r="BE333" s="348">
        <f t="shared" si="24"/>
        <v>324</v>
      </c>
      <c r="BG333" s="376" t="str">
        <f>IF($BF333="","",_xll.ciqfunctions.udf.CIQ($BF333,"iq_security_level"))</f>
        <v/>
      </c>
      <c r="BH333" s="348" t="str">
        <f t="shared" si="25"/>
        <v/>
      </c>
      <c r="BJ333" s="348" t="str">
        <f t="shared" si="23"/>
        <v/>
      </c>
      <c r="BK333" s="377" t="str">
        <f>IF($BJ333="","",_xll.ciqfunctions.udf.CIQ($BJ333,"iq_bond_coupon")/100)</f>
        <v/>
      </c>
    </row>
    <row r="334" spans="51:63" hidden="1" outlineLevel="1">
      <c r="AY334" s="373" t="str">
        <f>IF($AX334="","",_xll.ciqfunctions.udf.CIQ($AX334,"iq_offer_date"))</f>
        <v/>
      </c>
      <c r="AZ334" s="374" t="str">
        <f>IF($AX334="","",RANK(AY334,$AY$10:$AY$510)+COUNTIF($AY$10:AY334,AY334)-1)</f>
        <v/>
      </c>
      <c r="BE334" s="348">
        <f t="shared" si="24"/>
        <v>325</v>
      </c>
      <c r="BG334" s="376" t="str">
        <f>IF($BF334="","",_xll.ciqfunctions.udf.CIQ($BF334,"iq_security_level"))</f>
        <v/>
      </c>
      <c r="BH334" s="348" t="str">
        <f t="shared" si="25"/>
        <v/>
      </c>
      <c r="BJ334" s="348" t="str">
        <f t="shared" si="23"/>
        <v/>
      </c>
      <c r="BK334" s="377" t="str">
        <f>IF($BJ334="","",_xll.ciqfunctions.udf.CIQ($BJ334,"iq_bond_coupon")/100)</f>
        <v/>
      </c>
    </row>
    <row r="335" spans="51:63" hidden="1" outlineLevel="1">
      <c r="AY335" s="373" t="str">
        <f>IF($AX335="","",_xll.ciqfunctions.udf.CIQ($AX335,"iq_offer_date"))</f>
        <v/>
      </c>
      <c r="AZ335" s="374" t="str">
        <f>IF($AX335="","",RANK(AY335,$AY$10:$AY$510)+COUNTIF($AY$10:AY335,AY335)-1)</f>
        <v/>
      </c>
      <c r="BE335" s="348">
        <f t="shared" si="24"/>
        <v>326</v>
      </c>
      <c r="BG335" s="376" t="str">
        <f>IF($BF335="","",_xll.ciqfunctions.udf.CIQ($BF335,"iq_security_level"))</f>
        <v/>
      </c>
      <c r="BH335" s="348" t="str">
        <f t="shared" si="25"/>
        <v/>
      </c>
      <c r="BJ335" s="348" t="str">
        <f t="shared" si="23"/>
        <v/>
      </c>
      <c r="BK335" s="377" t="str">
        <f>IF($BJ335="","",_xll.ciqfunctions.udf.CIQ($BJ335,"iq_bond_coupon")/100)</f>
        <v/>
      </c>
    </row>
    <row r="336" spans="51:63" hidden="1" outlineLevel="1">
      <c r="AY336" s="373" t="str">
        <f>IF($AX336="","",_xll.ciqfunctions.udf.CIQ($AX336,"iq_offer_date"))</f>
        <v/>
      </c>
      <c r="AZ336" s="374" t="str">
        <f>IF($AX336="","",RANK(AY336,$AY$10:$AY$510)+COUNTIF($AY$10:AY336,AY336)-1)</f>
        <v/>
      </c>
      <c r="BE336" s="348">
        <f t="shared" si="24"/>
        <v>327</v>
      </c>
      <c r="BG336" s="376" t="str">
        <f>IF($BF336="","",_xll.ciqfunctions.udf.CIQ($BF336,"iq_security_level"))</f>
        <v/>
      </c>
      <c r="BH336" s="348" t="str">
        <f t="shared" si="25"/>
        <v/>
      </c>
      <c r="BJ336" s="348" t="str">
        <f t="shared" si="23"/>
        <v/>
      </c>
      <c r="BK336" s="377" t="str">
        <f>IF($BJ336="","",_xll.ciqfunctions.udf.CIQ($BJ336,"iq_bond_coupon")/100)</f>
        <v/>
      </c>
    </row>
    <row r="337" spans="51:63" hidden="1" outlineLevel="1">
      <c r="AY337" s="373" t="str">
        <f>IF($AX337="","",_xll.ciqfunctions.udf.CIQ($AX337,"iq_offer_date"))</f>
        <v/>
      </c>
      <c r="AZ337" s="374" t="str">
        <f>IF($AX337="","",RANK(AY337,$AY$10:$AY$510)+COUNTIF($AY$10:AY337,AY337)-1)</f>
        <v/>
      </c>
      <c r="BE337" s="348">
        <f t="shared" si="24"/>
        <v>328</v>
      </c>
      <c r="BG337" s="376" t="str">
        <f>IF($BF337="","",_xll.ciqfunctions.udf.CIQ($BF337,"iq_security_level"))</f>
        <v/>
      </c>
      <c r="BH337" s="348" t="str">
        <f t="shared" si="25"/>
        <v/>
      </c>
      <c r="BJ337" s="348" t="str">
        <f t="shared" si="23"/>
        <v/>
      </c>
      <c r="BK337" s="377" t="str">
        <f>IF($BJ337="","",_xll.ciqfunctions.udf.CIQ($BJ337,"iq_bond_coupon")/100)</f>
        <v/>
      </c>
    </row>
    <row r="338" spans="51:63" hidden="1" outlineLevel="1">
      <c r="AY338" s="373" t="str">
        <f>IF($AX338="","",_xll.ciqfunctions.udf.CIQ($AX338,"iq_offer_date"))</f>
        <v/>
      </c>
      <c r="AZ338" s="374" t="str">
        <f>IF($AX338="","",RANK(AY338,$AY$10:$AY$510)+COUNTIF($AY$10:AY338,AY338)-1)</f>
        <v/>
      </c>
      <c r="BE338" s="348">
        <f t="shared" si="24"/>
        <v>329</v>
      </c>
      <c r="BG338" s="376" t="str">
        <f>IF($BF338="","",_xll.ciqfunctions.udf.CIQ($BF338,"iq_security_level"))</f>
        <v/>
      </c>
      <c r="BH338" s="348" t="str">
        <f t="shared" si="25"/>
        <v/>
      </c>
      <c r="BJ338" s="348" t="str">
        <f t="shared" si="23"/>
        <v/>
      </c>
      <c r="BK338" s="377" t="str">
        <f>IF($BJ338="","",_xll.ciqfunctions.udf.CIQ($BJ338,"iq_bond_coupon")/100)</f>
        <v/>
      </c>
    </row>
    <row r="339" spans="51:63" hidden="1" outlineLevel="1">
      <c r="AY339" s="373" t="str">
        <f>IF($AX339="","",_xll.ciqfunctions.udf.CIQ($AX339,"iq_offer_date"))</f>
        <v/>
      </c>
      <c r="AZ339" s="374" t="str">
        <f>IF($AX339="","",RANK(AY339,$AY$10:$AY$510)+COUNTIF($AY$10:AY339,AY339)-1)</f>
        <v/>
      </c>
      <c r="BE339" s="348">
        <f t="shared" si="24"/>
        <v>330</v>
      </c>
      <c r="BG339" s="376" t="str">
        <f>IF($BF339="","",_xll.ciqfunctions.udf.CIQ($BF339,"iq_security_level"))</f>
        <v/>
      </c>
      <c r="BH339" s="348" t="str">
        <f t="shared" si="25"/>
        <v/>
      </c>
      <c r="BJ339" s="348" t="str">
        <f t="shared" si="23"/>
        <v/>
      </c>
      <c r="BK339" s="377" t="str">
        <f>IF($BJ339="","",_xll.ciqfunctions.udf.CIQ($BJ339,"iq_bond_coupon")/100)</f>
        <v/>
      </c>
    </row>
    <row r="340" spans="51:63" hidden="1" outlineLevel="1">
      <c r="AY340" s="373" t="str">
        <f>IF($AX340="","",_xll.ciqfunctions.udf.CIQ($AX340,"iq_offer_date"))</f>
        <v/>
      </c>
      <c r="AZ340" s="374" t="str">
        <f>IF($AX340="","",RANK(AY340,$AY$10:$AY$510)+COUNTIF($AY$10:AY340,AY340)-1)</f>
        <v/>
      </c>
      <c r="BE340" s="348">
        <f t="shared" si="24"/>
        <v>331</v>
      </c>
      <c r="BG340" s="376" t="str">
        <f>IF($BF340="","",_xll.ciqfunctions.udf.CIQ($BF340,"iq_security_level"))</f>
        <v/>
      </c>
      <c r="BH340" s="348" t="str">
        <f t="shared" si="25"/>
        <v/>
      </c>
      <c r="BJ340" s="348" t="str">
        <f t="shared" si="23"/>
        <v/>
      </c>
      <c r="BK340" s="377" t="str">
        <f>IF($BJ340="","",_xll.ciqfunctions.udf.CIQ($BJ340,"iq_bond_coupon")/100)</f>
        <v/>
      </c>
    </row>
    <row r="341" spans="51:63" hidden="1" outlineLevel="1">
      <c r="AY341" s="373" t="str">
        <f>IF($AX341="","",_xll.ciqfunctions.udf.CIQ($AX341,"iq_offer_date"))</f>
        <v/>
      </c>
      <c r="AZ341" s="374" t="str">
        <f>IF($AX341="","",RANK(AY341,$AY$10:$AY$510)+COUNTIF($AY$10:AY341,AY341)-1)</f>
        <v/>
      </c>
      <c r="BE341" s="348">
        <f t="shared" si="24"/>
        <v>332</v>
      </c>
      <c r="BG341" s="376" t="str">
        <f>IF($BF341="","",_xll.ciqfunctions.udf.CIQ($BF341,"iq_security_level"))</f>
        <v/>
      </c>
      <c r="BH341" s="348" t="str">
        <f t="shared" si="25"/>
        <v/>
      </c>
      <c r="BJ341" s="348" t="str">
        <f t="shared" si="23"/>
        <v/>
      </c>
      <c r="BK341" s="377" t="str">
        <f>IF($BJ341="","",_xll.ciqfunctions.udf.CIQ($BJ341,"iq_bond_coupon")/100)</f>
        <v/>
      </c>
    </row>
    <row r="342" spans="51:63" hidden="1" outlineLevel="1">
      <c r="AY342" s="373" t="str">
        <f>IF($AX342="","",_xll.ciqfunctions.udf.CIQ($AX342,"iq_offer_date"))</f>
        <v/>
      </c>
      <c r="AZ342" s="374" t="str">
        <f>IF($AX342="","",RANK(AY342,$AY$10:$AY$510)+COUNTIF($AY$10:AY342,AY342)-1)</f>
        <v/>
      </c>
      <c r="BE342" s="348">
        <f t="shared" si="24"/>
        <v>333</v>
      </c>
      <c r="BG342" s="376" t="str">
        <f>IF($BF342="","",_xll.ciqfunctions.udf.CIQ($BF342,"iq_security_level"))</f>
        <v/>
      </c>
      <c r="BH342" s="348" t="str">
        <f t="shared" si="25"/>
        <v/>
      </c>
      <c r="BJ342" s="348" t="str">
        <f t="shared" si="23"/>
        <v/>
      </c>
      <c r="BK342" s="377" t="str">
        <f>IF($BJ342="","",_xll.ciqfunctions.udf.CIQ($BJ342,"iq_bond_coupon")/100)</f>
        <v/>
      </c>
    </row>
    <row r="343" spans="51:63" hidden="1" outlineLevel="1">
      <c r="AY343" s="373" t="str">
        <f>IF($AX343="","",_xll.ciqfunctions.udf.CIQ($AX343,"iq_offer_date"))</f>
        <v/>
      </c>
      <c r="AZ343" s="374" t="str">
        <f>IF($AX343="","",RANK(AY343,$AY$10:$AY$510)+COUNTIF($AY$10:AY343,AY343)-1)</f>
        <v/>
      </c>
      <c r="BE343" s="348">
        <f t="shared" si="24"/>
        <v>334</v>
      </c>
      <c r="BG343" s="376" t="str">
        <f>IF($BF343="","",_xll.ciqfunctions.udf.CIQ($BF343,"iq_security_level"))</f>
        <v/>
      </c>
      <c r="BH343" s="348" t="str">
        <f t="shared" si="25"/>
        <v/>
      </c>
      <c r="BJ343" s="348" t="str">
        <f t="shared" si="23"/>
        <v/>
      </c>
      <c r="BK343" s="377" t="str">
        <f>IF($BJ343="","",_xll.ciqfunctions.udf.CIQ($BJ343,"iq_bond_coupon")/100)</f>
        <v/>
      </c>
    </row>
    <row r="344" spans="51:63" hidden="1" outlineLevel="1">
      <c r="AY344" s="373" t="str">
        <f>IF($AX344="","",_xll.ciqfunctions.udf.CIQ($AX344,"iq_offer_date"))</f>
        <v/>
      </c>
      <c r="AZ344" s="374" t="str">
        <f>IF($AX344="","",RANK(AY344,$AY$10:$AY$510)+COUNTIF($AY$10:AY344,AY344)-1)</f>
        <v/>
      </c>
      <c r="BE344" s="348">
        <f t="shared" si="24"/>
        <v>335</v>
      </c>
      <c r="BG344" s="376" t="str">
        <f>IF($BF344="","",_xll.ciqfunctions.udf.CIQ($BF344,"iq_security_level"))</f>
        <v/>
      </c>
      <c r="BH344" s="348" t="str">
        <f t="shared" si="25"/>
        <v/>
      </c>
      <c r="BJ344" s="348" t="str">
        <f t="shared" si="23"/>
        <v/>
      </c>
      <c r="BK344" s="377" t="str">
        <f>IF($BJ344="","",_xll.ciqfunctions.udf.CIQ($BJ344,"iq_bond_coupon")/100)</f>
        <v/>
      </c>
    </row>
    <row r="345" spans="51:63" hidden="1" outlineLevel="1">
      <c r="AY345" s="373" t="str">
        <f>IF($AX345="","",_xll.ciqfunctions.udf.CIQ($AX345,"iq_offer_date"))</f>
        <v/>
      </c>
      <c r="AZ345" s="374" t="str">
        <f>IF($AX345="","",RANK(AY345,$AY$10:$AY$510)+COUNTIF($AY$10:AY345,AY345)-1)</f>
        <v/>
      </c>
      <c r="BE345" s="348">
        <f t="shared" si="24"/>
        <v>336</v>
      </c>
      <c r="BG345" s="376" t="str">
        <f>IF($BF345="","",_xll.ciqfunctions.udf.CIQ($BF345,"iq_security_level"))</f>
        <v/>
      </c>
      <c r="BH345" s="348" t="str">
        <f t="shared" si="25"/>
        <v/>
      </c>
      <c r="BJ345" s="348" t="str">
        <f t="shared" si="23"/>
        <v/>
      </c>
      <c r="BK345" s="377" t="str">
        <f>IF($BJ345="","",_xll.ciqfunctions.udf.CIQ($BJ345,"iq_bond_coupon")/100)</f>
        <v/>
      </c>
    </row>
    <row r="346" spans="51:63" hidden="1" outlineLevel="1">
      <c r="AY346" s="373" t="str">
        <f>IF($AX346="","",_xll.ciqfunctions.udf.CIQ($AX346,"iq_offer_date"))</f>
        <v/>
      </c>
      <c r="AZ346" s="374" t="str">
        <f>IF($AX346="","",RANK(AY346,$AY$10:$AY$510)+COUNTIF($AY$10:AY346,AY346)-1)</f>
        <v/>
      </c>
      <c r="BE346" s="348">
        <f t="shared" si="24"/>
        <v>337</v>
      </c>
      <c r="BG346" s="376" t="str">
        <f>IF($BF346="","",_xll.ciqfunctions.udf.CIQ($BF346,"iq_security_level"))</f>
        <v/>
      </c>
      <c r="BH346" s="348" t="str">
        <f t="shared" si="25"/>
        <v/>
      </c>
      <c r="BJ346" s="348" t="str">
        <f t="shared" si="23"/>
        <v/>
      </c>
      <c r="BK346" s="377" t="str">
        <f>IF($BJ346="","",_xll.ciqfunctions.udf.CIQ($BJ346,"iq_bond_coupon")/100)</f>
        <v/>
      </c>
    </row>
    <row r="347" spans="51:63" hidden="1" outlineLevel="1">
      <c r="AY347" s="373" t="str">
        <f>IF($AX347="","",_xll.ciqfunctions.udf.CIQ($AX347,"iq_offer_date"))</f>
        <v/>
      </c>
      <c r="AZ347" s="374" t="str">
        <f>IF($AX347="","",RANK(AY347,$AY$10:$AY$510)+COUNTIF($AY$10:AY347,AY347)-1)</f>
        <v/>
      </c>
      <c r="BE347" s="348">
        <f t="shared" si="24"/>
        <v>338</v>
      </c>
      <c r="BG347" s="376" t="str">
        <f>IF($BF347="","",_xll.ciqfunctions.udf.CIQ($BF347,"iq_security_level"))</f>
        <v/>
      </c>
      <c r="BH347" s="348" t="str">
        <f t="shared" si="25"/>
        <v/>
      </c>
      <c r="BJ347" s="348" t="str">
        <f t="shared" si="23"/>
        <v/>
      </c>
      <c r="BK347" s="377" t="str">
        <f>IF($BJ347="","",_xll.ciqfunctions.udf.CIQ($BJ347,"iq_bond_coupon")/100)</f>
        <v/>
      </c>
    </row>
    <row r="348" spans="51:63" hidden="1" outlineLevel="1">
      <c r="AY348" s="373" t="str">
        <f>IF($AX348="","",_xll.ciqfunctions.udf.CIQ($AX348,"iq_offer_date"))</f>
        <v/>
      </c>
      <c r="AZ348" s="374" t="str">
        <f>IF($AX348="","",RANK(AY348,$AY$10:$AY$510)+COUNTIF($AY$10:AY348,AY348)-1)</f>
        <v/>
      </c>
      <c r="BE348" s="348">
        <f t="shared" si="24"/>
        <v>339</v>
      </c>
      <c r="BG348" s="376" t="str">
        <f>IF($BF348="","",_xll.ciqfunctions.udf.CIQ($BF348,"iq_security_level"))</f>
        <v/>
      </c>
      <c r="BH348" s="348" t="str">
        <f t="shared" si="25"/>
        <v/>
      </c>
      <c r="BJ348" s="348" t="str">
        <f t="shared" si="23"/>
        <v/>
      </c>
      <c r="BK348" s="377" t="str">
        <f>IF($BJ348="","",_xll.ciqfunctions.udf.CIQ($BJ348,"iq_bond_coupon")/100)</f>
        <v/>
      </c>
    </row>
    <row r="349" spans="51:63" hidden="1" outlineLevel="1">
      <c r="AY349" s="373" t="str">
        <f>IF($AX349="","",_xll.ciqfunctions.udf.CIQ($AX349,"iq_offer_date"))</f>
        <v/>
      </c>
      <c r="AZ349" s="374" t="str">
        <f>IF($AX349="","",RANK(AY349,$AY$10:$AY$510)+COUNTIF($AY$10:AY349,AY349)-1)</f>
        <v/>
      </c>
      <c r="BE349" s="348">
        <f t="shared" si="24"/>
        <v>340</v>
      </c>
      <c r="BG349" s="376" t="str">
        <f>IF($BF349="","",_xll.ciqfunctions.udf.CIQ($BF349,"iq_security_level"))</f>
        <v/>
      </c>
      <c r="BH349" s="348" t="str">
        <f t="shared" si="25"/>
        <v/>
      </c>
      <c r="BJ349" s="348" t="str">
        <f t="shared" si="23"/>
        <v/>
      </c>
      <c r="BK349" s="377" t="str">
        <f>IF($BJ349="","",_xll.ciqfunctions.udf.CIQ($BJ349,"iq_bond_coupon")/100)</f>
        <v/>
      </c>
    </row>
    <row r="350" spans="51:63" hidden="1" outlineLevel="1">
      <c r="AY350" s="373" t="str">
        <f>IF($AX350="","",_xll.ciqfunctions.udf.CIQ($AX350,"iq_offer_date"))</f>
        <v/>
      </c>
      <c r="AZ350" s="374" t="str">
        <f>IF($AX350="","",RANK(AY350,$AY$10:$AY$510)+COUNTIF($AY$10:AY350,AY350)-1)</f>
        <v/>
      </c>
      <c r="BE350" s="348">
        <f t="shared" si="24"/>
        <v>341</v>
      </c>
      <c r="BG350" s="376" t="str">
        <f>IF($BF350="","",_xll.ciqfunctions.udf.CIQ($BF350,"iq_security_level"))</f>
        <v/>
      </c>
      <c r="BH350" s="348" t="str">
        <f t="shared" si="25"/>
        <v/>
      </c>
      <c r="BJ350" s="348" t="str">
        <f t="shared" si="23"/>
        <v/>
      </c>
      <c r="BK350" s="377" t="str">
        <f>IF($BJ350="","",_xll.ciqfunctions.udf.CIQ($BJ350,"iq_bond_coupon")/100)</f>
        <v/>
      </c>
    </row>
    <row r="351" spans="51:63" hidden="1" outlineLevel="1">
      <c r="AY351" s="373" t="str">
        <f>IF($AX351="","",_xll.ciqfunctions.udf.CIQ($AX351,"iq_offer_date"))</f>
        <v/>
      </c>
      <c r="AZ351" s="374" t="str">
        <f>IF($AX351="","",RANK(AY351,$AY$10:$AY$510)+COUNTIF($AY$10:AY351,AY351)-1)</f>
        <v/>
      </c>
      <c r="BE351" s="348">
        <f t="shared" si="24"/>
        <v>342</v>
      </c>
      <c r="BG351" s="376" t="str">
        <f>IF($BF351="","",_xll.ciqfunctions.udf.CIQ($BF351,"iq_security_level"))</f>
        <v/>
      </c>
      <c r="BH351" s="348" t="str">
        <f t="shared" si="25"/>
        <v/>
      </c>
      <c r="BJ351" s="348" t="str">
        <f t="shared" si="23"/>
        <v/>
      </c>
      <c r="BK351" s="377" t="str">
        <f>IF($BJ351="","",_xll.ciqfunctions.udf.CIQ($BJ351,"iq_bond_coupon")/100)</f>
        <v/>
      </c>
    </row>
    <row r="352" spans="51:63" hidden="1" outlineLevel="1">
      <c r="AY352" s="373" t="str">
        <f>IF($AX352="","",_xll.ciqfunctions.udf.CIQ($AX352,"iq_offer_date"))</f>
        <v/>
      </c>
      <c r="AZ352" s="374" t="str">
        <f>IF($AX352="","",RANK(AY352,$AY$10:$AY$510)+COUNTIF($AY$10:AY352,AY352)-1)</f>
        <v/>
      </c>
      <c r="BE352" s="348">
        <f t="shared" si="24"/>
        <v>343</v>
      </c>
      <c r="BG352" s="376" t="str">
        <f>IF($BF352="","",_xll.ciqfunctions.udf.CIQ($BF352,"iq_security_level"))</f>
        <v/>
      </c>
      <c r="BH352" s="348" t="str">
        <f t="shared" si="25"/>
        <v/>
      </c>
      <c r="BJ352" s="348" t="str">
        <f t="shared" si="23"/>
        <v/>
      </c>
      <c r="BK352" s="377" t="str">
        <f>IF($BJ352="","",_xll.ciqfunctions.udf.CIQ($BJ352,"iq_bond_coupon")/100)</f>
        <v/>
      </c>
    </row>
    <row r="353" spans="51:63" hidden="1" outlineLevel="1">
      <c r="AY353" s="373" t="str">
        <f>IF($AX353="","",_xll.ciqfunctions.udf.CIQ($AX353,"iq_offer_date"))</f>
        <v/>
      </c>
      <c r="AZ353" s="374" t="str">
        <f>IF($AX353="","",RANK(AY353,$AY$10:$AY$510)+COUNTIF($AY$10:AY353,AY353)-1)</f>
        <v/>
      </c>
      <c r="BE353" s="348">
        <f t="shared" si="24"/>
        <v>344</v>
      </c>
      <c r="BG353" s="376" t="str">
        <f>IF($BF353="","",_xll.ciqfunctions.udf.CIQ($BF353,"iq_security_level"))</f>
        <v/>
      </c>
      <c r="BH353" s="348" t="str">
        <f t="shared" si="25"/>
        <v/>
      </c>
      <c r="BJ353" s="348" t="str">
        <f t="shared" si="23"/>
        <v/>
      </c>
      <c r="BK353" s="377" t="str">
        <f>IF($BJ353="","",_xll.ciqfunctions.udf.CIQ($BJ353,"iq_bond_coupon")/100)</f>
        <v/>
      </c>
    </row>
    <row r="354" spans="51:63" hidden="1" outlineLevel="1">
      <c r="AY354" s="373" t="str">
        <f>IF($AX354="","",_xll.ciqfunctions.udf.CIQ($AX354,"iq_offer_date"))</f>
        <v/>
      </c>
      <c r="AZ354" s="374" t="str">
        <f>IF($AX354="","",RANK(AY354,$AY$10:$AY$510)+COUNTIF($AY$10:AY354,AY354)-1)</f>
        <v/>
      </c>
      <c r="BE354" s="348">
        <f t="shared" si="24"/>
        <v>345</v>
      </c>
      <c r="BG354" s="376" t="str">
        <f>IF($BF354="","",_xll.ciqfunctions.udf.CIQ($BF354,"iq_security_level"))</f>
        <v/>
      </c>
      <c r="BH354" s="348" t="str">
        <f t="shared" si="25"/>
        <v/>
      </c>
      <c r="BJ354" s="348" t="str">
        <f t="shared" si="23"/>
        <v/>
      </c>
      <c r="BK354" s="377" t="str">
        <f>IF($BJ354="","",_xll.ciqfunctions.udf.CIQ($BJ354,"iq_bond_coupon")/100)</f>
        <v/>
      </c>
    </row>
    <row r="355" spans="51:63" hidden="1" outlineLevel="1">
      <c r="AY355" s="373" t="str">
        <f>IF($AX355="","",_xll.ciqfunctions.udf.CIQ($AX355,"iq_offer_date"))</f>
        <v/>
      </c>
      <c r="AZ355" s="374" t="str">
        <f>IF($AX355="","",RANK(AY355,$AY$10:$AY$510)+COUNTIF($AY$10:AY355,AY355)-1)</f>
        <v/>
      </c>
      <c r="BE355" s="348">
        <f t="shared" si="24"/>
        <v>346</v>
      </c>
      <c r="BG355" s="376" t="str">
        <f>IF($BF355="","",_xll.ciqfunctions.udf.CIQ($BF355,"iq_security_level"))</f>
        <v/>
      </c>
      <c r="BH355" s="348" t="str">
        <f t="shared" si="25"/>
        <v/>
      </c>
      <c r="BJ355" s="348" t="str">
        <f t="shared" si="23"/>
        <v/>
      </c>
      <c r="BK355" s="377" t="str">
        <f>IF($BJ355="","",_xll.ciqfunctions.udf.CIQ($BJ355,"iq_bond_coupon")/100)</f>
        <v/>
      </c>
    </row>
    <row r="356" spans="51:63" hidden="1" outlineLevel="1">
      <c r="AY356" s="373" t="str">
        <f>IF($AX356="","",_xll.ciqfunctions.udf.CIQ($AX356,"iq_offer_date"))</f>
        <v/>
      </c>
      <c r="AZ356" s="374" t="str">
        <f>IF($AX356="","",RANK(AY356,$AY$10:$AY$510)+COUNTIF($AY$10:AY356,AY356)-1)</f>
        <v/>
      </c>
      <c r="BE356" s="348">
        <f t="shared" si="24"/>
        <v>347</v>
      </c>
      <c r="BG356" s="376" t="str">
        <f>IF($BF356="","",_xll.ciqfunctions.udf.CIQ($BF356,"iq_security_level"))</f>
        <v/>
      </c>
      <c r="BH356" s="348" t="str">
        <f t="shared" si="25"/>
        <v/>
      </c>
      <c r="BJ356" s="348" t="str">
        <f t="shared" si="23"/>
        <v/>
      </c>
      <c r="BK356" s="377" t="str">
        <f>IF($BJ356="","",_xll.ciqfunctions.udf.CIQ($BJ356,"iq_bond_coupon")/100)</f>
        <v/>
      </c>
    </row>
    <row r="357" spans="51:63" hidden="1" outlineLevel="1">
      <c r="AY357" s="373" t="str">
        <f>IF($AX357="","",_xll.ciqfunctions.udf.CIQ($AX357,"iq_offer_date"))</f>
        <v/>
      </c>
      <c r="AZ357" s="374" t="str">
        <f>IF($AX357="","",RANK(AY357,$AY$10:$AY$510)+COUNTIF($AY$10:AY357,AY357)-1)</f>
        <v/>
      </c>
      <c r="BE357" s="348">
        <f t="shared" si="24"/>
        <v>348</v>
      </c>
      <c r="BG357" s="376" t="str">
        <f>IF($BF357="","",_xll.ciqfunctions.udf.CIQ($BF357,"iq_security_level"))</f>
        <v/>
      </c>
      <c r="BH357" s="348" t="str">
        <f t="shared" si="25"/>
        <v/>
      </c>
      <c r="BJ357" s="348" t="str">
        <f t="shared" si="23"/>
        <v/>
      </c>
      <c r="BK357" s="377" t="str">
        <f>IF($BJ357="","",_xll.ciqfunctions.udf.CIQ($BJ357,"iq_bond_coupon")/100)</f>
        <v/>
      </c>
    </row>
    <row r="358" spans="51:63" hidden="1" outlineLevel="1">
      <c r="AY358" s="373" t="str">
        <f>IF($AX358="","",_xll.ciqfunctions.udf.CIQ($AX358,"iq_offer_date"))</f>
        <v/>
      </c>
      <c r="AZ358" s="374" t="str">
        <f>IF($AX358="","",RANK(AY358,$AY$10:$AY$510)+COUNTIF($AY$10:AY358,AY358)-1)</f>
        <v/>
      </c>
      <c r="BE358" s="348">
        <f t="shared" si="24"/>
        <v>349</v>
      </c>
      <c r="BG358" s="376" t="str">
        <f>IF($BF358="","",_xll.ciqfunctions.udf.CIQ($BF358,"iq_security_level"))</f>
        <v/>
      </c>
      <c r="BH358" s="348" t="str">
        <f t="shared" si="25"/>
        <v/>
      </c>
      <c r="BJ358" s="348" t="str">
        <f t="shared" si="23"/>
        <v/>
      </c>
      <c r="BK358" s="377" t="str">
        <f>IF($BJ358="","",_xll.ciqfunctions.udf.CIQ($BJ358,"iq_bond_coupon")/100)</f>
        <v/>
      </c>
    </row>
    <row r="359" spans="51:63" hidden="1" outlineLevel="1">
      <c r="AY359" s="373" t="str">
        <f>IF($AX359="","",_xll.ciqfunctions.udf.CIQ($AX359,"iq_offer_date"))</f>
        <v/>
      </c>
      <c r="AZ359" s="374" t="str">
        <f>IF($AX359="","",RANK(AY359,$AY$10:$AY$510)+COUNTIF($AY$10:AY359,AY359)-1)</f>
        <v/>
      </c>
      <c r="BE359" s="348">
        <f t="shared" si="24"/>
        <v>350</v>
      </c>
      <c r="BG359" s="376" t="str">
        <f>IF($BF359="","",_xll.ciqfunctions.udf.CIQ($BF359,"iq_security_level"))</f>
        <v/>
      </c>
      <c r="BH359" s="348" t="str">
        <f t="shared" si="25"/>
        <v/>
      </c>
      <c r="BJ359" s="348" t="str">
        <f t="shared" si="23"/>
        <v/>
      </c>
      <c r="BK359" s="377" t="str">
        <f>IF($BJ359="","",_xll.ciqfunctions.udf.CIQ($BJ359,"iq_bond_coupon")/100)</f>
        <v/>
      </c>
    </row>
    <row r="360" spans="51:63" hidden="1" outlineLevel="1">
      <c r="AY360" s="373" t="str">
        <f>IF($AX360="","",_xll.ciqfunctions.udf.CIQ($AX360,"iq_offer_date"))</f>
        <v/>
      </c>
      <c r="AZ360" s="374" t="str">
        <f>IF($AX360="","",RANK(AY360,$AY$10:$AY$510)+COUNTIF($AY$10:AY360,AY360)-1)</f>
        <v/>
      </c>
      <c r="BE360" s="348">
        <f t="shared" si="24"/>
        <v>351</v>
      </c>
      <c r="BG360" s="376" t="str">
        <f>IF($BF360="","",_xll.ciqfunctions.udf.CIQ($BF360,"iq_security_level"))</f>
        <v/>
      </c>
      <c r="BH360" s="348" t="str">
        <f t="shared" si="25"/>
        <v/>
      </c>
      <c r="BJ360" s="348" t="str">
        <f t="shared" si="23"/>
        <v/>
      </c>
      <c r="BK360" s="377" t="str">
        <f>IF($BJ360="","",_xll.ciqfunctions.udf.CIQ($BJ360,"iq_bond_coupon")/100)</f>
        <v/>
      </c>
    </row>
    <row r="361" spans="51:63" hidden="1" outlineLevel="1">
      <c r="AY361" s="373" t="str">
        <f>IF($AX361="","",_xll.ciqfunctions.udf.CIQ($AX361,"iq_offer_date"))</f>
        <v/>
      </c>
      <c r="AZ361" s="374" t="str">
        <f>IF($AX361="","",RANK(AY361,$AY$10:$AY$510)+COUNTIF($AY$10:AY361,AY361)-1)</f>
        <v/>
      </c>
      <c r="BE361" s="348">
        <f t="shared" si="24"/>
        <v>352</v>
      </c>
      <c r="BG361" s="376" t="str">
        <f>IF($BF361="","",_xll.ciqfunctions.udf.CIQ($BF361,"iq_security_level"))</f>
        <v/>
      </c>
      <c r="BH361" s="348" t="str">
        <f t="shared" si="25"/>
        <v/>
      </c>
      <c r="BJ361" s="348" t="str">
        <f t="shared" si="23"/>
        <v/>
      </c>
      <c r="BK361" s="377" t="str">
        <f>IF($BJ361="","",_xll.ciqfunctions.udf.CIQ($BJ361,"iq_bond_coupon")/100)</f>
        <v/>
      </c>
    </row>
    <row r="362" spans="51:63" hidden="1" outlineLevel="1">
      <c r="AY362" s="373" t="str">
        <f>IF($AX362="","",_xll.ciqfunctions.udf.CIQ($AX362,"iq_offer_date"))</f>
        <v/>
      </c>
      <c r="AZ362" s="374" t="str">
        <f>IF($AX362="","",RANK(AY362,$AY$10:$AY$510)+COUNTIF($AY$10:AY362,AY362)-1)</f>
        <v/>
      </c>
      <c r="BE362" s="348">
        <f t="shared" si="24"/>
        <v>353</v>
      </c>
      <c r="BG362" s="376" t="str">
        <f>IF($BF362="","",_xll.ciqfunctions.udf.CIQ($BF362,"iq_security_level"))</f>
        <v/>
      </c>
      <c r="BH362" s="348" t="str">
        <f t="shared" si="25"/>
        <v/>
      </c>
      <c r="BJ362" s="348" t="str">
        <f t="shared" si="23"/>
        <v/>
      </c>
      <c r="BK362" s="377" t="str">
        <f>IF($BJ362="","",_xll.ciqfunctions.udf.CIQ($BJ362,"iq_bond_coupon")/100)</f>
        <v/>
      </c>
    </row>
    <row r="363" spans="51:63" hidden="1" outlineLevel="1">
      <c r="AY363" s="373" t="str">
        <f>IF($AX363="","",_xll.ciqfunctions.udf.CIQ($AX363,"iq_offer_date"))</f>
        <v/>
      </c>
      <c r="AZ363" s="374" t="str">
        <f>IF($AX363="","",RANK(AY363,$AY$10:$AY$510)+COUNTIF($AY$10:AY363,AY363)-1)</f>
        <v/>
      </c>
      <c r="BE363" s="348">
        <f t="shared" si="24"/>
        <v>354</v>
      </c>
      <c r="BG363" s="376" t="str">
        <f>IF($BF363="","",_xll.ciqfunctions.udf.CIQ($BF363,"iq_security_level"))</f>
        <v/>
      </c>
      <c r="BH363" s="348" t="str">
        <f t="shared" si="25"/>
        <v/>
      </c>
      <c r="BJ363" s="348" t="str">
        <f t="shared" si="23"/>
        <v/>
      </c>
      <c r="BK363" s="377" t="str">
        <f>IF($BJ363="","",_xll.ciqfunctions.udf.CIQ($BJ363,"iq_bond_coupon")/100)</f>
        <v/>
      </c>
    </row>
    <row r="364" spans="51:63" hidden="1" outlineLevel="1">
      <c r="AY364" s="373" t="str">
        <f>IF($AX364="","",_xll.ciqfunctions.udf.CIQ($AX364,"iq_offer_date"))</f>
        <v/>
      </c>
      <c r="AZ364" s="374" t="str">
        <f>IF($AX364="","",RANK(AY364,$AY$10:$AY$510)+COUNTIF($AY$10:AY364,AY364)-1)</f>
        <v/>
      </c>
      <c r="BE364" s="348">
        <f t="shared" si="24"/>
        <v>355</v>
      </c>
      <c r="BG364" s="376" t="str">
        <f>IF($BF364="","",_xll.ciqfunctions.udf.CIQ($BF364,"iq_security_level"))</f>
        <v/>
      </c>
      <c r="BH364" s="348" t="str">
        <f t="shared" si="25"/>
        <v/>
      </c>
      <c r="BJ364" s="348" t="str">
        <f t="shared" si="23"/>
        <v/>
      </c>
      <c r="BK364" s="377" t="str">
        <f>IF($BJ364="","",_xll.ciqfunctions.udf.CIQ($BJ364,"iq_bond_coupon")/100)</f>
        <v/>
      </c>
    </row>
    <row r="365" spans="51:63" hidden="1" outlineLevel="1">
      <c r="AY365" s="373" t="str">
        <f>IF($AX365="","",_xll.ciqfunctions.udf.CIQ($AX365,"iq_offer_date"))</f>
        <v/>
      </c>
      <c r="AZ365" s="374" t="str">
        <f>IF($AX365="","",RANK(AY365,$AY$10:$AY$510)+COUNTIF($AY$10:AY365,AY365)-1)</f>
        <v/>
      </c>
      <c r="BE365" s="348">
        <f t="shared" si="24"/>
        <v>356</v>
      </c>
      <c r="BG365" s="376" t="str">
        <f>IF($BF365="","",_xll.ciqfunctions.udf.CIQ($BF365,"iq_security_level"))</f>
        <v/>
      </c>
      <c r="BH365" s="348" t="str">
        <f t="shared" si="25"/>
        <v/>
      </c>
      <c r="BJ365" s="348" t="str">
        <f t="shared" si="23"/>
        <v/>
      </c>
      <c r="BK365" s="377" t="str">
        <f>IF($BJ365="","",_xll.ciqfunctions.udf.CIQ($BJ365,"iq_bond_coupon")/100)</f>
        <v/>
      </c>
    </row>
    <row r="366" spans="51:63" hidden="1" outlineLevel="1">
      <c r="AY366" s="373" t="str">
        <f>IF($AX366="","",_xll.ciqfunctions.udf.CIQ($AX366,"iq_offer_date"))</f>
        <v/>
      </c>
      <c r="AZ366" s="374" t="str">
        <f>IF($AX366="","",RANK(AY366,$AY$10:$AY$510)+COUNTIF($AY$10:AY366,AY366)-1)</f>
        <v/>
      </c>
      <c r="BE366" s="348">
        <f t="shared" si="24"/>
        <v>357</v>
      </c>
      <c r="BG366" s="376" t="str">
        <f>IF($BF366="","",_xll.ciqfunctions.udf.CIQ($BF366,"iq_security_level"))</f>
        <v/>
      </c>
      <c r="BH366" s="348" t="str">
        <f t="shared" si="25"/>
        <v/>
      </c>
      <c r="BJ366" s="348" t="str">
        <f t="shared" si="23"/>
        <v/>
      </c>
      <c r="BK366" s="377" t="str">
        <f>IF($BJ366="","",_xll.ciqfunctions.udf.CIQ($BJ366,"iq_bond_coupon")/100)</f>
        <v/>
      </c>
    </row>
    <row r="367" spans="51:63" hidden="1" outlineLevel="1">
      <c r="AY367" s="373" t="str">
        <f>IF($AX367="","",_xll.ciqfunctions.udf.CIQ($AX367,"iq_offer_date"))</f>
        <v/>
      </c>
      <c r="AZ367" s="374" t="str">
        <f>IF($AX367="","",RANK(AY367,$AY$10:$AY$510)+COUNTIF($AY$10:AY367,AY367)-1)</f>
        <v/>
      </c>
      <c r="BE367" s="348">
        <f t="shared" si="24"/>
        <v>358</v>
      </c>
      <c r="BG367" s="376" t="str">
        <f>IF($BF367="","",_xll.ciqfunctions.udf.CIQ($BF367,"iq_security_level"))</f>
        <v/>
      </c>
      <c r="BH367" s="348" t="str">
        <f t="shared" si="25"/>
        <v/>
      </c>
      <c r="BJ367" s="348" t="str">
        <f t="shared" si="23"/>
        <v/>
      </c>
      <c r="BK367" s="377" t="str">
        <f>IF($BJ367="","",_xll.ciqfunctions.udf.CIQ($BJ367,"iq_bond_coupon")/100)</f>
        <v/>
      </c>
    </row>
    <row r="368" spans="51:63" hidden="1" outlineLevel="1">
      <c r="AY368" s="373" t="str">
        <f>IF($AX368="","",_xll.ciqfunctions.udf.CIQ($AX368,"iq_offer_date"))</f>
        <v/>
      </c>
      <c r="AZ368" s="374" t="str">
        <f>IF($AX368="","",RANK(AY368,$AY$10:$AY$510)+COUNTIF($AY$10:AY368,AY368)-1)</f>
        <v/>
      </c>
      <c r="BE368" s="348">
        <f t="shared" si="24"/>
        <v>359</v>
      </c>
      <c r="BG368" s="376" t="str">
        <f>IF($BF368="","",_xll.ciqfunctions.udf.CIQ($BF368,"iq_security_level"))</f>
        <v/>
      </c>
      <c r="BH368" s="348" t="str">
        <f t="shared" si="25"/>
        <v/>
      </c>
      <c r="BJ368" s="348" t="str">
        <f t="shared" si="23"/>
        <v/>
      </c>
      <c r="BK368" s="377" t="str">
        <f>IF($BJ368="","",_xll.ciqfunctions.udf.CIQ($BJ368,"iq_bond_coupon")/100)</f>
        <v/>
      </c>
    </row>
    <row r="369" spans="51:63" hidden="1" outlineLevel="1">
      <c r="AY369" s="373" t="str">
        <f>IF($AX369="","",_xll.ciqfunctions.udf.CIQ($AX369,"iq_offer_date"))</f>
        <v/>
      </c>
      <c r="AZ369" s="374" t="str">
        <f>IF($AX369="","",RANK(AY369,$AY$10:$AY$510)+COUNTIF($AY$10:AY369,AY369)-1)</f>
        <v/>
      </c>
      <c r="BE369" s="348">
        <f t="shared" si="24"/>
        <v>360</v>
      </c>
      <c r="BG369" s="376" t="str">
        <f>IF($BF369="","",_xll.ciqfunctions.udf.CIQ($BF369,"iq_security_level"))</f>
        <v/>
      </c>
      <c r="BH369" s="348" t="str">
        <f t="shared" si="25"/>
        <v/>
      </c>
      <c r="BJ369" s="348" t="str">
        <f t="shared" si="23"/>
        <v/>
      </c>
      <c r="BK369" s="377" t="str">
        <f>IF($BJ369="","",_xll.ciqfunctions.udf.CIQ($BJ369,"iq_bond_coupon")/100)</f>
        <v/>
      </c>
    </row>
    <row r="370" spans="51:63" hidden="1" outlineLevel="1">
      <c r="AY370" s="373" t="str">
        <f>IF($AX370="","",_xll.ciqfunctions.udf.CIQ($AX370,"iq_offer_date"))</f>
        <v/>
      </c>
      <c r="AZ370" s="374" t="str">
        <f>IF($AX370="","",RANK(AY370,$AY$10:$AY$510)+COUNTIF($AY$10:AY370,AY370)-1)</f>
        <v/>
      </c>
      <c r="BE370" s="348">
        <f t="shared" si="24"/>
        <v>361</v>
      </c>
      <c r="BG370" s="376" t="str">
        <f>IF($BF370="","",_xll.ciqfunctions.udf.CIQ($BF370,"iq_security_level"))</f>
        <v/>
      </c>
      <c r="BH370" s="348" t="str">
        <f t="shared" si="25"/>
        <v/>
      </c>
      <c r="BJ370" s="348" t="str">
        <f t="shared" si="23"/>
        <v/>
      </c>
      <c r="BK370" s="377" t="str">
        <f>IF($BJ370="","",_xll.ciqfunctions.udf.CIQ($BJ370,"iq_bond_coupon")/100)</f>
        <v/>
      </c>
    </row>
    <row r="371" spans="51:63" hidden="1" outlineLevel="1">
      <c r="AY371" s="373" t="str">
        <f>IF($AX371="","",_xll.ciqfunctions.udf.CIQ($AX371,"iq_offer_date"))</f>
        <v/>
      </c>
      <c r="AZ371" s="374" t="str">
        <f>IF($AX371="","",RANK(AY371,$AY$10:$AY$510)+COUNTIF($AY$10:AY371,AY371)-1)</f>
        <v/>
      </c>
      <c r="BE371" s="348">
        <f t="shared" si="24"/>
        <v>362</v>
      </c>
      <c r="BG371" s="376" t="str">
        <f>IF($BF371="","",_xll.ciqfunctions.udf.CIQ($BF371,"iq_security_level"))</f>
        <v/>
      </c>
      <c r="BH371" s="348" t="str">
        <f t="shared" si="25"/>
        <v/>
      </c>
      <c r="BJ371" s="348" t="str">
        <f t="shared" si="23"/>
        <v/>
      </c>
      <c r="BK371" s="377" t="str">
        <f>IF($BJ371="","",_xll.ciqfunctions.udf.CIQ($BJ371,"iq_bond_coupon")/100)</f>
        <v/>
      </c>
    </row>
    <row r="372" spans="51:63" hidden="1" outlineLevel="1">
      <c r="AY372" s="373" t="str">
        <f>IF($AX372="","",_xll.ciqfunctions.udf.CIQ($AX372,"iq_offer_date"))</f>
        <v/>
      </c>
      <c r="AZ372" s="374" t="str">
        <f>IF($AX372="","",RANK(AY372,$AY$10:$AY$510)+COUNTIF($AY$10:AY372,AY372)-1)</f>
        <v/>
      </c>
      <c r="BE372" s="348">
        <f t="shared" si="24"/>
        <v>363</v>
      </c>
      <c r="BG372" s="376" t="str">
        <f>IF($BF372="","",_xll.ciqfunctions.udf.CIQ($BF372,"iq_security_level"))</f>
        <v/>
      </c>
      <c r="BH372" s="348" t="str">
        <f t="shared" si="25"/>
        <v/>
      </c>
      <c r="BJ372" s="348" t="str">
        <f t="shared" si="23"/>
        <v/>
      </c>
      <c r="BK372" s="377" t="str">
        <f>IF($BJ372="","",_xll.ciqfunctions.udf.CIQ($BJ372,"iq_bond_coupon")/100)</f>
        <v/>
      </c>
    </row>
    <row r="373" spans="51:63" hidden="1" outlineLevel="1">
      <c r="AY373" s="373" t="str">
        <f>IF($AX373="","",_xll.ciqfunctions.udf.CIQ($AX373,"iq_offer_date"))</f>
        <v/>
      </c>
      <c r="AZ373" s="374" t="str">
        <f>IF($AX373="","",RANK(AY373,$AY$10:$AY$510)+COUNTIF($AY$10:AY373,AY373)-1)</f>
        <v/>
      </c>
      <c r="BE373" s="348">
        <f t="shared" si="24"/>
        <v>364</v>
      </c>
      <c r="BG373" s="376" t="str">
        <f>IF($BF373="","",_xll.ciqfunctions.udf.CIQ($BF373,"iq_security_level"))</f>
        <v/>
      </c>
      <c r="BH373" s="348" t="str">
        <f t="shared" si="25"/>
        <v/>
      </c>
      <c r="BJ373" s="348" t="str">
        <f t="shared" ref="BJ373:BJ436" si="26">IF($BF372="","",IF(ISERROR(INDEX($BF$10:$BF$509,MATCH(BE372,$BH$10:$BH$509,0))),"",INDEX($BF$10:$BF$509,MATCH(BE372,$BH$10:$BH$509,0))))</f>
        <v/>
      </c>
      <c r="BK373" s="377" t="str">
        <f>IF($BJ373="","",_xll.ciqfunctions.udf.CIQ($BJ373,"iq_bond_coupon")/100)</f>
        <v/>
      </c>
    </row>
    <row r="374" spans="51:63" hidden="1" outlineLevel="1">
      <c r="AY374" s="373" t="str">
        <f>IF($AX374="","",_xll.ciqfunctions.udf.CIQ($AX374,"iq_offer_date"))</f>
        <v/>
      </c>
      <c r="AZ374" s="374" t="str">
        <f>IF($AX374="","",RANK(AY374,$AY$10:$AY$510)+COUNTIF($AY$10:AY374,AY374)-1)</f>
        <v/>
      </c>
      <c r="BE374" s="348">
        <f t="shared" si="24"/>
        <v>365</v>
      </c>
      <c r="BG374" s="376" t="str">
        <f>IF($BF374="","",_xll.ciqfunctions.udf.CIQ($BF374,"iq_security_level"))</f>
        <v/>
      </c>
      <c r="BH374" s="348" t="str">
        <f t="shared" si="25"/>
        <v/>
      </c>
      <c r="BJ374" s="348" t="str">
        <f t="shared" si="26"/>
        <v/>
      </c>
      <c r="BK374" s="377" t="str">
        <f>IF($BJ374="","",_xll.ciqfunctions.udf.CIQ($BJ374,"iq_bond_coupon")/100)</f>
        <v/>
      </c>
    </row>
    <row r="375" spans="51:63" hidden="1" outlineLevel="1">
      <c r="AY375" s="373" t="str">
        <f>IF($AX375="","",_xll.ciqfunctions.udf.CIQ($AX375,"iq_offer_date"))</f>
        <v/>
      </c>
      <c r="AZ375" s="374" t="str">
        <f>IF($AX375="","",RANK(AY375,$AY$10:$AY$510)+COUNTIF($AY$10:AY375,AY375)-1)</f>
        <v/>
      </c>
      <c r="BE375" s="348">
        <f t="shared" si="24"/>
        <v>366</v>
      </c>
      <c r="BG375" s="376" t="str">
        <f>IF($BF375="","",_xll.ciqfunctions.udf.CIQ($BF375,"iq_security_level"))</f>
        <v/>
      </c>
      <c r="BH375" s="348" t="str">
        <f t="shared" si="25"/>
        <v/>
      </c>
      <c r="BJ375" s="348" t="str">
        <f t="shared" si="26"/>
        <v/>
      </c>
      <c r="BK375" s="377" t="str">
        <f>IF($BJ375="","",_xll.ciqfunctions.udf.CIQ($BJ375,"iq_bond_coupon")/100)</f>
        <v/>
      </c>
    </row>
    <row r="376" spans="51:63" hidden="1" outlineLevel="1">
      <c r="AY376" s="373" t="str">
        <f>IF($AX376="","",_xll.ciqfunctions.udf.CIQ($AX376,"iq_offer_date"))</f>
        <v/>
      </c>
      <c r="AZ376" s="374" t="str">
        <f>IF($AX376="","",RANK(AY376,$AY$10:$AY$510)+COUNTIF($AY$10:AY376,AY376)-1)</f>
        <v/>
      </c>
      <c r="BE376" s="348">
        <f t="shared" si="24"/>
        <v>367</v>
      </c>
      <c r="BG376" s="376" t="str">
        <f>IF($BF376="","",_xll.ciqfunctions.udf.CIQ($BF376,"iq_security_level"))</f>
        <v/>
      </c>
      <c r="BH376" s="348" t="str">
        <f t="shared" si="25"/>
        <v/>
      </c>
      <c r="BJ376" s="348" t="str">
        <f t="shared" si="26"/>
        <v/>
      </c>
      <c r="BK376" s="377" t="str">
        <f>IF($BJ376="","",_xll.ciqfunctions.udf.CIQ($BJ376,"iq_bond_coupon")/100)</f>
        <v/>
      </c>
    </row>
    <row r="377" spans="51:63" hidden="1" outlineLevel="1">
      <c r="AY377" s="373" t="str">
        <f>IF($AX377="","",_xll.ciqfunctions.udf.CIQ($AX377,"iq_offer_date"))</f>
        <v/>
      </c>
      <c r="AZ377" s="374" t="str">
        <f>IF($AX377="","",RANK(AY377,$AY$10:$AY$510)+COUNTIF($AY$10:AY377,AY377)-1)</f>
        <v/>
      </c>
      <c r="BE377" s="348">
        <f t="shared" si="24"/>
        <v>368</v>
      </c>
      <c r="BG377" s="376" t="str">
        <f>IF($BF377="","",_xll.ciqfunctions.udf.CIQ($BF377,"iq_security_level"))</f>
        <v/>
      </c>
      <c r="BH377" s="348" t="str">
        <f t="shared" si="25"/>
        <v/>
      </c>
      <c r="BJ377" s="348" t="str">
        <f t="shared" si="26"/>
        <v/>
      </c>
      <c r="BK377" s="377" t="str">
        <f>IF($BJ377="","",_xll.ciqfunctions.udf.CIQ($BJ377,"iq_bond_coupon")/100)</f>
        <v/>
      </c>
    </row>
    <row r="378" spans="51:63" hidden="1" outlineLevel="1">
      <c r="AY378" s="373" t="str">
        <f>IF($AX378="","",_xll.ciqfunctions.udf.CIQ($AX378,"iq_offer_date"))</f>
        <v/>
      </c>
      <c r="AZ378" s="374" t="str">
        <f>IF($AX378="","",RANK(AY378,$AY$10:$AY$510)+COUNTIF($AY$10:AY378,AY378)-1)</f>
        <v/>
      </c>
      <c r="BE378" s="348">
        <f t="shared" si="24"/>
        <v>369</v>
      </c>
      <c r="BG378" s="376" t="str">
        <f>IF($BF378="","",_xll.ciqfunctions.udf.CIQ($BF378,"iq_security_level"))</f>
        <v/>
      </c>
      <c r="BH378" s="348" t="str">
        <f t="shared" si="25"/>
        <v/>
      </c>
      <c r="BJ378" s="348" t="str">
        <f t="shared" si="26"/>
        <v/>
      </c>
      <c r="BK378" s="377" t="str">
        <f>IF($BJ378="","",_xll.ciqfunctions.udf.CIQ($BJ378,"iq_bond_coupon")/100)</f>
        <v/>
      </c>
    </row>
    <row r="379" spans="51:63" hidden="1" outlineLevel="1">
      <c r="AY379" s="373" t="str">
        <f>IF($AX379="","",_xll.ciqfunctions.udf.CIQ($AX379,"iq_offer_date"))</f>
        <v/>
      </c>
      <c r="AZ379" s="374" t="str">
        <f>IF($AX379="","",RANK(AY379,$AY$10:$AY$510)+COUNTIF($AY$10:AY379,AY379)-1)</f>
        <v/>
      </c>
      <c r="BE379" s="348">
        <f t="shared" si="24"/>
        <v>370</v>
      </c>
      <c r="BG379" s="376" t="str">
        <f>IF($BF379="","",_xll.ciqfunctions.udf.CIQ($BF379,"iq_security_level"))</f>
        <v/>
      </c>
      <c r="BH379" s="348" t="str">
        <f t="shared" si="25"/>
        <v/>
      </c>
      <c r="BJ379" s="348" t="str">
        <f t="shared" si="26"/>
        <v/>
      </c>
      <c r="BK379" s="377" t="str">
        <f>IF($BJ379="","",_xll.ciqfunctions.udf.CIQ($BJ379,"iq_bond_coupon")/100)</f>
        <v/>
      </c>
    </row>
    <row r="380" spans="51:63" hidden="1" outlineLevel="1">
      <c r="AY380" s="373" t="str">
        <f>IF($AX380="","",_xll.ciqfunctions.udf.CIQ($AX380,"iq_offer_date"))</f>
        <v/>
      </c>
      <c r="AZ380" s="374" t="str">
        <f>IF($AX380="","",RANK(AY380,$AY$10:$AY$510)+COUNTIF($AY$10:AY380,AY380)-1)</f>
        <v/>
      </c>
      <c r="BE380" s="348">
        <f t="shared" si="24"/>
        <v>371</v>
      </c>
      <c r="BG380" s="376" t="str">
        <f>IF($BF380="","",_xll.ciqfunctions.udf.CIQ($BF380,"iq_security_level"))</f>
        <v/>
      </c>
      <c r="BH380" s="348" t="str">
        <f t="shared" si="25"/>
        <v/>
      </c>
      <c r="BJ380" s="348" t="str">
        <f t="shared" si="26"/>
        <v/>
      </c>
      <c r="BK380" s="377" t="str">
        <f>IF($BJ380="","",_xll.ciqfunctions.udf.CIQ($BJ380,"iq_bond_coupon")/100)</f>
        <v/>
      </c>
    </row>
    <row r="381" spans="51:63" hidden="1" outlineLevel="1">
      <c r="AY381" s="373" t="str">
        <f>IF($AX381="","",_xll.ciqfunctions.udf.CIQ($AX381,"iq_offer_date"))</f>
        <v/>
      </c>
      <c r="AZ381" s="374" t="str">
        <f>IF($AX381="","",RANK(AY381,$AY$10:$AY$510)+COUNTIF($AY$10:AY381,AY381)-1)</f>
        <v/>
      </c>
      <c r="BE381" s="348">
        <f t="shared" si="24"/>
        <v>372</v>
      </c>
      <c r="BG381" s="376" t="str">
        <f>IF($BF381="","",_xll.ciqfunctions.udf.CIQ($BF381,"iq_security_level"))</f>
        <v/>
      </c>
      <c r="BH381" s="348" t="str">
        <f t="shared" si="25"/>
        <v/>
      </c>
      <c r="BJ381" s="348" t="str">
        <f t="shared" si="26"/>
        <v/>
      </c>
      <c r="BK381" s="377" t="str">
        <f>IF($BJ381="","",_xll.ciqfunctions.udf.CIQ($BJ381,"iq_bond_coupon")/100)</f>
        <v/>
      </c>
    </row>
    <row r="382" spans="51:63" hidden="1" outlineLevel="1">
      <c r="AY382" s="373" t="str">
        <f>IF($AX382="","",_xll.ciqfunctions.udf.CIQ($AX382,"iq_offer_date"))</f>
        <v/>
      </c>
      <c r="AZ382" s="374" t="str">
        <f>IF($AX382="","",RANK(AY382,$AY$10:$AY$510)+COUNTIF($AY$10:AY382,AY382)-1)</f>
        <v/>
      </c>
      <c r="BE382" s="348">
        <f t="shared" si="24"/>
        <v>373</v>
      </c>
      <c r="BG382" s="376" t="str">
        <f>IF($BF382="","",_xll.ciqfunctions.udf.CIQ($BF382,"iq_security_level"))</f>
        <v/>
      </c>
      <c r="BH382" s="348" t="str">
        <f t="shared" si="25"/>
        <v/>
      </c>
      <c r="BJ382" s="348" t="str">
        <f t="shared" si="26"/>
        <v/>
      </c>
      <c r="BK382" s="377" t="str">
        <f>IF($BJ382="","",_xll.ciqfunctions.udf.CIQ($BJ382,"iq_bond_coupon")/100)</f>
        <v/>
      </c>
    </row>
    <row r="383" spans="51:63" hidden="1" outlineLevel="1">
      <c r="AY383" s="373" t="str">
        <f>IF($AX383="","",_xll.ciqfunctions.udf.CIQ($AX383,"iq_offer_date"))</f>
        <v/>
      </c>
      <c r="AZ383" s="374" t="str">
        <f>IF($AX383="","",RANK(AY383,$AY$10:$AY$510)+COUNTIF($AY$10:AY383,AY383)-1)</f>
        <v/>
      </c>
      <c r="BE383" s="348">
        <f t="shared" si="24"/>
        <v>374</v>
      </c>
      <c r="BG383" s="376" t="str">
        <f>IF($BF383="","",_xll.ciqfunctions.udf.CIQ($BF383,"iq_security_level"))</f>
        <v/>
      </c>
      <c r="BH383" s="348" t="str">
        <f t="shared" si="25"/>
        <v/>
      </c>
      <c r="BJ383" s="348" t="str">
        <f t="shared" si="26"/>
        <v/>
      </c>
      <c r="BK383" s="377" t="str">
        <f>IF($BJ383="","",_xll.ciqfunctions.udf.CIQ($BJ383,"iq_bond_coupon")/100)</f>
        <v/>
      </c>
    </row>
    <row r="384" spans="51:63" hidden="1" outlineLevel="1">
      <c r="AY384" s="373" t="str">
        <f>IF($AX384="","",_xll.ciqfunctions.udf.CIQ($AX384,"iq_offer_date"))</f>
        <v/>
      </c>
      <c r="AZ384" s="374" t="str">
        <f>IF($AX384="","",RANK(AY384,$AY$10:$AY$510)+COUNTIF($AY$10:AY384,AY384)-1)</f>
        <v/>
      </c>
      <c r="BE384" s="348">
        <f t="shared" si="24"/>
        <v>375</v>
      </c>
      <c r="BG384" s="376" t="str">
        <f>IF($BF384="","",_xll.ciqfunctions.udf.CIQ($BF384,"iq_security_level"))</f>
        <v/>
      </c>
      <c r="BH384" s="348" t="str">
        <f t="shared" si="25"/>
        <v/>
      </c>
      <c r="BJ384" s="348" t="str">
        <f t="shared" si="26"/>
        <v/>
      </c>
      <c r="BK384" s="377" t="str">
        <f>IF($BJ384="","",_xll.ciqfunctions.udf.CIQ($BJ384,"iq_bond_coupon")/100)</f>
        <v/>
      </c>
    </row>
    <row r="385" spans="51:63" hidden="1" outlineLevel="1">
      <c r="AY385" s="373" t="str">
        <f>IF($AX385="","",_xll.ciqfunctions.udf.CIQ($AX385,"iq_offer_date"))</f>
        <v/>
      </c>
      <c r="AZ385" s="374" t="str">
        <f>IF($AX385="","",RANK(AY385,$AY$10:$AY$510)+COUNTIF($AY$10:AY385,AY385)-1)</f>
        <v/>
      </c>
      <c r="BE385" s="348">
        <f t="shared" si="24"/>
        <v>376</v>
      </c>
      <c r="BG385" s="376" t="str">
        <f>IF($BF385="","",_xll.ciqfunctions.udf.CIQ($BF385,"iq_security_level"))</f>
        <v/>
      </c>
      <c r="BH385" s="348" t="str">
        <f t="shared" si="25"/>
        <v/>
      </c>
      <c r="BJ385" s="348" t="str">
        <f t="shared" si="26"/>
        <v/>
      </c>
      <c r="BK385" s="377" t="str">
        <f>IF($BJ385="","",_xll.ciqfunctions.udf.CIQ($BJ385,"iq_bond_coupon")/100)</f>
        <v/>
      </c>
    </row>
    <row r="386" spans="51:63" hidden="1" outlineLevel="1">
      <c r="AY386" s="373" t="str">
        <f>IF($AX386="","",_xll.ciqfunctions.udf.CIQ($AX386,"iq_offer_date"))</f>
        <v/>
      </c>
      <c r="AZ386" s="374" t="str">
        <f>IF($AX386="","",RANK(AY386,$AY$10:$AY$510)+COUNTIF($AY$10:AY386,AY386)-1)</f>
        <v/>
      </c>
      <c r="BE386" s="348">
        <f t="shared" si="24"/>
        <v>377</v>
      </c>
      <c r="BG386" s="376" t="str">
        <f>IF($BF386="","",_xll.ciqfunctions.udf.CIQ($BF386,"iq_security_level"))</f>
        <v/>
      </c>
      <c r="BH386" s="348" t="str">
        <f t="shared" si="25"/>
        <v/>
      </c>
      <c r="BJ386" s="348" t="str">
        <f t="shared" si="26"/>
        <v/>
      </c>
      <c r="BK386" s="377" t="str">
        <f>IF($BJ386="","",_xll.ciqfunctions.udf.CIQ($BJ386,"iq_bond_coupon")/100)</f>
        <v/>
      </c>
    </row>
    <row r="387" spans="51:63" hidden="1" outlineLevel="1">
      <c r="AY387" s="373" t="str">
        <f>IF($AX387="","",_xll.ciqfunctions.udf.CIQ($AX387,"iq_offer_date"))</f>
        <v/>
      </c>
      <c r="AZ387" s="374" t="str">
        <f>IF($AX387="","",RANK(AY387,$AY$10:$AY$510)+COUNTIF($AY$10:AY387,AY387)-1)</f>
        <v/>
      </c>
      <c r="BE387" s="348">
        <f t="shared" si="24"/>
        <v>378</v>
      </c>
      <c r="BG387" s="376" t="str">
        <f>IF($BF387="","",_xll.ciqfunctions.udf.CIQ($BF387,"iq_security_level"))</f>
        <v/>
      </c>
      <c r="BH387" s="348" t="str">
        <f t="shared" si="25"/>
        <v/>
      </c>
      <c r="BJ387" s="348" t="str">
        <f t="shared" si="26"/>
        <v/>
      </c>
      <c r="BK387" s="377" t="str">
        <f>IF($BJ387="","",_xll.ciqfunctions.udf.CIQ($BJ387,"iq_bond_coupon")/100)</f>
        <v/>
      </c>
    </row>
    <row r="388" spans="51:63" hidden="1" outlineLevel="1">
      <c r="AY388" s="373" t="str">
        <f>IF($AX388="","",_xll.ciqfunctions.udf.CIQ($AX388,"iq_offer_date"))</f>
        <v/>
      </c>
      <c r="AZ388" s="374" t="str">
        <f>IF($AX388="","",RANK(AY388,$AY$10:$AY$510)+COUNTIF($AY$10:AY388,AY388)-1)</f>
        <v/>
      </c>
      <c r="BE388" s="348">
        <f t="shared" si="24"/>
        <v>379</v>
      </c>
      <c r="BG388" s="376" t="str">
        <f>IF($BF388="","",_xll.ciqfunctions.udf.CIQ($BF388,"iq_security_level"))</f>
        <v/>
      </c>
      <c r="BH388" s="348" t="str">
        <f t="shared" si="25"/>
        <v/>
      </c>
      <c r="BJ388" s="348" t="str">
        <f t="shared" si="26"/>
        <v/>
      </c>
      <c r="BK388" s="377" t="str">
        <f>IF($BJ388="","",_xll.ciqfunctions.udf.CIQ($BJ388,"iq_bond_coupon")/100)</f>
        <v/>
      </c>
    </row>
    <row r="389" spans="51:63" hidden="1" outlineLevel="1">
      <c r="AY389" s="373" t="str">
        <f>IF($AX389="","",_xll.ciqfunctions.udf.CIQ($AX389,"iq_offer_date"))</f>
        <v/>
      </c>
      <c r="AZ389" s="374" t="str">
        <f>IF($AX389="","",RANK(AY389,$AY$10:$AY$510)+COUNTIF($AY$10:AY389,AY389)-1)</f>
        <v/>
      </c>
      <c r="BE389" s="348">
        <f t="shared" si="24"/>
        <v>380</v>
      </c>
      <c r="BG389" s="376" t="str">
        <f>IF($BF389="","",_xll.ciqfunctions.udf.CIQ($BF389,"iq_security_level"))</f>
        <v/>
      </c>
      <c r="BH389" s="348" t="str">
        <f t="shared" si="25"/>
        <v/>
      </c>
      <c r="BJ389" s="348" t="str">
        <f t="shared" si="26"/>
        <v/>
      </c>
      <c r="BK389" s="377" t="str">
        <f>IF($BJ389="","",_xll.ciqfunctions.udf.CIQ($BJ389,"iq_bond_coupon")/100)</f>
        <v/>
      </c>
    </row>
    <row r="390" spans="51:63" hidden="1" outlineLevel="1">
      <c r="AY390" s="373" t="str">
        <f>IF($AX390="","",_xll.ciqfunctions.udf.CIQ($AX390,"iq_offer_date"))</f>
        <v/>
      </c>
      <c r="AZ390" s="374" t="str">
        <f>IF($AX390="","",RANK(AY390,$AY$10:$AY$510)+COUNTIF($AY$10:AY390,AY390)-1)</f>
        <v/>
      </c>
      <c r="BE390" s="348">
        <f t="shared" si="24"/>
        <v>381</v>
      </c>
      <c r="BG390" s="376" t="str">
        <f>IF($BF390="","",_xll.ciqfunctions.udf.CIQ($BF390,"iq_security_level"))</f>
        <v/>
      </c>
      <c r="BH390" s="348" t="str">
        <f t="shared" si="25"/>
        <v/>
      </c>
      <c r="BJ390" s="348" t="str">
        <f t="shared" si="26"/>
        <v/>
      </c>
      <c r="BK390" s="377" t="str">
        <f>IF($BJ390="","",_xll.ciqfunctions.udf.CIQ($BJ390,"iq_bond_coupon")/100)</f>
        <v/>
      </c>
    </row>
    <row r="391" spans="51:63" hidden="1" outlineLevel="1">
      <c r="AY391" s="373" t="str">
        <f>IF($AX391="","",_xll.ciqfunctions.udf.CIQ($AX391,"iq_offer_date"))</f>
        <v/>
      </c>
      <c r="AZ391" s="374" t="str">
        <f>IF($AX391="","",RANK(AY391,$AY$10:$AY$510)+COUNTIF($AY$10:AY391,AY391)-1)</f>
        <v/>
      </c>
      <c r="BE391" s="348">
        <f t="shared" si="24"/>
        <v>382</v>
      </c>
      <c r="BG391" s="376" t="str">
        <f>IF($BF391="","",_xll.ciqfunctions.udf.CIQ($BF391,"iq_security_level"))</f>
        <v/>
      </c>
      <c r="BH391" s="348" t="str">
        <f t="shared" si="25"/>
        <v/>
      </c>
      <c r="BJ391" s="348" t="str">
        <f t="shared" si="26"/>
        <v/>
      </c>
      <c r="BK391" s="377" t="str">
        <f>IF($BJ391="","",_xll.ciqfunctions.udf.CIQ($BJ391,"iq_bond_coupon")/100)</f>
        <v/>
      </c>
    </row>
    <row r="392" spans="51:63" hidden="1" outlineLevel="1">
      <c r="AY392" s="373" t="str">
        <f>IF($AX392="","",_xll.ciqfunctions.udf.CIQ($AX392,"iq_offer_date"))</f>
        <v/>
      </c>
      <c r="AZ392" s="374" t="str">
        <f>IF($AX392="","",RANK(AY392,$AY$10:$AY$510)+COUNTIF($AY$10:AY392,AY392)-1)</f>
        <v/>
      </c>
      <c r="BE392" s="348">
        <f t="shared" si="24"/>
        <v>383</v>
      </c>
      <c r="BG392" s="376" t="str">
        <f>IF($BF392="","",_xll.ciqfunctions.udf.CIQ($BF392,"iq_security_level"))</f>
        <v/>
      </c>
      <c r="BH392" s="348" t="str">
        <f t="shared" si="25"/>
        <v/>
      </c>
      <c r="BJ392" s="348" t="str">
        <f t="shared" si="26"/>
        <v/>
      </c>
      <c r="BK392" s="377" t="str">
        <f>IF($BJ392="","",_xll.ciqfunctions.udf.CIQ($BJ392,"iq_bond_coupon")/100)</f>
        <v/>
      </c>
    </row>
    <row r="393" spans="51:63" hidden="1" outlineLevel="1">
      <c r="AY393" s="373" t="str">
        <f>IF($AX393="","",_xll.ciqfunctions.udf.CIQ($AX393,"iq_offer_date"))</f>
        <v/>
      </c>
      <c r="AZ393" s="374" t="str">
        <f>IF($AX393="","",RANK(AY393,$AY$10:$AY$510)+COUNTIF($AY$10:AY393,AY393)-1)</f>
        <v/>
      </c>
      <c r="BE393" s="348">
        <f t="shared" si="24"/>
        <v>384</v>
      </c>
      <c r="BG393" s="376" t="str">
        <f>IF($BF393="","",_xll.ciqfunctions.udf.CIQ($BF393,"iq_security_level"))</f>
        <v/>
      </c>
      <c r="BH393" s="348" t="str">
        <f t="shared" si="25"/>
        <v/>
      </c>
      <c r="BJ393" s="348" t="str">
        <f t="shared" si="26"/>
        <v/>
      </c>
      <c r="BK393" s="377" t="str">
        <f>IF($BJ393="","",_xll.ciqfunctions.udf.CIQ($BJ393,"iq_bond_coupon")/100)</f>
        <v/>
      </c>
    </row>
    <row r="394" spans="51:63" hidden="1" outlineLevel="1">
      <c r="AY394" s="373" t="str">
        <f>IF($AX394="","",_xll.ciqfunctions.udf.CIQ($AX394,"iq_offer_date"))</f>
        <v/>
      </c>
      <c r="AZ394" s="374" t="str">
        <f>IF($AX394="","",RANK(AY394,$AY$10:$AY$510)+COUNTIF($AY$10:AY394,AY394)-1)</f>
        <v/>
      </c>
      <c r="BE394" s="348">
        <f t="shared" si="24"/>
        <v>385</v>
      </c>
      <c r="BG394" s="376" t="str">
        <f>IF($BF394="","",_xll.ciqfunctions.udf.CIQ($BF394,"iq_security_level"))</f>
        <v/>
      </c>
      <c r="BH394" s="348" t="str">
        <f t="shared" si="25"/>
        <v/>
      </c>
      <c r="BJ394" s="348" t="str">
        <f t="shared" si="26"/>
        <v/>
      </c>
      <c r="BK394" s="377" t="str">
        <f>IF($BJ394="","",_xll.ciqfunctions.udf.CIQ($BJ394,"iq_bond_coupon")/100)</f>
        <v/>
      </c>
    </row>
    <row r="395" spans="51:63" hidden="1" outlineLevel="1">
      <c r="AY395" s="373" t="str">
        <f>IF($AX395="","",_xll.ciqfunctions.udf.CIQ($AX395,"iq_offer_date"))</f>
        <v/>
      </c>
      <c r="AZ395" s="374" t="str">
        <f>IF($AX395="","",RANK(AY395,$AY$10:$AY$510)+COUNTIF($AY$10:AY395,AY395)-1)</f>
        <v/>
      </c>
      <c r="BE395" s="348">
        <f t="shared" si="24"/>
        <v>386</v>
      </c>
      <c r="BG395" s="376" t="str">
        <f>IF($BF395="","",_xll.ciqfunctions.udf.CIQ($BF395,"iq_security_level"))</f>
        <v/>
      </c>
      <c r="BH395" s="348" t="str">
        <f t="shared" si="25"/>
        <v/>
      </c>
      <c r="BJ395" s="348" t="str">
        <f t="shared" si="26"/>
        <v/>
      </c>
      <c r="BK395" s="377" t="str">
        <f>IF($BJ395="","",_xll.ciqfunctions.udf.CIQ($BJ395,"iq_bond_coupon")/100)</f>
        <v/>
      </c>
    </row>
    <row r="396" spans="51:63" hidden="1" outlineLevel="1">
      <c r="AY396" s="373" t="str">
        <f>IF($AX396="","",_xll.ciqfunctions.udf.CIQ($AX396,"iq_offer_date"))</f>
        <v/>
      </c>
      <c r="AZ396" s="374" t="str">
        <f>IF($AX396="","",RANK(AY396,$AY$10:$AY$510)+COUNTIF($AY$10:AY396,AY396)-1)</f>
        <v/>
      </c>
      <c r="BE396" s="348">
        <f t="shared" ref="BE396:BE459" si="27">BE395+1</f>
        <v>387</v>
      </c>
      <c r="BG396" s="376" t="str">
        <f>IF($BF396="","",_xll.ciqfunctions.udf.CIQ($BF396,"iq_security_level"))</f>
        <v/>
      </c>
      <c r="BH396" s="348" t="str">
        <f t="shared" ref="BH396:BH459" si="28">IF(BF396="","",IF(BG396="Preferred",BH395+1,BH395))</f>
        <v/>
      </c>
      <c r="BJ396" s="348" t="str">
        <f t="shared" si="26"/>
        <v/>
      </c>
      <c r="BK396" s="377" t="str">
        <f>IF($BJ396="","",_xll.ciqfunctions.udf.CIQ($BJ396,"iq_bond_coupon")/100)</f>
        <v/>
      </c>
    </row>
    <row r="397" spans="51:63" hidden="1" outlineLevel="1">
      <c r="AY397" s="373" t="str">
        <f>IF($AX397="","",_xll.ciqfunctions.udf.CIQ($AX397,"iq_offer_date"))</f>
        <v/>
      </c>
      <c r="AZ397" s="374" t="str">
        <f>IF($AX397="","",RANK(AY397,$AY$10:$AY$510)+COUNTIF($AY$10:AY397,AY397)-1)</f>
        <v/>
      </c>
      <c r="BE397" s="348">
        <f t="shared" si="27"/>
        <v>388</v>
      </c>
      <c r="BG397" s="376" t="str">
        <f>IF($BF397="","",_xll.ciqfunctions.udf.CIQ($BF397,"iq_security_level"))</f>
        <v/>
      </c>
      <c r="BH397" s="348" t="str">
        <f t="shared" si="28"/>
        <v/>
      </c>
      <c r="BJ397" s="348" t="str">
        <f t="shared" si="26"/>
        <v/>
      </c>
      <c r="BK397" s="377" t="str">
        <f>IF($BJ397="","",_xll.ciqfunctions.udf.CIQ($BJ397,"iq_bond_coupon")/100)</f>
        <v/>
      </c>
    </row>
    <row r="398" spans="51:63" hidden="1" outlineLevel="1">
      <c r="AY398" s="373" t="str">
        <f>IF($AX398="","",_xll.ciqfunctions.udf.CIQ($AX398,"iq_offer_date"))</f>
        <v/>
      </c>
      <c r="AZ398" s="374" t="str">
        <f>IF($AX398="","",RANK(AY398,$AY$10:$AY$510)+COUNTIF($AY$10:AY398,AY398)-1)</f>
        <v/>
      </c>
      <c r="BE398" s="348">
        <f t="shared" si="27"/>
        <v>389</v>
      </c>
      <c r="BG398" s="376" t="str">
        <f>IF($BF398="","",_xll.ciqfunctions.udf.CIQ($BF398,"iq_security_level"))</f>
        <v/>
      </c>
      <c r="BH398" s="348" t="str">
        <f t="shared" si="28"/>
        <v/>
      </c>
      <c r="BJ398" s="348" t="str">
        <f t="shared" si="26"/>
        <v/>
      </c>
      <c r="BK398" s="377" t="str">
        <f>IF($BJ398="","",_xll.ciqfunctions.udf.CIQ($BJ398,"iq_bond_coupon")/100)</f>
        <v/>
      </c>
    </row>
    <row r="399" spans="51:63" hidden="1" outlineLevel="1">
      <c r="AY399" s="373" t="str">
        <f>IF($AX399="","",_xll.ciqfunctions.udf.CIQ($AX399,"iq_offer_date"))</f>
        <v/>
      </c>
      <c r="AZ399" s="374" t="str">
        <f>IF($AX399="","",RANK(AY399,$AY$10:$AY$510)+COUNTIF($AY$10:AY399,AY399)-1)</f>
        <v/>
      </c>
      <c r="BE399" s="348">
        <f t="shared" si="27"/>
        <v>390</v>
      </c>
      <c r="BG399" s="376" t="str">
        <f>IF($BF399="","",_xll.ciqfunctions.udf.CIQ($BF399,"iq_security_level"))</f>
        <v/>
      </c>
      <c r="BH399" s="348" t="str">
        <f t="shared" si="28"/>
        <v/>
      </c>
      <c r="BJ399" s="348" t="str">
        <f t="shared" si="26"/>
        <v/>
      </c>
      <c r="BK399" s="377" t="str">
        <f>IF($BJ399="","",_xll.ciqfunctions.udf.CIQ($BJ399,"iq_bond_coupon")/100)</f>
        <v/>
      </c>
    </row>
    <row r="400" spans="51:63" hidden="1" outlineLevel="1">
      <c r="AY400" s="373" t="str">
        <f>IF($AX400="","",_xll.ciqfunctions.udf.CIQ($AX400,"iq_offer_date"))</f>
        <v/>
      </c>
      <c r="AZ400" s="374" t="str">
        <f>IF($AX400="","",RANK(AY400,$AY$10:$AY$510)+COUNTIF($AY$10:AY400,AY400)-1)</f>
        <v/>
      </c>
      <c r="BE400" s="348">
        <f t="shared" si="27"/>
        <v>391</v>
      </c>
      <c r="BG400" s="376" t="str">
        <f>IF($BF400="","",_xll.ciqfunctions.udf.CIQ($BF400,"iq_security_level"))</f>
        <v/>
      </c>
      <c r="BH400" s="348" t="str">
        <f t="shared" si="28"/>
        <v/>
      </c>
      <c r="BJ400" s="348" t="str">
        <f t="shared" si="26"/>
        <v/>
      </c>
      <c r="BK400" s="377" t="str">
        <f>IF($BJ400="","",_xll.ciqfunctions.udf.CIQ($BJ400,"iq_bond_coupon")/100)</f>
        <v/>
      </c>
    </row>
    <row r="401" spans="51:63" hidden="1" outlineLevel="1">
      <c r="AY401" s="373" t="str">
        <f>IF($AX401="","",_xll.ciqfunctions.udf.CIQ($AX401,"iq_offer_date"))</f>
        <v/>
      </c>
      <c r="AZ401" s="374" t="str">
        <f>IF($AX401="","",RANK(AY401,$AY$10:$AY$510)+COUNTIF($AY$10:AY401,AY401)-1)</f>
        <v/>
      </c>
      <c r="BE401" s="348">
        <f t="shared" si="27"/>
        <v>392</v>
      </c>
      <c r="BG401" s="376" t="str">
        <f>IF($BF401="","",_xll.ciqfunctions.udf.CIQ($BF401,"iq_security_level"))</f>
        <v/>
      </c>
      <c r="BH401" s="348" t="str">
        <f t="shared" si="28"/>
        <v/>
      </c>
      <c r="BJ401" s="348" t="str">
        <f t="shared" si="26"/>
        <v/>
      </c>
      <c r="BK401" s="377" t="str">
        <f>IF($BJ401="","",_xll.ciqfunctions.udf.CIQ($BJ401,"iq_bond_coupon")/100)</f>
        <v/>
      </c>
    </row>
    <row r="402" spans="51:63" hidden="1" outlineLevel="1">
      <c r="AY402" s="373" t="str">
        <f>IF($AX402="","",_xll.ciqfunctions.udf.CIQ($AX402,"iq_offer_date"))</f>
        <v/>
      </c>
      <c r="AZ402" s="374" t="str">
        <f>IF($AX402="","",RANK(AY402,$AY$10:$AY$510)+COUNTIF($AY$10:AY402,AY402)-1)</f>
        <v/>
      </c>
      <c r="BE402" s="348">
        <f t="shared" si="27"/>
        <v>393</v>
      </c>
      <c r="BG402" s="376" t="str">
        <f>IF($BF402="","",_xll.ciqfunctions.udf.CIQ($BF402,"iq_security_level"))</f>
        <v/>
      </c>
      <c r="BH402" s="348" t="str">
        <f t="shared" si="28"/>
        <v/>
      </c>
      <c r="BJ402" s="348" t="str">
        <f t="shared" si="26"/>
        <v/>
      </c>
      <c r="BK402" s="377" t="str">
        <f>IF($BJ402="","",_xll.ciqfunctions.udf.CIQ($BJ402,"iq_bond_coupon")/100)</f>
        <v/>
      </c>
    </row>
    <row r="403" spans="51:63" hidden="1" outlineLevel="1">
      <c r="AY403" s="373" t="str">
        <f>IF($AX403="","",_xll.ciqfunctions.udf.CIQ($AX403,"iq_offer_date"))</f>
        <v/>
      </c>
      <c r="AZ403" s="374" t="str">
        <f>IF($AX403="","",RANK(AY403,$AY$10:$AY$510)+COUNTIF($AY$10:AY403,AY403)-1)</f>
        <v/>
      </c>
      <c r="BE403" s="348">
        <f t="shared" si="27"/>
        <v>394</v>
      </c>
      <c r="BG403" s="376" t="str">
        <f>IF($BF403="","",_xll.ciqfunctions.udf.CIQ($BF403,"iq_security_level"))</f>
        <v/>
      </c>
      <c r="BH403" s="348" t="str">
        <f t="shared" si="28"/>
        <v/>
      </c>
      <c r="BJ403" s="348" t="str">
        <f t="shared" si="26"/>
        <v/>
      </c>
      <c r="BK403" s="377" t="str">
        <f>IF($BJ403="","",_xll.ciqfunctions.udf.CIQ($BJ403,"iq_bond_coupon")/100)</f>
        <v/>
      </c>
    </row>
    <row r="404" spans="51:63" hidden="1" outlineLevel="1">
      <c r="AY404" s="373" t="str">
        <f>IF($AX404="","",_xll.ciqfunctions.udf.CIQ($AX404,"iq_offer_date"))</f>
        <v/>
      </c>
      <c r="AZ404" s="374" t="str">
        <f>IF($AX404="","",RANK(AY404,$AY$10:$AY$510)+COUNTIF($AY$10:AY404,AY404)-1)</f>
        <v/>
      </c>
      <c r="BE404" s="348">
        <f t="shared" si="27"/>
        <v>395</v>
      </c>
      <c r="BG404" s="376" t="str">
        <f>IF($BF404="","",_xll.ciqfunctions.udf.CIQ($BF404,"iq_security_level"))</f>
        <v/>
      </c>
      <c r="BH404" s="348" t="str">
        <f t="shared" si="28"/>
        <v/>
      </c>
      <c r="BJ404" s="348" t="str">
        <f t="shared" si="26"/>
        <v/>
      </c>
      <c r="BK404" s="377" t="str">
        <f>IF($BJ404="","",_xll.ciqfunctions.udf.CIQ($BJ404,"iq_bond_coupon")/100)</f>
        <v/>
      </c>
    </row>
    <row r="405" spans="51:63" hidden="1" outlineLevel="1">
      <c r="AY405" s="373" t="str">
        <f>IF($AX405="","",_xll.ciqfunctions.udf.CIQ($AX405,"iq_offer_date"))</f>
        <v/>
      </c>
      <c r="AZ405" s="374" t="str">
        <f>IF($AX405="","",RANK(AY405,$AY$10:$AY$510)+COUNTIF($AY$10:AY405,AY405)-1)</f>
        <v/>
      </c>
      <c r="BE405" s="348">
        <f t="shared" si="27"/>
        <v>396</v>
      </c>
      <c r="BG405" s="376" t="str">
        <f>IF($BF405="","",_xll.ciqfunctions.udf.CIQ($BF405,"iq_security_level"))</f>
        <v/>
      </c>
      <c r="BH405" s="348" t="str">
        <f t="shared" si="28"/>
        <v/>
      </c>
      <c r="BJ405" s="348" t="str">
        <f t="shared" si="26"/>
        <v/>
      </c>
      <c r="BK405" s="377" t="str">
        <f>IF($BJ405="","",_xll.ciqfunctions.udf.CIQ($BJ405,"iq_bond_coupon")/100)</f>
        <v/>
      </c>
    </row>
    <row r="406" spans="51:63" hidden="1" outlineLevel="1">
      <c r="AY406" s="373" t="str">
        <f>IF($AX406="","",_xll.ciqfunctions.udf.CIQ($AX406,"iq_offer_date"))</f>
        <v/>
      </c>
      <c r="AZ406" s="374" t="str">
        <f>IF($AX406="","",RANK(AY406,$AY$10:$AY$510)+COUNTIF($AY$10:AY406,AY406)-1)</f>
        <v/>
      </c>
      <c r="BE406" s="348">
        <f t="shared" si="27"/>
        <v>397</v>
      </c>
      <c r="BG406" s="376" t="str">
        <f>IF($BF406="","",_xll.ciqfunctions.udf.CIQ($BF406,"iq_security_level"))</f>
        <v/>
      </c>
      <c r="BH406" s="348" t="str">
        <f t="shared" si="28"/>
        <v/>
      </c>
      <c r="BJ406" s="348" t="str">
        <f t="shared" si="26"/>
        <v/>
      </c>
      <c r="BK406" s="377" t="str">
        <f>IF($BJ406="","",_xll.ciqfunctions.udf.CIQ($BJ406,"iq_bond_coupon")/100)</f>
        <v/>
      </c>
    </row>
    <row r="407" spans="51:63" hidden="1" outlineLevel="1">
      <c r="AY407" s="373" t="str">
        <f>IF($AX407="","",_xll.ciqfunctions.udf.CIQ($AX407,"iq_offer_date"))</f>
        <v/>
      </c>
      <c r="AZ407" s="374" t="str">
        <f>IF($AX407="","",RANK(AY407,$AY$10:$AY$510)+COUNTIF($AY$10:AY407,AY407)-1)</f>
        <v/>
      </c>
      <c r="BE407" s="348">
        <f t="shared" si="27"/>
        <v>398</v>
      </c>
      <c r="BG407" s="376" t="str">
        <f>IF($BF407="","",_xll.ciqfunctions.udf.CIQ($BF407,"iq_security_level"))</f>
        <v/>
      </c>
      <c r="BH407" s="348" t="str">
        <f t="shared" si="28"/>
        <v/>
      </c>
      <c r="BJ407" s="348" t="str">
        <f t="shared" si="26"/>
        <v/>
      </c>
      <c r="BK407" s="377" t="str">
        <f>IF($BJ407="","",_xll.ciqfunctions.udf.CIQ($BJ407,"iq_bond_coupon")/100)</f>
        <v/>
      </c>
    </row>
    <row r="408" spans="51:63" hidden="1" outlineLevel="1">
      <c r="AY408" s="373" t="str">
        <f>IF($AX408="","",_xll.ciqfunctions.udf.CIQ($AX408,"iq_offer_date"))</f>
        <v/>
      </c>
      <c r="AZ408" s="374" t="str">
        <f>IF($AX408="","",RANK(AY408,$AY$10:$AY$510)+COUNTIF($AY$10:AY408,AY408)-1)</f>
        <v/>
      </c>
      <c r="BE408" s="348">
        <f t="shared" si="27"/>
        <v>399</v>
      </c>
      <c r="BG408" s="376" t="str">
        <f>IF($BF408="","",_xll.ciqfunctions.udf.CIQ($BF408,"iq_security_level"))</f>
        <v/>
      </c>
      <c r="BH408" s="348" t="str">
        <f t="shared" si="28"/>
        <v/>
      </c>
      <c r="BJ408" s="348" t="str">
        <f t="shared" si="26"/>
        <v/>
      </c>
      <c r="BK408" s="377" t="str">
        <f>IF($BJ408="","",_xll.ciqfunctions.udf.CIQ($BJ408,"iq_bond_coupon")/100)</f>
        <v/>
      </c>
    </row>
    <row r="409" spans="51:63" hidden="1" outlineLevel="1">
      <c r="AY409" s="373" t="str">
        <f>IF($AX409="","",_xll.ciqfunctions.udf.CIQ($AX409,"iq_offer_date"))</f>
        <v/>
      </c>
      <c r="AZ409" s="374" t="str">
        <f>IF($AX409="","",RANK(AY409,$AY$10:$AY$510)+COUNTIF($AY$10:AY409,AY409)-1)</f>
        <v/>
      </c>
      <c r="BE409" s="348">
        <f t="shared" si="27"/>
        <v>400</v>
      </c>
      <c r="BG409" s="376" t="str">
        <f>IF($BF409="","",_xll.ciqfunctions.udf.CIQ($BF409,"iq_security_level"))</f>
        <v/>
      </c>
      <c r="BH409" s="348" t="str">
        <f t="shared" si="28"/>
        <v/>
      </c>
      <c r="BJ409" s="348" t="str">
        <f t="shared" si="26"/>
        <v/>
      </c>
      <c r="BK409" s="377" t="str">
        <f>IF($BJ409="","",_xll.ciqfunctions.udf.CIQ($BJ409,"iq_bond_coupon")/100)</f>
        <v/>
      </c>
    </row>
    <row r="410" spans="51:63" hidden="1" outlineLevel="1">
      <c r="AY410" s="373" t="str">
        <f>IF($AX410="","",_xll.ciqfunctions.udf.CIQ($AX410,"iq_offer_date"))</f>
        <v/>
      </c>
      <c r="AZ410" s="374" t="str">
        <f>IF($AX410="","",RANK(AY410,$AY$10:$AY$510)+COUNTIF($AY$10:AY410,AY410)-1)</f>
        <v/>
      </c>
      <c r="BE410" s="348">
        <f t="shared" si="27"/>
        <v>401</v>
      </c>
      <c r="BG410" s="376" t="str">
        <f>IF($BF410="","",_xll.ciqfunctions.udf.CIQ($BF410,"iq_security_level"))</f>
        <v/>
      </c>
      <c r="BH410" s="348" t="str">
        <f t="shared" si="28"/>
        <v/>
      </c>
      <c r="BJ410" s="348" t="str">
        <f t="shared" si="26"/>
        <v/>
      </c>
      <c r="BK410" s="377" t="str">
        <f>IF($BJ410="","",_xll.ciqfunctions.udf.CIQ($BJ410,"iq_bond_coupon")/100)</f>
        <v/>
      </c>
    </row>
    <row r="411" spans="51:63" hidden="1" outlineLevel="1">
      <c r="AY411" s="373" t="str">
        <f>IF($AX411="","",_xll.ciqfunctions.udf.CIQ($AX411,"iq_offer_date"))</f>
        <v/>
      </c>
      <c r="AZ411" s="374" t="str">
        <f>IF($AX411="","",RANK(AY411,$AY$10:$AY$510)+COUNTIF($AY$10:AY411,AY411)-1)</f>
        <v/>
      </c>
      <c r="BE411" s="348">
        <f t="shared" si="27"/>
        <v>402</v>
      </c>
      <c r="BG411" s="376" t="str">
        <f>IF($BF411="","",_xll.ciqfunctions.udf.CIQ($BF411,"iq_security_level"))</f>
        <v/>
      </c>
      <c r="BH411" s="348" t="str">
        <f t="shared" si="28"/>
        <v/>
      </c>
      <c r="BJ411" s="348" t="str">
        <f t="shared" si="26"/>
        <v/>
      </c>
      <c r="BK411" s="377" t="str">
        <f>IF($BJ411="","",_xll.ciqfunctions.udf.CIQ($BJ411,"iq_bond_coupon")/100)</f>
        <v/>
      </c>
    </row>
    <row r="412" spans="51:63" hidden="1" outlineLevel="1">
      <c r="AY412" s="373" t="str">
        <f>IF($AX412="","",_xll.ciqfunctions.udf.CIQ($AX412,"iq_offer_date"))</f>
        <v/>
      </c>
      <c r="AZ412" s="374" t="str">
        <f>IF($AX412="","",RANK(AY412,$AY$10:$AY$510)+COUNTIF($AY$10:AY412,AY412)-1)</f>
        <v/>
      </c>
      <c r="BE412" s="348">
        <f t="shared" si="27"/>
        <v>403</v>
      </c>
      <c r="BG412" s="376" t="str">
        <f>IF($BF412="","",_xll.ciqfunctions.udf.CIQ($BF412,"iq_security_level"))</f>
        <v/>
      </c>
      <c r="BH412" s="348" t="str">
        <f t="shared" si="28"/>
        <v/>
      </c>
      <c r="BJ412" s="348" t="str">
        <f t="shared" si="26"/>
        <v/>
      </c>
      <c r="BK412" s="377" t="str">
        <f>IF($BJ412="","",_xll.ciqfunctions.udf.CIQ($BJ412,"iq_bond_coupon")/100)</f>
        <v/>
      </c>
    </row>
    <row r="413" spans="51:63" hidden="1" outlineLevel="1">
      <c r="AY413" s="373" t="str">
        <f>IF($AX413="","",_xll.ciqfunctions.udf.CIQ($AX413,"iq_offer_date"))</f>
        <v/>
      </c>
      <c r="AZ413" s="374" t="str">
        <f>IF($AX413="","",RANK(AY413,$AY$10:$AY$510)+COUNTIF($AY$10:AY413,AY413)-1)</f>
        <v/>
      </c>
      <c r="BE413" s="348">
        <f t="shared" si="27"/>
        <v>404</v>
      </c>
      <c r="BG413" s="376" t="str">
        <f>IF($BF413="","",_xll.ciqfunctions.udf.CIQ($BF413,"iq_security_level"))</f>
        <v/>
      </c>
      <c r="BH413" s="348" t="str">
        <f t="shared" si="28"/>
        <v/>
      </c>
      <c r="BJ413" s="348" t="str">
        <f t="shared" si="26"/>
        <v/>
      </c>
      <c r="BK413" s="377" t="str">
        <f>IF($BJ413="","",_xll.ciqfunctions.udf.CIQ($BJ413,"iq_bond_coupon")/100)</f>
        <v/>
      </c>
    </row>
    <row r="414" spans="51:63" hidden="1" outlineLevel="1">
      <c r="AY414" s="373" t="str">
        <f>IF($AX414="","",_xll.ciqfunctions.udf.CIQ($AX414,"iq_offer_date"))</f>
        <v/>
      </c>
      <c r="AZ414" s="374" t="str">
        <f>IF($AX414="","",RANK(AY414,$AY$10:$AY$510)+COUNTIF($AY$10:AY414,AY414)-1)</f>
        <v/>
      </c>
      <c r="BE414" s="348">
        <f t="shared" si="27"/>
        <v>405</v>
      </c>
      <c r="BG414" s="376" t="str">
        <f>IF($BF414="","",_xll.ciqfunctions.udf.CIQ($BF414,"iq_security_level"))</f>
        <v/>
      </c>
      <c r="BH414" s="348" t="str">
        <f t="shared" si="28"/>
        <v/>
      </c>
      <c r="BJ414" s="348" t="str">
        <f t="shared" si="26"/>
        <v/>
      </c>
      <c r="BK414" s="377" t="str">
        <f>IF($BJ414="","",_xll.ciqfunctions.udf.CIQ($BJ414,"iq_bond_coupon")/100)</f>
        <v/>
      </c>
    </row>
    <row r="415" spans="51:63" hidden="1" outlineLevel="1">
      <c r="AY415" s="373" t="str">
        <f>IF($AX415="","",_xll.ciqfunctions.udf.CIQ($AX415,"iq_offer_date"))</f>
        <v/>
      </c>
      <c r="AZ415" s="374" t="str">
        <f>IF($AX415="","",RANK(AY415,$AY$10:$AY$510)+COUNTIF($AY$10:AY415,AY415)-1)</f>
        <v/>
      </c>
      <c r="BE415" s="348">
        <f t="shared" si="27"/>
        <v>406</v>
      </c>
      <c r="BG415" s="376" t="str">
        <f>IF($BF415="","",_xll.ciqfunctions.udf.CIQ($BF415,"iq_security_level"))</f>
        <v/>
      </c>
      <c r="BH415" s="348" t="str">
        <f t="shared" si="28"/>
        <v/>
      </c>
      <c r="BJ415" s="348" t="str">
        <f t="shared" si="26"/>
        <v/>
      </c>
      <c r="BK415" s="377" t="str">
        <f>IF($BJ415="","",_xll.ciqfunctions.udf.CIQ($BJ415,"iq_bond_coupon")/100)</f>
        <v/>
      </c>
    </row>
    <row r="416" spans="51:63" hidden="1" outlineLevel="1">
      <c r="AY416" s="373" t="str">
        <f>IF($AX416="","",_xll.ciqfunctions.udf.CIQ($AX416,"iq_offer_date"))</f>
        <v/>
      </c>
      <c r="AZ416" s="374" t="str">
        <f>IF($AX416="","",RANK(AY416,$AY$10:$AY$510)+COUNTIF($AY$10:AY416,AY416)-1)</f>
        <v/>
      </c>
      <c r="BE416" s="348">
        <f t="shared" si="27"/>
        <v>407</v>
      </c>
      <c r="BG416" s="376" t="str">
        <f>IF($BF416="","",_xll.ciqfunctions.udf.CIQ($BF416,"iq_security_level"))</f>
        <v/>
      </c>
      <c r="BH416" s="348" t="str">
        <f t="shared" si="28"/>
        <v/>
      </c>
      <c r="BJ416" s="348" t="str">
        <f t="shared" si="26"/>
        <v/>
      </c>
      <c r="BK416" s="377" t="str">
        <f>IF($BJ416="","",_xll.ciqfunctions.udf.CIQ($BJ416,"iq_bond_coupon")/100)</f>
        <v/>
      </c>
    </row>
    <row r="417" spans="51:63" hidden="1" outlineLevel="1">
      <c r="AY417" s="373" t="str">
        <f>IF($AX417="","",_xll.ciqfunctions.udf.CIQ($AX417,"iq_offer_date"))</f>
        <v/>
      </c>
      <c r="AZ417" s="374" t="str">
        <f>IF($AX417="","",RANK(AY417,$AY$10:$AY$510)+COUNTIF($AY$10:AY417,AY417)-1)</f>
        <v/>
      </c>
      <c r="BE417" s="348">
        <f t="shared" si="27"/>
        <v>408</v>
      </c>
      <c r="BG417" s="376" t="str">
        <f>IF($BF417="","",_xll.ciqfunctions.udf.CIQ($BF417,"iq_security_level"))</f>
        <v/>
      </c>
      <c r="BH417" s="348" t="str">
        <f t="shared" si="28"/>
        <v/>
      </c>
      <c r="BJ417" s="348" t="str">
        <f t="shared" si="26"/>
        <v/>
      </c>
      <c r="BK417" s="377" t="str">
        <f>IF($BJ417="","",_xll.ciqfunctions.udf.CIQ($BJ417,"iq_bond_coupon")/100)</f>
        <v/>
      </c>
    </row>
    <row r="418" spans="51:63" hidden="1" outlineLevel="1">
      <c r="AY418" s="373" t="str">
        <f>IF($AX418="","",_xll.ciqfunctions.udf.CIQ($AX418,"iq_offer_date"))</f>
        <v/>
      </c>
      <c r="AZ418" s="374" t="str">
        <f>IF($AX418="","",RANK(AY418,$AY$10:$AY$510)+COUNTIF($AY$10:AY418,AY418)-1)</f>
        <v/>
      </c>
      <c r="BE418" s="348">
        <f t="shared" si="27"/>
        <v>409</v>
      </c>
      <c r="BG418" s="376" t="str">
        <f>IF($BF418="","",_xll.ciqfunctions.udf.CIQ($BF418,"iq_security_level"))</f>
        <v/>
      </c>
      <c r="BH418" s="348" t="str">
        <f t="shared" si="28"/>
        <v/>
      </c>
      <c r="BJ418" s="348" t="str">
        <f t="shared" si="26"/>
        <v/>
      </c>
      <c r="BK418" s="377" t="str">
        <f>IF($BJ418="","",_xll.ciqfunctions.udf.CIQ($BJ418,"iq_bond_coupon")/100)</f>
        <v/>
      </c>
    </row>
    <row r="419" spans="51:63" hidden="1" outlineLevel="1">
      <c r="AY419" s="373" t="str">
        <f>IF($AX419="","",_xll.ciqfunctions.udf.CIQ($AX419,"iq_offer_date"))</f>
        <v/>
      </c>
      <c r="AZ419" s="374" t="str">
        <f>IF($AX419="","",RANK(AY419,$AY$10:$AY$510)+COUNTIF($AY$10:AY419,AY419)-1)</f>
        <v/>
      </c>
      <c r="BE419" s="348">
        <f t="shared" si="27"/>
        <v>410</v>
      </c>
      <c r="BG419" s="376" t="str">
        <f>IF($BF419="","",_xll.ciqfunctions.udf.CIQ($BF419,"iq_security_level"))</f>
        <v/>
      </c>
      <c r="BH419" s="348" t="str">
        <f t="shared" si="28"/>
        <v/>
      </c>
      <c r="BJ419" s="348" t="str">
        <f t="shared" si="26"/>
        <v/>
      </c>
      <c r="BK419" s="377" t="str">
        <f>IF($BJ419="","",_xll.ciqfunctions.udf.CIQ($BJ419,"iq_bond_coupon")/100)</f>
        <v/>
      </c>
    </row>
    <row r="420" spans="51:63" hidden="1" outlineLevel="1">
      <c r="AY420" s="373" t="str">
        <f>IF($AX420="","",_xll.ciqfunctions.udf.CIQ($AX420,"iq_offer_date"))</f>
        <v/>
      </c>
      <c r="AZ420" s="374" t="str">
        <f>IF($AX420="","",RANK(AY420,$AY$10:$AY$510)+COUNTIF($AY$10:AY420,AY420)-1)</f>
        <v/>
      </c>
      <c r="BE420" s="348">
        <f t="shared" si="27"/>
        <v>411</v>
      </c>
      <c r="BG420" s="376" t="str">
        <f>IF($BF420="","",_xll.ciqfunctions.udf.CIQ($BF420,"iq_security_level"))</f>
        <v/>
      </c>
      <c r="BH420" s="348" t="str">
        <f t="shared" si="28"/>
        <v/>
      </c>
      <c r="BJ420" s="348" t="str">
        <f t="shared" si="26"/>
        <v/>
      </c>
      <c r="BK420" s="377" t="str">
        <f>IF($BJ420="","",_xll.ciqfunctions.udf.CIQ($BJ420,"iq_bond_coupon")/100)</f>
        <v/>
      </c>
    </row>
    <row r="421" spans="51:63" hidden="1" outlineLevel="1">
      <c r="AY421" s="373" t="str">
        <f>IF($AX421="","",_xll.ciqfunctions.udf.CIQ($AX421,"iq_offer_date"))</f>
        <v/>
      </c>
      <c r="AZ421" s="374" t="str">
        <f>IF($AX421="","",RANK(AY421,$AY$10:$AY$510)+COUNTIF($AY$10:AY421,AY421)-1)</f>
        <v/>
      </c>
      <c r="BE421" s="348">
        <f t="shared" si="27"/>
        <v>412</v>
      </c>
      <c r="BG421" s="376" t="str">
        <f>IF($BF421="","",_xll.ciqfunctions.udf.CIQ($BF421,"iq_security_level"))</f>
        <v/>
      </c>
      <c r="BH421" s="348" t="str">
        <f t="shared" si="28"/>
        <v/>
      </c>
      <c r="BJ421" s="348" t="str">
        <f t="shared" si="26"/>
        <v/>
      </c>
      <c r="BK421" s="377" t="str">
        <f>IF($BJ421="","",_xll.ciqfunctions.udf.CIQ($BJ421,"iq_bond_coupon")/100)</f>
        <v/>
      </c>
    </row>
    <row r="422" spans="51:63" hidden="1" outlineLevel="1">
      <c r="AY422" s="373" t="str">
        <f>IF($AX422="","",_xll.ciqfunctions.udf.CIQ($AX422,"iq_offer_date"))</f>
        <v/>
      </c>
      <c r="AZ422" s="374" t="str">
        <f>IF($AX422="","",RANK(AY422,$AY$10:$AY$510)+COUNTIF($AY$10:AY422,AY422)-1)</f>
        <v/>
      </c>
      <c r="BE422" s="348">
        <f t="shared" si="27"/>
        <v>413</v>
      </c>
      <c r="BG422" s="376" t="str">
        <f>IF($BF422="","",_xll.ciqfunctions.udf.CIQ($BF422,"iq_security_level"))</f>
        <v/>
      </c>
      <c r="BH422" s="348" t="str">
        <f t="shared" si="28"/>
        <v/>
      </c>
      <c r="BJ422" s="348" t="str">
        <f t="shared" si="26"/>
        <v/>
      </c>
      <c r="BK422" s="377" t="str">
        <f>IF($BJ422="","",_xll.ciqfunctions.udf.CIQ($BJ422,"iq_bond_coupon")/100)</f>
        <v/>
      </c>
    </row>
    <row r="423" spans="51:63" hidden="1" outlineLevel="1">
      <c r="AY423" s="373" t="str">
        <f>IF($AX423="","",_xll.ciqfunctions.udf.CIQ($AX423,"iq_offer_date"))</f>
        <v/>
      </c>
      <c r="AZ423" s="374" t="str">
        <f>IF($AX423="","",RANK(AY423,$AY$10:$AY$510)+COUNTIF($AY$10:AY423,AY423)-1)</f>
        <v/>
      </c>
      <c r="BE423" s="348">
        <f t="shared" si="27"/>
        <v>414</v>
      </c>
      <c r="BG423" s="376" t="str">
        <f>IF($BF423="","",_xll.ciqfunctions.udf.CIQ($BF423,"iq_security_level"))</f>
        <v/>
      </c>
      <c r="BH423" s="348" t="str">
        <f t="shared" si="28"/>
        <v/>
      </c>
      <c r="BJ423" s="348" t="str">
        <f t="shared" si="26"/>
        <v/>
      </c>
      <c r="BK423" s="377" t="str">
        <f>IF($BJ423="","",_xll.ciqfunctions.udf.CIQ($BJ423,"iq_bond_coupon")/100)</f>
        <v/>
      </c>
    </row>
    <row r="424" spans="51:63" hidden="1" outlineLevel="1">
      <c r="AY424" s="373" t="str">
        <f>IF($AX424="","",_xll.ciqfunctions.udf.CIQ($AX424,"iq_offer_date"))</f>
        <v/>
      </c>
      <c r="AZ424" s="374" t="str">
        <f>IF($AX424="","",RANK(AY424,$AY$10:$AY$510)+COUNTIF($AY$10:AY424,AY424)-1)</f>
        <v/>
      </c>
      <c r="BE424" s="348">
        <f t="shared" si="27"/>
        <v>415</v>
      </c>
      <c r="BG424" s="376" t="str">
        <f>IF($BF424="","",_xll.ciqfunctions.udf.CIQ($BF424,"iq_security_level"))</f>
        <v/>
      </c>
      <c r="BH424" s="348" t="str">
        <f t="shared" si="28"/>
        <v/>
      </c>
      <c r="BJ424" s="348" t="str">
        <f t="shared" si="26"/>
        <v/>
      </c>
      <c r="BK424" s="377" t="str">
        <f>IF($BJ424="","",_xll.ciqfunctions.udf.CIQ($BJ424,"iq_bond_coupon")/100)</f>
        <v/>
      </c>
    </row>
    <row r="425" spans="51:63" hidden="1" outlineLevel="1">
      <c r="AY425" s="373" t="str">
        <f>IF($AX425="","",_xll.ciqfunctions.udf.CIQ($AX425,"iq_offer_date"))</f>
        <v/>
      </c>
      <c r="AZ425" s="374" t="str">
        <f>IF($AX425="","",RANK(AY425,$AY$10:$AY$510)+COUNTIF($AY$10:AY425,AY425)-1)</f>
        <v/>
      </c>
      <c r="BE425" s="348">
        <f t="shared" si="27"/>
        <v>416</v>
      </c>
      <c r="BG425" s="376" t="str">
        <f>IF($BF425="","",_xll.ciqfunctions.udf.CIQ($BF425,"iq_security_level"))</f>
        <v/>
      </c>
      <c r="BH425" s="348" t="str">
        <f t="shared" si="28"/>
        <v/>
      </c>
      <c r="BJ425" s="348" t="str">
        <f t="shared" si="26"/>
        <v/>
      </c>
      <c r="BK425" s="377" t="str">
        <f>IF($BJ425="","",_xll.ciqfunctions.udf.CIQ($BJ425,"iq_bond_coupon")/100)</f>
        <v/>
      </c>
    </row>
    <row r="426" spans="51:63" hidden="1" outlineLevel="1">
      <c r="AY426" s="373" t="str">
        <f>IF($AX426="","",_xll.ciqfunctions.udf.CIQ($AX426,"iq_offer_date"))</f>
        <v/>
      </c>
      <c r="AZ426" s="374" t="str">
        <f>IF($AX426="","",RANK(AY426,$AY$10:$AY$510)+COUNTIF($AY$10:AY426,AY426)-1)</f>
        <v/>
      </c>
      <c r="BE426" s="348">
        <f t="shared" si="27"/>
        <v>417</v>
      </c>
      <c r="BG426" s="376" t="str">
        <f>IF($BF426="","",_xll.ciqfunctions.udf.CIQ($BF426,"iq_security_level"))</f>
        <v/>
      </c>
      <c r="BH426" s="348" t="str">
        <f t="shared" si="28"/>
        <v/>
      </c>
      <c r="BJ426" s="348" t="str">
        <f t="shared" si="26"/>
        <v/>
      </c>
      <c r="BK426" s="377" t="str">
        <f>IF($BJ426="","",_xll.ciqfunctions.udf.CIQ($BJ426,"iq_bond_coupon")/100)</f>
        <v/>
      </c>
    </row>
    <row r="427" spans="51:63" hidden="1" outlineLevel="1">
      <c r="AY427" s="373" t="str">
        <f>IF($AX427="","",_xll.ciqfunctions.udf.CIQ($AX427,"iq_offer_date"))</f>
        <v/>
      </c>
      <c r="AZ427" s="374" t="str">
        <f>IF($AX427="","",RANK(AY427,$AY$10:$AY$510)+COUNTIF($AY$10:AY427,AY427)-1)</f>
        <v/>
      </c>
      <c r="BE427" s="348">
        <f t="shared" si="27"/>
        <v>418</v>
      </c>
      <c r="BG427" s="376" t="str">
        <f>IF($BF427="","",_xll.ciqfunctions.udf.CIQ($BF427,"iq_security_level"))</f>
        <v/>
      </c>
      <c r="BH427" s="348" t="str">
        <f t="shared" si="28"/>
        <v/>
      </c>
      <c r="BJ427" s="348" t="str">
        <f t="shared" si="26"/>
        <v/>
      </c>
      <c r="BK427" s="377" t="str">
        <f>IF($BJ427="","",_xll.ciqfunctions.udf.CIQ($BJ427,"iq_bond_coupon")/100)</f>
        <v/>
      </c>
    </row>
    <row r="428" spans="51:63" hidden="1" outlineLevel="1">
      <c r="AY428" s="373" t="str">
        <f>IF($AX428="","",_xll.ciqfunctions.udf.CIQ($AX428,"iq_offer_date"))</f>
        <v/>
      </c>
      <c r="AZ428" s="374" t="str">
        <f>IF($AX428="","",RANK(AY428,$AY$10:$AY$510)+COUNTIF($AY$10:AY428,AY428)-1)</f>
        <v/>
      </c>
      <c r="BE428" s="348">
        <f t="shared" si="27"/>
        <v>419</v>
      </c>
      <c r="BG428" s="376" t="str">
        <f>IF($BF428="","",_xll.ciqfunctions.udf.CIQ($BF428,"iq_security_level"))</f>
        <v/>
      </c>
      <c r="BH428" s="348" t="str">
        <f t="shared" si="28"/>
        <v/>
      </c>
      <c r="BJ428" s="348" t="str">
        <f t="shared" si="26"/>
        <v/>
      </c>
      <c r="BK428" s="377" t="str">
        <f>IF($BJ428="","",_xll.ciqfunctions.udf.CIQ($BJ428,"iq_bond_coupon")/100)</f>
        <v/>
      </c>
    </row>
    <row r="429" spans="51:63" hidden="1" outlineLevel="1">
      <c r="AY429" s="373" t="str">
        <f>IF($AX429="","",_xll.ciqfunctions.udf.CIQ($AX429,"iq_offer_date"))</f>
        <v/>
      </c>
      <c r="AZ429" s="374" t="str">
        <f>IF($AX429="","",RANK(AY429,$AY$10:$AY$510)+COUNTIF($AY$10:AY429,AY429)-1)</f>
        <v/>
      </c>
      <c r="BE429" s="348">
        <f t="shared" si="27"/>
        <v>420</v>
      </c>
      <c r="BG429" s="376" t="str">
        <f>IF($BF429="","",_xll.ciqfunctions.udf.CIQ($BF429,"iq_security_level"))</f>
        <v/>
      </c>
      <c r="BH429" s="348" t="str">
        <f t="shared" si="28"/>
        <v/>
      </c>
      <c r="BJ429" s="348" t="str">
        <f t="shared" si="26"/>
        <v/>
      </c>
      <c r="BK429" s="377" t="str">
        <f>IF($BJ429="","",_xll.ciqfunctions.udf.CIQ($BJ429,"iq_bond_coupon")/100)</f>
        <v/>
      </c>
    </row>
    <row r="430" spans="51:63" hidden="1" outlineLevel="1">
      <c r="AY430" s="373" t="str">
        <f>IF($AX430="","",_xll.ciqfunctions.udf.CIQ($AX430,"iq_offer_date"))</f>
        <v/>
      </c>
      <c r="AZ430" s="374" t="str">
        <f>IF($AX430="","",RANK(AY430,$AY$10:$AY$510)+COUNTIF($AY$10:AY430,AY430)-1)</f>
        <v/>
      </c>
      <c r="BE430" s="348">
        <f t="shared" si="27"/>
        <v>421</v>
      </c>
      <c r="BG430" s="376" t="str">
        <f>IF($BF430="","",_xll.ciqfunctions.udf.CIQ($BF430,"iq_security_level"))</f>
        <v/>
      </c>
      <c r="BH430" s="348" t="str">
        <f t="shared" si="28"/>
        <v/>
      </c>
      <c r="BJ430" s="348" t="str">
        <f t="shared" si="26"/>
        <v/>
      </c>
      <c r="BK430" s="377" t="str">
        <f>IF($BJ430="","",_xll.ciqfunctions.udf.CIQ($BJ430,"iq_bond_coupon")/100)</f>
        <v/>
      </c>
    </row>
    <row r="431" spans="51:63" hidden="1" outlineLevel="1">
      <c r="AY431" s="373" t="str">
        <f>IF($AX431="","",_xll.ciqfunctions.udf.CIQ($AX431,"iq_offer_date"))</f>
        <v/>
      </c>
      <c r="AZ431" s="374" t="str">
        <f>IF($AX431="","",RANK(AY431,$AY$10:$AY$510)+COUNTIF($AY$10:AY431,AY431)-1)</f>
        <v/>
      </c>
      <c r="BE431" s="348">
        <f t="shared" si="27"/>
        <v>422</v>
      </c>
      <c r="BG431" s="376" t="str">
        <f>IF($BF431="","",_xll.ciqfunctions.udf.CIQ($BF431,"iq_security_level"))</f>
        <v/>
      </c>
      <c r="BH431" s="348" t="str">
        <f t="shared" si="28"/>
        <v/>
      </c>
      <c r="BJ431" s="348" t="str">
        <f t="shared" si="26"/>
        <v/>
      </c>
      <c r="BK431" s="377" t="str">
        <f>IF($BJ431="","",_xll.ciqfunctions.udf.CIQ($BJ431,"iq_bond_coupon")/100)</f>
        <v/>
      </c>
    </row>
    <row r="432" spans="51:63" hidden="1" outlineLevel="1">
      <c r="AY432" s="373" t="str">
        <f>IF($AX432="","",_xll.ciqfunctions.udf.CIQ($AX432,"iq_offer_date"))</f>
        <v/>
      </c>
      <c r="AZ432" s="374" t="str">
        <f>IF($AX432="","",RANK(AY432,$AY$10:$AY$510)+COUNTIF($AY$10:AY432,AY432)-1)</f>
        <v/>
      </c>
      <c r="BE432" s="348">
        <f t="shared" si="27"/>
        <v>423</v>
      </c>
      <c r="BG432" s="376" t="str">
        <f>IF($BF432="","",_xll.ciqfunctions.udf.CIQ($BF432,"iq_security_level"))</f>
        <v/>
      </c>
      <c r="BH432" s="348" t="str">
        <f t="shared" si="28"/>
        <v/>
      </c>
      <c r="BJ432" s="348" t="str">
        <f t="shared" si="26"/>
        <v/>
      </c>
      <c r="BK432" s="377" t="str">
        <f>IF($BJ432="","",_xll.ciqfunctions.udf.CIQ($BJ432,"iq_bond_coupon")/100)</f>
        <v/>
      </c>
    </row>
    <row r="433" spans="51:63" hidden="1" outlineLevel="1">
      <c r="AY433" s="373" t="str">
        <f>IF($AX433="","",_xll.ciqfunctions.udf.CIQ($AX433,"iq_offer_date"))</f>
        <v/>
      </c>
      <c r="AZ433" s="374" t="str">
        <f>IF($AX433="","",RANK(AY433,$AY$10:$AY$510)+COUNTIF($AY$10:AY433,AY433)-1)</f>
        <v/>
      </c>
      <c r="BE433" s="348">
        <f t="shared" si="27"/>
        <v>424</v>
      </c>
      <c r="BG433" s="376" t="str">
        <f>IF($BF433="","",_xll.ciqfunctions.udf.CIQ($BF433,"iq_security_level"))</f>
        <v/>
      </c>
      <c r="BH433" s="348" t="str">
        <f t="shared" si="28"/>
        <v/>
      </c>
      <c r="BJ433" s="348" t="str">
        <f t="shared" si="26"/>
        <v/>
      </c>
      <c r="BK433" s="377" t="str">
        <f>IF($BJ433="","",_xll.ciqfunctions.udf.CIQ($BJ433,"iq_bond_coupon")/100)</f>
        <v/>
      </c>
    </row>
    <row r="434" spans="51:63" hidden="1" outlineLevel="1">
      <c r="AY434" s="373" t="str">
        <f>IF($AX434="","",_xll.ciqfunctions.udf.CIQ($AX434,"iq_offer_date"))</f>
        <v/>
      </c>
      <c r="AZ434" s="374" t="str">
        <f>IF($AX434="","",RANK(AY434,$AY$10:$AY$510)+COUNTIF($AY$10:AY434,AY434)-1)</f>
        <v/>
      </c>
      <c r="BE434" s="348">
        <f t="shared" si="27"/>
        <v>425</v>
      </c>
      <c r="BG434" s="376" t="str">
        <f>IF($BF434="","",_xll.ciqfunctions.udf.CIQ($BF434,"iq_security_level"))</f>
        <v/>
      </c>
      <c r="BH434" s="348" t="str">
        <f t="shared" si="28"/>
        <v/>
      </c>
      <c r="BJ434" s="348" t="str">
        <f t="shared" si="26"/>
        <v/>
      </c>
      <c r="BK434" s="377" t="str">
        <f>IF($BJ434="","",_xll.ciqfunctions.udf.CIQ($BJ434,"iq_bond_coupon")/100)</f>
        <v/>
      </c>
    </row>
    <row r="435" spans="51:63" hidden="1" outlineLevel="1">
      <c r="AY435" s="373" t="str">
        <f>IF($AX435="","",_xll.ciqfunctions.udf.CIQ($AX435,"iq_offer_date"))</f>
        <v/>
      </c>
      <c r="AZ435" s="374" t="str">
        <f>IF($AX435="","",RANK(AY435,$AY$10:$AY$510)+COUNTIF($AY$10:AY435,AY435)-1)</f>
        <v/>
      </c>
      <c r="BE435" s="348">
        <f t="shared" si="27"/>
        <v>426</v>
      </c>
      <c r="BG435" s="376" t="str">
        <f>IF($BF435="","",_xll.ciqfunctions.udf.CIQ($BF435,"iq_security_level"))</f>
        <v/>
      </c>
      <c r="BH435" s="348" t="str">
        <f t="shared" si="28"/>
        <v/>
      </c>
      <c r="BJ435" s="348" t="str">
        <f t="shared" si="26"/>
        <v/>
      </c>
      <c r="BK435" s="377" t="str">
        <f>IF($BJ435="","",_xll.ciqfunctions.udf.CIQ($BJ435,"iq_bond_coupon")/100)</f>
        <v/>
      </c>
    </row>
    <row r="436" spans="51:63" hidden="1" outlineLevel="1">
      <c r="AY436" s="373" t="str">
        <f>IF($AX436="","",_xll.ciqfunctions.udf.CIQ($AX436,"iq_offer_date"))</f>
        <v/>
      </c>
      <c r="AZ436" s="374" t="str">
        <f>IF($AX436="","",RANK(AY436,$AY$10:$AY$510)+COUNTIF($AY$10:AY436,AY436)-1)</f>
        <v/>
      </c>
      <c r="BE436" s="348">
        <f t="shared" si="27"/>
        <v>427</v>
      </c>
      <c r="BG436" s="376" t="str">
        <f>IF($BF436="","",_xll.ciqfunctions.udf.CIQ($BF436,"iq_security_level"))</f>
        <v/>
      </c>
      <c r="BH436" s="348" t="str">
        <f t="shared" si="28"/>
        <v/>
      </c>
      <c r="BJ436" s="348" t="str">
        <f t="shared" si="26"/>
        <v/>
      </c>
      <c r="BK436" s="377" t="str">
        <f>IF($BJ436="","",_xll.ciqfunctions.udf.CIQ($BJ436,"iq_bond_coupon")/100)</f>
        <v/>
      </c>
    </row>
    <row r="437" spans="51:63" hidden="1" outlineLevel="1">
      <c r="AY437" s="373" t="str">
        <f>IF($AX437="","",_xll.ciqfunctions.udf.CIQ($AX437,"iq_offer_date"))</f>
        <v/>
      </c>
      <c r="AZ437" s="374" t="str">
        <f>IF($AX437="","",RANK(AY437,$AY$10:$AY$510)+COUNTIF($AY$10:AY437,AY437)-1)</f>
        <v/>
      </c>
      <c r="BE437" s="348">
        <f t="shared" si="27"/>
        <v>428</v>
      </c>
      <c r="BG437" s="376" t="str">
        <f>IF($BF437="","",_xll.ciqfunctions.udf.CIQ($BF437,"iq_security_level"))</f>
        <v/>
      </c>
      <c r="BH437" s="348" t="str">
        <f t="shared" si="28"/>
        <v/>
      </c>
      <c r="BJ437" s="348" t="str">
        <f t="shared" ref="BJ437:BJ500" si="29">IF($BF436="","",IF(ISERROR(INDEX($BF$10:$BF$509,MATCH(BE436,$BH$10:$BH$509,0))),"",INDEX($BF$10:$BF$509,MATCH(BE436,$BH$10:$BH$509,0))))</f>
        <v/>
      </c>
      <c r="BK437" s="377" t="str">
        <f>IF($BJ437="","",_xll.ciqfunctions.udf.CIQ($BJ437,"iq_bond_coupon")/100)</f>
        <v/>
      </c>
    </row>
    <row r="438" spans="51:63" hidden="1" outlineLevel="1">
      <c r="AY438" s="373" t="str">
        <f>IF($AX438="","",_xll.ciqfunctions.udf.CIQ($AX438,"iq_offer_date"))</f>
        <v/>
      </c>
      <c r="AZ438" s="374" t="str">
        <f>IF($AX438="","",RANK(AY438,$AY$10:$AY$510)+COUNTIF($AY$10:AY438,AY438)-1)</f>
        <v/>
      </c>
      <c r="BE438" s="348">
        <f t="shared" si="27"/>
        <v>429</v>
      </c>
      <c r="BG438" s="376" t="str">
        <f>IF($BF438="","",_xll.ciqfunctions.udf.CIQ($BF438,"iq_security_level"))</f>
        <v/>
      </c>
      <c r="BH438" s="348" t="str">
        <f t="shared" si="28"/>
        <v/>
      </c>
      <c r="BJ438" s="348" t="str">
        <f t="shared" si="29"/>
        <v/>
      </c>
      <c r="BK438" s="377" t="str">
        <f>IF($BJ438="","",_xll.ciqfunctions.udf.CIQ($BJ438,"iq_bond_coupon")/100)</f>
        <v/>
      </c>
    </row>
    <row r="439" spans="51:63" hidden="1" outlineLevel="1">
      <c r="AY439" s="373" t="str">
        <f>IF($AX439="","",_xll.ciqfunctions.udf.CIQ($AX439,"iq_offer_date"))</f>
        <v/>
      </c>
      <c r="AZ439" s="374" t="str">
        <f>IF($AX439="","",RANK(AY439,$AY$10:$AY$510)+COUNTIF($AY$10:AY439,AY439)-1)</f>
        <v/>
      </c>
      <c r="BE439" s="348">
        <f t="shared" si="27"/>
        <v>430</v>
      </c>
      <c r="BG439" s="376" t="str">
        <f>IF($BF439="","",_xll.ciqfunctions.udf.CIQ($BF439,"iq_security_level"))</f>
        <v/>
      </c>
      <c r="BH439" s="348" t="str">
        <f t="shared" si="28"/>
        <v/>
      </c>
      <c r="BJ439" s="348" t="str">
        <f t="shared" si="29"/>
        <v/>
      </c>
      <c r="BK439" s="377" t="str">
        <f>IF($BJ439="","",_xll.ciqfunctions.udf.CIQ($BJ439,"iq_bond_coupon")/100)</f>
        <v/>
      </c>
    </row>
    <row r="440" spans="51:63" hidden="1" outlineLevel="1">
      <c r="AY440" s="373" t="str">
        <f>IF($AX440="","",_xll.ciqfunctions.udf.CIQ($AX440,"iq_offer_date"))</f>
        <v/>
      </c>
      <c r="AZ440" s="374" t="str">
        <f>IF($AX440="","",RANK(AY440,$AY$10:$AY$510)+COUNTIF($AY$10:AY440,AY440)-1)</f>
        <v/>
      </c>
      <c r="BE440" s="348">
        <f t="shared" si="27"/>
        <v>431</v>
      </c>
      <c r="BG440" s="376" t="str">
        <f>IF($BF440="","",_xll.ciqfunctions.udf.CIQ($BF440,"iq_security_level"))</f>
        <v/>
      </c>
      <c r="BH440" s="348" t="str">
        <f t="shared" si="28"/>
        <v/>
      </c>
      <c r="BJ440" s="348" t="str">
        <f t="shared" si="29"/>
        <v/>
      </c>
      <c r="BK440" s="377" t="str">
        <f>IF($BJ440="","",_xll.ciqfunctions.udf.CIQ($BJ440,"iq_bond_coupon")/100)</f>
        <v/>
      </c>
    </row>
    <row r="441" spans="51:63" hidden="1" outlineLevel="1">
      <c r="AY441" s="373" t="str">
        <f>IF($AX441="","",_xll.ciqfunctions.udf.CIQ($AX441,"iq_offer_date"))</f>
        <v/>
      </c>
      <c r="AZ441" s="374" t="str">
        <f>IF($AX441="","",RANK(AY441,$AY$10:$AY$510)+COUNTIF($AY$10:AY441,AY441)-1)</f>
        <v/>
      </c>
      <c r="BE441" s="348">
        <f t="shared" si="27"/>
        <v>432</v>
      </c>
      <c r="BG441" s="376" t="str">
        <f>IF($BF441="","",_xll.ciqfunctions.udf.CIQ($BF441,"iq_security_level"))</f>
        <v/>
      </c>
      <c r="BH441" s="348" t="str">
        <f t="shared" si="28"/>
        <v/>
      </c>
      <c r="BJ441" s="348" t="str">
        <f t="shared" si="29"/>
        <v/>
      </c>
      <c r="BK441" s="377" t="str">
        <f>IF($BJ441="","",_xll.ciqfunctions.udf.CIQ($BJ441,"iq_bond_coupon")/100)</f>
        <v/>
      </c>
    </row>
    <row r="442" spans="51:63" hidden="1" outlineLevel="1">
      <c r="AY442" s="373" t="str">
        <f>IF($AX442="","",_xll.ciqfunctions.udf.CIQ($AX442,"iq_offer_date"))</f>
        <v/>
      </c>
      <c r="AZ442" s="374" t="str">
        <f>IF($AX442="","",RANK(AY442,$AY$10:$AY$510)+COUNTIF($AY$10:AY442,AY442)-1)</f>
        <v/>
      </c>
      <c r="BE442" s="348">
        <f t="shared" si="27"/>
        <v>433</v>
      </c>
      <c r="BG442" s="376" t="str">
        <f>IF($BF442="","",_xll.ciqfunctions.udf.CIQ($BF442,"iq_security_level"))</f>
        <v/>
      </c>
      <c r="BH442" s="348" t="str">
        <f t="shared" si="28"/>
        <v/>
      </c>
      <c r="BJ442" s="348" t="str">
        <f t="shared" si="29"/>
        <v/>
      </c>
      <c r="BK442" s="377" t="str">
        <f>IF($BJ442="","",_xll.ciqfunctions.udf.CIQ($BJ442,"iq_bond_coupon")/100)</f>
        <v/>
      </c>
    </row>
    <row r="443" spans="51:63" hidden="1" outlineLevel="1">
      <c r="AY443" s="373" t="str">
        <f>IF($AX443="","",_xll.ciqfunctions.udf.CIQ($AX443,"iq_offer_date"))</f>
        <v/>
      </c>
      <c r="AZ443" s="374" t="str">
        <f>IF($AX443="","",RANK(AY443,$AY$10:$AY$510)+COUNTIF($AY$10:AY443,AY443)-1)</f>
        <v/>
      </c>
      <c r="BE443" s="348">
        <f t="shared" si="27"/>
        <v>434</v>
      </c>
      <c r="BG443" s="376" t="str">
        <f>IF($BF443="","",_xll.ciqfunctions.udf.CIQ($BF443,"iq_security_level"))</f>
        <v/>
      </c>
      <c r="BH443" s="348" t="str">
        <f t="shared" si="28"/>
        <v/>
      </c>
      <c r="BJ443" s="348" t="str">
        <f t="shared" si="29"/>
        <v/>
      </c>
      <c r="BK443" s="377" t="str">
        <f>IF($BJ443="","",_xll.ciqfunctions.udf.CIQ($BJ443,"iq_bond_coupon")/100)</f>
        <v/>
      </c>
    </row>
    <row r="444" spans="51:63" hidden="1" outlineLevel="1">
      <c r="AY444" s="373" t="str">
        <f>IF($AX444="","",_xll.ciqfunctions.udf.CIQ($AX444,"iq_offer_date"))</f>
        <v/>
      </c>
      <c r="AZ444" s="374" t="str">
        <f>IF($AX444="","",RANK(AY444,$AY$10:$AY$510)+COUNTIF($AY$10:AY444,AY444)-1)</f>
        <v/>
      </c>
      <c r="BE444" s="348">
        <f t="shared" si="27"/>
        <v>435</v>
      </c>
      <c r="BG444" s="376" t="str">
        <f>IF($BF444="","",_xll.ciqfunctions.udf.CIQ($BF444,"iq_security_level"))</f>
        <v/>
      </c>
      <c r="BH444" s="348" t="str">
        <f t="shared" si="28"/>
        <v/>
      </c>
      <c r="BJ444" s="348" t="str">
        <f t="shared" si="29"/>
        <v/>
      </c>
      <c r="BK444" s="377" t="str">
        <f>IF($BJ444="","",_xll.ciqfunctions.udf.CIQ($BJ444,"iq_bond_coupon")/100)</f>
        <v/>
      </c>
    </row>
    <row r="445" spans="51:63" hidden="1" outlineLevel="1">
      <c r="AY445" s="373" t="str">
        <f>IF($AX445="","",_xll.ciqfunctions.udf.CIQ($AX445,"iq_offer_date"))</f>
        <v/>
      </c>
      <c r="AZ445" s="374" t="str">
        <f>IF($AX445="","",RANK(AY445,$AY$10:$AY$510)+COUNTIF($AY$10:AY445,AY445)-1)</f>
        <v/>
      </c>
      <c r="BE445" s="348">
        <f t="shared" si="27"/>
        <v>436</v>
      </c>
      <c r="BG445" s="376" t="str">
        <f>IF($BF445="","",_xll.ciqfunctions.udf.CIQ($BF445,"iq_security_level"))</f>
        <v/>
      </c>
      <c r="BH445" s="348" t="str">
        <f t="shared" si="28"/>
        <v/>
      </c>
      <c r="BJ445" s="348" t="str">
        <f t="shared" si="29"/>
        <v/>
      </c>
      <c r="BK445" s="377" t="str">
        <f>IF($BJ445="","",_xll.ciqfunctions.udf.CIQ($BJ445,"iq_bond_coupon")/100)</f>
        <v/>
      </c>
    </row>
    <row r="446" spans="51:63" hidden="1" outlineLevel="1">
      <c r="AY446" s="373" t="str">
        <f>IF($AX446="","",_xll.ciqfunctions.udf.CIQ($AX446,"iq_offer_date"))</f>
        <v/>
      </c>
      <c r="AZ446" s="374" t="str">
        <f>IF($AX446="","",RANK(AY446,$AY$10:$AY$510)+COUNTIF($AY$10:AY446,AY446)-1)</f>
        <v/>
      </c>
      <c r="BE446" s="348">
        <f t="shared" si="27"/>
        <v>437</v>
      </c>
      <c r="BG446" s="376" t="str">
        <f>IF($BF446="","",_xll.ciqfunctions.udf.CIQ($BF446,"iq_security_level"))</f>
        <v/>
      </c>
      <c r="BH446" s="348" t="str">
        <f t="shared" si="28"/>
        <v/>
      </c>
      <c r="BJ446" s="348" t="str">
        <f t="shared" si="29"/>
        <v/>
      </c>
      <c r="BK446" s="377" t="str">
        <f>IF($BJ446="","",_xll.ciqfunctions.udf.CIQ($BJ446,"iq_bond_coupon")/100)</f>
        <v/>
      </c>
    </row>
    <row r="447" spans="51:63" hidden="1" outlineLevel="1">
      <c r="AY447" s="373" t="str">
        <f>IF($AX447="","",_xll.ciqfunctions.udf.CIQ($AX447,"iq_offer_date"))</f>
        <v/>
      </c>
      <c r="AZ447" s="374" t="str">
        <f>IF($AX447="","",RANK(AY447,$AY$10:$AY$510)+COUNTIF($AY$10:AY447,AY447)-1)</f>
        <v/>
      </c>
      <c r="BE447" s="348">
        <f t="shared" si="27"/>
        <v>438</v>
      </c>
      <c r="BG447" s="376" t="str">
        <f>IF($BF447="","",_xll.ciqfunctions.udf.CIQ($BF447,"iq_security_level"))</f>
        <v/>
      </c>
      <c r="BH447" s="348" t="str">
        <f t="shared" si="28"/>
        <v/>
      </c>
      <c r="BJ447" s="348" t="str">
        <f t="shared" si="29"/>
        <v/>
      </c>
      <c r="BK447" s="377" t="str">
        <f>IF($BJ447="","",_xll.ciqfunctions.udf.CIQ($BJ447,"iq_bond_coupon")/100)</f>
        <v/>
      </c>
    </row>
    <row r="448" spans="51:63" hidden="1" outlineLevel="1">
      <c r="AY448" s="373" t="str">
        <f>IF($AX448="","",_xll.ciqfunctions.udf.CIQ($AX448,"iq_offer_date"))</f>
        <v/>
      </c>
      <c r="AZ448" s="374" t="str">
        <f>IF($AX448="","",RANK(AY448,$AY$10:$AY$510)+COUNTIF($AY$10:AY448,AY448)-1)</f>
        <v/>
      </c>
      <c r="BE448" s="348">
        <f t="shared" si="27"/>
        <v>439</v>
      </c>
      <c r="BG448" s="376" t="str">
        <f>IF($BF448="","",_xll.ciqfunctions.udf.CIQ($BF448,"iq_security_level"))</f>
        <v/>
      </c>
      <c r="BH448" s="348" t="str">
        <f t="shared" si="28"/>
        <v/>
      </c>
      <c r="BJ448" s="348" t="str">
        <f t="shared" si="29"/>
        <v/>
      </c>
      <c r="BK448" s="377" t="str">
        <f>IF($BJ448="","",_xll.ciqfunctions.udf.CIQ($BJ448,"iq_bond_coupon")/100)</f>
        <v/>
      </c>
    </row>
    <row r="449" spans="51:63" hidden="1" outlineLevel="1">
      <c r="AY449" s="373" t="str">
        <f>IF($AX449="","",_xll.ciqfunctions.udf.CIQ($AX449,"iq_offer_date"))</f>
        <v/>
      </c>
      <c r="AZ449" s="374" t="str">
        <f>IF($AX449="","",RANK(AY449,$AY$10:$AY$510)+COUNTIF($AY$10:AY449,AY449)-1)</f>
        <v/>
      </c>
      <c r="BE449" s="348">
        <f t="shared" si="27"/>
        <v>440</v>
      </c>
      <c r="BG449" s="376" t="str">
        <f>IF($BF449="","",_xll.ciqfunctions.udf.CIQ($BF449,"iq_security_level"))</f>
        <v/>
      </c>
      <c r="BH449" s="348" t="str">
        <f t="shared" si="28"/>
        <v/>
      </c>
      <c r="BJ449" s="348" t="str">
        <f t="shared" si="29"/>
        <v/>
      </c>
      <c r="BK449" s="377" t="str">
        <f>IF($BJ449="","",_xll.ciqfunctions.udf.CIQ($BJ449,"iq_bond_coupon")/100)</f>
        <v/>
      </c>
    </row>
    <row r="450" spans="51:63" hidden="1" outlineLevel="1">
      <c r="AY450" s="373" t="str">
        <f>IF($AX450="","",_xll.ciqfunctions.udf.CIQ($AX450,"iq_offer_date"))</f>
        <v/>
      </c>
      <c r="AZ450" s="374" t="str">
        <f>IF($AX450="","",RANK(AY450,$AY$10:$AY$510)+COUNTIF($AY$10:AY450,AY450)-1)</f>
        <v/>
      </c>
      <c r="BE450" s="348">
        <f t="shared" si="27"/>
        <v>441</v>
      </c>
      <c r="BG450" s="376" t="str">
        <f>IF($BF450="","",_xll.ciqfunctions.udf.CIQ($BF450,"iq_security_level"))</f>
        <v/>
      </c>
      <c r="BH450" s="348" t="str">
        <f t="shared" si="28"/>
        <v/>
      </c>
      <c r="BJ450" s="348" t="str">
        <f t="shared" si="29"/>
        <v/>
      </c>
      <c r="BK450" s="377" t="str">
        <f>IF($BJ450="","",_xll.ciqfunctions.udf.CIQ($BJ450,"iq_bond_coupon")/100)</f>
        <v/>
      </c>
    </row>
    <row r="451" spans="51:63" hidden="1" outlineLevel="1">
      <c r="AY451" s="373" t="str">
        <f>IF($AX451="","",_xll.ciqfunctions.udf.CIQ($AX451,"iq_offer_date"))</f>
        <v/>
      </c>
      <c r="AZ451" s="374" t="str">
        <f>IF($AX451="","",RANK(AY451,$AY$10:$AY$510)+COUNTIF($AY$10:AY451,AY451)-1)</f>
        <v/>
      </c>
      <c r="BE451" s="348">
        <f t="shared" si="27"/>
        <v>442</v>
      </c>
      <c r="BG451" s="376" t="str">
        <f>IF($BF451="","",_xll.ciqfunctions.udf.CIQ($BF451,"iq_security_level"))</f>
        <v/>
      </c>
      <c r="BH451" s="348" t="str">
        <f t="shared" si="28"/>
        <v/>
      </c>
      <c r="BJ451" s="348" t="str">
        <f t="shared" si="29"/>
        <v/>
      </c>
      <c r="BK451" s="377" t="str">
        <f>IF($BJ451="","",_xll.ciqfunctions.udf.CIQ($BJ451,"iq_bond_coupon")/100)</f>
        <v/>
      </c>
    </row>
    <row r="452" spans="51:63" hidden="1" outlineLevel="1">
      <c r="AY452" s="373" t="str">
        <f>IF($AX452="","",_xll.ciqfunctions.udf.CIQ($AX452,"iq_offer_date"))</f>
        <v/>
      </c>
      <c r="AZ452" s="374" t="str">
        <f>IF($AX452="","",RANK(AY452,$AY$10:$AY$510)+COUNTIF($AY$10:AY452,AY452)-1)</f>
        <v/>
      </c>
      <c r="BE452" s="348">
        <f t="shared" si="27"/>
        <v>443</v>
      </c>
      <c r="BG452" s="376" t="str">
        <f>IF($BF452="","",_xll.ciqfunctions.udf.CIQ($BF452,"iq_security_level"))</f>
        <v/>
      </c>
      <c r="BH452" s="348" t="str">
        <f t="shared" si="28"/>
        <v/>
      </c>
      <c r="BJ452" s="348" t="str">
        <f t="shared" si="29"/>
        <v/>
      </c>
      <c r="BK452" s="377" t="str">
        <f>IF($BJ452="","",_xll.ciqfunctions.udf.CIQ($BJ452,"iq_bond_coupon")/100)</f>
        <v/>
      </c>
    </row>
    <row r="453" spans="51:63" hidden="1" outlineLevel="1">
      <c r="AY453" s="373" t="str">
        <f>IF($AX453="","",_xll.ciqfunctions.udf.CIQ($AX453,"iq_offer_date"))</f>
        <v/>
      </c>
      <c r="AZ453" s="374" t="str">
        <f>IF($AX453="","",RANK(AY453,$AY$10:$AY$510)+COUNTIF($AY$10:AY453,AY453)-1)</f>
        <v/>
      </c>
      <c r="BE453" s="348">
        <f t="shared" si="27"/>
        <v>444</v>
      </c>
      <c r="BG453" s="376" t="str">
        <f>IF($BF453="","",_xll.ciqfunctions.udf.CIQ($BF453,"iq_security_level"))</f>
        <v/>
      </c>
      <c r="BH453" s="348" t="str">
        <f t="shared" si="28"/>
        <v/>
      </c>
      <c r="BJ453" s="348" t="str">
        <f t="shared" si="29"/>
        <v/>
      </c>
      <c r="BK453" s="377" t="str">
        <f>IF($BJ453="","",_xll.ciqfunctions.udf.CIQ($BJ453,"iq_bond_coupon")/100)</f>
        <v/>
      </c>
    </row>
    <row r="454" spans="51:63" hidden="1" outlineLevel="1">
      <c r="AY454" s="373" t="str">
        <f>IF($AX454="","",_xll.ciqfunctions.udf.CIQ($AX454,"iq_offer_date"))</f>
        <v/>
      </c>
      <c r="AZ454" s="374" t="str">
        <f>IF($AX454="","",RANK(AY454,$AY$10:$AY$510)+COUNTIF($AY$10:AY454,AY454)-1)</f>
        <v/>
      </c>
      <c r="BE454" s="348">
        <f t="shared" si="27"/>
        <v>445</v>
      </c>
      <c r="BG454" s="376" t="str">
        <f>IF($BF454="","",_xll.ciqfunctions.udf.CIQ($BF454,"iq_security_level"))</f>
        <v/>
      </c>
      <c r="BH454" s="348" t="str">
        <f t="shared" si="28"/>
        <v/>
      </c>
      <c r="BJ454" s="348" t="str">
        <f t="shared" si="29"/>
        <v/>
      </c>
      <c r="BK454" s="377" t="str">
        <f>IF($BJ454="","",_xll.ciqfunctions.udf.CIQ($BJ454,"iq_bond_coupon")/100)</f>
        <v/>
      </c>
    </row>
    <row r="455" spans="51:63" hidden="1" outlineLevel="1">
      <c r="AY455" s="373" t="str">
        <f>IF($AX455="","",_xll.ciqfunctions.udf.CIQ($AX455,"iq_offer_date"))</f>
        <v/>
      </c>
      <c r="AZ455" s="374" t="str">
        <f>IF($AX455="","",RANK(AY455,$AY$10:$AY$510)+COUNTIF($AY$10:AY455,AY455)-1)</f>
        <v/>
      </c>
      <c r="BE455" s="348">
        <f t="shared" si="27"/>
        <v>446</v>
      </c>
      <c r="BG455" s="376" t="str">
        <f>IF($BF455="","",_xll.ciqfunctions.udf.CIQ($BF455,"iq_security_level"))</f>
        <v/>
      </c>
      <c r="BH455" s="348" t="str">
        <f t="shared" si="28"/>
        <v/>
      </c>
      <c r="BJ455" s="348" t="str">
        <f t="shared" si="29"/>
        <v/>
      </c>
      <c r="BK455" s="377" t="str">
        <f>IF($BJ455="","",_xll.ciqfunctions.udf.CIQ($BJ455,"iq_bond_coupon")/100)</f>
        <v/>
      </c>
    </row>
    <row r="456" spans="51:63" hidden="1" outlineLevel="1">
      <c r="AY456" s="373" t="str">
        <f>IF($AX456="","",_xll.ciqfunctions.udf.CIQ($AX456,"iq_offer_date"))</f>
        <v/>
      </c>
      <c r="AZ456" s="374" t="str">
        <f>IF($AX456="","",RANK(AY456,$AY$10:$AY$510)+COUNTIF($AY$10:AY456,AY456)-1)</f>
        <v/>
      </c>
      <c r="BE456" s="348">
        <f t="shared" si="27"/>
        <v>447</v>
      </c>
      <c r="BG456" s="376" t="str">
        <f>IF($BF456="","",_xll.ciqfunctions.udf.CIQ($BF456,"iq_security_level"))</f>
        <v/>
      </c>
      <c r="BH456" s="348" t="str">
        <f t="shared" si="28"/>
        <v/>
      </c>
      <c r="BJ456" s="348" t="str">
        <f t="shared" si="29"/>
        <v/>
      </c>
      <c r="BK456" s="377" t="str">
        <f>IF($BJ456="","",_xll.ciqfunctions.udf.CIQ($BJ456,"iq_bond_coupon")/100)</f>
        <v/>
      </c>
    </row>
    <row r="457" spans="51:63" hidden="1" outlineLevel="1">
      <c r="AY457" s="373" t="str">
        <f>IF($AX457="","",_xll.ciqfunctions.udf.CIQ($AX457,"iq_offer_date"))</f>
        <v/>
      </c>
      <c r="AZ457" s="374" t="str">
        <f>IF($AX457="","",RANK(AY457,$AY$10:$AY$510)+COUNTIF($AY$10:AY457,AY457)-1)</f>
        <v/>
      </c>
      <c r="BE457" s="348">
        <f t="shared" si="27"/>
        <v>448</v>
      </c>
      <c r="BG457" s="376" t="str">
        <f>IF($BF457="","",_xll.ciqfunctions.udf.CIQ($BF457,"iq_security_level"))</f>
        <v/>
      </c>
      <c r="BH457" s="348" t="str">
        <f t="shared" si="28"/>
        <v/>
      </c>
      <c r="BJ457" s="348" t="str">
        <f t="shared" si="29"/>
        <v/>
      </c>
      <c r="BK457" s="377" t="str">
        <f>IF($BJ457="","",_xll.ciqfunctions.udf.CIQ($BJ457,"iq_bond_coupon")/100)</f>
        <v/>
      </c>
    </row>
    <row r="458" spans="51:63" hidden="1" outlineLevel="1">
      <c r="AY458" s="373" t="str">
        <f>IF($AX458="","",_xll.ciqfunctions.udf.CIQ($AX458,"iq_offer_date"))</f>
        <v/>
      </c>
      <c r="AZ458" s="374" t="str">
        <f>IF($AX458="","",RANK(AY458,$AY$10:$AY$510)+COUNTIF($AY$10:AY458,AY458)-1)</f>
        <v/>
      </c>
      <c r="BE458" s="348">
        <f t="shared" si="27"/>
        <v>449</v>
      </c>
      <c r="BG458" s="376" t="str">
        <f>IF($BF458="","",_xll.ciqfunctions.udf.CIQ($BF458,"iq_security_level"))</f>
        <v/>
      </c>
      <c r="BH458" s="348" t="str">
        <f t="shared" si="28"/>
        <v/>
      </c>
      <c r="BJ458" s="348" t="str">
        <f t="shared" si="29"/>
        <v/>
      </c>
      <c r="BK458" s="377" t="str">
        <f>IF($BJ458="","",_xll.ciqfunctions.udf.CIQ($BJ458,"iq_bond_coupon")/100)</f>
        <v/>
      </c>
    </row>
    <row r="459" spans="51:63" hidden="1" outlineLevel="1">
      <c r="AY459" s="373" t="str">
        <f>IF($AX459="","",_xll.ciqfunctions.udf.CIQ($AX459,"iq_offer_date"))</f>
        <v/>
      </c>
      <c r="AZ459" s="374" t="str">
        <f>IF($AX459="","",RANK(AY459,$AY$10:$AY$510)+COUNTIF($AY$10:AY459,AY459)-1)</f>
        <v/>
      </c>
      <c r="BE459" s="348">
        <f t="shared" si="27"/>
        <v>450</v>
      </c>
      <c r="BG459" s="376" t="str">
        <f>IF($BF459="","",_xll.ciqfunctions.udf.CIQ($BF459,"iq_security_level"))</f>
        <v/>
      </c>
      <c r="BH459" s="348" t="str">
        <f t="shared" si="28"/>
        <v/>
      </c>
      <c r="BJ459" s="348" t="str">
        <f t="shared" si="29"/>
        <v/>
      </c>
      <c r="BK459" s="377" t="str">
        <f>IF($BJ459="","",_xll.ciqfunctions.udf.CIQ($BJ459,"iq_bond_coupon")/100)</f>
        <v/>
      </c>
    </row>
    <row r="460" spans="51:63" hidden="1" outlineLevel="1">
      <c r="AY460" s="373" t="str">
        <f>IF($AX460="","",_xll.ciqfunctions.udf.CIQ($AX460,"iq_offer_date"))</f>
        <v/>
      </c>
      <c r="AZ460" s="374" t="str">
        <f>IF($AX460="","",RANK(AY460,$AY$10:$AY$510)+COUNTIF($AY$10:AY460,AY460)-1)</f>
        <v/>
      </c>
      <c r="BE460" s="348">
        <f t="shared" ref="BE460:BE509" si="30">BE459+1</f>
        <v>451</v>
      </c>
      <c r="BG460" s="376" t="str">
        <f>IF($BF460="","",_xll.ciqfunctions.udf.CIQ($BF460,"iq_security_level"))</f>
        <v/>
      </c>
      <c r="BH460" s="348" t="str">
        <f t="shared" ref="BH460:BH509" si="31">IF(BF460="","",IF(BG460="Preferred",BH459+1,BH459))</f>
        <v/>
      </c>
      <c r="BJ460" s="348" t="str">
        <f t="shared" si="29"/>
        <v/>
      </c>
      <c r="BK460" s="377" t="str">
        <f>IF($BJ460="","",_xll.ciqfunctions.udf.CIQ($BJ460,"iq_bond_coupon")/100)</f>
        <v/>
      </c>
    </row>
    <row r="461" spans="51:63" hidden="1" outlineLevel="1">
      <c r="AY461" s="373" t="str">
        <f>IF($AX461="","",_xll.ciqfunctions.udf.CIQ($AX461,"iq_offer_date"))</f>
        <v/>
      </c>
      <c r="AZ461" s="374" t="str">
        <f>IF($AX461="","",RANK(AY461,$AY$10:$AY$510)+COUNTIF($AY$10:AY461,AY461)-1)</f>
        <v/>
      </c>
      <c r="BE461" s="348">
        <f t="shared" si="30"/>
        <v>452</v>
      </c>
      <c r="BG461" s="376" t="str">
        <f>IF($BF461="","",_xll.ciqfunctions.udf.CIQ($BF461,"iq_security_level"))</f>
        <v/>
      </c>
      <c r="BH461" s="348" t="str">
        <f t="shared" si="31"/>
        <v/>
      </c>
      <c r="BJ461" s="348" t="str">
        <f t="shared" si="29"/>
        <v/>
      </c>
      <c r="BK461" s="377" t="str">
        <f>IF($BJ461="","",_xll.ciqfunctions.udf.CIQ($BJ461,"iq_bond_coupon")/100)</f>
        <v/>
      </c>
    </row>
    <row r="462" spans="51:63" hidden="1" outlineLevel="1">
      <c r="AY462" s="373" t="str">
        <f>IF($AX462="","",_xll.ciqfunctions.udf.CIQ($AX462,"iq_offer_date"))</f>
        <v/>
      </c>
      <c r="AZ462" s="374" t="str">
        <f>IF($AX462="","",RANK(AY462,$AY$10:$AY$510)+COUNTIF($AY$10:AY462,AY462)-1)</f>
        <v/>
      </c>
      <c r="BE462" s="348">
        <f t="shared" si="30"/>
        <v>453</v>
      </c>
      <c r="BG462" s="376" t="str">
        <f>IF($BF462="","",_xll.ciqfunctions.udf.CIQ($BF462,"iq_security_level"))</f>
        <v/>
      </c>
      <c r="BH462" s="348" t="str">
        <f t="shared" si="31"/>
        <v/>
      </c>
      <c r="BJ462" s="348" t="str">
        <f t="shared" si="29"/>
        <v/>
      </c>
      <c r="BK462" s="377" t="str">
        <f>IF($BJ462="","",_xll.ciqfunctions.udf.CIQ($BJ462,"iq_bond_coupon")/100)</f>
        <v/>
      </c>
    </row>
    <row r="463" spans="51:63" hidden="1" outlineLevel="1">
      <c r="AY463" s="373" t="str">
        <f>IF($AX463="","",_xll.ciqfunctions.udf.CIQ($AX463,"iq_offer_date"))</f>
        <v/>
      </c>
      <c r="AZ463" s="374" t="str">
        <f>IF($AX463="","",RANK(AY463,$AY$10:$AY$510)+COUNTIF($AY$10:AY463,AY463)-1)</f>
        <v/>
      </c>
      <c r="BE463" s="348">
        <f t="shared" si="30"/>
        <v>454</v>
      </c>
      <c r="BG463" s="376" t="str">
        <f>IF($BF463="","",_xll.ciqfunctions.udf.CIQ($BF463,"iq_security_level"))</f>
        <v/>
      </c>
      <c r="BH463" s="348" t="str">
        <f t="shared" si="31"/>
        <v/>
      </c>
      <c r="BJ463" s="348" t="str">
        <f t="shared" si="29"/>
        <v/>
      </c>
      <c r="BK463" s="377" t="str">
        <f>IF($BJ463="","",_xll.ciqfunctions.udf.CIQ($BJ463,"iq_bond_coupon")/100)</f>
        <v/>
      </c>
    </row>
    <row r="464" spans="51:63" hidden="1" outlineLevel="1">
      <c r="AY464" s="373" t="str">
        <f>IF($AX464="","",_xll.ciqfunctions.udf.CIQ($AX464,"iq_offer_date"))</f>
        <v/>
      </c>
      <c r="AZ464" s="374" t="str">
        <f>IF($AX464="","",RANK(AY464,$AY$10:$AY$510)+COUNTIF($AY$10:AY464,AY464)-1)</f>
        <v/>
      </c>
      <c r="BE464" s="348">
        <f t="shared" si="30"/>
        <v>455</v>
      </c>
      <c r="BG464" s="376" t="str">
        <f>IF($BF464="","",_xll.ciqfunctions.udf.CIQ($BF464,"iq_security_level"))</f>
        <v/>
      </c>
      <c r="BH464" s="348" t="str">
        <f t="shared" si="31"/>
        <v/>
      </c>
      <c r="BJ464" s="348" t="str">
        <f t="shared" si="29"/>
        <v/>
      </c>
      <c r="BK464" s="377" t="str">
        <f>IF($BJ464="","",_xll.ciqfunctions.udf.CIQ($BJ464,"iq_bond_coupon")/100)</f>
        <v/>
      </c>
    </row>
    <row r="465" spans="51:63" hidden="1" outlineLevel="1">
      <c r="AY465" s="373" t="str">
        <f>IF($AX465="","",_xll.ciqfunctions.udf.CIQ($AX465,"iq_offer_date"))</f>
        <v/>
      </c>
      <c r="AZ465" s="374" t="str">
        <f>IF($AX465="","",RANK(AY465,$AY$10:$AY$510)+COUNTIF($AY$10:AY465,AY465)-1)</f>
        <v/>
      </c>
      <c r="BE465" s="348">
        <f t="shared" si="30"/>
        <v>456</v>
      </c>
      <c r="BG465" s="376" t="str">
        <f>IF($BF465="","",_xll.ciqfunctions.udf.CIQ($BF465,"iq_security_level"))</f>
        <v/>
      </c>
      <c r="BH465" s="348" t="str">
        <f t="shared" si="31"/>
        <v/>
      </c>
      <c r="BJ465" s="348" t="str">
        <f t="shared" si="29"/>
        <v/>
      </c>
      <c r="BK465" s="377" t="str">
        <f>IF($BJ465="","",_xll.ciqfunctions.udf.CIQ($BJ465,"iq_bond_coupon")/100)</f>
        <v/>
      </c>
    </row>
    <row r="466" spans="51:63" hidden="1" outlineLevel="1">
      <c r="AY466" s="373" t="str">
        <f>IF($AX466="","",_xll.ciqfunctions.udf.CIQ($AX466,"iq_offer_date"))</f>
        <v/>
      </c>
      <c r="AZ466" s="374" t="str">
        <f>IF($AX466="","",RANK(AY466,$AY$10:$AY$510)+COUNTIF($AY$10:AY466,AY466)-1)</f>
        <v/>
      </c>
      <c r="BE466" s="348">
        <f t="shared" si="30"/>
        <v>457</v>
      </c>
      <c r="BG466" s="376" t="str">
        <f>IF($BF466="","",_xll.ciqfunctions.udf.CIQ($BF466,"iq_security_level"))</f>
        <v/>
      </c>
      <c r="BH466" s="348" t="str">
        <f t="shared" si="31"/>
        <v/>
      </c>
      <c r="BJ466" s="348" t="str">
        <f t="shared" si="29"/>
        <v/>
      </c>
      <c r="BK466" s="377" t="str">
        <f>IF($BJ466="","",_xll.ciqfunctions.udf.CIQ($BJ466,"iq_bond_coupon")/100)</f>
        <v/>
      </c>
    </row>
    <row r="467" spans="51:63" hidden="1" outlineLevel="1">
      <c r="AY467" s="373" t="str">
        <f>IF($AX467="","",_xll.ciqfunctions.udf.CIQ($AX467,"iq_offer_date"))</f>
        <v/>
      </c>
      <c r="AZ467" s="374" t="str">
        <f>IF($AX467="","",RANK(AY467,$AY$10:$AY$510)+COUNTIF($AY$10:AY467,AY467)-1)</f>
        <v/>
      </c>
      <c r="BE467" s="348">
        <f t="shared" si="30"/>
        <v>458</v>
      </c>
      <c r="BG467" s="376" t="str">
        <f>IF($BF467="","",_xll.ciqfunctions.udf.CIQ($BF467,"iq_security_level"))</f>
        <v/>
      </c>
      <c r="BH467" s="348" t="str">
        <f t="shared" si="31"/>
        <v/>
      </c>
      <c r="BJ467" s="348" t="str">
        <f t="shared" si="29"/>
        <v/>
      </c>
      <c r="BK467" s="377" t="str">
        <f>IF($BJ467="","",_xll.ciqfunctions.udf.CIQ($BJ467,"iq_bond_coupon")/100)</f>
        <v/>
      </c>
    </row>
    <row r="468" spans="51:63" hidden="1" outlineLevel="1">
      <c r="AY468" s="373" t="str">
        <f>IF($AX468="","",_xll.ciqfunctions.udf.CIQ($AX468,"iq_offer_date"))</f>
        <v/>
      </c>
      <c r="AZ468" s="374" t="str">
        <f>IF($AX468="","",RANK(AY468,$AY$10:$AY$510)+COUNTIF($AY$10:AY468,AY468)-1)</f>
        <v/>
      </c>
      <c r="BE468" s="348">
        <f t="shared" si="30"/>
        <v>459</v>
      </c>
      <c r="BG468" s="376" t="str">
        <f>IF($BF468="","",_xll.ciqfunctions.udf.CIQ($BF468,"iq_security_level"))</f>
        <v/>
      </c>
      <c r="BH468" s="348" t="str">
        <f t="shared" si="31"/>
        <v/>
      </c>
      <c r="BJ468" s="348" t="str">
        <f t="shared" si="29"/>
        <v/>
      </c>
      <c r="BK468" s="377" t="str">
        <f>IF($BJ468="","",_xll.ciqfunctions.udf.CIQ($BJ468,"iq_bond_coupon")/100)</f>
        <v/>
      </c>
    </row>
    <row r="469" spans="51:63" hidden="1" outlineLevel="1">
      <c r="AY469" s="373" t="str">
        <f>IF($AX469="","",_xll.ciqfunctions.udf.CIQ($AX469,"iq_offer_date"))</f>
        <v/>
      </c>
      <c r="AZ469" s="374" t="str">
        <f>IF($AX469="","",RANK(AY469,$AY$10:$AY$510)+COUNTIF($AY$10:AY469,AY469)-1)</f>
        <v/>
      </c>
      <c r="BE469" s="348">
        <f t="shared" si="30"/>
        <v>460</v>
      </c>
      <c r="BG469" s="376" t="str">
        <f>IF($BF469="","",_xll.ciqfunctions.udf.CIQ($BF469,"iq_security_level"))</f>
        <v/>
      </c>
      <c r="BH469" s="348" t="str">
        <f t="shared" si="31"/>
        <v/>
      </c>
      <c r="BJ469" s="348" t="str">
        <f t="shared" si="29"/>
        <v/>
      </c>
      <c r="BK469" s="377" t="str">
        <f>IF($BJ469="","",_xll.ciqfunctions.udf.CIQ($BJ469,"iq_bond_coupon")/100)</f>
        <v/>
      </c>
    </row>
    <row r="470" spans="51:63" hidden="1" outlineLevel="1">
      <c r="AY470" s="373" t="str">
        <f>IF($AX470="","",_xll.ciqfunctions.udf.CIQ($AX470,"iq_offer_date"))</f>
        <v/>
      </c>
      <c r="AZ470" s="374" t="str">
        <f>IF($AX470="","",RANK(AY470,$AY$10:$AY$510)+COUNTIF($AY$10:AY470,AY470)-1)</f>
        <v/>
      </c>
      <c r="BE470" s="348">
        <f t="shared" si="30"/>
        <v>461</v>
      </c>
      <c r="BG470" s="376" t="str">
        <f>IF($BF470="","",_xll.ciqfunctions.udf.CIQ($BF470,"iq_security_level"))</f>
        <v/>
      </c>
      <c r="BH470" s="348" t="str">
        <f t="shared" si="31"/>
        <v/>
      </c>
      <c r="BJ470" s="348" t="str">
        <f t="shared" si="29"/>
        <v/>
      </c>
      <c r="BK470" s="377" t="str">
        <f>IF($BJ470="","",_xll.ciqfunctions.udf.CIQ($BJ470,"iq_bond_coupon")/100)</f>
        <v/>
      </c>
    </row>
    <row r="471" spans="51:63" hidden="1" outlineLevel="1">
      <c r="AY471" s="373" t="str">
        <f>IF($AX471="","",_xll.ciqfunctions.udf.CIQ($AX471,"iq_offer_date"))</f>
        <v/>
      </c>
      <c r="AZ471" s="374" t="str">
        <f>IF($AX471="","",RANK(AY471,$AY$10:$AY$510)+COUNTIF($AY$10:AY471,AY471)-1)</f>
        <v/>
      </c>
      <c r="BE471" s="348">
        <f t="shared" si="30"/>
        <v>462</v>
      </c>
      <c r="BG471" s="376" t="str">
        <f>IF($BF471="","",_xll.ciqfunctions.udf.CIQ($BF471,"iq_security_level"))</f>
        <v/>
      </c>
      <c r="BH471" s="348" t="str">
        <f t="shared" si="31"/>
        <v/>
      </c>
      <c r="BJ471" s="348" t="str">
        <f t="shared" si="29"/>
        <v/>
      </c>
      <c r="BK471" s="377" t="str">
        <f>IF($BJ471="","",_xll.ciqfunctions.udf.CIQ($BJ471,"iq_bond_coupon")/100)</f>
        <v/>
      </c>
    </row>
    <row r="472" spans="51:63" hidden="1" outlineLevel="1">
      <c r="AY472" s="373" t="str">
        <f>IF($AX472="","",_xll.ciqfunctions.udf.CIQ($AX472,"iq_offer_date"))</f>
        <v/>
      </c>
      <c r="AZ472" s="374" t="str">
        <f>IF($AX472="","",RANK(AY472,$AY$10:$AY$510)+COUNTIF($AY$10:AY472,AY472)-1)</f>
        <v/>
      </c>
      <c r="BE472" s="348">
        <f t="shared" si="30"/>
        <v>463</v>
      </c>
      <c r="BG472" s="376" t="str">
        <f>IF($BF472="","",_xll.ciqfunctions.udf.CIQ($BF472,"iq_security_level"))</f>
        <v/>
      </c>
      <c r="BH472" s="348" t="str">
        <f t="shared" si="31"/>
        <v/>
      </c>
      <c r="BJ472" s="348" t="str">
        <f t="shared" si="29"/>
        <v/>
      </c>
      <c r="BK472" s="377" t="str">
        <f>IF($BJ472="","",_xll.ciqfunctions.udf.CIQ($BJ472,"iq_bond_coupon")/100)</f>
        <v/>
      </c>
    </row>
    <row r="473" spans="51:63" hidden="1" outlineLevel="1">
      <c r="AY473" s="373" t="str">
        <f>IF($AX473="","",_xll.ciqfunctions.udf.CIQ($AX473,"iq_offer_date"))</f>
        <v/>
      </c>
      <c r="AZ473" s="374" t="str">
        <f>IF($AX473="","",RANK(AY473,$AY$10:$AY$510)+COUNTIF($AY$10:AY473,AY473)-1)</f>
        <v/>
      </c>
      <c r="BE473" s="348">
        <f t="shared" si="30"/>
        <v>464</v>
      </c>
      <c r="BG473" s="376" t="str">
        <f>IF($BF473="","",_xll.ciqfunctions.udf.CIQ($BF473,"iq_security_level"))</f>
        <v/>
      </c>
      <c r="BH473" s="348" t="str">
        <f t="shared" si="31"/>
        <v/>
      </c>
      <c r="BJ473" s="348" t="str">
        <f t="shared" si="29"/>
        <v/>
      </c>
      <c r="BK473" s="377" t="str">
        <f>IF($BJ473="","",_xll.ciqfunctions.udf.CIQ($BJ473,"iq_bond_coupon")/100)</f>
        <v/>
      </c>
    </row>
    <row r="474" spans="51:63" hidden="1" outlineLevel="1">
      <c r="AY474" s="373" t="str">
        <f>IF($AX474="","",_xll.ciqfunctions.udf.CIQ($AX474,"iq_offer_date"))</f>
        <v/>
      </c>
      <c r="AZ474" s="374" t="str">
        <f>IF($AX474="","",RANK(AY474,$AY$10:$AY$510)+COUNTIF($AY$10:AY474,AY474)-1)</f>
        <v/>
      </c>
      <c r="BE474" s="348">
        <f t="shared" si="30"/>
        <v>465</v>
      </c>
      <c r="BG474" s="376" t="str">
        <f>IF($BF474="","",_xll.ciqfunctions.udf.CIQ($BF474,"iq_security_level"))</f>
        <v/>
      </c>
      <c r="BH474" s="348" t="str">
        <f t="shared" si="31"/>
        <v/>
      </c>
      <c r="BJ474" s="348" t="str">
        <f t="shared" si="29"/>
        <v/>
      </c>
      <c r="BK474" s="377" t="str">
        <f>IF($BJ474="","",_xll.ciqfunctions.udf.CIQ($BJ474,"iq_bond_coupon")/100)</f>
        <v/>
      </c>
    </row>
    <row r="475" spans="51:63" hidden="1" outlineLevel="1">
      <c r="AY475" s="373" t="str">
        <f>IF($AX475="","",_xll.ciqfunctions.udf.CIQ($AX475,"iq_offer_date"))</f>
        <v/>
      </c>
      <c r="AZ475" s="374" t="str">
        <f>IF($AX475="","",RANK(AY475,$AY$10:$AY$510)+COUNTIF($AY$10:AY475,AY475)-1)</f>
        <v/>
      </c>
      <c r="BE475" s="348">
        <f t="shared" si="30"/>
        <v>466</v>
      </c>
      <c r="BG475" s="376" t="str">
        <f>IF($BF475="","",_xll.ciqfunctions.udf.CIQ($BF475,"iq_security_level"))</f>
        <v/>
      </c>
      <c r="BH475" s="348" t="str">
        <f t="shared" si="31"/>
        <v/>
      </c>
      <c r="BJ475" s="348" t="str">
        <f t="shared" si="29"/>
        <v/>
      </c>
      <c r="BK475" s="377" t="str">
        <f>IF($BJ475="","",_xll.ciqfunctions.udf.CIQ($BJ475,"iq_bond_coupon")/100)</f>
        <v/>
      </c>
    </row>
    <row r="476" spans="51:63" hidden="1" outlineLevel="1">
      <c r="AY476" s="373" t="str">
        <f>IF($AX476="","",_xll.ciqfunctions.udf.CIQ($AX476,"iq_offer_date"))</f>
        <v/>
      </c>
      <c r="AZ476" s="374" t="str">
        <f>IF($AX476="","",RANK(AY476,$AY$10:$AY$510)+COUNTIF($AY$10:AY476,AY476)-1)</f>
        <v/>
      </c>
      <c r="BE476" s="348">
        <f t="shared" si="30"/>
        <v>467</v>
      </c>
      <c r="BG476" s="376" t="str">
        <f>IF($BF476="","",_xll.ciqfunctions.udf.CIQ($BF476,"iq_security_level"))</f>
        <v/>
      </c>
      <c r="BH476" s="348" t="str">
        <f t="shared" si="31"/>
        <v/>
      </c>
      <c r="BJ476" s="348" t="str">
        <f t="shared" si="29"/>
        <v/>
      </c>
      <c r="BK476" s="377" t="str">
        <f>IF($BJ476="","",_xll.ciqfunctions.udf.CIQ($BJ476,"iq_bond_coupon")/100)</f>
        <v/>
      </c>
    </row>
    <row r="477" spans="51:63" hidden="1" outlineLevel="1">
      <c r="AY477" s="373" t="str">
        <f>IF($AX477="","",_xll.ciqfunctions.udf.CIQ($AX477,"iq_offer_date"))</f>
        <v/>
      </c>
      <c r="AZ477" s="374" t="str">
        <f>IF($AX477="","",RANK(AY477,$AY$10:$AY$510)+COUNTIF($AY$10:AY477,AY477)-1)</f>
        <v/>
      </c>
      <c r="BE477" s="348">
        <f t="shared" si="30"/>
        <v>468</v>
      </c>
      <c r="BG477" s="376" t="str">
        <f>IF($BF477="","",_xll.ciqfunctions.udf.CIQ($BF477,"iq_security_level"))</f>
        <v/>
      </c>
      <c r="BH477" s="348" t="str">
        <f t="shared" si="31"/>
        <v/>
      </c>
      <c r="BJ477" s="348" t="str">
        <f t="shared" si="29"/>
        <v/>
      </c>
      <c r="BK477" s="377" t="str">
        <f>IF($BJ477="","",_xll.ciqfunctions.udf.CIQ($BJ477,"iq_bond_coupon")/100)</f>
        <v/>
      </c>
    </row>
    <row r="478" spans="51:63" hidden="1" outlineLevel="1">
      <c r="AY478" s="373" t="str">
        <f>IF($AX478="","",_xll.ciqfunctions.udf.CIQ($AX478,"iq_offer_date"))</f>
        <v/>
      </c>
      <c r="AZ478" s="374" t="str">
        <f>IF($AX478="","",RANK(AY478,$AY$10:$AY$510)+COUNTIF($AY$10:AY478,AY478)-1)</f>
        <v/>
      </c>
      <c r="BE478" s="348">
        <f t="shared" si="30"/>
        <v>469</v>
      </c>
      <c r="BG478" s="376" t="str">
        <f>IF($BF478="","",_xll.ciqfunctions.udf.CIQ($BF478,"iq_security_level"))</f>
        <v/>
      </c>
      <c r="BH478" s="348" t="str">
        <f t="shared" si="31"/>
        <v/>
      </c>
      <c r="BJ478" s="348" t="str">
        <f t="shared" si="29"/>
        <v/>
      </c>
      <c r="BK478" s="377" t="str">
        <f>IF($BJ478="","",_xll.ciqfunctions.udf.CIQ($BJ478,"iq_bond_coupon")/100)</f>
        <v/>
      </c>
    </row>
    <row r="479" spans="51:63" hidden="1" outlineLevel="1">
      <c r="AY479" s="373" t="str">
        <f>IF($AX479="","",_xll.ciqfunctions.udf.CIQ($AX479,"iq_offer_date"))</f>
        <v/>
      </c>
      <c r="AZ479" s="374" t="str">
        <f>IF($AX479="","",RANK(AY479,$AY$10:$AY$510)+COUNTIF($AY$10:AY479,AY479)-1)</f>
        <v/>
      </c>
      <c r="BE479" s="348">
        <f t="shared" si="30"/>
        <v>470</v>
      </c>
      <c r="BG479" s="376" t="str">
        <f>IF($BF479="","",_xll.ciqfunctions.udf.CIQ($BF479,"iq_security_level"))</f>
        <v/>
      </c>
      <c r="BH479" s="348" t="str">
        <f t="shared" si="31"/>
        <v/>
      </c>
      <c r="BJ479" s="348" t="str">
        <f t="shared" si="29"/>
        <v/>
      </c>
      <c r="BK479" s="377" t="str">
        <f>IF($BJ479="","",_xll.ciqfunctions.udf.CIQ($BJ479,"iq_bond_coupon")/100)</f>
        <v/>
      </c>
    </row>
    <row r="480" spans="51:63" hidden="1" outlineLevel="1">
      <c r="AY480" s="373" t="str">
        <f>IF($AX480="","",_xll.ciqfunctions.udf.CIQ($AX480,"iq_offer_date"))</f>
        <v/>
      </c>
      <c r="AZ480" s="374" t="str">
        <f>IF($AX480="","",RANK(AY480,$AY$10:$AY$510)+COUNTIF($AY$10:AY480,AY480)-1)</f>
        <v/>
      </c>
      <c r="BE480" s="348">
        <f t="shared" si="30"/>
        <v>471</v>
      </c>
      <c r="BG480" s="376" t="str">
        <f>IF($BF480="","",_xll.ciqfunctions.udf.CIQ($BF480,"iq_security_level"))</f>
        <v/>
      </c>
      <c r="BH480" s="348" t="str">
        <f t="shared" si="31"/>
        <v/>
      </c>
      <c r="BJ480" s="348" t="str">
        <f t="shared" si="29"/>
        <v/>
      </c>
      <c r="BK480" s="377" t="str">
        <f>IF($BJ480="","",_xll.ciqfunctions.udf.CIQ($BJ480,"iq_bond_coupon")/100)</f>
        <v/>
      </c>
    </row>
    <row r="481" spans="51:63" hidden="1" outlineLevel="1">
      <c r="AY481" s="373" t="str">
        <f>IF($AX481="","",_xll.ciqfunctions.udf.CIQ($AX481,"iq_offer_date"))</f>
        <v/>
      </c>
      <c r="AZ481" s="374" t="str">
        <f>IF($AX481="","",RANK(AY481,$AY$10:$AY$510)+COUNTIF($AY$10:AY481,AY481)-1)</f>
        <v/>
      </c>
      <c r="BE481" s="348">
        <f t="shared" si="30"/>
        <v>472</v>
      </c>
      <c r="BG481" s="376" t="str">
        <f>IF($BF481="","",_xll.ciqfunctions.udf.CIQ($BF481,"iq_security_level"))</f>
        <v/>
      </c>
      <c r="BH481" s="348" t="str">
        <f t="shared" si="31"/>
        <v/>
      </c>
      <c r="BJ481" s="348" t="str">
        <f t="shared" si="29"/>
        <v/>
      </c>
      <c r="BK481" s="377" t="str">
        <f>IF($BJ481="","",_xll.ciqfunctions.udf.CIQ($BJ481,"iq_bond_coupon")/100)</f>
        <v/>
      </c>
    </row>
    <row r="482" spans="51:63" hidden="1" outlineLevel="1">
      <c r="AY482" s="373" t="str">
        <f>IF($AX482="","",_xll.ciqfunctions.udf.CIQ($AX482,"iq_offer_date"))</f>
        <v/>
      </c>
      <c r="AZ482" s="374" t="str">
        <f>IF($AX482="","",RANK(AY482,$AY$10:$AY$510)+COUNTIF($AY$10:AY482,AY482)-1)</f>
        <v/>
      </c>
      <c r="BE482" s="348">
        <f t="shared" si="30"/>
        <v>473</v>
      </c>
      <c r="BG482" s="376" t="str">
        <f>IF($BF482="","",_xll.ciqfunctions.udf.CIQ($BF482,"iq_security_level"))</f>
        <v/>
      </c>
      <c r="BH482" s="348" t="str">
        <f t="shared" si="31"/>
        <v/>
      </c>
      <c r="BJ482" s="348" t="str">
        <f t="shared" si="29"/>
        <v/>
      </c>
      <c r="BK482" s="377" t="str">
        <f>IF($BJ482="","",_xll.ciqfunctions.udf.CIQ($BJ482,"iq_bond_coupon")/100)</f>
        <v/>
      </c>
    </row>
    <row r="483" spans="51:63" hidden="1" outlineLevel="1">
      <c r="AY483" s="373" t="str">
        <f>IF($AX483="","",_xll.ciqfunctions.udf.CIQ($AX483,"iq_offer_date"))</f>
        <v/>
      </c>
      <c r="AZ483" s="374" t="str">
        <f>IF($AX483="","",RANK(AY483,$AY$10:$AY$510)+COUNTIF($AY$10:AY483,AY483)-1)</f>
        <v/>
      </c>
      <c r="BE483" s="348">
        <f t="shared" si="30"/>
        <v>474</v>
      </c>
      <c r="BG483" s="376" t="str">
        <f>IF($BF483="","",_xll.ciqfunctions.udf.CIQ($BF483,"iq_security_level"))</f>
        <v/>
      </c>
      <c r="BH483" s="348" t="str">
        <f t="shared" si="31"/>
        <v/>
      </c>
      <c r="BJ483" s="348" t="str">
        <f t="shared" si="29"/>
        <v/>
      </c>
      <c r="BK483" s="377" t="str">
        <f>IF($BJ483="","",_xll.ciqfunctions.udf.CIQ($BJ483,"iq_bond_coupon")/100)</f>
        <v/>
      </c>
    </row>
    <row r="484" spans="51:63" hidden="1" outlineLevel="1">
      <c r="AY484" s="373" t="str">
        <f>IF($AX484="","",_xll.ciqfunctions.udf.CIQ($AX484,"iq_offer_date"))</f>
        <v/>
      </c>
      <c r="AZ484" s="374" t="str">
        <f>IF($AX484="","",RANK(AY484,$AY$10:$AY$510)+COUNTIF($AY$10:AY484,AY484)-1)</f>
        <v/>
      </c>
      <c r="BE484" s="348">
        <f t="shared" si="30"/>
        <v>475</v>
      </c>
      <c r="BG484" s="376" t="str">
        <f>IF($BF484="","",_xll.ciqfunctions.udf.CIQ($BF484,"iq_security_level"))</f>
        <v/>
      </c>
      <c r="BH484" s="348" t="str">
        <f t="shared" si="31"/>
        <v/>
      </c>
      <c r="BJ484" s="348" t="str">
        <f t="shared" si="29"/>
        <v/>
      </c>
      <c r="BK484" s="377" t="str">
        <f>IF($BJ484="","",_xll.ciqfunctions.udf.CIQ($BJ484,"iq_bond_coupon")/100)</f>
        <v/>
      </c>
    </row>
    <row r="485" spans="51:63" hidden="1" outlineLevel="1">
      <c r="AY485" s="373" t="str">
        <f>IF($AX485="","",_xll.ciqfunctions.udf.CIQ($AX485,"iq_offer_date"))</f>
        <v/>
      </c>
      <c r="AZ485" s="374" t="str">
        <f>IF($AX485="","",RANK(AY485,$AY$10:$AY$510)+COUNTIF($AY$10:AY485,AY485)-1)</f>
        <v/>
      </c>
      <c r="BE485" s="348">
        <f t="shared" si="30"/>
        <v>476</v>
      </c>
      <c r="BG485" s="376" t="str">
        <f>IF($BF485="","",_xll.ciqfunctions.udf.CIQ($BF485,"iq_security_level"))</f>
        <v/>
      </c>
      <c r="BH485" s="348" t="str">
        <f t="shared" si="31"/>
        <v/>
      </c>
      <c r="BJ485" s="348" t="str">
        <f t="shared" si="29"/>
        <v/>
      </c>
      <c r="BK485" s="377" t="str">
        <f>IF($BJ485="","",_xll.ciqfunctions.udf.CIQ($BJ485,"iq_bond_coupon")/100)</f>
        <v/>
      </c>
    </row>
    <row r="486" spans="51:63" hidden="1" outlineLevel="1">
      <c r="AY486" s="373" t="str">
        <f>IF($AX486="","",_xll.ciqfunctions.udf.CIQ($AX486,"iq_offer_date"))</f>
        <v/>
      </c>
      <c r="AZ486" s="374" t="str">
        <f>IF($AX486="","",RANK(AY486,$AY$10:$AY$510)+COUNTIF($AY$10:AY486,AY486)-1)</f>
        <v/>
      </c>
      <c r="BE486" s="348">
        <f t="shared" si="30"/>
        <v>477</v>
      </c>
      <c r="BG486" s="376" t="str">
        <f>IF($BF486="","",_xll.ciqfunctions.udf.CIQ($BF486,"iq_security_level"))</f>
        <v/>
      </c>
      <c r="BH486" s="348" t="str">
        <f t="shared" si="31"/>
        <v/>
      </c>
      <c r="BJ486" s="348" t="str">
        <f t="shared" si="29"/>
        <v/>
      </c>
      <c r="BK486" s="377" t="str">
        <f>IF($BJ486="","",_xll.ciqfunctions.udf.CIQ($BJ486,"iq_bond_coupon")/100)</f>
        <v/>
      </c>
    </row>
    <row r="487" spans="51:63" hidden="1" outlineLevel="1">
      <c r="AY487" s="373" t="str">
        <f>IF($AX487="","",_xll.ciqfunctions.udf.CIQ($AX487,"iq_offer_date"))</f>
        <v/>
      </c>
      <c r="AZ487" s="374" t="str">
        <f>IF($AX487="","",RANK(AY487,$AY$10:$AY$510)+COUNTIF($AY$10:AY487,AY487)-1)</f>
        <v/>
      </c>
      <c r="BE487" s="348">
        <f t="shared" si="30"/>
        <v>478</v>
      </c>
      <c r="BG487" s="376" t="str">
        <f>IF($BF487="","",_xll.ciqfunctions.udf.CIQ($BF487,"iq_security_level"))</f>
        <v/>
      </c>
      <c r="BH487" s="348" t="str">
        <f t="shared" si="31"/>
        <v/>
      </c>
      <c r="BJ487" s="348" t="str">
        <f t="shared" si="29"/>
        <v/>
      </c>
      <c r="BK487" s="377" t="str">
        <f>IF($BJ487="","",_xll.ciqfunctions.udf.CIQ($BJ487,"iq_bond_coupon")/100)</f>
        <v/>
      </c>
    </row>
    <row r="488" spans="51:63" hidden="1" outlineLevel="1">
      <c r="AY488" s="373" t="str">
        <f>IF($AX488="","",_xll.ciqfunctions.udf.CIQ($AX488,"iq_offer_date"))</f>
        <v/>
      </c>
      <c r="AZ488" s="374" t="str">
        <f>IF($AX488="","",RANK(AY488,$AY$10:$AY$510)+COUNTIF($AY$10:AY488,AY488)-1)</f>
        <v/>
      </c>
      <c r="BE488" s="348">
        <f t="shared" si="30"/>
        <v>479</v>
      </c>
      <c r="BG488" s="376" t="str">
        <f>IF($BF488="","",_xll.ciqfunctions.udf.CIQ($BF488,"iq_security_level"))</f>
        <v/>
      </c>
      <c r="BH488" s="348" t="str">
        <f t="shared" si="31"/>
        <v/>
      </c>
      <c r="BJ488" s="348" t="str">
        <f t="shared" si="29"/>
        <v/>
      </c>
      <c r="BK488" s="377" t="str">
        <f>IF($BJ488="","",_xll.ciqfunctions.udf.CIQ($BJ488,"iq_bond_coupon")/100)</f>
        <v/>
      </c>
    </row>
    <row r="489" spans="51:63" hidden="1" outlineLevel="1">
      <c r="AY489" s="373" t="str">
        <f>IF($AX489="","",_xll.ciqfunctions.udf.CIQ($AX489,"iq_offer_date"))</f>
        <v/>
      </c>
      <c r="AZ489" s="374" t="str">
        <f>IF($AX489="","",RANK(AY489,$AY$10:$AY$510)+COUNTIF($AY$10:AY489,AY489)-1)</f>
        <v/>
      </c>
      <c r="BE489" s="348">
        <f t="shared" si="30"/>
        <v>480</v>
      </c>
      <c r="BG489" s="376" t="str">
        <f>IF($BF489="","",_xll.ciqfunctions.udf.CIQ($BF489,"iq_security_level"))</f>
        <v/>
      </c>
      <c r="BH489" s="348" t="str">
        <f t="shared" si="31"/>
        <v/>
      </c>
      <c r="BJ489" s="348" t="str">
        <f t="shared" si="29"/>
        <v/>
      </c>
      <c r="BK489" s="377" t="str">
        <f>IF($BJ489="","",_xll.ciqfunctions.udf.CIQ($BJ489,"iq_bond_coupon")/100)</f>
        <v/>
      </c>
    </row>
    <row r="490" spans="51:63" hidden="1" outlineLevel="1">
      <c r="AY490" s="373" t="str">
        <f>IF($AX490="","",_xll.ciqfunctions.udf.CIQ($AX490,"iq_offer_date"))</f>
        <v/>
      </c>
      <c r="AZ490" s="374" t="str">
        <f>IF($AX490="","",RANK(AY490,$AY$10:$AY$510)+COUNTIF($AY$10:AY490,AY490)-1)</f>
        <v/>
      </c>
      <c r="BE490" s="348">
        <f t="shared" si="30"/>
        <v>481</v>
      </c>
      <c r="BG490" s="376" t="str">
        <f>IF($BF490="","",_xll.ciqfunctions.udf.CIQ($BF490,"iq_security_level"))</f>
        <v/>
      </c>
      <c r="BH490" s="348" t="str">
        <f t="shared" si="31"/>
        <v/>
      </c>
      <c r="BJ490" s="348" t="str">
        <f t="shared" si="29"/>
        <v/>
      </c>
      <c r="BK490" s="377" t="str">
        <f>IF($BJ490="","",_xll.ciqfunctions.udf.CIQ($BJ490,"iq_bond_coupon")/100)</f>
        <v/>
      </c>
    </row>
    <row r="491" spans="51:63" hidden="1" outlineLevel="1">
      <c r="AY491" s="373" t="str">
        <f>IF($AX491="","",_xll.ciqfunctions.udf.CIQ($AX491,"iq_offer_date"))</f>
        <v/>
      </c>
      <c r="AZ491" s="374" t="str">
        <f>IF($AX491="","",RANK(AY491,$AY$10:$AY$510)+COUNTIF($AY$10:AY491,AY491)-1)</f>
        <v/>
      </c>
      <c r="BE491" s="348">
        <f t="shared" si="30"/>
        <v>482</v>
      </c>
      <c r="BG491" s="376" t="str">
        <f>IF($BF491="","",_xll.ciqfunctions.udf.CIQ($BF491,"iq_security_level"))</f>
        <v/>
      </c>
      <c r="BH491" s="348" t="str">
        <f t="shared" si="31"/>
        <v/>
      </c>
      <c r="BJ491" s="348" t="str">
        <f t="shared" si="29"/>
        <v/>
      </c>
      <c r="BK491" s="377" t="str">
        <f>IF($BJ491="","",_xll.ciqfunctions.udf.CIQ($BJ491,"iq_bond_coupon")/100)</f>
        <v/>
      </c>
    </row>
    <row r="492" spans="51:63" hidden="1" outlineLevel="1">
      <c r="AY492" s="373" t="str">
        <f>IF($AX492="","",_xll.ciqfunctions.udf.CIQ($AX492,"iq_offer_date"))</f>
        <v/>
      </c>
      <c r="AZ492" s="374" t="str">
        <f>IF($AX492="","",RANK(AY492,$AY$10:$AY$510)+COUNTIF($AY$10:AY492,AY492)-1)</f>
        <v/>
      </c>
      <c r="BE492" s="348">
        <f t="shared" si="30"/>
        <v>483</v>
      </c>
      <c r="BG492" s="376" t="str">
        <f>IF($BF492="","",_xll.ciqfunctions.udf.CIQ($BF492,"iq_security_level"))</f>
        <v/>
      </c>
      <c r="BH492" s="348" t="str">
        <f t="shared" si="31"/>
        <v/>
      </c>
      <c r="BJ492" s="348" t="str">
        <f t="shared" si="29"/>
        <v/>
      </c>
      <c r="BK492" s="377" t="str">
        <f>IF($BJ492="","",_xll.ciqfunctions.udf.CIQ($BJ492,"iq_bond_coupon")/100)</f>
        <v/>
      </c>
    </row>
    <row r="493" spans="51:63" hidden="1" outlineLevel="1">
      <c r="AY493" s="373" t="str">
        <f>IF($AX493="","",_xll.ciqfunctions.udf.CIQ($AX493,"iq_offer_date"))</f>
        <v/>
      </c>
      <c r="AZ493" s="374" t="str">
        <f>IF($AX493="","",RANK(AY493,$AY$10:$AY$510)+COUNTIF($AY$10:AY493,AY493)-1)</f>
        <v/>
      </c>
      <c r="BE493" s="348">
        <f t="shared" si="30"/>
        <v>484</v>
      </c>
      <c r="BG493" s="376" t="str">
        <f>IF($BF493="","",_xll.ciqfunctions.udf.CIQ($BF493,"iq_security_level"))</f>
        <v/>
      </c>
      <c r="BH493" s="348" t="str">
        <f t="shared" si="31"/>
        <v/>
      </c>
      <c r="BJ493" s="348" t="str">
        <f t="shared" si="29"/>
        <v/>
      </c>
      <c r="BK493" s="377" t="str">
        <f>IF($BJ493="","",_xll.ciqfunctions.udf.CIQ($BJ493,"iq_bond_coupon")/100)</f>
        <v/>
      </c>
    </row>
    <row r="494" spans="51:63" hidden="1" outlineLevel="1">
      <c r="AY494" s="373" t="str">
        <f>IF($AX494="","",_xll.ciqfunctions.udf.CIQ($AX494,"iq_offer_date"))</f>
        <v/>
      </c>
      <c r="AZ494" s="374" t="str">
        <f>IF($AX494="","",RANK(AY494,$AY$10:$AY$510)+COUNTIF($AY$10:AY494,AY494)-1)</f>
        <v/>
      </c>
      <c r="BE494" s="348">
        <f t="shared" si="30"/>
        <v>485</v>
      </c>
      <c r="BG494" s="376" t="str">
        <f>IF($BF494="","",_xll.ciqfunctions.udf.CIQ($BF494,"iq_security_level"))</f>
        <v/>
      </c>
      <c r="BH494" s="348" t="str">
        <f t="shared" si="31"/>
        <v/>
      </c>
      <c r="BJ494" s="348" t="str">
        <f t="shared" si="29"/>
        <v/>
      </c>
      <c r="BK494" s="377" t="str">
        <f>IF($BJ494="","",_xll.ciqfunctions.udf.CIQ($BJ494,"iq_bond_coupon")/100)</f>
        <v/>
      </c>
    </row>
    <row r="495" spans="51:63" hidden="1" outlineLevel="1">
      <c r="AY495" s="373" t="str">
        <f>IF($AX495="","",_xll.ciqfunctions.udf.CIQ($AX495,"iq_offer_date"))</f>
        <v/>
      </c>
      <c r="AZ495" s="374" t="str">
        <f>IF($AX495="","",RANK(AY495,$AY$10:$AY$510)+COUNTIF($AY$10:AY495,AY495)-1)</f>
        <v/>
      </c>
      <c r="BE495" s="348">
        <f t="shared" si="30"/>
        <v>486</v>
      </c>
      <c r="BG495" s="376" t="str">
        <f>IF($BF495="","",_xll.ciqfunctions.udf.CIQ($BF495,"iq_security_level"))</f>
        <v/>
      </c>
      <c r="BH495" s="348" t="str">
        <f t="shared" si="31"/>
        <v/>
      </c>
      <c r="BJ495" s="348" t="str">
        <f t="shared" si="29"/>
        <v/>
      </c>
      <c r="BK495" s="377" t="str">
        <f>IF($BJ495="","",_xll.ciqfunctions.udf.CIQ($BJ495,"iq_bond_coupon")/100)</f>
        <v/>
      </c>
    </row>
    <row r="496" spans="51:63" hidden="1" outlineLevel="1">
      <c r="AY496" s="373" t="str">
        <f>IF($AX496="","",_xll.ciqfunctions.udf.CIQ($AX496,"iq_offer_date"))</f>
        <v/>
      </c>
      <c r="AZ496" s="374" t="str">
        <f>IF($AX496="","",RANK(AY496,$AY$10:$AY$510)+COUNTIF($AY$10:AY496,AY496)-1)</f>
        <v/>
      </c>
      <c r="BE496" s="348">
        <f t="shared" si="30"/>
        <v>487</v>
      </c>
      <c r="BG496" s="376" t="str">
        <f>IF($BF496="","",_xll.ciqfunctions.udf.CIQ($BF496,"iq_security_level"))</f>
        <v/>
      </c>
      <c r="BH496" s="348" t="str">
        <f t="shared" si="31"/>
        <v/>
      </c>
      <c r="BJ496" s="348" t="str">
        <f t="shared" si="29"/>
        <v/>
      </c>
      <c r="BK496" s="377" t="str">
        <f>IF($BJ496="","",_xll.ciqfunctions.udf.CIQ($BJ496,"iq_bond_coupon")/100)</f>
        <v/>
      </c>
    </row>
    <row r="497" spans="51:63" hidden="1" outlineLevel="1">
      <c r="AY497" s="373" t="str">
        <f>IF($AX497="","",_xll.ciqfunctions.udf.CIQ($AX497,"iq_offer_date"))</f>
        <v/>
      </c>
      <c r="AZ497" s="374" t="str">
        <f>IF($AX497="","",RANK(AY497,$AY$10:$AY$510)+COUNTIF($AY$10:AY497,AY497)-1)</f>
        <v/>
      </c>
      <c r="BE497" s="348">
        <f t="shared" si="30"/>
        <v>488</v>
      </c>
      <c r="BG497" s="376" t="str">
        <f>IF($BF497="","",_xll.ciqfunctions.udf.CIQ($BF497,"iq_security_level"))</f>
        <v/>
      </c>
      <c r="BH497" s="348" t="str">
        <f t="shared" si="31"/>
        <v/>
      </c>
      <c r="BJ497" s="348" t="str">
        <f t="shared" si="29"/>
        <v/>
      </c>
      <c r="BK497" s="377" t="str">
        <f>IF($BJ497="","",_xll.ciqfunctions.udf.CIQ($BJ497,"iq_bond_coupon")/100)</f>
        <v/>
      </c>
    </row>
    <row r="498" spans="51:63" hidden="1" outlineLevel="1">
      <c r="AY498" s="373" t="str">
        <f>IF($AX498="","",_xll.ciqfunctions.udf.CIQ($AX498,"iq_offer_date"))</f>
        <v/>
      </c>
      <c r="AZ498" s="374" t="str">
        <f>IF($AX498="","",RANK(AY498,$AY$10:$AY$510)+COUNTIF($AY$10:AY498,AY498)-1)</f>
        <v/>
      </c>
      <c r="BE498" s="348">
        <f t="shared" si="30"/>
        <v>489</v>
      </c>
      <c r="BG498" s="376" t="str">
        <f>IF($BF498="","",_xll.ciqfunctions.udf.CIQ($BF498,"iq_security_level"))</f>
        <v/>
      </c>
      <c r="BH498" s="348" t="str">
        <f t="shared" si="31"/>
        <v/>
      </c>
      <c r="BJ498" s="348" t="str">
        <f t="shared" si="29"/>
        <v/>
      </c>
      <c r="BK498" s="377" t="str">
        <f>IF($BJ498="","",_xll.ciqfunctions.udf.CIQ($BJ498,"iq_bond_coupon")/100)</f>
        <v/>
      </c>
    </row>
    <row r="499" spans="51:63" hidden="1" outlineLevel="1">
      <c r="AY499" s="373" t="str">
        <f>IF($AX499="","",_xll.ciqfunctions.udf.CIQ($AX499,"iq_offer_date"))</f>
        <v/>
      </c>
      <c r="AZ499" s="374" t="str">
        <f>IF($AX499="","",RANK(AY499,$AY$10:$AY$510)+COUNTIF($AY$10:AY499,AY499)-1)</f>
        <v/>
      </c>
      <c r="BE499" s="348">
        <f t="shared" si="30"/>
        <v>490</v>
      </c>
      <c r="BG499" s="376" t="str">
        <f>IF($BF499="","",_xll.ciqfunctions.udf.CIQ($BF499,"iq_security_level"))</f>
        <v/>
      </c>
      <c r="BH499" s="348" t="str">
        <f t="shared" si="31"/>
        <v/>
      </c>
      <c r="BJ499" s="348" t="str">
        <f t="shared" si="29"/>
        <v/>
      </c>
      <c r="BK499" s="377" t="str">
        <f>IF($BJ499="","",_xll.ciqfunctions.udf.CIQ($BJ499,"iq_bond_coupon")/100)</f>
        <v/>
      </c>
    </row>
    <row r="500" spans="51:63" hidden="1" outlineLevel="1">
      <c r="AY500" s="373" t="str">
        <f>IF($AX500="","",_xll.ciqfunctions.udf.CIQ($AX500,"iq_offer_date"))</f>
        <v/>
      </c>
      <c r="AZ500" s="374" t="str">
        <f>IF($AX500="","",RANK(AY500,$AY$10:$AY$510)+COUNTIF($AY$10:AY500,AY500)-1)</f>
        <v/>
      </c>
      <c r="BE500" s="348">
        <f t="shared" si="30"/>
        <v>491</v>
      </c>
      <c r="BG500" s="376" t="str">
        <f>IF($BF500="","",_xll.ciqfunctions.udf.CIQ($BF500,"iq_security_level"))</f>
        <v/>
      </c>
      <c r="BH500" s="348" t="str">
        <f t="shared" si="31"/>
        <v/>
      </c>
      <c r="BJ500" s="348" t="str">
        <f t="shared" si="29"/>
        <v/>
      </c>
      <c r="BK500" s="377" t="str">
        <f>IF($BJ500="","",_xll.ciqfunctions.udf.CIQ($BJ500,"iq_bond_coupon")/100)</f>
        <v/>
      </c>
    </row>
    <row r="501" spans="51:63" hidden="1" outlineLevel="1">
      <c r="AY501" s="373" t="str">
        <f>IF($AX501="","",_xll.ciqfunctions.udf.CIQ($AX501,"iq_offer_date"))</f>
        <v/>
      </c>
      <c r="AZ501" s="374" t="str">
        <f>IF($AX501="","",RANK(AY501,$AY$10:$AY$510)+COUNTIF($AY$10:AY501,AY501)-1)</f>
        <v/>
      </c>
      <c r="BE501" s="348">
        <f t="shared" si="30"/>
        <v>492</v>
      </c>
      <c r="BG501" s="376" t="str">
        <f>IF($BF501="","",_xll.ciqfunctions.udf.CIQ($BF501,"iq_security_level"))</f>
        <v/>
      </c>
      <c r="BH501" s="348" t="str">
        <f t="shared" si="31"/>
        <v/>
      </c>
      <c r="BJ501" s="348" t="str">
        <f t="shared" ref="BJ501:BJ510" si="32">IF($BF500="","",IF(ISERROR(INDEX($BF$10:$BF$509,MATCH(BE500,$BH$10:$BH$509,0))),"",INDEX($BF$10:$BF$509,MATCH(BE500,$BH$10:$BH$509,0))))</f>
        <v/>
      </c>
      <c r="BK501" s="377" t="str">
        <f>IF($BJ501="","",_xll.ciqfunctions.udf.CIQ($BJ501,"iq_bond_coupon")/100)</f>
        <v/>
      </c>
    </row>
    <row r="502" spans="51:63" hidden="1" outlineLevel="1">
      <c r="AY502" s="373" t="str">
        <f>IF($AX502="","",_xll.ciqfunctions.udf.CIQ($AX502,"iq_offer_date"))</f>
        <v/>
      </c>
      <c r="AZ502" s="374" t="str">
        <f>IF($AX502="","",RANK(AY502,$AY$10:$AY$510)+COUNTIF($AY$10:AY502,AY502)-1)</f>
        <v/>
      </c>
      <c r="BE502" s="348">
        <f t="shared" si="30"/>
        <v>493</v>
      </c>
      <c r="BG502" s="376" t="str">
        <f>IF($BF502="","",_xll.ciqfunctions.udf.CIQ($BF502,"iq_security_level"))</f>
        <v/>
      </c>
      <c r="BH502" s="348" t="str">
        <f t="shared" si="31"/>
        <v/>
      </c>
      <c r="BJ502" s="348" t="str">
        <f t="shared" si="32"/>
        <v/>
      </c>
      <c r="BK502" s="377" t="str">
        <f>IF($BJ502="","",_xll.ciqfunctions.udf.CIQ($BJ502,"iq_bond_coupon")/100)</f>
        <v/>
      </c>
    </row>
    <row r="503" spans="51:63" hidden="1" outlineLevel="1">
      <c r="AY503" s="373" t="str">
        <f>IF($AX503="","",_xll.ciqfunctions.udf.CIQ($AX503,"iq_offer_date"))</f>
        <v/>
      </c>
      <c r="AZ503" s="374" t="str">
        <f>IF($AX503="","",RANK(AY503,$AY$10:$AY$510)+COUNTIF($AY$10:AY503,AY503)-1)</f>
        <v/>
      </c>
      <c r="BE503" s="348">
        <f t="shared" si="30"/>
        <v>494</v>
      </c>
      <c r="BG503" s="376" t="str">
        <f>IF($BF503="","",_xll.ciqfunctions.udf.CIQ($BF503,"iq_security_level"))</f>
        <v/>
      </c>
      <c r="BH503" s="348" t="str">
        <f t="shared" si="31"/>
        <v/>
      </c>
      <c r="BJ503" s="348" t="str">
        <f t="shared" si="32"/>
        <v/>
      </c>
      <c r="BK503" s="377" t="str">
        <f>IF($BJ503="","",_xll.ciqfunctions.udf.CIQ($BJ503,"iq_bond_coupon")/100)</f>
        <v/>
      </c>
    </row>
    <row r="504" spans="51:63" hidden="1" outlineLevel="1">
      <c r="AY504" s="373" t="str">
        <f>IF($AX504="","",_xll.ciqfunctions.udf.CIQ($AX504,"iq_offer_date"))</f>
        <v/>
      </c>
      <c r="AZ504" s="374" t="str">
        <f>IF($AX504="","",RANK(AY504,$AY$10:$AY$510)+COUNTIF($AY$10:AY504,AY504)-1)</f>
        <v/>
      </c>
      <c r="BE504" s="348">
        <f t="shared" si="30"/>
        <v>495</v>
      </c>
      <c r="BG504" s="376" t="str">
        <f>IF($BF504="","",_xll.ciqfunctions.udf.CIQ($BF504,"iq_security_level"))</f>
        <v/>
      </c>
      <c r="BH504" s="348" t="str">
        <f t="shared" si="31"/>
        <v/>
      </c>
      <c r="BJ504" s="348" t="str">
        <f t="shared" si="32"/>
        <v/>
      </c>
      <c r="BK504" s="377" t="str">
        <f>IF($BJ504="","",_xll.ciqfunctions.udf.CIQ($BJ504,"iq_bond_coupon")/100)</f>
        <v/>
      </c>
    </row>
    <row r="505" spans="51:63" hidden="1" outlineLevel="1">
      <c r="AY505" s="373" t="str">
        <f>IF($AX505="","",_xll.ciqfunctions.udf.CIQ($AX505,"iq_offer_date"))</f>
        <v/>
      </c>
      <c r="AZ505" s="374" t="str">
        <f>IF($AX505="","",RANK(AY505,$AY$10:$AY$510)+COUNTIF($AY$10:AY505,AY505)-1)</f>
        <v/>
      </c>
      <c r="BE505" s="348">
        <f t="shared" si="30"/>
        <v>496</v>
      </c>
      <c r="BG505" s="376" t="str">
        <f>IF($BF505="","",_xll.ciqfunctions.udf.CIQ($BF505,"iq_security_level"))</f>
        <v/>
      </c>
      <c r="BH505" s="348" t="str">
        <f t="shared" si="31"/>
        <v/>
      </c>
      <c r="BJ505" s="348" t="str">
        <f t="shared" si="32"/>
        <v/>
      </c>
      <c r="BK505" s="377" t="str">
        <f>IF($BJ505="","",_xll.ciqfunctions.udf.CIQ($BJ505,"iq_bond_coupon")/100)</f>
        <v/>
      </c>
    </row>
    <row r="506" spans="51:63" hidden="1" outlineLevel="1">
      <c r="AY506" s="373" t="str">
        <f>IF($AX506="","",_xll.ciqfunctions.udf.CIQ($AX506,"iq_offer_date"))</f>
        <v/>
      </c>
      <c r="AZ506" s="374" t="str">
        <f>IF($AX506="","",RANK(AY506,$AY$10:$AY$510)+COUNTIF($AY$10:AY506,AY506)-1)</f>
        <v/>
      </c>
      <c r="BE506" s="348">
        <f t="shared" si="30"/>
        <v>497</v>
      </c>
      <c r="BG506" s="376" t="str">
        <f>IF($BF506="","",_xll.ciqfunctions.udf.CIQ($BF506,"iq_security_level"))</f>
        <v/>
      </c>
      <c r="BH506" s="348" t="str">
        <f t="shared" si="31"/>
        <v/>
      </c>
      <c r="BJ506" s="348" t="str">
        <f t="shared" si="32"/>
        <v/>
      </c>
      <c r="BK506" s="377" t="str">
        <f>IF($BJ506="","",_xll.ciqfunctions.udf.CIQ($BJ506,"iq_bond_coupon")/100)</f>
        <v/>
      </c>
    </row>
    <row r="507" spans="51:63" hidden="1" outlineLevel="1">
      <c r="AY507" s="373" t="str">
        <f>IF($AX507="","",_xll.ciqfunctions.udf.CIQ($AX507,"iq_offer_date"))</f>
        <v/>
      </c>
      <c r="AZ507" s="374" t="str">
        <f>IF($AX507="","",RANK(AY507,$AY$10:$AY$510)+COUNTIF($AY$10:AY507,AY507)-1)</f>
        <v/>
      </c>
      <c r="BE507" s="348">
        <f t="shared" si="30"/>
        <v>498</v>
      </c>
      <c r="BG507" s="376" t="str">
        <f>IF($BF507="","",_xll.ciqfunctions.udf.CIQ($BF507,"iq_security_level"))</f>
        <v/>
      </c>
      <c r="BH507" s="348" t="str">
        <f t="shared" si="31"/>
        <v/>
      </c>
      <c r="BJ507" s="348" t="str">
        <f t="shared" si="32"/>
        <v/>
      </c>
      <c r="BK507" s="377" t="str">
        <f>IF($BJ507="","",_xll.ciqfunctions.udf.CIQ($BJ507,"iq_bond_coupon")/100)</f>
        <v/>
      </c>
    </row>
    <row r="508" spans="51:63" hidden="1" outlineLevel="1">
      <c r="AY508" s="373" t="str">
        <f>IF($AX508="","",_xll.ciqfunctions.udf.CIQ($AX508,"iq_offer_date"))</f>
        <v/>
      </c>
      <c r="AZ508" s="374" t="str">
        <f>IF($AX508="","",RANK(AY508,$AY$10:$AY$510)+COUNTIF($AY$10:AY508,AY508)-1)</f>
        <v/>
      </c>
      <c r="BE508" s="348">
        <f t="shared" si="30"/>
        <v>499</v>
      </c>
      <c r="BG508" s="376" t="str">
        <f>IF($BF508="","",_xll.ciqfunctions.udf.CIQ($BF508,"iq_security_level"))</f>
        <v/>
      </c>
      <c r="BH508" s="348" t="str">
        <f t="shared" si="31"/>
        <v/>
      </c>
      <c r="BJ508" s="348" t="str">
        <f t="shared" si="32"/>
        <v/>
      </c>
      <c r="BK508" s="377" t="str">
        <f>IF($BJ508="","",_xll.ciqfunctions.udf.CIQ($BJ508,"iq_bond_coupon")/100)</f>
        <v/>
      </c>
    </row>
    <row r="509" spans="51:63" hidden="1" outlineLevel="1">
      <c r="AY509" s="373" t="str">
        <f>IF($AX509="","",_xll.ciqfunctions.udf.CIQ($AX509,"iq_offer_date"))</f>
        <v/>
      </c>
      <c r="AZ509" s="374" t="str">
        <f>IF($AX509="","",RANK(AY509,$AY$10:$AY$510)+COUNTIF($AY$10:AY509,AY509)-1)</f>
        <v/>
      </c>
      <c r="BE509" s="348">
        <f t="shared" si="30"/>
        <v>500</v>
      </c>
      <c r="BG509" s="376" t="str">
        <f>IF($BF509="","",_xll.ciqfunctions.udf.CIQ($BF509,"iq_security_level"))</f>
        <v/>
      </c>
      <c r="BH509" s="348" t="str">
        <f t="shared" si="31"/>
        <v/>
      </c>
      <c r="BJ509" s="348" t="str">
        <f t="shared" si="32"/>
        <v/>
      </c>
      <c r="BK509" s="377" t="str">
        <f>IF($BJ509="","",_xll.ciqfunctions.udf.CIQ($BJ509,"iq_bond_coupon")/100)</f>
        <v/>
      </c>
    </row>
    <row r="510" spans="51:63" hidden="1" outlineLevel="1">
      <c r="AY510" s="373" t="str">
        <f>IF($AX510="","",_xll.ciqfunctions.udf.CIQ($AX510,"iq_offer_date"))</f>
        <v/>
      </c>
      <c r="AZ510" s="374" t="str">
        <f>IF($AX510="","",RANK(AY510,$AY$10:$AY$510)+COUNTIF($AY$10:AY510,AY510)-1)</f>
        <v/>
      </c>
      <c r="BJ510" s="348" t="str">
        <f t="shared" si="32"/>
        <v/>
      </c>
      <c r="BK510" s="377" t="str">
        <f>IF($BJ510="","",_xll.ciqfunctions.udf.CIQ($BJ510,"iq_bond_coupon")/100)</f>
        <v/>
      </c>
    </row>
    <row r="511" spans="51:63" collapsed="1">
      <c r="BJ511" s="348" t="str">
        <f>IF($BF511="","",IF(ISERROR(INDEX($BF$10:$BF$509,MATCH(BE511,$BH$10:$BH$509,0))),"",INDEX($BF$10:$BF$509,MATCH(BE511,$BH$10:$BH$509,0))))</f>
        <v/>
      </c>
      <c r="BK511" s="377" t="str">
        <f>IF($BJ511="","",_xll.ciqfunctions.udf.CIQ($BJ511,"iq_bond_coupon")/100)</f>
        <v/>
      </c>
    </row>
  </sheetData>
  <mergeCells count="4">
    <mergeCell ref="Q1:S1"/>
    <mergeCell ref="G21:H21"/>
    <mergeCell ref="D22:H22"/>
    <mergeCell ref="C26:D26"/>
  </mergeCells>
  <phoneticPr fontId="10" type="noConversion"/>
  <dataValidations disablePrompts="1" count="9">
    <dataValidation type="list" allowBlank="1" showInputMessage="1" showErrorMessage="1" sqref="G21" xr:uid="{00000000-0002-0000-0600-000000000000}">
      <formula1>$AL$11:$AL$29</formula1>
    </dataValidation>
    <dataValidation type="list" allowBlank="1" showInputMessage="1" showErrorMessage="1" sqref="A26" xr:uid="{00000000-0002-0000-0600-000001000000}">
      <formula1>$AB$24:$AB$27</formula1>
    </dataValidation>
    <dataValidation type="list" showInputMessage="1" showErrorMessage="1" sqref="C26" xr:uid="{00000000-0002-0000-0600-000002000000}">
      <formula1>$AD$24:$AD$36</formula1>
    </dataValidation>
    <dataValidation type="list" allowBlank="1" showInputMessage="1" showErrorMessage="1" sqref="F26" xr:uid="{00000000-0002-0000-0600-000003000000}">
      <formula1>$AE$24:$AE$32</formula1>
    </dataValidation>
    <dataValidation type="list" allowBlank="1" showInputMessage="1" showErrorMessage="1" sqref="H15" xr:uid="{00000000-0002-0000-0600-000004000000}">
      <formula1>"Company,Corp Yield Curve"</formula1>
    </dataValidation>
    <dataValidation type="list" allowBlank="1" showInputMessage="1" showErrorMessage="1" sqref="Q1" xr:uid="{00000000-0002-0000-0600-000005000000}">
      <formula1>$AH$27:$AH$30</formula1>
    </dataValidation>
    <dataValidation type="list" allowBlank="1" showInputMessage="1" showErrorMessage="1" sqref="K1" xr:uid="{00000000-0002-0000-0600-000006000000}">
      <formula1>$AI$23:$AI$24</formula1>
    </dataValidation>
    <dataValidation type="list" allowBlank="1" showInputMessage="1" showErrorMessage="1" sqref="D22" xr:uid="{00000000-0002-0000-0600-000007000000}">
      <formula1>OFFSET($AR$10,$AP$7,,$AQ$7)</formula1>
    </dataValidation>
    <dataValidation type="list" allowBlank="1" showInputMessage="1" showErrorMessage="1" sqref="H26" xr:uid="{00000000-0002-0000-0600-000008000000}">
      <formula1>$AF$24:$AF$57</formula1>
    </dataValidation>
  </dataValidations>
  <printOptions horizontalCentered="1"/>
  <pageMargins left="0.25" right="0.25" top="0.25" bottom="0.25" header="0.5" footer="0.5"/>
  <pageSetup scale="53" orientation="landscape" r:id="rId1"/>
  <headerFooter alignWithMargins="0"/>
  <rowBreaks count="2" manualBreakCount="2">
    <brk id="56" max="18" man="1"/>
    <brk id="111" max="18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2:F24"/>
  <sheetViews>
    <sheetView showGridLines="0" workbookViewId="0">
      <selection activeCell="A3" sqref="A3"/>
    </sheetView>
  </sheetViews>
  <sheetFormatPr defaultRowHeight="14.4"/>
  <cols>
    <col min="1" max="1" width="18" customWidth="1"/>
    <col min="2" max="2" width="22" customWidth="1"/>
    <col min="3" max="3" width="4.44140625" customWidth="1"/>
    <col min="4" max="4" width="7.44140625" customWidth="1"/>
    <col min="5" max="5" width="16.44140625" customWidth="1"/>
    <col min="6" max="6" width="12.88671875" customWidth="1"/>
    <col min="7" max="7" width="9.109375" customWidth="1"/>
  </cols>
  <sheetData>
    <row r="2" spans="1:6" ht="15" thickBot="1">
      <c r="A2" s="307" t="s">
        <v>391</v>
      </c>
      <c r="B2" s="307" t="s">
        <v>392</v>
      </c>
      <c r="C2" s="307" t="s">
        <v>393</v>
      </c>
      <c r="D2" s="307" t="s">
        <v>394</v>
      </c>
      <c r="E2" s="307" t="s">
        <v>407</v>
      </c>
      <c r="F2" s="307" t="s">
        <v>408</v>
      </c>
    </row>
    <row r="3" spans="1:6">
      <c r="A3" t="s">
        <v>373</v>
      </c>
      <c r="B3" t="s">
        <v>395</v>
      </c>
      <c r="C3">
        <v>56</v>
      </c>
      <c r="D3">
        <v>20.2</v>
      </c>
      <c r="E3" s="70">
        <v>0.24440000000000001</v>
      </c>
      <c r="F3" s="70">
        <v>0.1295</v>
      </c>
    </row>
    <row r="4" spans="1:6">
      <c r="A4" t="s">
        <v>396</v>
      </c>
      <c r="B4" t="s">
        <v>397</v>
      </c>
      <c r="C4">
        <v>56</v>
      </c>
      <c r="D4">
        <v>5.5</v>
      </c>
      <c r="E4" s="70">
        <v>0.43490000000000001</v>
      </c>
      <c r="F4" s="70">
        <v>0.1736</v>
      </c>
    </row>
    <row r="5" spans="1:6">
      <c r="A5" t="s">
        <v>398</v>
      </c>
      <c r="B5" t="s">
        <v>399</v>
      </c>
      <c r="C5">
        <v>55</v>
      </c>
      <c r="D5">
        <v>13.7</v>
      </c>
      <c r="E5" s="70">
        <v>0.37440000000000001</v>
      </c>
      <c r="F5" s="70">
        <v>0.12089999999999999</v>
      </c>
    </row>
    <row r="6" spans="1:6">
      <c r="A6" t="s">
        <v>400</v>
      </c>
      <c r="B6" t="s">
        <v>401</v>
      </c>
      <c r="C6">
        <v>62</v>
      </c>
      <c r="D6">
        <v>15.9</v>
      </c>
      <c r="E6" s="70">
        <v>0.3054</v>
      </c>
      <c r="F6" s="70">
        <v>0.13589999999999999</v>
      </c>
    </row>
    <row r="7" spans="1:6">
      <c r="A7" t="s">
        <v>404</v>
      </c>
      <c r="B7" t="s">
        <v>402</v>
      </c>
      <c r="C7">
        <v>50</v>
      </c>
      <c r="D7">
        <v>14.7</v>
      </c>
      <c r="E7" s="70">
        <v>0.35289999999999999</v>
      </c>
      <c r="F7" s="70">
        <v>0.12570000000000001</v>
      </c>
    </row>
    <row r="8" spans="1:6">
      <c r="A8" t="s">
        <v>403</v>
      </c>
      <c r="B8" t="s">
        <v>402</v>
      </c>
      <c r="C8">
        <v>55</v>
      </c>
      <c r="D8">
        <v>5.8</v>
      </c>
      <c r="E8" s="70">
        <v>0.43480000000000002</v>
      </c>
      <c r="F8" s="70">
        <v>0.13980000000000001</v>
      </c>
    </row>
    <row r="9" spans="1:6">
      <c r="A9" t="s">
        <v>405</v>
      </c>
      <c r="B9" t="s">
        <v>406</v>
      </c>
      <c r="C9">
        <v>56</v>
      </c>
      <c r="D9">
        <v>8.3000000000000007</v>
      </c>
      <c r="E9" s="70">
        <v>0.35699999999999998</v>
      </c>
      <c r="F9" s="70">
        <v>0.1832</v>
      </c>
    </row>
    <row r="10" spans="1:6">
      <c r="A10" t="s">
        <v>400</v>
      </c>
      <c r="B10" t="s">
        <v>406</v>
      </c>
      <c r="C10">
        <v>62</v>
      </c>
      <c r="D10">
        <v>15.8</v>
      </c>
      <c r="E10" s="70">
        <v>0.32769999999999999</v>
      </c>
      <c r="F10" s="70">
        <v>0.13589999999999999</v>
      </c>
    </row>
    <row r="11" spans="1:6">
      <c r="E11" s="70"/>
      <c r="F11" s="289"/>
    </row>
    <row r="12" spans="1:6">
      <c r="E12" s="289"/>
      <c r="F12" s="289"/>
    </row>
    <row r="23" spans="5:6">
      <c r="E23" s="289"/>
      <c r="F23" s="289"/>
    </row>
    <row r="24" spans="5:6">
      <c r="E24" s="289"/>
      <c r="F24" s="289"/>
    </row>
  </sheetData>
  <dataConsolidate/>
  <phoneticPr fontId="10" type="noConversion"/>
  <conditionalFormatting sqref="E3:F10">
    <cfRule type="colorScale" priority="5">
      <colorScale>
        <cfvo type="min"/>
        <cfvo type="max"/>
        <color theme="0"/>
        <color theme="0"/>
      </colorScale>
    </cfRule>
    <cfRule type="colorScale" priority="8">
      <colorScale>
        <cfvo type="min"/>
        <cfvo type="max"/>
        <color rgb="FFFF0000"/>
        <color theme="9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48013E83-3645-4AA0-9D44-AFADBDF1AA15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2"/>
              <x14:cfIcon iconSet="3Arrows" iconId="2"/>
            </x14:iconSet>
          </x14:cfRule>
          <x14:cfRule type="iconSet" priority="7" id="{0672F82D-2F4C-49B1-BC0F-390412E050C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E3:F10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X996"/>
  <sheetViews>
    <sheetView showGridLines="0" zoomScale="90" zoomScaleNormal="90" workbookViewId="0">
      <selection activeCell="D1010" sqref="D1010"/>
    </sheetView>
  </sheetViews>
  <sheetFormatPr defaultRowHeight="14.4"/>
  <cols>
    <col min="1" max="1" width="18.44140625" style="267" customWidth="1"/>
    <col min="2" max="2" width="17.44140625" style="99" customWidth="1"/>
    <col min="3" max="3" width="17.44140625" customWidth="1"/>
    <col min="5" max="5" width="12.44140625" customWidth="1"/>
    <col min="6" max="6" width="15" customWidth="1"/>
    <col min="19" max="19" width="11.44140625" customWidth="1"/>
  </cols>
  <sheetData>
    <row r="1" spans="1:24">
      <c r="A1" s="265"/>
      <c r="B1" s="27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1">
      <c r="A2" s="266"/>
      <c r="B2" s="264"/>
      <c r="C2" s="2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65"/>
      <c r="B3" s="270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T4" s="68"/>
    </row>
    <row r="5" spans="1:24">
      <c r="T5" s="68"/>
    </row>
    <row r="6" spans="1:24">
      <c r="T6" s="68"/>
    </row>
    <row r="7" spans="1:24" ht="19.5" customHeight="1">
      <c r="A7" s="265"/>
      <c r="B7" s="264" t="s">
        <v>204</v>
      </c>
      <c r="C7" s="177" t="s">
        <v>204</v>
      </c>
      <c r="D7" s="177"/>
      <c r="E7" s="2"/>
      <c r="F7" s="281" t="s">
        <v>200</v>
      </c>
      <c r="G7" s="282">
        <f>MAX($B$736:$B$989)</f>
        <v>3531.4499510000001</v>
      </c>
      <c r="H7" s="282">
        <f>MIN($B$736:$B$989)</f>
        <v>1676.6099850000001</v>
      </c>
    </row>
    <row r="8" spans="1:24" ht="45" customHeight="1">
      <c r="A8" s="2"/>
      <c r="B8" s="268" t="s">
        <v>205</v>
      </c>
      <c r="C8" s="2"/>
      <c r="D8" s="2"/>
      <c r="E8" s="2"/>
      <c r="F8" s="281" t="s">
        <v>355</v>
      </c>
      <c r="G8" s="281"/>
      <c r="H8" s="29"/>
    </row>
    <row r="9" spans="1:24">
      <c r="A9" s="271" t="s">
        <v>356</v>
      </c>
      <c r="B9" s="269" t="s">
        <v>203</v>
      </c>
      <c r="C9" s="177" t="s">
        <v>359</v>
      </c>
      <c r="D9" s="214" t="s">
        <v>360</v>
      </c>
      <c r="E9" s="29" t="s">
        <v>361</v>
      </c>
      <c r="F9" s="29" t="s">
        <v>201</v>
      </c>
      <c r="G9" s="263">
        <f>MAX($B$11:$B$989)</f>
        <v>3531.4499510000001</v>
      </c>
      <c r="H9" s="29"/>
    </row>
    <row r="10" spans="1:24">
      <c r="A10" s="265"/>
      <c r="B10" s="270"/>
      <c r="C10" s="2"/>
      <c r="D10" s="2"/>
      <c r="E10" s="2"/>
      <c r="F10" s="29" t="s">
        <v>202</v>
      </c>
      <c r="G10" s="263">
        <f>MIN($B$11:$B$989)</f>
        <v>753.669983</v>
      </c>
      <c r="H10" s="29"/>
    </row>
    <row r="11" spans="1:24">
      <c r="A11" s="267">
        <v>42738</v>
      </c>
      <c r="B11" s="99">
        <v>753.669983</v>
      </c>
    </row>
    <row r="12" spans="1:24">
      <c r="A12" s="267">
        <v>42739</v>
      </c>
      <c r="B12" s="99">
        <v>757.17999299999997</v>
      </c>
    </row>
    <row r="13" spans="1:24">
      <c r="A13" s="267">
        <v>42740</v>
      </c>
      <c r="B13" s="99">
        <v>780.45001200000002</v>
      </c>
    </row>
    <row r="14" spans="1:24">
      <c r="A14" s="267">
        <v>42741</v>
      </c>
      <c r="B14" s="99">
        <v>795.98999000000003</v>
      </c>
    </row>
    <row r="15" spans="1:24">
      <c r="A15" s="267">
        <v>42744</v>
      </c>
      <c r="B15" s="99">
        <v>796.919983</v>
      </c>
    </row>
    <row r="16" spans="1:24">
      <c r="A16" s="267">
        <v>42745</v>
      </c>
      <c r="B16" s="99">
        <v>795.90002400000003</v>
      </c>
    </row>
    <row r="17" spans="1:2">
      <c r="A17" s="267">
        <v>42746</v>
      </c>
      <c r="B17" s="99">
        <v>799.02002000000005</v>
      </c>
    </row>
    <row r="18" spans="1:2">
      <c r="A18" s="267">
        <v>42747</v>
      </c>
      <c r="B18" s="99">
        <v>813.64001499999995</v>
      </c>
    </row>
    <row r="19" spans="1:2">
      <c r="A19" s="267">
        <v>42748</v>
      </c>
      <c r="B19" s="99">
        <v>817.14001499999995</v>
      </c>
    </row>
    <row r="20" spans="1:2">
      <c r="A20" s="267">
        <v>42752</v>
      </c>
      <c r="B20" s="99">
        <v>809.71997099999999</v>
      </c>
    </row>
    <row r="21" spans="1:2">
      <c r="A21" s="267">
        <v>42753</v>
      </c>
      <c r="B21" s="99">
        <v>807.47997999999995</v>
      </c>
    </row>
    <row r="22" spans="1:2">
      <c r="A22" s="267">
        <v>42754</v>
      </c>
      <c r="B22" s="99">
        <v>809.03997800000002</v>
      </c>
    </row>
    <row r="23" spans="1:2">
      <c r="A23" s="267">
        <v>42755</v>
      </c>
      <c r="B23" s="99">
        <v>808.330017</v>
      </c>
    </row>
    <row r="24" spans="1:2">
      <c r="A24" s="267">
        <v>42758</v>
      </c>
      <c r="B24" s="99">
        <v>817.88000499999998</v>
      </c>
    </row>
    <row r="25" spans="1:2">
      <c r="A25" s="267">
        <v>42759</v>
      </c>
      <c r="B25" s="99">
        <v>822.44000200000005</v>
      </c>
    </row>
    <row r="26" spans="1:2">
      <c r="A26" s="267">
        <v>42760</v>
      </c>
      <c r="B26" s="99">
        <v>836.52002000000005</v>
      </c>
    </row>
    <row r="27" spans="1:2">
      <c r="A27" s="267">
        <v>42761</v>
      </c>
      <c r="B27" s="99">
        <v>839.15002400000003</v>
      </c>
    </row>
    <row r="28" spans="1:2">
      <c r="A28" s="267">
        <v>42762</v>
      </c>
      <c r="B28" s="99">
        <v>835.77002000000005</v>
      </c>
    </row>
    <row r="29" spans="1:2">
      <c r="A29" s="267">
        <v>42765</v>
      </c>
      <c r="B29" s="99">
        <v>830.38000499999998</v>
      </c>
    </row>
    <row r="30" spans="1:2">
      <c r="A30" s="267">
        <v>42766</v>
      </c>
      <c r="B30" s="99">
        <v>823.47997999999995</v>
      </c>
    </row>
    <row r="31" spans="1:2">
      <c r="A31" s="267">
        <v>42767</v>
      </c>
      <c r="B31" s="99">
        <v>832.34997599999997</v>
      </c>
    </row>
    <row r="32" spans="1:2">
      <c r="A32" s="267">
        <v>42768</v>
      </c>
      <c r="B32" s="99">
        <v>839.95001200000002</v>
      </c>
    </row>
    <row r="33" spans="1:2">
      <c r="A33" s="267">
        <v>42769</v>
      </c>
      <c r="B33" s="99">
        <v>810.20001200000002</v>
      </c>
    </row>
    <row r="34" spans="1:2">
      <c r="A34" s="267">
        <v>42772</v>
      </c>
      <c r="B34" s="99">
        <v>807.64001499999995</v>
      </c>
    </row>
    <row r="35" spans="1:2">
      <c r="A35" s="267">
        <v>42773</v>
      </c>
      <c r="B35" s="99">
        <v>812.5</v>
      </c>
    </row>
    <row r="36" spans="1:2">
      <c r="A36" s="267">
        <v>42774</v>
      </c>
      <c r="B36" s="99">
        <v>819.71002199999998</v>
      </c>
    </row>
    <row r="37" spans="1:2">
      <c r="A37" s="267">
        <v>42775</v>
      </c>
      <c r="B37" s="99">
        <v>821.35998500000005</v>
      </c>
    </row>
    <row r="38" spans="1:2">
      <c r="A38" s="267">
        <v>42776</v>
      </c>
      <c r="B38" s="99">
        <v>827.46002199999998</v>
      </c>
    </row>
    <row r="39" spans="1:2">
      <c r="A39" s="267">
        <v>42779</v>
      </c>
      <c r="B39" s="99">
        <v>836.53002900000001</v>
      </c>
    </row>
    <row r="40" spans="1:2">
      <c r="A40" s="267">
        <v>42780</v>
      </c>
      <c r="B40" s="99">
        <v>836.39001499999995</v>
      </c>
    </row>
    <row r="41" spans="1:2">
      <c r="A41" s="267">
        <v>42781</v>
      </c>
      <c r="B41" s="99">
        <v>842.70001200000002</v>
      </c>
    </row>
    <row r="42" spans="1:2">
      <c r="A42" s="267">
        <v>42782</v>
      </c>
      <c r="B42" s="99">
        <v>844.14001499999995</v>
      </c>
    </row>
    <row r="43" spans="1:2">
      <c r="A43" s="267">
        <v>42783</v>
      </c>
      <c r="B43" s="99">
        <v>845.07000700000003</v>
      </c>
    </row>
    <row r="44" spans="1:2">
      <c r="A44" s="267">
        <v>42787</v>
      </c>
      <c r="B44" s="99">
        <v>856.44000200000005</v>
      </c>
    </row>
    <row r="45" spans="1:2">
      <c r="A45" s="267">
        <v>42788</v>
      </c>
      <c r="B45" s="99">
        <v>855.60998500000005</v>
      </c>
    </row>
    <row r="46" spans="1:2">
      <c r="A46" s="267">
        <v>42789</v>
      </c>
      <c r="B46" s="99">
        <v>852.19000200000005</v>
      </c>
    </row>
    <row r="47" spans="1:2">
      <c r="A47" s="267">
        <v>42790</v>
      </c>
      <c r="B47" s="99">
        <v>845.23999000000003</v>
      </c>
    </row>
    <row r="48" spans="1:2">
      <c r="A48" s="267">
        <v>42793</v>
      </c>
      <c r="B48" s="99">
        <v>848.64001499999995</v>
      </c>
    </row>
    <row r="49" spans="1:2">
      <c r="A49" s="267">
        <v>42794</v>
      </c>
      <c r="B49" s="99">
        <v>845.03997800000002</v>
      </c>
    </row>
    <row r="50" spans="1:2">
      <c r="A50" s="267">
        <v>42795</v>
      </c>
      <c r="B50" s="99">
        <v>853.080017</v>
      </c>
    </row>
    <row r="51" spans="1:2">
      <c r="A51" s="267">
        <v>42796</v>
      </c>
      <c r="B51" s="99">
        <v>848.90997300000004</v>
      </c>
    </row>
    <row r="52" spans="1:2">
      <c r="A52" s="267">
        <v>42797</v>
      </c>
      <c r="B52" s="99">
        <v>849.88000499999998</v>
      </c>
    </row>
    <row r="53" spans="1:2">
      <c r="A53" s="267">
        <v>42800</v>
      </c>
      <c r="B53" s="99">
        <v>846.60998500000005</v>
      </c>
    </row>
    <row r="54" spans="1:2">
      <c r="A54" s="267">
        <v>42801</v>
      </c>
      <c r="B54" s="99">
        <v>846.02002000000005</v>
      </c>
    </row>
    <row r="55" spans="1:2">
      <c r="A55" s="267">
        <v>42802</v>
      </c>
      <c r="B55" s="99">
        <v>850.5</v>
      </c>
    </row>
    <row r="56" spans="1:2">
      <c r="A56" s="267">
        <v>42803</v>
      </c>
      <c r="B56" s="99">
        <v>853</v>
      </c>
    </row>
    <row r="57" spans="1:2">
      <c r="A57" s="267">
        <v>42804</v>
      </c>
      <c r="B57" s="99">
        <v>852.46002199999998</v>
      </c>
    </row>
    <row r="58" spans="1:2">
      <c r="A58" s="267">
        <v>42807</v>
      </c>
      <c r="B58" s="99">
        <v>854.59002699999996</v>
      </c>
    </row>
    <row r="59" spans="1:2">
      <c r="A59" s="267">
        <v>42808</v>
      </c>
      <c r="B59" s="99">
        <v>852.53002900000001</v>
      </c>
    </row>
    <row r="60" spans="1:2">
      <c r="A60" s="267">
        <v>42809</v>
      </c>
      <c r="B60" s="99">
        <v>852.96997099999999</v>
      </c>
    </row>
    <row r="61" spans="1:2">
      <c r="A61" s="267">
        <v>42810</v>
      </c>
      <c r="B61" s="99">
        <v>853.419983</v>
      </c>
    </row>
    <row r="62" spans="1:2">
      <c r="A62" s="267">
        <v>42811</v>
      </c>
      <c r="B62" s="99">
        <v>852.30999799999995</v>
      </c>
    </row>
    <row r="63" spans="1:2">
      <c r="A63" s="267">
        <v>42814</v>
      </c>
      <c r="B63" s="99">
        <v>856.96997099999999</v>
      </c>
    </row>
    <row r="64" spans="1:2">
      <c r="A64" s="267">
        <v>42815</v>
      </c>
      <c r="B64" s="99">
        <v>843.20001200000002</v>
      </c>
    </row>
    <row r="65" spans="1:2">
      <c r="A65" s="267">
        <v>42816</v>
      </c>
      <c r="B65" s="99">
        <v>848.05999799999995</v>
      </c>
    </row>
    <row r="66" spans="1:2">
      <c r="A66" s="267">
        <v>42817</v>
      </c>
      <c r="B66" s="99">
        <v>847.38000499999998</v>
      </c>
    </row>
    <row r="67" spans="1:2">
      <c r="A67" s="267">
        <v>42818</v>
      </c>
      <c r="B67" s="99">
        <v>845.60998500000005</v>
      </c>
    </row>
    <row r="68" spans="1:2">
      <c r="A68" s="267">
        <v>42821</v>
      </c>
      <c r="B68" s="99">
        <v>846.82000700000003</v>
      </c>
    </row>
    <row r="69" spans="1:2">
      <c r="A69" s="267">
        <v>42822</v>
      </c>
      <c r="B69" s="99">
        <v>856</v>
      </c>
    </row>
    <row r="70" spans="1:2">
      <c r="A70" s="267">
        <v>42823</v>
      </c>
      <c r="B70" s="99">
        <v>874.32000700000003</v>
      </c>
    </row>
    <row r="71" spans="1:2">
      <c r="A71" s="267">
        <v>42824</v>
      </c>
      <c r="B71" s="99">
        <v>876.34002699999996</v>
      </c>
    </row>
    <row r="72" spans="1:2">
      <c r="A72" s="267">
        <v>42825</v>
      </c>
      <c r="B72" s="99">
        <v>886.53997800000002</v>
      </c>
    </row>
    <row r="73" spans="1:2">
      <c r="A73" s="267">
        <v>42828</v>
      </c>
      <c r="B73" s="99">
        <v>891.51000999999997</v>
      </c>
    </row>
    <row r="74" spans="1:2">
      <c r="A74" s="267">
        <v>42829</v>
      </c>
      <c r="B74" s="99">
        <v>906.830017</v>
      </c>
    </row>
    <row r="75" spans="1:2">
      <c r="A75" s="267">
        <v>42830</v>
      </c>
      <c r="B75" s="99">
        <v>909.28002900000001</v>
      </c>
    </row>
    <row r="76" spans="1:2">
      <c r="A76" s="267">
        <v>42831</v>
      </c>
      <c r="B76" s="99">
        <v>898.28002900000001</v>
      </c>
    </row>
    <row r="77" spans="1:2">
      <c r="A77" s="267">
        <v>42832</v>
      </c>
      <c r="B77" s="99">
        <v>894.88000499999998</v>
      </c>
    </row>
    <row r="78" spans="1:2">
      <c r="A78" s="267">
        <v>42835</v>
      </c>
      <c r="B78" s="99">
        <v>907.03997800000002</v>
      </c>
    </row>
    <row r="79" spans="1:2">
      <c r="A79" s="267">
        <v>42836</v>
      </c>
      <c r="B79" s="99">
        <v>902.35998500000005</v>
      </c>
    </row>
    <row r="80" spans="1:2">
      <c r="A80" s="267">
        <v>42837</v>
      </c>
      <c r="B80" s="99">
        <v>896.22997999999995</v>
      </c>
    </row>
    <row r="81" spans="1:2">
      <c r="A81" s="267">
        <v>42838</v>
      </c>
      <c r="B81" s="99">
        <v>884.669983</v>
      </c>
    </row>
    <row r="82" spans="1:2">
      <c r="A82" s="267">
        <v>42842</v>
      </c>
      <c r="B82" s="99">
        <v>901.98999000000003</v>
      </c>
    </row>
    <row r="83" spans="1:2">
      <c r="A83" s="267">
        <v>42843</v>
      </c>
      <c r="B83" s="99">
        <v>903.78002900000001</v>
      </c>
    </row>
    <row r="84" spans="1:2">
      <c r="A84" s="267">
        <v>42844</v>
      </c>
      <c r="B84" s="99">
        <v>899.20001200000002</v>
      </c>
    </row>
    <row r="85" spans="1:2">
      <c r="A85" s="267">
        <v>42845</v>
      </c>
      <c r="B85" s="99">
        <v>902.05999799999995</v>
      </c>
    </row>
    <row r="86" spans="1:2">
      <c r="A86" s="267">
        <v>42846</v>
      </c>
      <c r="B86" s="99">
        <v>898.53002900000001</v>
      </c>
    </row>
    <row r="87" spans="1:2">
      <c r="A87" s="267">
        <v>42849</v>
      </c>
      <c r="B87" s="99">
        <v>907.40997300000004</v>
      </c>
    </row>
    <row r="88" spans="1:2">
      <c r="A88" s="267">
        <v>42850</v>
      </c>
      <c r="B88" s="99">
        <v>907.61999500000002</v>
      </c>
    </row>
    <row r="89" spans="1:2">
      <c r="A89" s="267">
        <v>42851</v>
      </c>
      <c r="B89" s="99">
        <v>909.28997800000002</v>
      </c>
    </row>
    <row r="90" spans="1:2">
      <c r="A90" s="267">
        <v>42852</v>
      </c>
      <c r="B90" s="99">
        <v>918.38000499999998</v>
      </c>
    </row>
    <row r="91" spans="1:2">
      <c r="A91" s="267">
        <v>42853</v>
      </c>
      <c r="B91" s="99">
        <v>924.98999000000003</v>
      </c>
    </row>
    <row r="92" spans="1:2">
      <c r="A92" s="267">
        <v>42856</v>
      </c>
      <c r="B92" s="99">
        <v>948.22997999999995</v>
      </c>
    </row>
    <row r="93" spans="1:2">
      <c r="A93" s="267">
        <v>42857</v>
      </c>
      <c r="B93" s="99">
        <v>946.94000200000005</v>
      </c>
    </row>
    <row r="94" spans="1:2">
      <c r="A94" s="267">
        <v>42858</v>
      </c>
      <c r="B94" s="99">
        <v>941.03002900000001</v>
      </c>
    </row>
    <row r="95" spans="1:2">
      <c r="A95" s="267">
        <v>42859</v>
      </c>
      <c r="B95" s="99">
        <v>937.53002900000001</v>
      </c>
    </row>
    <row r="96" spans="1:2">
      <c r="A96" s="267">
        <v>42860</v>
      </c>
      <c r="B96" s="99">
        <v>934.15002400000003</v>
      </c>
    </row>
    <row r="97" spans="1:2">
      <c r="A97" s="267">
        <v>42863</v>
      </c>
      <c r="B97" s="99">
        <v>949.03997800000002</v>
      </c>
    </row>
    <row r="98" spans="1:2">
      <c r="A98" s="267">
        <v>42864</v>
      </c>
      <c r="B98" s="99">
        <v>952.82000700000003</v>
      </c>
    </row>
    <row r="99" spans="1:2">
      <c r="A99" s="267">
        <v>42865</v>
      </c>
      <c r="B99" s="99">
        <v>948.95001200000002</v>
      </c>
    </row>
    <row r="100" spans="1:2">
      <c r="A100" s="267">
        <v>42866</v>
      </c>
      <c r="B100" s="99">
        <v>947.61999500000002</v>
      </c>
    </row>
    <row r="101" spans="1:2">
      <c r="A101" s="267">
        <v>42867</v>
      </c>
      <c r="B101" s="99">
        <v>961.34997599999997</v>
      </c>
    </row>
    <row r="102" spans="1:2">
      <c r="A102" s="267">
        <v>42870</v>
      </c>
      <c r="B102" s="99">
        <v>957.96997099999999</v>
      </c>
    </row>
    <row r="103" spans="1:2">
      <c r="A103" s="267">
        <v>42871</v>
      </c>
      <c r="B103" s="99">
        <v>966.07000700000003</v>
      </c>
    </row>
    <row r="104" spans="1:2">
      <c r="A104" s="267">
        <v>42872</v>
      </c>
      <c r="B104" s="99">
        <v>944.76000999999997</v>
      </c>
    </row>
    <row r="105" spans="1:2">
      <c r="A105" s="267">
        <v>42873</v>
      </c>
      <c r="B105" s="99">
        <v>958.48999000000003</v>
      </c>
    </row>
    <row r="106" spans="1:2">
      <c r="A106" s="267">
        <v>42874</v>
      </c>
      <c r="B106" s="99">
        <v>959.84002699999996</v>
      </c>
    </row>
    <row r="107" spans="1:2">
      <c r="A107" s="267">
        <v>42877</v>
      </c>
      <c r="B107" s="99">
        <v>970.669983</v>
      </c>
    </row>
    <row r="108" spans="1:2">
      <c r="A108" s="267">
        <v>42878</v>
      </c>
      <c r="B108" s="99">
        <v>971.53997800000002</v>
      </c>
    </row>
    <row r="109" spans="1:2">
      <c r="A109" s="267">
        <v>42879</v>
      </c>
      <c r="B109" s="99">
        <v>980.34997599999997</v>
      </c>
    </row>
    <row r="110" spans="1:2">
      <c r="A110" s="267">
        <v>42880</v>
      </c>
      <c r="B110" s="99">
        <v>993.38000499999998</v>
      </c>
    </row>
    <row r="111" spans="1:2">
      <c r="A111" s="267">
        <v>42881</v>
      </c>
      <c r="B111" s="99">
        <v>995.78002900000001</v>
      </c>
    </row>
    <row r="112" spans="1:2">
      <c r="A112" s="267">
        <v>42885</v>
      </c>
      <c r="B112" s="99">
        <v>996.70001200000002</v>
      </c>
    </row>
    <row r="113" spans="1:2">
      <c r="A113" s="267">
        <v>42886</v>
      </c>
      <c r="B113" s="99">
        <v>994.61999500000002</v>
      </c>
    </row>
    <row r="114" spans="1:2">
      <c r="A114" s="267">
        <v>42887</v>
      </c>
      <c r="B114" s="99">
        <v>995.95001200000002</v>
      </c>
    </row>
    <row r="115" spans="1:2">
      <c r="A115" s="267">
        <v>42888</v>
      </c>
      <c r="B115" s="99">
        <v>1006.72998</v>
      </c>
    </row>
    <row r="116" spans="1:2">
      <c r="A116" s="267">
        <v>42891</v>
      </c>
      <c r="B116" s="99">
        <v>1011.340027</v>
      </c>
    </row>
    <row r="117" spans="1:2">
      <c r="A117" s="267">
        <v>42892</v>
      </c>
      <c r="B117" s="99">
        <v>1003</v>
      </c>
    </row>
    <row r="118" spans="1:2">
      <c r="A118" s="267">
        <v>42893</v>
      </c>
      <c r="B118" s="99">
        <v>1010.070007</v>
      </c>
    </row>
    <row r="119" spans="1:2">
      <c r="A119" s="267">
        <v>42894</v>
      </c>
      <c r="B119" s="99">
        <v>1010.27002</v>
      </c>
    </row>
    <row r="120" spans="1:2">
      <c r="A120" s="267">
        <v>42895</v>
      </c>
      <c r="B120" s="99">
        <v>978.30999799999995</v>
      </c>
    </row>
    <row r="121" spans="1:2">
      <c r="A121" s="267">
        <v>42898</v>
      </c>
      <c r="B121" s="99">
        <v>964.90997300000004</v>
      </c>
    </row>
    <row r="122" spans="1:2">
      <c r="A122" s="267">
        <v>42899</v>
      </c>
      <c r="B122" s="99">
        <v>980.78997800000002</v>
      </c>
    </row>
    <row r="123" spans="1:2">
      <c r="A123" s="267">
        <v>42900</v>
      </c>
      <c r="B123" s="99">
        <v>976.46997099999999</v>
      </c>
    </row>
    <row r="124" spans="1:2">
      <c r="A124" s="267">
        <v>42901</v>
      </c>
      <c r="B124" s="99">
        <v>964.169983</v>
      </c>
    </row>
    <row r="125" spans="1:2">
      <c r="A125" s="267">
        <v>42902</v>
      </c>
      <c r="B125" s="99">
        <v>987.71002199999998</v>
      </c>
    </row>
    <row r="126" spans="1:2">
      <c r="A126" s="267">
        <v>42905</v>
      </c>
      <c r="B126" s="99">
        <v>995.169983</v>
      </c>
    </row>
    <row r="127" spans="1:2">
      <c r="A127" s="267">
        <v>42906</v>
      </c>
      <c r="B127" s="99">
        <v>992.59002699999996</v>
      </c>
    </row>
    <row r="128" spans="1:2">
      <c r="A128" s="267">
        <v>42907</v>
      </c>
      <c r="B128" s="99">
        <v>1002.22998</v>
      </c>
    </row>
    <row r="129" spans="1:2">
      <c r="A129" s="267">
        <v>42908</v>
      </c>
      <c r="B129" s="99">
        <v>1001.299988</v>
      </c>
    </row>
    <row r="130" spans="1:2">
      <c r="A130" s="267">
        <v>42909</v>
      </c>
      <c r="B130" s="99">
        <v>1003.73999</v>
      </c>
    </row>
    <row r="131" spans="1:2">
      <c r="A131" s="267">
        <v>42912</v>
      </c>
      <c r="B131" s="99">
        <v>993.97997999999995</v>
      </c>
    </row>
    <row r="132" spans="1:2">
      <c r="A132" s="267">
        <v>42913</v>
      </c>
      <c r="B132" s="99">
        <v>976.78002900000001</v>
      </c>
    </row>
    <row r="133" spans="1:2">
      <c r="A133" s="267">
        <v>42914</v>
      </c>
      <c r="B133" s="99">
        <v>990.330017</v>
      </c>
    </row>
    <row r="134" spans="1:2">
      <c r="A134" s="267">
        <v>42915</v>
      </c>
      <c r="B134" s="99">
        <v>975.92999299999997</v>
      </c>
    </row>
    <row r="135" spans="1:2">
      <c r="A135" s="267">
        <v>42916</v>
      </c>
      <c r="B135" s="99">
        <v>968</v>
      </c>
    </row>
    <row r="136" spans="1:2">
      <c r="A136" s="267">
        <v>42919</v>
      </c>
      <c r="B136" s="99">
        <v>953.65997300000004</v>
      </c>
    </row>
    <row r="137" spans="1:2">
      <c r="A137" s="267">
        <v>42921</v>
      </c>
      <c r="B137" s="99">
        <v>971.40002400000003</v>
      </c>
    </row>
    <row r="138" spans="1:2">
      <c r="A138" s="267">
        <v>42922</v>
      </c>
      <c r="B138" s="99">
        <v>965.14001499999995</v>
      </c>
    </row>
    <row r="139" spans="1:2">
      <c r="A139" s="267">
        <v>42923</v>
      </c>
      <c r="B139" s="99">
        <v>978.76000999999997</v>
      </c>
    </row>
    <row r="140" spans="1:2">
      <c r="A140" s="267">
        <v>42926</v>
      </c>
      <c r="B140" s="99">
        <v>996.46997099999999</v>
      </c>
    </row>
    <row r="141" spans="1:2">
      <c r="A141" s="267">
        <v>42927</v>
      </c>
      <c r="B141" s="99">
        <v>994.13000499999998</v>
      </c>
    </row>
    <row r="142" spans="1:2">
      <c r="A142" s="267">
        <v>42928</v>
      </c>
      <c r="B142" s="99">
        <v>1006.51001</v>
      </c>
    </row>
    <row r="143" spans="1:2">
      <c r="A143" s="267">
        <v>42929</v>
      </c>
      <c r="B143" s="99">
        <v>1000.630005</v>
      </c>
    </row>
    <row r="144" spans="1:2">
      <c r="A144" s="267">
        <v>42930</v>
      </c>
      <c r="B144" s="99">
        <v>1001.809998</v>
      </c>
    </row>
    <row r="145" spans="1:2">
      <c r="A145" s="267">
        <v>42933</v>
      </c>
      <c r="B145" s="99">
        <v>1010.039978</v>
      </c>
    </row>
    <row r="146" spans="1:2">
      <c r="A146" s="267">
        <v>42934</v>
      </c>
      <c r="B146" s="99">
        <v>1024.4499510000001</v>
      </c>
    </row>
    <row r="147" spans="1:2">
      <c r="A147" s="267">
        <v>42935</v>
      </c>
      <c r="B147" s="99">
        <v>1026.869995</v>
      </c>
    </row>
    <row r="148" spans="1:2">
      <c r="A148" s="267">
        <v>42936</v>
      </c>
      <c r="B148" s="99">
        <v>1028.6999510000001</v>
      </c>
    </row>
    <row r="149" spans="1:2">
      <c r="A149" s="267">
        <v>42937</v>
      </c>
      <c r="B149" s="99">
        <v>1025.670044</v>
      </c>
    </row>
    <row r="150" spans="1:2">
      <c r="A150" s="267">
        <v>42940</v>
      </c>
      <c r="B150" s="99">
        <v>1038.9499510000001</v>
      </c>
    </row>
    <row r="151" spans="1:2">
      <c r="A151" s="267">
        <v>42941</v>
      </c>
      <c r="B151" s="99">
        <v>1039.869995</v>
      </c>
    </row>
    <row r="152" spans="1:2">
      <c r="A152" s="267">
        <v>42942</v>
      </c>
      <c r="B152" s="99">
        <v>1052.8000489999999</v>
      </c>
    </row>
    <row r="153" spans="1:2">
      <c r="A153" s="267">
        <v>42943</v>
      </c>
      <c r="B153" s="99">
        <v>1046</v>
      </c>
    </row>
    <row r="154" spans="1:2">
      <c r="A154" s="267">
        <v>42944</v>
      </c>
      <c r="B154" s="99">
        <v>1020.039978</v>
      </c>
    </row>
    <row r="155" spans="1:2">
      <c r="A155" s="267">
        <v>42947</v>
      </c>
      <c r="B155" s="99">
        <v>987.78002900000001</v>
      </c>
    </row>
    <row r="156" spans="1:2">
      <c r="A156" s="267">
        <v>42948</v>
      </c>
      <c r="B156" s="99">
        <v>996.19000200000005</v>
      </c>
    </row>
    <row r="157" spans="1:2">
      <c r="A157" s="267">
        <v>42949</v>
      </c>
      <c r="B157" s="99">
        <v>995.89001499999995</v>
      </c>
    </row>
    <row r="158" spans="1:2">
      <c r="A158" s="267">
        <v>42950</v>
      </c>
      <c r="B158" s="99">
        <v>986.919983</v>
      </c>
    </row>
    <row r="159" spans="1:2">
      <c r="A159" s="267">
        <v>42951</v>
      </c>
      <c r="B159" s="99">
        <v>987.580017</v>
      </c>
    </row>
    <row r="160" spans="1:2">
      <c r="A160" s="267">
        <v>42954</v>
      </c>
      <c r="B160" s="99">
        <v>992.27002000000005</v>
      </c>
    </row>
    <row r="161" spans="1:2">
      <c r="A161" s="267">
        <v>42955</v>
      </c>
      <c r="B161" s="99">
        <v>989.84002699999996</v>
      </c>
    </row>
    <row r="162" spans="1:2">
      <c r="A162" s="267">
        <v>42956</v>
      </c>
      <c r="B162" s="99">
        <v>982.01000999999997</v>
      </c>
    </row>
    <row r="163" spans="1:2">
      <c r="A163" s="267">
        <v>42957</v>
      </c>
      <c r="B163" s="99">
        <v>956.919983</v>
      </c>
    </row>
    <row r="164" spans="1:2">
      <c r="A164" s="267">
        <v>42958</v>
      </c>
      <c r="B164" s="99">
        <v>967.98999000000003</v>
      </c>
    </row>
    <row r="165" spans="1:2">
      <c r="A165" s="267">
        <v>42961</v>
      </c>
      <c r="B165" s="99">
        <v>983.29998799999998</v>
      </c>
    </row>
    <row r="166" spans="1:2">
      <c r="A166" s="267">
        <v>42962</v>
      </c>
      <c r="B166" s="99">
        <v>982.73999000000003</v>
      </c>
    </row>
    <row r="167" spans="1:2">
      <c r="A167" s="267">
        <v>42963</v>
      </c>
      <c r="B167" s="99">
        <v>978.17999299999997</v>
      </c>
    </row>
    <row r="168" spans="1:2">
      <c r="A168" s="267">
        <v>42964</v>
      </c>
      <c r="B168" s="99">
        <v>960.57000700000003</v>
      </c>
    </row>
    <row r="169" spans="1:2">
      <c r="A169" s="267">
        <v>42965</v>
      </c>
      <c r="B169" s="99">
        <v>958.46997099999999</v>
      </c>
    </row>
    <row r="170" spans="1:2">
      <c r="A170" s="267">
        <v>42968</v>
      </c>
      <c r="B170" s="99">
        <v>953.28997800000002</v>
      </c>
    </row>
    <row r="171" spans="1:2">
      <c r="A171" s="267">
        <v>42969</v>
      </c>
      <c r="B171" s="99">
        <v>966.90002400000003</v>
      </c>
    </row>
    <row r="172" spans="1:2">
      <c r="A172" s="267">
        <v>42970</v>
      </c>
      <c r="B172" s="99">
        <v>958</v>
      </c>
    </row>
    <row r="173" spans="1:2">
      <c r="A173" s="267">
        <v>42971</v>
      </c>
      <c r="B173" s="99">
        <v>952.45001200000002</v>
      </c>
    </row>
    <row r="174" spans="1:2">
      <c r="A174" s="267">
        <v>42972</v>
      </c>
      <c r="B174" s="99">
        <v>945.26000999999997</v>
      </c>
    </row>
    <row r="175" spans="1:2">
      <c r="A175" s="267">
        <v>42975</v>
      </c>
      <c r="B175" s="99">
        <v>946.02002000000005</v>
      </c>
    </row>
    <row r="176" spans="1:2">
      <c r="A176" s="267">
        <v>42976</v>
      </c>
      <c r="B176" s="99">
        <v>954.05999799999995</v>
      </c>
    </row>
    <row r="177" spans="1:2">
      <c r="A177" s="267">
        <v>42977</v>
      </c>
      <c r="B177" s="99">
        <v>967.59002699999996</v>
      </c>
    </row>
    <row r="178" spans="1:2">
      <c r="A178" s="267">
        <v>42978</v>
      </c>
      <c r="B178" s="99">
        <v>980.59997599999997</v>
      </c>
    </row>
    <row r="179" spans="1:2">
      <c r="A179" s="267">
        <v>42979</v>
      </c>
      <c r="B179" s="99">
        <v>978.25</v>
      </c>
    </row>
    <row r="180" spans="1:2">
      <c r="A180" s="267">
        <v>42983</v>
      </c>
      <c r="B180" s="99">
        <v>965.27002000000005</v>
      </c>
    </row>
    <row r="181" spans="1:2">
      <c r="A181" s="267">
        <v>42984</v>
      </c>
      <c r="B181" s="99">
        <v>967.79998799999998</v>
      </c>
    </row>
    <row r="182" spans="1:2">
      <c r="A182" s="267">
        <v>42985</v>
      </c>
      <c r="B182" s="99">
        <v>979.46997099999999</v>
      </c>
    </row>
    <row r="183" spans="1:2">
      <c r="A183" s="267">
        <v>42986</v>
      </c>
      <c r="B183" s="99">
        <v>965.90002400000003</v>
      </c>
    </row>
    <row r="184" spans="1:2">
      <c r="A184" s="267">
        <v>42989</v>
      </c>
      <c r="B184" s="99">
        <v>977.96002199999998</v>
      </c>
    </row>
    <row r="185" spans="1:2">
      <c r="A185" s="267">
        <v>42990</v>
      </c>
      <c r="B185" s="99">
        <v>982.580017</v>
      </c>
    </row>
    <row r="186" spans="1:2">
      <c r="A186" s="267">
        <v>42991</v>
      </c>
      <c r="B186" s="99">
        <v>999.59997599999997</v>
      </c>
    </row>
    <row r="187" spans="1:2">
      <c r="A187" s="267">
        <v>42992</v>
      </c>
      <c r="B187" s="99">
        <v>992.21002199999998</v>
      </c>
    </row>
    <row r="188" spans="1:2">
      <c r="A188" s="267">
        <v>42993</v>
      </c>
      <c r="B188" s="99">
        <v>986.78997800000002</v>
      </c>
    </row>
    <row r="189" spans="1:2">
      <c r="A189" s="267">
        <v>42996</v>
      </c>
      <c r="B189" s="99">
        <v>974.19000200000005</v>
      </c>
    </row>
    <row r="190" spans="1:2">
      <c r="A190" s="267">
        <v>42997</v>
      </c>
      <c r="B190" s="99">
        <v>969.85998500000005</v>
      </c>
    </row>
    <row r="191" spans="1:2">
      <c r="A191" s="267">
        <v>42998</v>
      </c>
      <c r="B191" s="99">
        <v>973.21002199999998</v>
      </c>
    </row>
    <row r="192" spans="1:2">
      <c r="A192" s="267">
        <v>42999</v>
      </c>
      <c r="B192" s="99">
        <v>964.65002400000003</v>
      </c>
    </row>
    <row r="193" spans="1:2">
      <c r="A193" s="267">
        <v>43000</v>
      </c>
      <c r="B193" s="99">
        <v>955.09997599999997</v>
      </c>
    </row>
    <row r="194" spans="1:2">
      <c r="A194" s="267">
        <v>43003</v>
      </c>
      <c r="B194" s="99">
        <v>939.78997800000002</v>
      </c>
    </row>
    <row r="195" spans="1:2">
      <c r="A195" s="267">
        <v>43004</v>
      </c>
      <c r="B195" s="99">
        <v>938.59997599999997</v>
      </c>
    </row>
    <row r="196" spans="1:2">
      <c r="A196" s="267">
        <v>43005</v>
      </c>
      <c r="B196" s="99">
        <v>950.86999500000002</v>
      </c>
    </row>
    <row r="197" spans="1:2">
      <c r="A197" s="267">
        <v>43006</v>
      </c>
      <c r="B197" s="99">
        <v>956.40002400000003</v>
      </c>
    </row>
    <row r="198" spans="1:2">
      <c r="A198" s="267">
        <v>43007</v>
      </c>
      <c r="B198" s="99">
        <v>961.34997599999997</v>
      </c>
    </row>
    <row r="199" spans="1:2">
      <c r="A199" s="267">
        <v>43010</v>
      </c>
      <c r="B199" s="99">
        <v>959.19000200000005</v>
      </c>
    </row>
    <row r="200" spans="1:2">
      <c r="A200" s="267">
        <v>43011</v>
      </c>
      <c r="B200" s="99">
        <v>957.09997599999997</v>
      </c>
    </row>
    <row r="201" spans="1:2">
      <c r="A201" s="267">
        <v>43012</v>
      </c>
      <c r="B201" s="99">
        <v>965.45001200000002</v>
      </c>
    </row>
    <row r="202" spans="1:2">
      <c r="A202" s="267">
        <v>43013</v>
      </c>
      <c r="B202" s="99">
        <v>980.84997599999997</v>
      </c>
    </row>
    <row r="203" spans="1:2">
      <c r="A203" s="267">
        <v>43014</v>
      </c>
      <c r="B203" s="99">
        <v>989.580017</v>
      </c>
    </row>
    <row r="204" spans="1:2">
      <c r="A204" s="267">
        <v>43017</v>
      </c>
      <c r="B204" s="99">
        <v>990.98999000000003</v>
      </c>
    </row>
    <row r="205" spans="1:2">
      <c r="A205" s="267">
        <v>43018</v>
      </c>
      <c r="B205" s="99">
        <v>987.20001200000002</v>
      </c>
    </row>
    <row r="206" spans="1:2">
      <c r="A206" s="267">
        <v>43019</v>
      </c>
      <c r="B206" s="99">
        <v>995</v>
      </c>
    </row>
    <row r="207" spans="1:2">
      <c r="A207" s="267">
        <v>43020</v>
      </c>
      <c r="B207" s="99">
        <v>1000.929993</v>
      </c>
    </row>
    <row r="208" spans="1:2">
      <c r="A208" s="267">
        <v>43021</v>
      </c>
      <c r="B208" s="99">
        <v>1002.940002</v>
      </c>
    </row>
    <row r="209" spans="1:2">
      <c r="A209" s="267">
        <v>43024</v>
      </c>
      <c r="B209" s="99">
        <v>1006.340027</v>
      </c>
    </row>
    <row r="210" spans="1:2">
      <c r="A210" s="267">
        <v>43025</v>
      </c>
      <c r="B210" s="99">
        <v>1009.130005</v>
      </c>
    </row>
    <row r="211" spans="1:2">
      <c r="A211" s="267">
        <v>43026</v>
      </c>
      <c r="B211" s="99">
        <v>997</v>
      </c>
    </row>
    <row r="212" spans="1:2">
      <c r="A212" s="267">
        <v>43027</v>
      </c>
      <c r="B212" s="99">
        <v>986.60998500000005</v>
      </c>
    </row>
    <row r="213" spans="1:2">
      <c r="A213" s="267">
        <v>43028</v>
      </c>
      <c r="B213" s="99">
        <v>982.90997300000004</v>
      </c>
    </row>
    <row r="214" spans="1:2">
      <c r="A214" s="267">
        <v>43031</v>
      </c>
      <c r="B214" s="99">
        <v>966.29998799999998</v>
      </c>
    </row>
    <row r="215" spans="1:2">
      <c r="A215" s="267">
        <v>43032</v>
      </c>
      <c r="B215" s="99">
        <v>975.90002400000003</v>
      </c>
    </row>
    <row r="216" spans="1:2">
      <c r="A216" s="267">
        <v>43033</v>
      </c>
      <c r="B216" s="99">
        <v>972.90997300000004</v>
      </c>
    </row>
    <row r="217" spans="1:2">
      <c r="A217" s="267">
        <v>43034</v>
      </c>
      <c r="B217" s="99">
        <v>972.42999299999997</v>
      </c>
    </row>
    <row r="218" spans="1:2">
      <c r="A218" s="267">
        <v>43035</v>
      </c>
      <c r="B218" s="99">
        <v>1100.9499510000001</v>
      </c>
    </row>
    <row r="219" spans="1:2">
      <c r="A219" s="267">
        <v>43038</v>
      </c>
      <c r="B219" s="99">
        <v>1110.849976</v>
      </c>
    </row>
    <row r="220" spans="1:2">
      <c r="A220" s="267">
        <v>43039</v>
      </c>
      <c r="B220" s="99">
        <v>1105.280029</v>
      </c>
    </row>
    <row r="221" spans="1:2">
      <c r="A221" s="267">
        <v>43040</v>
      </c>
      <c r="B221" s="99">
        <v>1103.6800539999999</v>
      </c>
    </row>
    <row r="222" spans="1:2">
      <c r="A222" s="267">
        <v>43041</v>
      </c>
      <c r="B222" s="99">
        <v>1094.219971</v>
      </c>
    </row>
    <row r="223" spans="1:2">
      <c r="A223" s="267">
        <v>43042</v>
      </c>
      <c r="B223" s="99">
        <v>1111.599976</v>
      </c>
    </row>
    <row r="224" spans="1:2">
      <c r="A224" s="267">
        <v>43045</v>
      </c>
      <c r="B224" s="99">
        <v>1120.660034</v>
      </c>
    </row>
    <row r="225" spans="1:2">
      <c r="A225" s="267">
        <v>43046</v>
      </c>
      <c r="B225" s="99">
        <v>1123.170044</v>
      </c>
    </row>
    <row r="226" spans="1:2">
      <c r="A226" s="267">
        <v>43047</v>
      </c>
      <c r="B226" s="99">
        <v>1132.880005</v>
      </c>
    </row>
    <row r="227" spans="1:2">
      <c r="A227" s="267">
        <v>43048</v>
      </c>
      <c r="B227" s="99">
        <v>1129.130005</v>
      </c>
    </row>
    <row r="228" spans="1:2">
      <c r="A228" s="267">
        <v>43049</v>
      </c>
      <c r="B228" s="99">
        <v>1125.349976</v>
      </c>
    </row>
    <row r="229" spans="1:2">
      <c r="A229" s="267">
        <v>43052</v>
      </c>
      <c r="B229" s="99">
        <v>1129.170044</v>
      </c>
    </row>
    <row r="230" spans="1:2">
      <c r="A230" s="267">
        <v>43053</v>
      </c>
      <c r="B230" s="99">
        <v>1136.839966</v>
      </c>
    </row>
    <row r="231" spans="1:2">
      <c r="A231" s="267">
        <v>43054</v>
      </c>
      <c r="B231" s="99">
        <v>1126.6899410000001</v>
      </c>
    </row>
    <row r="232" spans="1:2">
      <c r="A232" s="267">
        <v>43055</v>
      </c>
      <c r="B232" s="99">
        <v>1137.290039</v>
      </c>
    </row>
    <row r="233" spans="1:2">
      <c r="A233" s="267">
        <v>43056</v>
      </c>
      <c r="B233" s="99">
        <v>1129.880005</v>
      </c>
    </row>
    <row r="234" spans="1:2">
      <c r="A234" s="267">
        <v>43059</v>
      </c>
      <c r="B234" s="99">
        <v>1126.3100589999999</v>
      </c>
    </row>
    <row r="235" spans="1:2">
      <c r="A235" s="267">
        <v>43060</v>
      </c>
      <c r="B235" s="99">
        <v>1139.48999</v>
      </c>
    </row>
    <row r="236" spans="1:2">
      <c r="A236" s="267">
        <v>43061</v>
      </c>
      <c r="B236" s="99">
        <v>1156.160034</v>
      </c>
    </row>
    <row r="237" spans="1:2">
      <c r="A237" s="267">
        <v>43063</v>
      </c>
      <c r="B237" s="99">
        <v>1186</v>
      </c>
    </row>
    <row r="238" spans="1:2">
      <c r="A238" s="267">
        <v>43066</v>
      </c>
      <c r="B238" s="99">
        <v>1195.829956</v>
      </c>
    </row>
    <row r="239" spans="1:2">
      <c r="A239" s="267">
        <v>43067</v>
      </c>
      <c r="B239" s="99">
        <v>1193.599976</v>
      </c>
    </row>
    <row r="240" spans="1:2">
      <c r="A240" s="267">
        <v>43068</v>
      </c>
      <c r="B240" s="99">
        <v>1161.2700199999999</v>
      </c>
    </row>
    <row r="241" spans="1:2">
      <c r="A241" s="267">
        <v>43069</v>
      </c>
      <c r="B241" s="99">
        <v>1176.75</v>
      </c>
    </row>
    <row r="242" spans="1:2">
      <c r="A242" s="267">
        <v>43070</v>
      </c>
      <c r="B242" s="99">
        <v>1162.349976</v>
      </c>
    </row>
    <row r="243" spans="1:2">
      <c r="A243" s="267">
        <v>43073</v>
      </c>
      <c r="B243" s="99">
        <v>1133.9499510000001</v>
      </c>
    </row>
    <row r="244" spans="1:2">
      <c r="A244" s="267">
        <v>43074</v>
      </c>
      <c r="B244" s="99">
        <v>1141.5699460000001</v>
      </c>
    </row>
    <row r="245" spans="1:2">
      <c r="A245" s="267">
        <v>43075</v>
      </c>
      <c r="B245" s="99">
        <v>1152.349976</v>
      </c>
    </row>
    <row r="246" spans="1:2">
      <c r="A246" s="267">
        <v>43076</v>
      </c>
      <c r="B246" s="99">
        <v>1159.790039</v>
      </c>
    </row>
    <row r="247" spans="1:2">
      <c r="A247" s="267">
        <v>43077</v>
      </c>
      <c r="B247" s="99">
        <v>1162</v>
      </c>
    </row>
    <row r="248" spans="1:2">
      <c r="A248" s="267">
        <v>43080</v>
      </c>
      <c r="B248" s="99">
        <v>1168.920044</v>
      </c>
    </row>
    <row r="249" spans="1:2">
      <c r="A249" s="267">
        <v>43081</v>
      </c>
      <c r="B249" s="99">
        <v>1165.079956</v>
      </c>
    </row>
    <row r="250" spans="1:2">
      <c r="A250" s="267">
        <v>43082</v>
      </c>
      <c r="B250" s="99">
        <v>1164.130005</v>
      </c>
    </row>
    <row r="251" spans="1:2">
      <c r="A251" s="267">
        <v>43083</v>
      </c>
      <c r="B251" s="99">
        <v>1174.26001</v>
      </c>
    </row>
    <row r="252" spans="1:2">
      <c r="A252" s="267">
        <v>43084</v>
      </c>
      <c r="B252" s="99">
        <v>1179.1400149999999</v>
      </c>
    </row>
    <row r="253" spans="1:2">
      <c r="A253" s="267">
        <v>43087</v>
      </c>
      <c r="B253" s="99">
        <v>1190.579956</v>
      </c>
    </row>
    <row r="254" spans="1:2">
      <c r="A254" s="267">
        <v>43088</v>
      </c>
      <c r="B254" s="99">
        <v>1187.380005</v>
      </c>
    </row>
    <row r="255" spans="1:2">
      <c r="A255" s="267">
        <v>43089</v>
      </c>
      <c r="B255" s="99">
        <v>1177.619995</v>
      </c>
    </row>
    <row r="256" spans="1:2">
      <c r="A256" s="267">
        <v>43090</v>
      </c>
      <c r="B256" s="99">
        <v>1174.76001</v>
      </c>
    </row>
    <row r="257" spans="1:2">
      <c r="A257" s="267">
        <v>43091</v>
      </c>
      <c r="B257" s="99">
        <v>1168.3599850000001</v>
      </c>
    </row>
    <row r="258" spans="1:2">
      <c r="A258" s="267">
        <v>43095</v>
      </c>
      <c r="B258" s="99">
        <v>1176.76001</v>
      </c>
    </row>
    <row r="259" spans="1:2">
      <c r="A259" s="267">
        <v>43096</v>
      </c>
      <c r="B259" s="99">
        <v>1182.26001</v>
      </c>
    </row>
    <row r="260" spans="1:2">
      <c r="A260" s="267">
        <v>43097</v>
      </c>
      <c r="B260" s="99">
        <v>1186.099976</v>
      </c>
    </row>
    <row r="261" spans="1:2">
      <c r="A261" s="267">
        <v>43098</v>
      </c>
      <c r="B261" s="99">
        <v>1169.469971</v>
      </c>
    </row>
    <row r="262" spans="1:2">
      <c r="A262" s="267">
        <v>43102</v>
      </c>
      <c r="B262" s="99">
        <v>1189.01001</v>
      </c>
    </row>
    <row r="263" spans="1:2">
      <c r="A263" s="267">
        <v>43103</v>
      </c>
      <c r="B263" s="99">
        <v>1204.1999510000001</v>
      </c>
    </row>
    <row r="264" spans="1:2">
      <c r="A264" s="267">
        <v>43104</v>
      </c>
      <c r="B264" s="99">
        <v>1209.589966</v>
      </c>
    </row>
    <row r="265" spans="1:2">
      <c r="A265" s="267">
        <v>43105</v>
      </c>
      <c r="B265" s="99">
        <v>1229.1400149999999</v>
      </c>
    </row>
    <row r="266" spans="1:2">
      <c r="A266" s="267">
        <v>43108</v>
      </c>
      <c r="B266" s="99">
        <v>1246.869995</v>
      </c>
    </row>
    <row r="267" spans="1:2">
      <c r="A267" s="267">
        <v>43109</v>
      </c>
      <c r="B267" s="99">
        <v>1252.6999510000001</v>
      </c>
    </row>
    <row r="268" spans="1:2">
      <c r="A268" s="267">
        <v>43110</v>
      </c>
      <c r="B268" s="99">
        <v>1254.329956</v>
      </c>
    </row>
    <row r="269" spans="1:2">
      <c r="A269" s="267">
        <v>43111</v>
      </c>
      <c r="B269" s="99">
        <v>1276.6800539999999</v>
      </c>
    </row>
    <row r="270" spans="1:2">
      <c r="A270" s="267">
        <v>43112</v>
      </c>
      <c r="B270" s="99">
        <v>1305.1999510000001</v>
      </c>
    </row>
    <row r="271" spans="1:2">
      <c r="A271" s="267">
        <v>43116</v>
      </c>
      <c r="B271" s="99">
        <v>1304.8599850000001</v>
      </c>
    </row>
    <row r="272" spans="1:2">
      <c r="A272" s="267">
        <v>43117</v>
      </c>
      <c r="B272" s="99">
        <v>1295</v>
      </c>
    </row>
    <row r="273" spans="1:2">
      <c r="A273" s="267">
        <v>43118</v>
      </c>
      <c r="B273" s="99">
        <v>1293.3199460000001</v>
      </c>
    </row>
    <row r="274" spans="1:2">
      <c r="A274" s="267">
        <v>43119</v>
      </c>
      <c r="B274" s="99">
        <v>1294.579956</v>
      </c>
    </row>
    <row r="275" spans="1:2">
      <c r="A275" s="267">
        <v>43122</v>
      </c>
      <c r="B275" s="99">
        <v>1327.3100589999999</v>
      </c>
    </row>
    <row r="276" spans="1:2">
      <c r="A276" s="267">
        <v>43123</v>
      </c>
      <c r="B276" s="99">
        <v>1362.540039</v>
      </c>
    </row>
    <row r="277" spans="1:2">
      <c r="A277" s="267">
        <v>43124</v>
      </c>
      <c r="B277" s="99">
        <v>1357.51001</v>
      </c>
    </row>
    <row r="278" spans="1:2">
      <c r="A278" s="267">
        <v>43125</v>
      </c>
      <c r="B278" s="99">
        <v>1377.9499510000001</v>
      </c>
    </row>
    <row r="279" spans="1:2">
      <c r="A279" s="267">
        <v>43126</v>
      </c>
      <c r="B279" s="99">
        <v>1402.0500489999999</v>
      </c>
    </row>
    <row r="280" spans="1:2">
      <c r="A280" s="267">
        <v>43129</v>
      </c>
      <c r="B280" s="99">
        <v>1417.6800539999999</v>
      </c>
    </row>
    <row r="281" spans="1:2">
      <c r="A281" s="267">
        <v>43130</v>
      </c>
      <c r="B281" s="99">
        <v>1437.8199460000001</v>
      </c>
    </row>
    <row r="282" spans="1:2">
      <c r="A282" s="267">
        <v>43131</v>
      </c>
      <c r="B282" s="99">
        <v>1450.8900149999999</v>
      </c>
    </row>
    <row r="283" spans="1:2">
      <c r="A283" s="267">
        <v>43132</v>
      </c>
      <c r="B283" s="99">
        <v>1390</v>
      </c>
    </row>
    <row r="284" spans="1:2">
      <c r="A284" s="267">
        <v>43133</v>
      </c>
      <c r="B284" s="99">
        <v>1429.9499510000001</v>
      </c>
    </row>
    <row r="285" spans="1:2">
      <c r="A285" s="267">
        <v>43136</v>
      </c>
      <c r="B285" s="99">
        <v>1390</v>
      </c>
    </row>
    <row r="286" spans="1:2">
      <c r="A286" s="267">
        <v>43137</v>
      </c>
      <c r="B286" s="99">
        <v>1442.839966</v>
      </c>
    </row>
    <row r="287" spans="1:2">
      <c r="A287" s="267">
        <v>43138</v>
      </c>
      <c r="B287" s="99">
        <v>1416.780029</v>
      </c>
    </row>
    <row r="288" spans="1:2">
      <c r="A288" s="267">
        <v>43139</v>
      </c>
      <c r="B288" s="99">
        <v>1350.5</v>
      </c>
    </row>
    <row r="289" spans="1:2">
      <c r="A289" s="267">
        <v>43140</v>
      </c>
      <c r="B289" s="99">
        <v>1339.599976</v>
      </c>
    </row>
    <row r="290" spans="1:2">
      <c r="A290" s="267">
        <v>43143</v>
      </c>
      <c r="B290" s="99">
        <v>1386.2299800000001</v>
      </c>
    </row>
    <row r="291" spans="1:2">
      <c r="A291" s="267">
        <v>43144</v>
      </c>
      <c r="B291" s="99">
        <v>1414.51001</v>
      </c>
    </row>
    <row r="292" spans="1:2">
      <c r="A292" s="267">
        <v>43145</v>
      </c>
      <c r="B292" s="99">
        <v>1451.0500489999999</v>
      </c>
    </row>
    <row r="293" spans="1:2">
      <c r="A293" s="267">
        <v>43146</v>
      </c>
      <c r="B293" s="99">
        <v>1461.76001</v>
      </c>
    </row>
    <row r="294" spans="1:2">
      <c r="A294" s="267">
        <v>43147</v>
      </c>
      <c r="B294" s="99">
        <v>1448.6899410000001</v>
      </c>
    </row>
    <row r="295" spans="1:2">
      <c r="A295" s="267">
        <v>43151</v>
      </c>
      <c r="B295" s="99">
        <v>1468.349976</v>
      </c>
    </row>
    <row r="296" spans="1:2">
      <c r="A296" s="267">
        <v>43152</v>
      </c>
      <c r="B296" s="99">
        <v>1482.920044</v>
      </c>
    </row>
    <row r="297" spans="1:2">
      <c r="A297" s="267">
        <v>43153</v>
      </c>
      <c r="B297" s="99">
        <v>1485.339966</v>
      </c>
    </row>
    <row r="298" spans="1:2">
      <c r="A298" s="267">
        <v>43154</v>
      </c>
      <c r="B298" s="99">
        <v>1500</v>
      </c>
    </row>
    <row r="299" spans="1:2">
      <c r="A299" s="267">
        <v>43157</v>
      </c>
      <c r="B299" s="99">
        <v>1521.9499510000001</v>
      </c>
    </row>
    <row r="300" spans="1:2">
      <c r="A300" s="267">
        <v>43158</v>
      </c>
      <c r="B300" s="99">
        <v>1511.9799800000001</v>
      </c>
    </row>
    <row r="301" spans="1:2">
      <c r="A301" s="267">
        <v>43159</v>
      </c>
      <c r="B301" s="99">
        <v>1512.4499510000001</v>
      </c>
    </row>
    <row r="302" spans="1:2">
      <c r="A302" s="267">
        <v>43160</v>
      </c>
      <c r="B302" s="99">
        <v>1493.4499510000001</v>
      </c>
    </row>
    <row r="303" spans="1:2">
      <c r="A303" s="267">
        <v>43161</v>
      </c>
      <c r="B303" s="99">
        <v>1500.25</v>
      </c>
    </row>
    <row r="304" spans="1:2">
      <c r="A304" s="267">
        <v>43164</v>
      </c>
      <c r="B304" s="99">
        <v>1523.6099850000001</v>
      </c>
    </row>
    <row r="305" spans="1:2">
      <c r="A305" s="267">
        <v>43165</v>
      </c>
      <c r="B305" s="99">
        <v>1537.6400149999999</v>
      </c>
    </row>
    <row r="306" spans="1:2">
      <c r="A306" s="267">
        <v>43166</v>
      </c>
      <c r="B306" s="99">
        <v>1545</v>
      </c>
    </row>
    <row r="307" spans="1:2">
      <c r="A307" s="267">
        <v>43167</v>
      </c>
      <c r="B307" s="99">
        <v>1551.8599850000001</v>
      </c>
    </row>
    <row r="308" spans="1:2">
      <c r="A308" s="267">
        <v>43168</v>
      </c>
      <c r="B308" s="99">
        <v>1578.8900149999999</v>
      </c>
    </row>
    <row r="309" spans="1:2">
      <c r="A309" s="267">
        <v>43171</v>
      </c>
      <c r="B309" s="99">
        <v>1598.3900149999999</v>
      </c>
    </row>
    <row r="310" spans="1:2">
      <c r="A310" s="267">
        <v>43172</v>
      </c>
      <c r="B310" s="99">
        <v>1588.1800539999999</v>
      </c>
    </row>
    <row r="311" spans="1:2">
      <c r="A311" s="267">
        <v>43173</v>
      </c>
      <c r="B311" s="99">
        <v>1591</v>
      </c>
    </row>
    <row r="312" spans="1:2">
      <c r="A312" s="267">
        <v>43174</v>
      </c>
      <c r="B312" s="99">
        <v>1582.3199460000001</v>
      </c>
    </row>
    <row r="313" spans="1:2">
      <c r="A313" s="267">
        <v>43175</v>
      </c>
      <c r="B313" s="99">
        <v>1571.6800539999999</v>
      </c>
    </row>
    <row r="314" spans="1:2">
      <c r="A314" s="267">
        <v>43178</v>
      </c>
      <c r="B314" s="99">
        <v>1544.9300539999999</v>
      </c>
    </row>
    <row r="315" spans="1:2">
      <c r="A315" s="267">
        <v>43179</v>
      </c>
      <c r="B315" s="99">
        <v>1586.51001</v>
      </c>
    </row>
    <row r="316" spans="1:2">
      <c r="A316" s="267">
        <v>43180</v>
      </c>
      <c r="B316" s="99">
        <v>1581.8599850000001</v>
      </c>
    </row>
    <row r="317" spans="1:2">
      <c r="A317" s="267">
        <v>43181</v>
      </c>
      <c r="B317" s="99">
        <v>1544.920044</v>
      </c>
    </row>
    <row r="318" spans="1:2">
      <c r="A318" s="267">
        <v>43182</v>
      </c>
      <c r="B318" s="99">
        <v>1495.5600589999999</v>
      </c>
    </row>
    <row r="319" spans="1:2">
      <c r="A319" s="267">
        <v>43185</v>
      </c>
      <c r="B319" s="99">
        <v>1555.8599850000001</v>
      </c>
    </row>
    <row r="320" spans="1:2">
      <c r="A320" s="267">
        <v>43186</v>
      </c>
      <c r="B320" s="99">
        <v>1497.0500489999999</v>
      </c>
    </row>
    <row r="321" spans="1:2">
      <c r="A321" s="267">
        <v>43187</v>
      </c>
      <c r="B321" s="99">
        <v>1431.420044</v>
      </c>
    </row>
    <row r="322" spans="1:2">
      <c r="A322" s="267">
        <v>43188</v>
      </c>
      <c r="B322" s="99">
        <v>1447.339966</v>
      </c>
    </row>
    <row r="323" spans="1:2">
      <c r="A323" s="267">
        <v>43192</v>
      </c>
      <c r="B323" s="99">
        <v>1371.98999</v>
      </c>
    </row>
    <row r="324" spans="1:2">
      <c r="A324" s="267">
        <v>43193</v>
      </c>
      <c r="B324" s="99">
        <v>1392.0500489999999</v>
      </c>
    </row>
    <row r="325" spans="1:2">
      <c r="A325" s="267">
        <v>43194</v>
      </c>
      <c r="B325" s="99">
        <v>1410.5699460000001</v>
      </c>
    </row>
    <row r="326" spans="1:2">
      <c r="A326" s="267">
        <v>43195</v>
      </c>
      <c r="B326" s="99">
        <v>1451.75</v>
      </c>
    </row>
    <row r="327" spans="1:2">
      <c r="A327" s="267">
        <v>43196</v>
      </c>
      <c r="B327" s="99">
        <v>1405.2299800000001</v>
      </c>
    </row>
    <row r="328" spans="1:2">
      <c r="A328" s="267">
        <v>43199</v>
      </c>
      <c r="B328" s="99">
        <v>1406.079956</v>
      </c>
    </row>
    <row r="329" spans="1:2">
      <c r="A329" s="267">
        <v>43200</v>
      </c>
      <c r="B329" s="99">
        <v>1436.219971</v>
      </c>
    </row>
    <row r="330" spans="1:2">
      <c r="A330" s="267">
        <v>43201</v>
      </c>
      <c r="B330" s="99">
        <v>1427.0500489999999</v>
      </c>
    </row>
    <row r="331" spans="1:2">
      <c r="A331" s="267">
        <v>43202</v>
      </c>
      <c r="B331" s="99">
        <v>1448.5</v>
      </c>
    </row>
    <row r="332" spans="1:2">
      <c r="A332" s="267">
        <v>43203</v>
      </c>
      <c r="B332" s="99">
        <v>1430.790039</v>
      </c>
    </row>
    <row r="333" spans="1:2">
      <c r="A333" s="267">
        <v>43206</v>
      </c>
      <c r="B333" s="99">
        <v>1441.5</v>
      </c>
    </row>
    <row r="334" spans="1:2">
      <c r="A334" s="267">
        <v>43207</v>
      </c>
      <c r="B334" s="99">
        <v>1503.829956</v>
      </c>
    </row>
    <row r="335" spans="1:2">
      <c r="A335" s="267">
        <v>43208</v>
      </c>
      <c r="B335" s="99">
        <v>1527.839966</v>
      </c>
    </row>
    <row r="336" spans="1:2">
      <c r="A336" s="267">
        <v>43209</v>
      </c>
      <c r="B336" s="99">
        <v>1556.910034</v>
      </c>
    </row>
    <row r="337" spans="1:2">
      <c r="A337" s="267">
        <v>43210</v>
      </c>
      <c r="B337" s="99">
        <v>1527.48999</v>
      </c>
    </row>
    <row r="338" spans="1:2">
      <c r="A338" s="267">
        <v>43213</v>
      </c>
      <c r="B338" s="99">
        <v>1517.8599850000001</v>
      </c>
    </row>
    <row r="339" spans="1:2">
      <c r="A339" s="267">
        <v>43214</v>
      </c>
      <c r="B339" s="99">
        <v>1460.089966</v>
      </c>
    </row>
    <row r="340" spans="1:2">
      <c r="A340" s="267">
        <v>43215</v>
      </c>
      <c r="B340" s="99">
        <v>1460.170044</v>
      </c>
    </row>
    <row r="341" spans="1:2">
      <c r="A341" s="267">
        <v>43216</v>
      </c>
      <c r="B341" s="99">
        <v>1517.959961</v>
      </c>
    </row>
    <row r="342" spans="1:2">
      <c r="A342" s="267">
        <v>43217</v>
      </c>
      <c r="B342" s="99">
        <v>1572.619995</v>
      </c>
    </row>
    <row r="343" spans="1:2">
      <c r="A343" s="267">
        <v>43220</v>
      </c>
      <c r="B343" s="99">
        <v>1566.130005</v>
      </c>
    </row>
    <row r="344" spans="1:2">
      <c r="A344" s="267">
        <v>43221</v>
      </c>
      <c r="B344" s="99">
        <v>1582.26001</v>
      </c>
    </row>
    <row r="345" spans="1:2">
      <c r="A345" s="267">
        <v>43222</v>
      </c>
      <c r="B345" s="99">
        <v>1569.6800539999999</v>
      </c>
    </row>
    <row r="346" spans="1:2">
      <c r="A346" s="267">
        <v>43223</v>
      </c>
      <c r="B346" s="99">
        <v>1572.079956</v>
      </c>
    </row>
    <row r="347" spans="1:2">
      <c r="A347" s="267">
        <v>43224</v>
      </c>
      <c r="B347" s="99">
        <v>1580.9499510000001</v>
      </c>
    </row>
    <row r="348" spans="1:2">
      <c r="A348" s="267">
        <v>43227</v>
      </c>
      <c r="B348" s="99">
        <v>1600.1400149999999</v>
      </c>
    </row>
    <row r="349" spans="1:2">
      <c r="A349" s="267">
        <v>43228</v>
      </c>
      <c r="B349" s="99">
        <v>1592.3900149999999</v>
      </c>
    </row>
    <row r="350" spans="1:2">
      <c r="A350" s="267">
        <v>43229</v>
      </c>
      <c r="B350" s="99">
        <v>1608</v>
      </c>
    </row>
    <row r="351" spans="1:2">
      <c r="A351" s="267">
        <v>43230</v>
      </c>
      <c r="B351" s="99">
        <v>1609.079956</v>
      </c>
    </row>
    <row r="352" spans="1:2">
      <c r="A352" s="267">
        <v>43231</v>
      </c>
      <c r="B352" s="99">
        <v>1602.910034</v>
      </c>
    </row>
    <row r="353" spans="1:2">
      <c r="A353" s="267">
        <v>43234</v>
      </c>
      <c r="B353" s="99">
        <v>1601.540039</v>
      </c>
    </row>
    <row r="354" spans="1:2">
      <c r="A354" s="267">
        <v>43235</v>
      </c>
      <c r="B354" s="99">
        <v>1576.119995</v>
      </c>
    </row>
    <row r="355" spans="1:2">
      <c r="A355" s="267">
        <v>43236</v>
      </c>
      <c r="B355" s="99">
        <v>1587.280029</v>
      </c>
    </row>
    <row r="356" spans="1:2">
      <c r="A356" s="267">
        <v>43237</v>
      </c>
      <c r="B356" s="99">
        <v>1581.76001</v>
      </c>
    </row>
    <row r="357" spans="1:2">
      <c r="A357" s="267">
        <v>43238</v>
      </c>
      <c r="B357" s="99">
        <v>1574.369995</v>
      </c>
    </row>
    <row r="358" spans="1:2">
      <c r="A358" s="267">
        <v>43241</v>
      </c>
      <c r="B358" s="99">
        <v>1585.459961</v>
      </c>
    </row>
    <row r="359" spans="1:2">
      <c r="A359" s="267">
        <v>43242</v>
      </c>
      <c r="B359" s="99">
        <v>1581.400024</v>
      </c>
    </row>
    <row r="360" spans="1:2">
      <c r="A360" s="267">
        <v>43243</v>
      </c>
      <c r="B360" s="99">
        <v>1601.8599850000001</v>
      </c>
    </row>
    <row r="361" spans="1:2">
      <c r="A361" s="267">
        <v>43244</v>
      </c>
      <c r="B361" s="99">
        <v>1603.0699460000001</v>
      </c>
    </row>
    <row r="362" spans="1:2">
      <c r="A362" s="267">
        <v>43245</v>
      </c>
      <c r="B362" s="99">
        <v>1610.150024</v>
      </c>
    </row>
    <row r="363" spans="1:2">
      <c r="A363" s="267">
        <v>43249</v>
      </c>
      <c r="B363" s="99">
        <v>1612.869995</v>
      </c>
    </row>
    <row r="364" spans="1:2">
      <c r="A364" s="267">
        <v>43250</v>
      </c>
      <c r="B364" s="99">
        <v>1624.8900149999999</v>
      </c>
    </row>
    <row r="365" spans="1:2">
      <c r="A365" s="267">
        <v>43251</v>
      </c>
      <c r="B365" s="99">
        <v>1629.619995</v>
      </c>
    </row>
    <row r="366" spans="1:2">
      <c r="A366" s="267">
        <v>43252</v>
      </c>
      <c r="B366" s="99">
        <v>1641.540039</v>
      </c>
    </row>
    <row r="367" spans="1:2">
      <c r="A367" s="267">
        <v>43255</v>
      </c>
      <c r="B367" s="99">
        <v>1665.2700199999999</v>
      </c>
    </row>
    <row r="368" spans="1:2">
      <c r="A368" s="267">
        <v>43256</v>
      </c>
      <c r="B368" s="99">
        <v>1696.349976</v>
      </c>
    </row>
    <row r="369" spans="1:2">
      <c r="A369" s="267">
        <v>43257</v>
      </c>
      <c r="B369" s="99">
        <v>1695.75</v>
      </c>
    </row>
    <row r="370" spans="1:2">
      <c r="A370" s="267">
        <v>43258</v>
      </c>
      <c r="B370" s="99">
        <v>1689.3000489999999</v>
      </c>
    </row>
    <row r="371" spans="1:2">
      <c r="A371" s="267">
        <v>43259</v>
      </c>
      <c r="B371" s="99">
        <v>1683.98999</v>
      </c>
    </row>
    <row r="372" spans="1:2">
      <c r="A372" s="267">
        <v>43262</v>
      </c>
      <c r="B372" s="99">
        <v>1689.119995</v>
      </c>
    </row>
    <row r="373" spans="1:2">
      <c r="A373" s="267">
        <v>43263</v>
      </c>
      <c r="B373" s="99">
        <v>1698.75</v>
      </c>
    </row>
    <row r="374" spans="1:2">
      <c r="A374" s="267">
        <v>43264</v>
      </c>
      <c r="B374" s="99">
        <v>1704.8599850000001</v>
      </c>
    </row>
    <row r="375" spans="1:2">
      <c r="A375" s="267">
        <v>43265</v>
      </c>
      <c r="B375" s="99">
        <v>1723.8599850000001</v>
      </c>
    </row>
    <row r="376" spans="1:2">
      <c r="A376" s="267">
        <v>43266</v>
      </c>
      <c r="B376" s="99">
        <v>1715.969971</v>
      </c>
    </row>
    <row r="377" spans="1:2">
      <c r="A377" s="267">
        <v>43269</v>
      </c>
      <c r="B377" s="99">
        <v>1723.790039</v>
      </c>
    </row>
    <row r="378" spans="1:2">
      <c r="A378" s="267">
        <v>43270</v>
      </c>
      <c r="B378" s="99">
        <v>1734.780029</v>
      </c>
    </row>
    <row r="379" spans="1:2">
      <c r="A379" s="267">
        <v>43271</v>
      </c>
      <c r="B379" s="99">
        <v>1750.079956</v>
      </c>
    </row>
    <row r="380" spans="1:2">
      <c r="A380" s="267">
        <v>43272</v>
      </c>
      <c r="B380" s="99">
        <v>1730.219971</v>
      </c>
    </row>
    <row r="381" spans="1:2">
      <c r="A381" s="267">
        <v>43273</v>
      </c>
      <c r="B381" s="99">
        <v>1715.670044</v>
      </c>
    </row>
    <row r="382" spans="1:2">
      <c r="A382" s="267">
        <v>43276</v>
      </c>
      <c r="B382" s="99">
        <v>1663.150024</v>
      </c>
    </row>
    <row r="383" spans="1:2">
      <c r="A383" s="267">
        <v>43277</v>
      </c>
      <c r="B383" s="99">
        <v>1691.089966</v>
      </c>
    </row>
    <row r="384" spans="1:2">
      <c r="A384" s="267">
        <v>43278</v>
      </c>
      <c r="B384" s="99">
        <v>1660.51001</v>
      </c>
    </row>
    <row r="385" spans="1:2">
      <c r="A385" s="267">
        <v>43279</v>
      </c>
      <c r="B385" s="99">
        <v>1701.4499510000001</v>
      </c>
    </row>
    <row r="386" spans="1:2">
      <c r="A386" s="267">
        <v>43280</v>
      </c>
      <c r="B386" s="99">
        <v>1699.8000489999999</v>
      </c>
    </row>
    <row r="387" spans="1:2">
      <c r="A387" s="267">
        <v>43283</v>
      </c>
      <c r="B387" s="99">
        <v>1713.780029</v>
      </c>
    </row>
    <row r="388" spans="1:2">
      <c r="A388" s="267">
        <v>43284</v>
      </c>
      <c r="B388" s="99">
        <v>1693.959961</v>
      </c>
    </row>
    <row r="389" spans="1:2">
      <c r="A389" s="267">
        <v>43286</v>
      </c>
      <c r="B389" s="99">
        <v>1699.7299800000001</v>
      </c>
    </row>
    <row r="390" spans="1:2">
      <c r="A390" s="267">
        <v>43287</v>
      </c>
      <c r="B390" s="99">
        <v>1710.630005</v>
      </c>
    </row>
    <row r="391" spans="1:2">
      <c r="A391" s="267">
        <v>43290</v>
      </c>
      <c r="B391" s="99">
        <v>1739.0200199999999</v>
      </c>
    </row>
    <row r="392" spans="1:2">
      <c r="A392" s="267">
        <v>43291</v>
      </c>
      <c r="B392" s="99">
        <v>1743.0699460000001</v>
      </c>
    </row>
    <row r="393" spans="1:2">
      <c r="A393" s="267">
        <v>43292</v>
      </c>
      <c r="B393" s="99">
        <v>1755</v>
      </c>
    </row>
    <row r="394" spans="1:2">
      <c r="A394" s="267">
        <v>43293</v>
      </c>
      <c r="B394" s="99">
        <v>1796.619995</v>
      </c>
    </row>
    <row r="395" spans="1:2">
      <c r="A395" s="267">
        <v>43294</v>
      </c>
      <c r="B395" s="99">
        <v>1813.030029</v>
      </c>
    </row>
    <row r="396" spans="1:2">
      <c r="A396" s="267">
        <v>43297</v>
      </c>
      <c r="B396" s="99">
        <v>1822.48999</v>
      </c>
    </row>
    <row r="397" spans="1:2">
      <c r="A397" s="267">
        <v>43298</v>
      </c>
      <c r="B397" s="99">
        <v>1843.9300539999999</v>
      </c>
    </row>
    <row r="398" spans="1:2">
      <c r="A398" s="267">
        <v>43299</v>
      </c>
      <c r="B398" s="99">
        <v>1842.920044</v>
      </c>
    </row>
    <row r="399" spans="1:2">
      <c r="A399" s="267">
        <v>43300</v>
      </c>
      <c r="B399" s="99">
        <v>1812.969971</v>
      </c>
    </row>
    <row r="400" spans="1:2">
      <c r="A400" s="267">
        <v>43301</v>
      </c>
      <c r="B400" s="99">
        <v>1813.6999510000001</v>
      </c>
    </row>
    <row r="401" spans="1:2">
      <c r="A401" s="267">
        <v>43304</v>
      </c>
      <c r="B401" s="99">
        <v>1802</v>
      </c>
    </row>
    <row r="402" spans="1:2">
      <c r="A402" s="267">
        <v>43305</v>
      </c>
      <c r="B402" s="99">
        <v>1829.23999</v>
      </c>
    </row>
    <row r="403" spans="1:2">
      <c r="A403" s="267">
        <v>43306</v>
      </c>
      <c r="B403" s="99">
        <v>1863.6099850000001</v>
      </c>
    </row>
    <row r="404" spans="1:2">
      <c r="A404" s="267">
        <v>43307</v>
      </c>
      <c r="B404" s="99">
        <v>1808</v>
      </c>
    </row>
    <row r="405" spans="1:2">
      <c r="A405" s="267">
        <v>43308</v>
      </c>
      <c r="B405" s="99">
        <v>1817.2700199999999</v>
      </c>
    </row>
    <row r="406" spans="1:2">
      <c r="A406" s="267">
        <v>43311</v>
      </c>
      <c r="B406" s="99">
        <v>1779.219971</v>
      </c>
    </row>
    <row r="407" spans="1:2">
      <c r="A407" s="267">
        <v>43312</v>
      </c>
      <c r="B407" s="99">
        <v>1777.4399410000001</v>
      </c>
    </row>
    <row r="408" spans="1:2">
      <c r="A408" s="267">
        <v>43313</v>
      </c>
      <c r="B408" s="99">
        <v>1797.170044</v>
      </c>
    </row>
    <row r="409" spans="1:2">
      <c r="A409" s="267">
        <v>43314</v>
      </c>
      <c r="B409" s="99">
        <v>1834.329956</v>
      </c>
    </row>
    <row r="410" spans="1:2">
      <c r="A410" s="267">
        <v>43315</v>
      </c>
      <c r="B410" s="99">
        <v>1823.290039</v>
      </c>
    </row>
    <row r="411" spans="1:2">
      <c r="A411" s="267">
        <v>43318</v>
      </c>
      <c r="B411" s="99">
        <v>1847.75</v>
      </c>
    </row>
    <row r="412" spans="1:2">
      <c r="A412" s="267">
        <v>43319</v>
      </c>
      <c r="B412" s="99">
        <v>1862.4799800000001</v>
      </c>
    </row>
    <row r="413" spans="1:2">
      <c r="A413" s="267">
        <v>43320</v>
      </c>
      <c r="B413" s="99">
        <v>1886.5200199999999</v>
      </c>
    </row>
    <row r="414" spans="1:2">
      <c r="A414" s="267">
        <v>43321</v>
      </c>
      <c r="B414" s="99">
        <v>1898.5200199999999</v>
      </c>
    </row>
    <row r="415" spans="1:2">
      <c r="A415" s="267">
        <v>43322</v>
      </c>
      <c r="B415" s="99">
        <v>1886.3000489999999</v>
      </c>
    </row>
    <row r="416" spans="1:2">
      <c r="A416" s="267">
        <v>43325</v>
      </c>
      <c r="B416" s="99">
        <v>1896.1999510000001</v>
      </c>
    </row>
    <row r="417" spans="1:2">
      <c r="A417" s="267">
        <v>43326</v>
      </c>
      <c r="B417" s="99">
        <v>1919.650024</v>
      </c>
    </row>
    <row r="418" spans="1:2">
      <c r="A418" s="267">
        <v>43327</v>
      </c>
      <c r="B418" s="99">
        <v>1882.619995</v>
      </c>
    </row>
    <row r="419" spans="1:2">
      <c r="A419" s="267">
        <v>43328</v>
      </c>
      <c r="B419" s="99">
        <v>1886.5200199999999</v>
      </c>
    </row>
    <row r="420" spans="1:2">
      <c r="A420" s="267">
        <v>43329</v>
      </c>
      <c r="B420" s="99">
        <v>1882.219971</v>
      </c>
    </row>
    <row r="421" spans="1:2">
      <c r="A421" s="267">
        <v>43332</v>
      </c>
      <c r="B421" s="99">
        <v>1876.709961</v>
      </c>
    </row>
    <row r="422" spans="1:2">
      <c r="A422" s="267">
        <v>43333</v>
      </c>
      <c r="B422" s="99">
        <v>1883.420044</v>
      </c>
    </row>
    <row r="423" spans="1:2">
      <c r="A423" s="267">
        <v>43334</v>
      </c>
      <c r="B423" s="99">
        <v>1904.900024</v>
      </c>
    </row>
    <row r="424" spans="1:2">
      <c r="A424" s="267">
        <v>43335</v>
      </c>
      <c r="B424" s="99">
        <v>1902.900024</v>
      </c>
    </row>
    <row r="425" spans="1:2">
      <c r="A425" s="267">
        <v>43336</v>
      </c>
      <c r="B425" s="99">
        <v>1905.3900149999999</v>
      </c>
    </row>
    <row r="426" spans="1:2">
      <c r="A426" s="267">
        <v>43339</v>
      </c>
      <c r="B426" s="99">
        <v>1927.6800539999999</v>
      </c>
    </row>
    <row r="427" spans="1:2">
      <c r="A427" s="267">
        <v>43340</v>
      </c>
      <c r="B427" s="99">
        <v>1932.8199460000001</v>
      </c>
    </row>
    <row r="428" spans="1:2">
      <c r="A428" s="267">
        <v>43341</v>
      </c>
      <c r="B428" s="99">
        <v>1998.099976</v>
      </c>
    </row>
    <row r="429" spans="1:2">
      <c r="A429" s="267">
        <v>43342</v>
      </c>
      <c r="B429" s="99">
        <v>2002.380005</v>
      </c>
    </row>
    <row r="430" spans="1:2">
      <c r="A430" s="267">
        <v>43343</v>
      </c>
      <c r="B430" s="99">
        <v>2012.709961</v>
      </c>
    </row>
    <row r="431" spans="1:2">
      <c r="A431" s="267">
        <v>43347</v>
      </c>
      <c r="B431" s="99">
        <v>2039.51001</v>
      </c>
    </row>
    <row r="432" spans="1:2">
      <c r="A432" s="267">
        <v>43348</v>
      </c>
      <c r="B432" s="99">
        <v>1994.8199460000001</v>
      </c>
    </row>
    <row r="433" spans="1:2">
      <c r="A433" s="267">
        <v>43349</v>
      </c>
      <c r="B433" s="99">
        <v>1958.3100589999999</v>
      </c>
    </row>
    <row r="434" spans="1:2">
      <c r="A434" s="267">
        <v>43350</v>
      </c>
      <c r="B434" s="99">
        <v>1952.0699460000001</v>
      </c>
    </row>
    <row r="435" spans="1:2">
      <c r="A435" s="267">
        <v>43353</v>
      </c>
      <c r="B435" s="99">
        <v>1939.01001</v>
      </c>
    </row>
    <row r="436" spans="1:2">
      <c r="A436" s="267">
        <v>43354</v>
      </c>
      <c r="B436" s="99">
        <v>1987.150024</v>
      </c>
    </row>
    <row r="437" spans="1:2">
      <c r="A437" s="267">
        <v>43355</v>
      </c>
      <c r="B437" s="99">
        <v>1990</v>
      </c>
    </row>
    <row r="438" spans="1:2">
      <c r="A438" s="267">
        <v>43356</v>
      </c>
      <c r="B438" s="99">
        <v>1989.869995</v>
      </c>
    </row>
    <row r="439" spans="1:2">
      <c r="A439" s="267">
        <v>43357</v>
      </c>
      <c r="B439" s="99">
        <v>1970.1899410000001</v>
      </c>
    </row>
    <row r="440" spans="1:2">
      <c r="A440" s="267">
        <v>43360</v>
      </c>
      <c r="B440" s="99">
        <v>1908.030029</v>
      </c>
    </row>
    <row r="441" spans="1:2">
      <c r="A441" s="267">
        <v>43361</v>
      </c>
      <c r="B441" s="99">
        <v>1941.0500489999999</v>
      </c>
    </row>
    <row r="442" spans="1:2">
      <c r="A442" s="267">
        <v>43362</v>
      </c>
      <c r="B442" s="99">
        <v>1926.420044</v>
      </c>
    </row>
    <row r="443" spans="1:2">
      <c r="A443" s="267">
        <v>43363</v>
      </c>
      <c r="B443" s="99">
        <v>1944.3000489999999</v>
      </c>
    </row>
    <row r="444" spans="1:2">
      <c r="A444" s="267">
        <v>43364</v>
      </c>
      <c r="B444" s="99">
        <v>1915.01001</v>
      </c>
    </row>
    <row r="445" spans="1:2">
      <c r="A445" s="267">
        <v>43367</v>
      </c>
      <c r="B445" s="99">
        <v>1934.3599850000001</v>
      </c>
    </row>
    <row r="446" spans="1:2">
      <c r="A446" s="267">
        <v>43368</v>
      </c>
      <c r="B446" s="99">
        <v>1974.5500489999999</v>
      </c>
    </row>
    <row r="447" spans="1:2">
      <c r="A447" s="267">
        <v>43369</v>
      </c>
      <c r="B447" s="99">
        <v>1974.849976</v>
      </c>
    </row>
    <row r="448" spans="1:2">
      <c r="A448" s="267">
        <v>43370</v>
      </c>
      <c r="B448" s="99">
        <v>2012.9799800000001</v>
      </c>
    </row>
    <row r="449" spans="1:2">
      <c r="A449" s="267">
        <v>43371</v>
      </c>
      <c r="B449" s="99">
        <v>2003</v>
      </c>
    </row>
    <row r="450" spans="1:2">
      <c r="A450" s="267">
        <v>43374</v>
      </c>
      <c r="B450" s="99">
        <v>2004.3599850000001</v>
      </c>
    </row>
    <row r="451" spans="1:2">
      <c r="A451" s="267">
        <v>43375</v>
      </c>
      <c r="B451" s="99">
        <v>1971.3100589999999</v>
      </c>
    </row>
    <row r="452" spans="1:2">
      <c r="A452" s="267">
        <v>43376</v>
      </c>
      <c r="B452" s="99">
        <v>1952.76001</v>
      </c>
    </row>
    <row r="453" spans="1:2">
      <c r="A453" s="267">
        <v>43377</v>
      </c>
      <c r="B453" s="99">
        <v>1909.420044</v>
      </c>
    </row>
    <row r="454" spans="1:2">
      <c r="A454" s="267">
        <v>43378</v>
      </c>
      <c r="B454" s="99">
        <v>1889.650024</v>
      </c>
    </row>
    <row r="455" spans="1:2">
      <c r="A455" s="267">
        <v>43381</v>
      </c>
      <c r="B455" s="99">
        <v>1864.420044</v>
      </c>
    </row>
    <row r="456" spans="1:2">
      <c r="A456" s="267">
        <v>43382</v>
      </c>
      <c r="B456" s="99">
        <v>1870.3199460000001</v>
      </c>
    </row>
    <row r="457" spans="1:2">
      <c r="A457" s="267">
        <v>43383</v>
      </c>
      <c r="B457" s="99">
        <v>1755.25</v>
      </c>
    </row>
    <row r="458" spans="1:2">
      <c r="A458" s="267">
        <v>43384</v>
      </c>
      <c r="B458" s="99">
        <v>1719.3599850000001</v>
      </c>
    </row>
    <row r="459" spans="1:2">
      <c r="A459" s="267">
        <v>43385</v>
      </c>
      <c r="B459" s="99">
        <v>1788.6099850000001</v>
      </c>
    </row>
    <row r="460" spans="1:2">
      <c r="A460" s="267">
        <v>43388</v>
      </c>
      <c r="B460" s="99">
        <v>1760.9499510000001</v>
      </c>
    </row>
    <row r="461" spans="1:2">
      <c r="A461" s="267">
        <v>43389</v>
      </c>
      <c r="B461" s="99">
        <v>1819.959961</v>
      </c>
    </row>
    <row r="462" spans="1:2">
      <c r="A462" s="267">
        <v>43390</v>
      </c>
      <c r="B462" s="99">
        <v>1831.7299800000001</v>
      </c>
    </row>
    <row r="463" spans="1:2">
      <c r="A463" s="267">
        <v>43391</v>
      </c>
      <c r="B463" s="99">
        <v>1770.719971</v>
      </c>
    </row>
    <row r="464" spans="1:2">
      <c r="A464" s="267">
        <v>43392</v>
      </c>
      <c r="B464" s="99">
        <v>1764.030029</v>
      </c>
    </row>
    <row r="465" spans="1:2">
      <c r="A465" s="267">
        <v>43395</v>
      </c>
      <c r="B465" s="99">
        <v>1789.3000489999999</v>
      </c>
    </row>
    <row r="466" spans="1:2">
      <c r="A466" s="267">
        <v>43396</v>
      </c>
      <c r="B466" s="99">
        <v>1768.6999510000001</v>
      </c>
    </row>
    <row r="467" spans="1:2">
      <c r="A467" s="267">
        <v>43397</v>
      </c>
      <c r="B467" s="99">
        <v>1664.1999510000001</v>
      </c>
    </row>
    <row r="468" spans="1:2">
      <c r="A468" s="267">
        <v>43398</v>
      </c>
      <c r="B468" s="99">
        <v>1782.170044</v>
      </c>
    </row>
    <row r="469" spans="1:2">
      <c r="A469" s="267">
        <v>43399</v>
      </c>
      <c r="B469" s="99">
        <v>1642.8100589999999</v>
      </c>
    </row>
    <row r="470" spans="1:2">
      <c r="A470" s="267">
        <v>43402</v>
      </c>
      <c r="B470" s="99">
        <v>1538.880005</v>
      </c>
    </row>
    <row r="471" spans="1:2">
      <c r="A471" s="267">
        <v>43403</v>
      </c>
      <c r="B471" s="99">
        <v>1530.420044</v>
      </c>
    </row>
    <row r="472" spans="1:2">
      <c r="A472" s="267">
        <v>43404</v>
      </c>
      <c r="B472" s="99">
        <v>1598.01001</v>
      </c>
    </row>
    <row r="473" spans="1:2">
      <c r="A473" s="267">
        <v>43405</v>
      </c>
      <c r="B473" s="99">
        <v>1665.530029</v>
      </c>
    </row>
    <row r="474" spans="1:2">
      <c r="A474" s="267">
        <v>43406</v>
      </c>
      <c r="B474" s="99">
        <v>1665.530029</v>
      </c>
    </row>
    <row r="475" spans="1:2">
      <c r="A475" s="267">
        <v>43409</v>
      </c>
      <c r="B475" s="99">
        <v>1627.8000489999999</v>
      </c>
    </row>
    <row r="476" spans="1:2">
      <c r="A476" s="267">
        <v>43410</v>
      </c>
      <c r="B476" s="99">
        <v>1642.8100589999999</v>
      </c>
    </row>
    <row r="477" spans="1:2">
      <c r="A477" s="267">
        <v>43411</v>
      </c>
      <c r="B477" s="99">
        <v>1755.48999</v>
      </c>
    </row>
    <row r="478" spans="1:2">
      <c r="A478" s="267">
        <v>43412</v>
      </c>
      <c r="B478" s="99">
        <v>1754.910034</v>
      </c>
    </row>
    <row r="479" spans="1:2">
      <c r="A479" s="267">
        <v>43413</v>
      </c>
      <c r="B479" s="99">
        <v>1712.4300539999999</v>
      </c>
    </row>
    <row r="480" spans="1:2">
      <c r="A480" s="267">
        <v>43416</v>
      </c>
      <c r="B480" s="99">
        <v>1636.849976</v>
      </c>
    </row>
    <row r="481" spans="1:2">
      <c r="A481" s="267">
        <v>43417</v>
      </c>
      <c r="B481" s="99">
        <v>1631.170044</v>
      </c>
    </row>
    <row r="482" spans="1:2">
      <c r="A482" s="267">
        <v>43418</v>
      </c>
      <c r="B482" s="99">
        <v>1599.01001</v>
      </c>
    </row>
    <row r="483" spans="1:2">
      <c r="A483" s="267">
        <v>43419</v>
      </c>
      <c r="B483" s="99">
        <v>1619.4399410000001</v>
      </c>
    </row>
    <row r="484" spans="1:2">
      <c r="A484" s="267">
        <v>43420</v>
      </c>
      <c r="B484" s="99">
        <v>1593.410034</v>
      </c>
    </row>
    <row r="485" spans="1:2">
      <c r="A485" s="267">
        <v>43423</v>
      </c>
      <c r="B485" s="99">
        <v>1512.290039</v>
      </c>
    </row>
    <row r="486" spans="1:2">
      <c r="A486" s="267">
        <v>43424</v>
      </c>
      <c r="B486" s="99">
        <v>1495.459961</v>
      </c>
    </row>
    <row r="487" spans="1:2">
      <c r="A487" s="267">
        <v>43425</v>
      </c>
      <c r="B487" s="99">
        <v>1516.7299800000001</v>
      </c>
    </row>
    <row r="488" spans="1:2">
      <c r="A488" s="267">
        <v>43427</v>
      </c>
      <c r="B488" s="99">
        <v>1502.0600589999999</v>
      </c>
    </row>
    <row r="489" spans="1:2">
      <c r="A489" s="267">
        <v>43430</v>
      </c>
      <c r="B489" s="99">
        <v>1581.329956</v>
      </c>
    </row>
    <row r="490" spans="1:2">
      <c r="A490" s="267">
        <v>43431</v>
      </c>
      <c r="B490" s="99">
        <v>1581.420044</v>
      </c>
    </row>
    <row r="491" spans="1:2">
      <c r="A491" s="267">
        <v>43432</v>
      </c>
      <c r="B491" s="99">
        <v>1677.75</v>
      </c>
    </row>
    <row r="492" spans="1:2">
      <c r="A492" s="267">
        <v>43433</v>
      </c>
      <c r="B492" s="99">
        <v>1673.5699460000001</v>
      </c>
    </row>
    <row r="493" spans="1:2">
      <c r="A493" s="267">
        <v>43434</v>
      </c>
      <c r="B493" s="99">
        <v>1690.170044</v>
      </c>
    </row>
    <row r="494" spans="1:2">
      <c r="A494" s="267">
        <v>43437</v>
      </c>
      <c r="B494" s="99">
        <v>1772.3599850000001</v>
      </c>
    </row>
    <row r="495" spans="1:2">
      <c r="A495" s="267">
        <v>43438</v>
      </c>
      <c r="B495" s="99">
        <v>1668.400024</v>
      </c>
    </row>
    <row r="496" spans="1:2">
      <c r="A496" s="267">
        <v>43440</v>
      </c>
      <c r="B496" s="99">
        <v>1699.1899410000001</v>
      </c>
    </row>
    <row r="497" spans="1:2">
      <c r="A497" s="267">
        <v>43441</v>
      </c>
      <c r="B497" s="99">
        <v>1629.130005</v>
      </c>
    </row>
    <row r="498" spans="1:2">
      <c r="A498" s="267">
        <v>43444</v>
      </c>
      <c r="B498" s="99">
        <v>1641.030029</v>
      </c>
    </row>
    <row r="499" spans="1:2">
      <c r="A499" s="267">
        <v>43445</v>
      </c>
      <c r="B499" s="99">
        <v>1643.23999</v>
      </c>
    </row>
    <row r="500" spans="1:2">
      <c r="A500" s="267">
        <v>43446</v>
      </c>
      <c r="B500" s="99">
        <v>1663.540039</v>
      </c>
    </row>
    <row r="501" spans="1:2">
      <c r="A501" s="267">
        <v>43447</v>
      </c>
      <c r="B501" s="99">
        <v>1658.380005</v>
      </c>
    </row>
    <row r="502" spans="1:2">
      <c r="A502" s="267">
        <v>43448</v>
      </c>
      <c r="B502" s="99">
        <v>1591.910034</v>
      </c>
    </row>
    <row r="503" spans="1:2">
      <c r="A503" s="267">
        <v>43451</v>
      </c>
      <c r="B503" s="99">
        <v>1520.910034</v>
      </c>
    </row>
    <row r="504" spans="1:2">
      <c r="A504" s="267">
        <v>43452</v>
      </c>
      <c r="B504" s="99">
        <v>1551.4799800000001</v>
      </c>
    </row>
    <row r="505" spans="1:2">
      <c r="A505" s="267">
        <v>43453</v>
      </c>
      <c r="B505" s="99">
        <v>1495.079956</v>
      </c>
    </row>
    <row r="506" spans="1:2">
      <c r="A506" s="267">
        <v>43454</v>
      </c>
      <c r="B506" s="99">
        <v>1460.829956</v>
      </c>
    </row>
    <row r="507" spans="1:2">
      <c r="A507" s="267">
        <v>43455</v>
      </c>
      <c r="B507" s="99">
        <v>1377.4499510000001</v>
      </c>
    </row>
    <row r="508" spans="1:2">
      <c r="A508" s="267">
        <v>43458</v>
      </c>
      <c r="B508" s="99">
        <v>1343.959961</v>
      </c>
    </row>
    <row r="509" spans="1:2">
      <c r="A509" s="267">
        <v>43460</v>
      </c>
      <c r="B509" s="99">
        <v>1470.900024</v>
      </c>
    </row>
    <row r="510" spans="1:2">
      <c r="A510" s="267">
        <v>43461</v>
      </c>
      <c r="B510" s="99">
        <v>1461.6400149999999</v>
      </c>
    </row>
    <row r="511" spans="1:2">
      <c r="A511" s="267">
        <v>43462</v>
      </c>
      <c r="B511" s="99">
        <v>1478.0200199999999</v>
      </c>
    </row>
    <row r="512" spans="1:2">
      <c r="A512" s="267">
        <v>43465</v>
      </c>
      <c r="B512" s="99">
        <v>1501.969971</v>
      </c>
    </row>
    <row r="513" spans="1:2">
      <c r="A513" s="267">
        <v>43467</v>
      </c>
      <c r="B513" s="99">
        <v>1539.130005</v>
      </c>
    </row>
    <row r="514" spans="1:2">
      <c r="A514" s="267">
        <v>43468</v>
      </c>
      <c r="B514" s="99">
        <v>1500.280029</v>
      </c>
    </row>
    <row r="515" spans="1:2">
      <c r="A515" s="267">
        <v>43469</v>
      </c>
      <c r="B515" s="99">
        <v>1575.3900149999999</v>
      </c>
    </row>
    <row r="516" spans="1:2">
      <c r="A516" s="267">
        <v>43472</v>
      </c>
      <c r="B516" s="99">
        <v>1629.51001</v>
      </c>
    </row>
    <row r="517" spans="1:2">
      <c r="A517" s="267">
        <v>43473</v>
      </c>
      <c r="B517" s="99">
        <v>1656.579956</v>
      </c>
    </row>
    <row r="518" spans="1:2">
      <c r="A518" s="267">
        <v>43474</v>
      </c>
      <c r="B518" s="99">
        <v>1659.420044</v>
      </c>
    </row>
    <row r="519" spans="1:2">
      <c r="A519" s="267">
        <v>43475</v>
      </c>
      <c r="B519" s="99">
        <v>1656.219971</v>
      </c>
    </row>
    <row r="520" spans="1:2">
      <c r="A520" s="267">
        <v>43476</v>
      </c>
      <c r="B520" s="99">
        <v>1640.5600589999999</v>
      </c>
    </row>
    <row r="521" spans="1:2">
      <c r="A521" s="267">
        <v>43479</v>
      </c>
      <c r="B521" s="99">
        <v>1617.209961</v>
      </c>
    </row>
    <row r="522" spans="1:2">
      <c r="A522" s="267">
        <v>43480</v>
      </c>
      <c r="B522" s="99">
        <v>1674.5600589999999</v>
      </c>
    </row>
    <row r="523" spans="1:2">
      <c r="A523" s="267">
        <v>43481</v>
      </c>
      <c r="B523" s="99">
        <v>1683.780029</v>
      </c>
    </row>
    <row r="524" spans="1:2">
      <c r="A524" s="267">
        <v>43482</v>
      </c>
      <c r="B524" s="99">
        <v>1693.219971</v>
      </c>
    </row>
    <row r="525" spans="1:2">
      <c r="A525" s="267">
        <v>43483</v>
      </c>
      <c r="B525" s="99">
        <v>1696.1999510000001</v>
      </c>
    </row>
    <row r="526" spans="1:2">
      <c r="A526" s="267">
        <v>43487</v>
      </c>
      <c r="B526" s="99">
        <v>1632.170044</v>
      </c>
    </row>
    <row r="527" spans="1:2">
      <c r="A527" s="267">
        <v>43488</v>
      </c>
      <c r="B527" s="99">
        <v>1640.0200199999999</v>
      </c>
    </row>
    <row r="528" spans="1:2">
      <c r="A528" s="267">
        <v>43489</v>
      </c>
      <c r="B528" s="99">
        <v>1654.9300539999999</v>
      </c>
    </row>
    <row r="529" spans="1:2">
      <c r="A529" s="267">
        <v>43490</v>
      </c>
      <c r="B529" s="99">
        <v>1670.5699460000001</v>
      </c>
    </row>
    <row r="530" spans="1:2">
      <c r="A530" s="267">
        <v>43493</v>
      </c>
      <c r="B530" s="99">
        <v>1637.8900149999999</v>
      </c>
    </row>
    <row r="531" spans="1:2">
      <c r="A531" s="267">
        <v>43494</v>
      </c>
      <c r="B531" s="99">
        <v>1593.880005</v>
      </c>
    </row>
    <row r="532" spans="1:2">
      <c r="A532" s="267">
        <v>43495</v>
      </c>
      <c r="B532" s="99">
        <v>1670.4300539999999</v>
      </c>
    </row>
    <row r="533" spans="1:2">
      <c r="A533" s="267">
        <v>43496</v>
      </c>
      <c r="B533" s="99">
        <v>1718.7299800000001</v>
      </c>
    </row>
    <row r="534" spans="1:2">
      <c r="A534" s="267">
        <v>43497</v>
      </c>
      <c r="B534" s="99">
        <v>1626.2299800000001</v>
      </c>
    </row>
    <row r="535" spans="1:2">
      <c r="A535" s="267">
        <v>43500</v>
      </c>
      <c r="B535" s="99">
        <v>1633.3100589999999</v>
      </c>
    </row>
    <row r="536" spans="1:2">
      <c r="A536" s="267">
        <v>43501</v>
      </c>
      <c r="B536" s="99">
        <v>1658.8100589999999</v>
      </c>
    </row>
    <row r="537" spans="1:2">
      <c r="A537" s="267">
        <v>43502</v>
      </c>
      <c r="B537" s="99">
        <v>1640.26001</v>
      </c>
    </row>
    <row r="538" spans="1:2">
      <c r="A538" s="267">
        <v>43503</v>
      </c>
      <c r="B538" s="99">
        <v>1614.369995</v>
      </c>
    </row>
    <row r="539" spans="1:2">
      <c r="A539" s="267">
        <v>43504</v>
      </c>
      <c r="B539" s="99">
        <v>1588.219971</v>
      </c>
    </row>
    <row r="540" spans="1:2">
      <c r="A540" s="267">
        <v>43507</v>
      </c>
      <c r="B540" s="99">
        <v>1591</v>
      </c>
    </row>
    <row r="541" spans="1:2">
      <c r="A541" s="267">
        <v>43508</v>
      </c>
      <c r="B541" s="99">
        <v>1638.01001</v>
      </c>
    </row>
    <row r="542" spans="1:2">
      <c r="A542" s="267">
        <v>43509</v>
      </c>
      <c r="B542" s="99">
        <v>1640</v>
      </c>
    </row>
    <row r="543" spans="1:2">
      <c r="A543" s="267">
        <v>43510</v>
      </c>
      <c r="B543" s="99">
        <v>1622.650024</v>
      </c>
    </row>
    <row r="544" spans="1:2">
      <c r="A544" s="267">
        <v>43511</v>
      </c>
      <c r="B544" s="99">
        <v>1607.9499510000001</v>
      </c>
    </row>
    <row r="545" spans="1:2">
      <c r="A545" s="267">
        <v>43515</v>
      </c>
      <c r="B545" s="99">
        <v>1627.579956</v>
      </c>
    </row>
    <row r="546" spans="1:2">
      <c r="A546" s="267">
        <v>43516</v>
      </c>
      <c r="B546" s="99">
        <v>1622.099976</v>
      </c>
    </row>
    <row r="547" spans="1:2">
      <c r="A547" s="267">
        <v>43517</v>
      </c>
      <c r="B547" s="99">
        <v>1619.4399410000001</v>
      </c>
    </row>
    <row r="548" spans="1:2">
      <c r="A548" s="267">
        <v>43518</v>
      </c>
      <c r="B548" s="99">
        <v>1631.5600589999999</v>
      </c>
    </row>
    <row r="549" spans="1:2">
      <c r="A549" s="267">
        <v>43521</v>
      </c>
      <c r="B549" s="99">
        <v>1633</v>
      </c>
    </row>
    <row r="550" spans="1:2">
      <c r="A550" s="267">
        <v>43522</v>
      </c>
      <c r="B550" s="99">
        <v>1636.400024</v>
      </c>
    </row>
    <row r="551" spans="1:2">
      <c r="A551" s="267">
        <v>43523</v>
      </c>
      <c r="B551" s="99">
        <v>1641.089966</v>
      </c>
    </row>
    <row r="552" spans="1:2">
      <c r="A552" s="267">
        <v>43524</v>
      </c>
      <c r="B552" s="99">
        <v>1639.829956</v>
      </c>
    </row>
    <row r="553" spans="1:2">
      <c r="A553" s="267">
        <v>43525</v>
      </c>
      <c r="B553" s="99">
        <v>1671.7299800000001</v>
      </c>
    </row>
    <row r="554" spans="1:2">
      <c r="A554" s="267">
        <v>43528</v>
      </c>
      <c r="B554" s="99">
        <v>1696.170044</v>
      </c>
    </row>
    <row r="555" spans="1:2">
      <c r="A555" s="267">
        <v>43529</v>
      </c>
      <c r="B555" s="99">
        <v>1692.4300539999999</v>
      </c>
    </row>
    <row r="556" spans="1:2">
      <c r="A556" s="267">
        <v>43530</v>
      </c>
      <c r="B556" s="99">
        <v>1668.9499510000001</v>
      </c>
    </row>
    <row r="557" spans="1:2">
      <c r="A557" s="267">
        <v>43531</v>
      </c>
      <c r="B557" s="99">
        <v>1625.9499510000001</v>
      </c>
    </row>
    <row r="558" spans="1:2">
      <c r="A558" s="267">
        <v>43532</v>
      </c>
      <c r="B558" s="99">
        <v>1620.8000489999999</v>
      </c>
    </row>
    <row r="559" spans="1:2">
      <c r="A559" s="267">
        <v>43535</v>
      </c>
      <c r="B559" s="99">
        <v>1670.619995</v>
      </c>
    </row>
    <row r="560" spans="1:2">
      <c r="A560" s="267">
        <v>43536</v>
      </c>
      <c r="B560" s="99">
        <v>1673.099976</v>
      </c>
    </row>
    <row r="561" spans="1:2">
      <c r="A561" s="267">
        <v>43537</v>
      </c>
      <c r="B561" s="99">
        <v>1690.8100589999999</v>
      </c>
    </row>
    <row r="562" spans="1:2">
      <c r="A562" s="267">
        <v>43538</v>
      </c>
      <c r="B562" s="99">
        <v>1686.219971</v>
      </c>
    </row>
    <row r="563" spans="1:2">
      <c r="A563" s="267">
        <v>43539</v>
      </c>
      <c r="B563" s="99">
        <v>1712.3599850000001</v>
      </c>
    </row>
    <row r="564" spans="1:2">
      <c r="A564" s="267">
        <v>43542</v>
      </c>
      <c r="B564" s="99">
        <v>1742.150024</v>
      </c>
    </row>
    <row r="565" spans="1:2">
      <c r="A565" s="267">
        <v>43543</v>
      </c>
      <c r="B565" s="99">
        <v>1761.849976</v>
      </c>
    </row>
    <row r="566" spans="1:2">
      <c r="A566" s="267">
        <v>43544</v>
      </c>
      <c r="B566" s="99">
        <v>1797.2700199999999</v>
      </c>
    </row>
    <row r="567" spans="1:2">
      <c r="A567" s="267">
        <v>43545</v>
      </c>
      <c r="B567" s="99">
        <v>1819.26001</v>
      </c>
    </row>
    <row r="568" spans="1:2">
      <c r="A568" s="267">
        <v>43546</v>
      </c>
      <c r="B568" s="99">
        <v>1764.7700199999999</v>
      </c>
    </row>
    <row r="569" spans="1:2">
      <c r="A569" s="267">
        <v>43549</v>
      </c>
      <c r="B569" s="99">
        <v>1774.26001</v>
      </c>
    </row>
    <row r="570" spans="1:2">
      <c r="A570" s="267">
        <v>43550</v>
      </c>
      <c r="B570" s="99">
        <v>1783.76001</v>
      </c>
    </row>
    <row r="571" spans="1:2">
      <c r="A571" s="267">
        <v>43551</v>
      </c>
      <c r="B571" s="99">
        <v>1765.6999510000001</v>
      </c>
    </row>
    <row r="572" spans="1:2">
      <c r="A572" s="267">
        <v>43552</v>
      </c>
      <c r="B572" s="99">
        <v>1773.420044</v>
      </c>
    </row>
    <row r="573" spans="1:2">
      <c r="A573" s="267">
        <v>43553</v>
      </c>
      <c r="B573" s="99">
        <v>1780.75</v>
      </c>
    </row>
    <row r="574" spans="1:2">
      <c r="A574" s="267">
        <v>43556</v>
      </c>
      <c r="B574" s="99">
        <v>1814.1899410000001</v>
      </c>
    </row>
    <row r="575" spans="1:2">
      <c r="A575" s="267">
        <v>43557</v>
      </c>
      <c r="B575" s="99">
        <v>1813.9799800000001</v>
      </c>
    </row>
    <row r="576" spans="1:2">
      <c r="A576" s="267">
        <v>43558</v>
      </c>
      <c r="B576" s="99">
        <v>1820.6999510000001</v>
      </c>
    </row>
    <row r="577" spans="1:2">
      <c r="A577" s="267">
        <v>43559</v>
      </c>
      <c r="B577" s="99">
        <v>1818.8599850000001</v>
      </c>
    </row>
    <row r="578" spans="1:2">
      <c r="A578" s="267">
        <v>43560</v>
      </c>
      <c r="B578" s="99">
        <v>1837.280029</v>
      </c>
    </row>
    <row r="579" spans="1:2">
      <c r="A579" s="267">
        <v>43563</v>
      </c>
      <c r="B579" s="99">
        <v>1849.8599850000001</v>
      </c>
    </row>
    <row r="580" spans="1:2">
      <c r="A580" s="267">
        <v>43564</v>
      </c>
      <c r="B580" s="99">
        <v>1835.839966</v>
      </c>
    </row>
    <row r="581" spans="1:2">
      <c r="A581" s="267">
        <v>43565</v>
      </c>
      <c r="B581" s="99">
        <v>1847.329956</v>
      </c>
    </row>
    <row r="582" spans="1:2">
      <c r="A582" s="267">
        <v>43566</v>
      </c>
      <c r="B582" s="99">
        <v>1844.0699460000001</v>
      </c>
    </row>
    <row r="583" spans="1:2">
      <c r="A583" s="267">
        <v>43567</v>
      </c>
      <c r="B583" s="99">
        <v>1843.0600589999999</v>
      </c>
    </row>
    <row r="584" spans="1:2">
      <c r="A584" s="267">
        <v>43570</v>
      </c>
      <c r="B584" s="99">
        <v>1844.869995</v>
      </c>
    </row>
    <row r="585" spans="1:2">
      <c r="A585" s="267">
        <v>43571</v>
      </c>
      <c r="B585" s="99">
        <v>1863.040039</v>
      </c>
    </row>
    <row r="586" spans="1:2">
      <c r="A586" s="267">
        <v>43572</v>
      </c>
      <c r="B586" s="99">
        <v>1864.8199460000001</v>
      </c>
    </row>
    <row r="587" spans="1:2">
      <c r="A587" s="267">
        <v>43573</v>
      </c>
      <c r="B587" s="99">
        <v>1861.6899410000001</v>
      </c>
    </row>
    <row r="588" spans="1:2">
      <c r="A588" s="267">
        <v>43577</v>
      </c>
      <c r="B588" s="99">
        <v>1887.3100589999999</v>
      </c>
    </row>
    <row r="589" spans="1:2">
      <c r="A589" s="267">
        <v>43578</v>
      </c>
      <c r="B589" s="99">
        <v>1923.7700199999999</v>
      </c>
    </row>
    <row r="590" spans="1:2">
      <c r="A590" s="267">
        <v>43579</v>
      </c>
      <c r="B590" s="99">
        <v>1901.75</v>
      </c>
    </row>
    <row r="591" spans="1:2">
      <c r="A591" s="267">
        <v>43580</v>
      </c>
      <c r="B591" s="99">
        <v>1902.25</v>
      </c>
    </row>
    <row r="592" spans="1:2">
      <c r="A592" s="267">
        <v>43581</v>
      </c>
      <c r="B592" s="99">
        <v>1950.630005</v>
      </c>
    </row>
    <row r="593" spans="1:2">
      <c r="A593" s="267">
        <v>43584</v>
      </c>
      <c r="B593" s="99">
        <v>1938.4300539999999</v>
      </c>
    </row>
    <row r="594" spans="1:2">
      <c r="A594" s="267">
        <v>43585</v>
      </c>
      <c r="B594" s="99">
        <v>1926.5200199999999</v>
      </c>
    </row>
    <row r="595" spans="1:2">
      <c r="A595" s="267">
        <v>43586</v>
      </c>
      <c r="B595" s="99">
        <v>1911.5200199999999</v>
      </c>
    </row>
    <row r="596" spans="1:2">
      <c r="A596" s="267">
        <v>43587</v>
      </c>
      <c r="B596" s="99">
        <v>1900.8199460000001</v>
      </c>
    </row>
    <row r="597" spans="1:2">
      <c r="A597" s="267">
        <v>43588</v>
      </c>
      <c r="B597" s="99">
        <v>1962.459961</v>
      </c>
    </row>
    <row r="598" spans="1:2">
      <c r="A598" s="267">
        <v>43591</v>
      </c>
      <c r="B598" s="99">
        <v>1950.5500489999999</v>
      </c>
    </row>
    <row r="599" spans="1:2">
      <c r="A599" s="267">
        <v>43592</v>
      </c>
      <c r="B599" s="99">
        <v>1921</v>
      </c>
    </row>
    <row r="600" spans="1:2">
      <c r="A600" s="267">
        <v>43593</v>
      </c>
      <c r="B600" s="99">
        <v>1917.7700199999999</v>
      </c>
    </row>
    <row r="601" spans="1:2">
      <c r="A601" s="267">
        <v>43594</v>
      </c>
      <c r="B601" s="99">
        <v>1899.869995</v>
      </c>
    </row>
    <row r="602" spans="1:2">
      <c r="A602" s="267">
        <v>43595</v>
      </c>
      <c r="B602" s="99">
        <v>1889.9799800000001</v>
      </c>
    </row>
    <row r="603" spans="1:2">
      <c r="A603" s="267">
        <v>43598</v>
      </c>
      <c r="B603" s="99">
        <v>1822.6800539999999</v>
      </c>
    </row>
    <row r="604" spans="1:2">
      <c r="A604" s="267">
        <v>43599</v>
      </c>
      <c r="B604" s="99">
        <v>1840.119995</v>
      </c>
    </row>
    <row r="605" spans="1:2">
      <c r="A605" s="267">
        <v>43600</v>
      </c>
      <c r="B605" s="99">
        <v>1871.150024</v>
      </c>
    </row>
    <row r="606" spans="1:2">
      <c r="A606" s="267">
        <v>43601</v>
      </c>
      <c r="B606" s="99">
        <v>1907.5699460000001</v>
      </c>
    </row>
    <row r="607" spans="1:2">
      <c r="A607" s="267">
        <v>43602</v>
      </c>
      <c r="B607" s="99">
        <v>1869</v>
      </c>
    </row>
    <row r="608" spans="1:2">
      <c r="A608" s="267">
        <v>43605</v>
      </c>
      <c r="B608" s="99">
        <v>1858.969971</v>
      </c>
    </row>
    <row r="609" spans="1:2">
      <c r="A609" s="267">
        <v>43606</v>
      </c>
      <c r="B609" s="99">
        <v>1857.5200199999999</v>
      </c>
    </row>
    <row r="610" spans="1:2">
      <c r="A610" s="267">
        <v>43607</v>
      </c>
      <c r="B610" s="99">
        <v>1859.6800539999999</v>
      </c>
    </row>
    <row r="611" spans="1:2">
      <c r="A611" s="267">
        <v>43608</v>
      </c>
      <c r="B611" s="99">
        <v>1815.4799800000001</v>
      </c>
    </row>
    <row r="612" spans="1:2">
      <c r="A612" s="267">
        <v>43609</v>
      </c>
      <c r="B612" s="99">
        <v>1823.280029</v>
      </c>
    </row>
    <row r="613" spans="1:2">
      <c r="A613" s="267">
        <v>43613</v>
      </c>
      <c r="B613" s="99">
        <v>1836.4300539999999</v>
      </c>
    </row>
    <row r="614" spans="1:2">
      <c r="A614" s="267">
        <v>43614</v>
      </c>
      <c r="B614" s="99">
        <v>1819.1899410000001</v>
      </c>
    </row>
    <row r="615" spans="1:2">
      <c r="A615" s="267">
        <v>43615</v>
      </c>
      <c r="B615" s="99">
        <v>1816.3199460000001</v>
      </c>
    </row>
    <row r="616" spans="1:2">
      <c r="A616" s="267">
        <v>43616</v>
      </c>
      <c r="B616" s="99">
        <v>1775.0699460000001</v>
      </c>
    </row>
    <row r="617" spans="1:2">
      <c r="A617" s="267">
        <v>43619</v>
      </c>
      <c r="B617" s="99">
        <v>1692.6899410000001</v>
      </c>
    </row>
    <row r="618" spans="1:2">
      <c r="A618" s="267">
        <v>43620</v>
      </c>
      <c r="B618" s="99">
        <v>1729.5600589999999</v>
      </c>
    </row>
    <row r="619" spans="1:2">
      <c r="A619" s="267">
        <v>43621</v>
      </c>
      <c r="B619" s="99">
        <v>1738.5</v>
      </c>
    </row>
    <row r="620" spans="1:2">
      <c r="A620" s="267">
        <v>43622</v>
      </c>
      <c r="B620" s="99">
        <v>1754.3599850000001</v>
      </c>
    </row>
    <row r="621" spans="1:2">
      <c r="A621" s="267">
        <v>43623</v>
      </c>
      <c r="B621" s="99">
        <v>1804.030029</v>
      </c>
    </row>
    <row r="622" spans="1:2">
      <c r="A622" s="267">
        <v>43626</v>
      </c>
      <c r="B622" s="99">
        <v>1860.630005</v>
      </c>
    </row>
    <row r="623" spans="1:2">
      <c r="A623" s="267">
        <v>43627</v>
      </c>
      <c r="B623" s="99">
        <v>1863.6999510000001</v>
      </c>
    </row>
    <row r="624" spans="1:2">
      <c r="A624" s="267">
        <v>43628</v>
      </c>
      <c r="B624" s="99">
        <v>1855.3199460000001</v>
      </c>
    </row>
    <row r="625" spans="1:2">
      <c r="A625" s="267">
        <v>43629</v>
      </c>
      <c r="B625" s="99">
        <v>1870.3000489999999</v>
      </c>
    </row>
    <row r="626" spans="1:2">
      <c r="A626" s="267">
        <v>43630</v>
      </c>
      <c r="B626" s="99">
        <v>1869.670044</v>
      </c>
    </row>
    <row r="627" spans="1:2">
      <c r="A627" s="267">
        <v>43633</v>
      </c>
      <c r="B627" s="99">
        <v>1886.030029</v>
      </c>
    </row>
    <row r="628" spans="1:2">
      <c r="A628" s="267">
        <v>43634</v>
      </c>
      <c r="B628" s="99">
        <v>1901.369995</v>
      </c>
    </row>
    <row r="629" spans="1:2">
      <c r="A629" s="267">
        <v>43635</v>
      </c>
      <c r="B629" s="99">
        <v>1908.790039</v>
      </c>
    </row>
    <row r="630" spans="1:2">
      <c r="A630" s="267">
        <v>43636</v>
      </c>
      <c r="B630" s="99">
        <v>1918.1899410000001</v>
      </c>
    </row>
    <row r="631" spans="1:2">
      <c r="A631" s="267">
        <v>43637</v>
      </c>
      <c r="B631" s="99">
        <v>1911.3000489999999</v>
      </c>
    </row>
    <row r="632" spans="1:2">
      <c r="A632" s="267">
        <v>43640</v>
      </c>
      <c r="B632" s="99">
        <v>1913.900024</v>
      </c>
    </row>
    <row r="633" spans="1:2">
      <c r="A633" s="267">
        <v>43641</v>
      </c>
      <c r="B633" s="99">
        <v>1878.2700199999999</v>
      </c>
    </row>
    <row r="634" spans="1:2">
      <c r="A634" s="267">
        <v>43642</v>
      </c>
      <c r="B634" s="99">
        <v>1897.829956</v>
      </c>
    </row>
    <row r="635" spans="1:2">
      <c r="A635" s="267">
        <v>43643</v>
      </c>
      <c r="B635" s="99">
        <v>1904.280029</v>
      </c>
    </row>
    <row r="636" spans="1:2">
      <c r="A636" s="267">
        <v>43644</v>
      </c>
      <c r="B636" s="99">
        <v>1893.630005</v>
      </c>
    </row>
    <row r="637" spans="1:2">
      <c r="A637" s="267">
        <v>43647</v>
      </c>
      <c r="B637" s="99">
        <v>1922.1899410000001</v>
      </c>
    </row>
    <row r="638" spans="1:2">
      <c r="A638" s="267">
        <v>43648</v>
      </c>
      <c r="B638" s="99">
        <v>1934.3100589999999</v>
      </c>
    </row>
    <row r="639" spans="1:2">
      <c r="A639" s="267">
        <v>43649</v>
      </c>
      <c r="B639" s="99">
        <v>1939</v>
      </c>
    </row>
    <row r="640" spans="1:2">
      <c r="A640" s="267">
        <v>43651</v>
      </c>
      <c r="B640" s="99">
        <v>1942.910034</v>
      </c>
    </row>
    <row r="641" spans="1:2">
      <c r="A641" s="267">
        <v>43654</v>
      </c>
      <c r="B641" s="99">
        <v>1952.3199460000001</v>
      </c>
    </row>
    <row r="642" spans="1:2">
      <c r="A642" s="267">
        <v>43655</v>
      </c>
      <c r="B642" s="99">
        <v>1988.3000489999999</v>
      </c>
    </row>
    <row r="643" spans="1:2">
      <c r="A643" s="267">
        <v>43656</v>
      </c>
      <c r="B643" s="99">
        <v>2017.410034</v>
      </c>
    </row>
    <row r="644" spans="1:2">
      <c r="A644" s="267">
        <v>43657</v>
      </c>
      <c r="B644" s="99">
        <v>2001.0699460000001</v>
      </c>
    </row>
    <row r="645" spans="1:2">
      <c r="A645" s="267">
        <v>43658</v>
      </c>
      <c r="B645" s="99">
        <v>2011</v>
      </c>
    </row>
    <row r="646" spans="1:2">
      <c r="A646" s="267">
        <v>43661</v>
      </c>
      <c r="B646" s="99">
        <v>2020.98999</v>
      </c>
    </row>
    <row r="647" spans="1:2">
      <c r="A647" s="267">
        <v>43662</v>
      </c>
      <c r="B647" s="99">
        <v>2009.900024</v>
      </c>
    </row>
    <row r="648" spans="1:2">
      <c r="A648" s="267">
        <v>43663</v>
      </c>
      <c r="B648" s="99">
        <v>1992.030029</v>
      </c>
    </row>
    <row r="649" spans="1:2">
      <c r="A649" s="267">
        <v>43664</v>
      </c>
      <c r="B649" s="99">
        <v>1977.900024</v>
      </c>
    </row>
    <row r="650" spans="1:2">
      <c r="A650" s="267">
        <v>43665</v>
      </c>
      <c r="B650" s="99">
        <v>1964.5200199999999</v>
      </c>
    </row>
    <row r="651" spans="1:2">
      <c r="A651" s="267">
        <v>43668</v>
      </c>
      <c r="B651" s="99">
        <v>1985.630005</v>
      </c>
    </row>
    <row r="652" spans="1:2">
      <c r="A652" s="267">
        <v>43669</v>
      </c>
      <c r="B652" s="99">
        <v>1994.48999</v>
      </c>
    </row>
    <row r="653" spans="1:2">
      <c r="A653" s="267">
        <v>43670</v>
      </c>
      <c r="B653" s="99">
        <v>2000.8100589999999</v>
      </c>
    </row>
    <row r="654" spans="1:2">
      <c r="A654" s="267">
        <v>43671</v>
      </c>
      <c r="B654" s="99">
        <v>1973.8199460000001</v>
      </c>
    </row>
    <row r="655" spans="1:2">
      <c r="A655" s="267">
        <v>43672</v>
      </c>
      <c r="B655" s="99">
        <v>1943.0500489999999</v>
      </c>
    </row>
    <row r="656" spans="1:2">
      <c r="A656" s="267">
        <v>43675</v>
      </c>
      <c r="B656" s="99">
        <v>1912.4499510000001</v>
      </c>
    </row>
    <row r="657" spans="1:2">
      <c r="A657" s="267">
        <v>43676</v>
      </c>
      <c r="B657" s="99">
        <v>1898.530029</v>
      </c>
    </row>
    <row r="658" spans="1:2">
      <c r="A658" s="267">
        <v>43677</v>
      </c>
      <c r="B658" s="99">
        <v>1866.780029</v>
      </c>
    </row>
    <row r="659" spans="1:2">
      <c r="A659" s="267">
        <v>43678</v>
      </c>
      <c r="B659" s="99">
        <v>1855.3199460000001</v>
      </c>
    </row>
    <row r="660" spans="1:2">
      <c r="A660" s="267">
        <v>43679</v>
      </c>
      <c r="B660" s="99">
        <v>1823.23999</v>
      </c>
    </row>
    <row r="661" spans="1:2">
      <c r="A661" s="267">
        <v>43682</v>
      </c>
      <c r="B661" s="99">
        <v>1765.130005</v>
      </c>
    </row>
    <row r="662" spans="1:2">
      <c r="A662" s="267">
        <v>43683</v>
      </c>
      <c r="B662" s="99">
        <v>1787.829956</v>
      </c>
    </row>
    <row r="663" spans="1:2">
      <c r="A663" s="267">
        <v>43684</v>
      </c>
      <c r="B663" s="99">
        <v>1793.400024</v>
      </c>
    </row>
    <row r="664" spans="1:2">
      <c r="A664" s="267">
        <v>43685</v>
      </c>
      <c r="B664" s="99">
        <v>1832.8900149999999</v>
      </c>
    </row>
    <row r="665" spans="1:2">
      <c r="A665" s="267">
        <v>43686</v>
      </c>
      <c r="B665" s="99">
        <v>1807.579956</v>
      </c>
    </row>
    <row r="666" spans="1:2">
      <c r="A666" s="267">
        <v>43689</v>
      </c>
      <c r="B666" s="99">
        <v>1784.920044</v>
      </c>
    </row>
    <row r="667" spans="1:2">
      <c r="A667" s="267">
        <v>43690</v>
      </c>
      <c r="B667" s="99">
        <v>1824.339966</v>
      </c>
    </row>
    <row r="668" spans="1:2">
      <c r="A668" s="267">
        <v>43691</v>
      </c>
      <c r="B668" s="99">
        <v>1762.959961</v>
      </c>
    </row>
    <row r="669" spans="1:2">
      <c r="A669" s="267">
        <v>43692</v>
      </c>
      <c r="B669" s="99">
        <v>1776.119995</v>
      </c>
    </row>
    <row r="670" spans="1:2">
      <c r="A670" s="267">
        <v>43693</v>
      </c>
      <c r="B670" s="99">
        <v>1792.5699460000001</v>
      </c>
    </row>
    <row r="671" spans="1:2">
      <c r="A671" s="267">
        <v>43696</v>
      </c>
      <c r="B671" s="99">
        <v>1816.119995</v>
      </c>
    </row>
    <row r="672" spans="1:2">
      <c r="A672" s="267">
        <v>43697</v>
      </c>
      <c r="B672" s="99">
        <v>1801.380005</v>
      </c>
    </row>
    <row r="673" spans="1:2">
      <c r="A673" s="267">
        <v>43698</v>
      </c>
      <c r="B673" s="99">
        <v>1823.540039</v>
      </c>
    </row>
    <row r="674" spans="1:2">
      <c r="A674" s="267">
        <v>43699</v>
      </c>
      <c r="B674" s="99">
        <v>1804.660034</v>
      </c>
    </row>
    <row r="675" spans="1:2">
      <c r="A675" s="267">
        <v>43700</v>
      </c>
      <c r="B675" s="99">
        <v>1749.619995</v>
      </c>
    </row>
    <row r="676" spans="1:2">
      <c r="A676" s="267">
        <v>43703</v>
      </c>
      <c r="B676" s="99">
        <v>1768.869995</v>
      </c>
    </row>
    <row r="677" spans="1:2">
      <c r="A677" s="267">
        <v>43704</v>
      </c>
      <c r="B677" s="99">
        <v>1761.829956</v>
      </c>
    </row>
    <row r="678" spans="1:2">
      <c r="A678" s="267">
        <v>43705</v>
      </c>
      <c r="B678" s="99">
        <v>1764.25</v>
      </c>
    </row>
    <row r="679" spans="1:2">
      <c r="A679" s="267">
        <v>43706</v>
      </c>
      <c r="B679" s="99">
        <v>1786.400024</v>
      </c>
    </row>
    <row r="680" spans="1:2">
      <c r="A680" s="267">
        <v>43707</v>
      </c>
      <c r="B680" s="99">
        <v>1776.290039</v>
      </c>
    </row>
    <row r="681" spans="1:2">
      <c r="A681" s="267">
        <v>43711</v>
      </c>
      <c r="B681" s="99">
        <v>1789.839966</v>
      </c>
    </row>
    <row r="682" spans="1:2">
      <c r="A682" s="267">
        <v>43712</v>
      </c>
      <c r="B682" s="99">
        <v>1800.619995</v>
      </c>
    </row>
    <row r="683" spans="1:2">
      <c r="A683" s="267">
        <v>43713</v>
      </c>
      <c r="B683" s="99">
        <v>1840.719971</v>
      </c>
    </row>
    <row r="684" spans="1:2">
      <c r="A684" s="267">
        <v>43714</v>
      </c>
      <c r="B684" s="99">
        <v>1833.51001</v>
      </c>
    </row>
    <row r="685" spans="1:2">
      <c r="A685" s="267">
        <v>43717</v>
      </c>
      <c r="B685" s="99">
        <v>1831.349976</v>
      </c>
    </row>
    <row r="686" spans="1:2">
      <c r="A686" s="267">
        <v>43718</v>
      </c>
      <c r="B686" s="99">
        <v>1820.5500489999999</v>
      </c>
    </row>
    <row r="687" spans="1:2">
      <c r="A687" s="267">
        <v>43719</v>
      </c>
      <c r="B687" s="99">
        <v>1822.98999</v>
      </c>
    </row>
    <row r="688" spans="1:2">
      <c r="A688" s="267">
        <v>43720</v>
      </c>
      <c r="B688" s="99">
        <v>1843.5500489999999</v>
      </c>
    </row>
    <row r="689" spans="1:2">
      <c r="A689" s="267">
        <v>43721</v>
      </c>
      <c r="B689" s="99">
        <v>1839.339966</v>
      </c>
    </row>
    <row r="690" spans="1:2">
      <c r="A690" s="267">
        <v>43724</v>
      </c>
      <c r="B690" s="99">
        <v>1807.839966</v>
      </c>
    </row>
    <row r="691" spans="1:2">
      <c r="A691" s="267">
        <v>43725</v>
      </c>
      <c r="B691" s="99">
        <v>1822.5500489999999</v>
      </c>
    </row>
    <row r="692" spans="1:2">
      <c r="A692" s="267">
        <v>43726</v>
      </c>
      <c r="B692" s="99">
        <v>1817.459961</v>
      </c>
    </row>
    <row r="693" spans="1:2">
      <c r="A693" s="267">
        <v>43727</v>
      </c>
      <c r="B693" s="99">
        <v>1821.5</v>
      </c>
    </row>
    <row r="694" spans="1:2">
      <c r="A694" s="267">
        <v>43728</v>
      </c>
      <c r="B694" s="99">
        <v>1794.160034</v>
      </c>
    </row>
    <row r="695" spans="1:2">
      <c r="A695" s="267">
        <v>43731</v>
      </c>
      <c r="B695" s="99">
        <v>1785.3000489999999</v>
      </c>
    </row>
    <row r="696" spans="1:2">
      <c r="A696" s="267">
        <v>43732</v>
      </c>
      <c r="B696" s="99">
        <v>1741.6099850000001</v>
      </c>
    </row>
    <row r="697" spans="1:2">
      <c r="A697" s="267">
        <v>43733</v>
      </c>
      <c r="B697" s="99">
        <v>1768.329956</v>
      </c>
    </row>
    <row r="698" spans="1:2">
      <c r="A698" s="267">
        <v>43734</v>
      </c>
      <c r="B698" s="99">
        <v>1739.839966</v>
      </c>
    </row>
    <row r="699" spans="1:2">
      <c r="A699" s="267">
        <v>43735</v>
      </c>
      <c r="B699" s="99">
        <v>1725.4499510000001</v>
      </c>
    </row>
    <row r="700" spans="1:2">
      <c r="A700" s="267">
        <v>43738</v>
      </c>
      <c r="B700" s="99">
        <v>1735.910034</v>
      </c>
    </row>
    <row r="701" spans="1:2">
      <c r="A701" s="267">
        <v>43739</v>
      </c>
      <c r="B701" s="99">
        <v>1735.650024</v>
      </c>
    </row>
    <row r="702" spans="1:2">
      <c r="A702" s="267">
        <v>43740</v>
      </c>
      <c r="B702" s="99">
        <v>1713.2299800000001</v>
      </c>
    </row>
    <row r="703" spans="1:2">
      <c r="A703" s="267">
        <v>43741</v>
      </c>
      <c r="B703" s="99">
        <v>1724.420044</v>
      </c>
    </row>
    <row r="704" spans="1:2">
      <c r="A704" s="267">
        <v>43742</v>
      </c>
      <c r="B704" s="99">
        <v>1739.650024</v>
      </c>
    </row>
    <row r="705" spans="1:2">
      <c r="A705" s="267">
        <v>43745</v>
      </c>
      <c r="B705" s="99">
        <v>1732.660034</v>
      </c>
    </row>
    <row r="706" spans="1:2">
      <c r="A706" s="267">
        <v>43746</v>
      </c>
      <c r="B706" s="99">
        <v>1705.51001</v>
      </c>
    </row>
    <row r="707" spans="1:2">
      <c r="A707" s="267">
        <v>43747</v>
      </c>
      <c r="B707" s="99">
        <v>1721.98999</v>
      </c>
    </row>
    <row r="708" spans="1:2">
      <c r="A708" s="267">
        <v>43748</v>
      </c>
      <c r="B708" s="99">
        <v>1720.26001</v>
      </c>
    </row>
    <row r="709" spans="1:2">
      <c r="A709" s="267">
        <v>43749</v>
      </c>
      <c r="B709" s="99">
        <v>1731.920044</v>
      </c>
    </row>
    <row r="710" spans="1:2">
      <c r="A710" s="267">
        <v>43752</v>
      </c>
      <c r="B710" s="99">
        <v>1736.4300539999999</v>
      </c>
    </row>
    <row r="711" spans="1:2">
      <c r="A711" s="267">
        <v>43753</v>
      </c>
      <c r="B711" s="99">
        <v>1767.380005</v>
      </c>
    </row>
    <row r="712" spans="1:2">
      <c r="A712" s="267">
        <v>43754</v>
      </c>
      <c r="B712" s="99">
        <v>1777.4300539999999</v>
      </c>
    </row>
    <row r="713" spans="1:2">
      <c r="A713" s="267">
        <v>43755</v>
      </c>
      <c r="B713" s="99">
        <v>1787.4799800000001</v>
      </c>
    </row>
    <row r="714" spans="1:2">
      <c r="A714" s="267">
        <v>43756</v>
      </c>
      <c r="B714" s="99">
        <v>1757.51001</v>
      </c>
    </row>
    <row r="715" spans="1:2">
      <c r="A715" s="267">
        <v>43759</v>
      </c>
      <c r="B715" s="99">
        <v>1785.660034</v>
      </c>
    </row>
    <row r="716" spans="1:2">
      <c r="A716" s="267">
        <v>43760</v>
      </c>
      <c r="B716" s="99">
        <v>1765.7299800000001</v>
      </c>
    </row>
    <row r="717" spans="1:2">
      <c r="A717" s="267">
        <v>43761</v>
      </c>
      <c r="B717" s="99">
        <v>1762.170044</v>
      </c>
    </row>
    <row r="718" spans="1:2">
      <c r="A718" s="267">
        <v>43762</v>
      </c>
      <c r="B718" s="99">
        <v>1780.780029</v>
      </c>
    </row>
    <row r="719" spans="1:2">
      <c r="A719" s="267">
        <v>43763</v>
      </c>
      <c r="B719" s="99">
        <v>1761.329956</v>
      </c>
    </row>
    <row r="720" spans="1:2">
      <c r="A720" s="267">
        <v>43766</v>
      </c>
      <c r="B720" s="99">
        <v>1777.079956</v>
      </c>
    </row>
    <row r="721" spans="1:2">
      <c r="A721" s="267">
        <v>43767</v>
      </c>
      <c r="B721" s="99">
        <v>1762.709961</v>
      </c>
    </row>
    <row r="722" spans="1:2">
      <c r="A722" s="267">
        <v>43768</v>
      </c>
      <c r="B722" s="99">
        <v>1779.98999</v>
      </c>
    </row>
    <row r="723" spans="1:2">
      <c r="A723" s="267">
        <v>43769</v>
      </c>
      <c r="B723" s="99">
        <v>1776.660034</v>
      </c>
    </row>
    <row r="724" spans="1:2">
      <c r="A724" s="267">
        <v>43770</v>
      </c>
      <c r="B724" s="99">
        <v>1791.4399410000001</v>
      </c>
    </row>
    <row r="725" spans="1:2">
      <c r="A725" s="267">
        <v>43773</v>
      </c>
      <c r="B725" s="99">
        <v>1804.660034</v>
      </c>
    </row>
    <row r="726" spans="1:2">
      <c r="A726" s="267">
        <v>43774</v>
      </c>
      <c r="B726" s="99">
        <v>1801.709961</v>
      </c>
    </row>
    <row r="727" spans="1:2">
      <c r="A727" s="267">
        <v>43775</v>
      </c>
      <c r="B727" s="99">
        <v>1795.7700199999999</v>
      </c>
    </row>
    <row r="728" spans="1:2">
      <c r="A728" s="267">
        <v>43776</v>
      </c>
      <c r="B728" s="99">
        <v>1788.1999510000001</v>
      </c>
    </row>
    <row r="729" spans="1:2">
      <c r="A729" s="267">
        <v>43777</v>
      </c>
      <c r="B729" s="99">
        <v>1785.880005</v>
      </c>
    </row>
    <row r="730" spans="1:2">
      <c r="A730" s="267">
        <v>43780</v>
      </c>
      <c r="B730" s="99">
        <v>1771.650024</v>
      </c>
    </row>
    <row r="731" spans="1:2">
      <c r="A731" s="267">
        <v>43781</v>
      </c>
      <c r="B731" s="99">
        <v>1778</v>
      </c>
    </row>
    <row r="732" spans="1:2">
      <c r="A732" s="267">
        <v>43782</v>
      </c>
      <c r="B732" s="99">
        <v>1753.1099850000001</v>
      </c>
    </row>
    <row r="733" spans="1:2">
      <c r="A733" s="267">
        <v>43783</v>
      </c>
      <c r="B733" s="99">
        <v>1754.599976</v>
      </c>
    </row>
    <row r="734" spans="1:2">
      <c r="A734" s="267">
        <v>43784</v>
      </c>
      <c r="B734" s="99">
        <v>1739.48999</v>
      </c>
    </row>
    <row r="735" spans="1:2">
      <c r="A735" s="267">
        <v>43787</v>
      </c>
      <c r="B735" s="99">
        <v>1752.530029</v>
      </c>
    </row>
    <row r="736" spans="1:2">
      <c r="A736" s="267">
        <v>43788</v>
      </c>
      <c r="B736" s="99">
        <v>1752.790039</v>
      </c>
    </row>
    <row r="737" spans="1:2">
      <c r="A737" s="267">
        <v>43789</v>
      </c>
      <c r="B737" s="99">
        <v>1745.530029</v>
      </c>
    </row>
    <row r="738" spans="1:2">
      <c r="A738" s="267">
        <v>43790</v>
      </c>
      <c r="B738" s="99">
        <v>1734.709961</v>
      </c>
    </row>
    <row r="739" spans="1:2">
      <c r="A739" s="267">
        <v>43791</v>
      </c>
      <c r="B739" s="99">
        <v>1745.719971</v>
      </c>
    </row>
    <row r="740" spans="1:2">
      <c r="A740" s="267">
        <v>43794</v>
      </c>
      <c r="B740" s="99">
        <v>1773.839966</v>
      </c>
    </row>
    <row r="741" spans="1:2">
      <c r="A741" s="267">
        <v>43795</v>
      </c>
      <c r="B741" s="99">
        <v>1796.9399410000001</v>
      </c>
    </row>
    <row r="742" spans="1:2">
      <c r="A742" s="267">
        <v>43796</v>
      </c>
      <c r="B742" s="99">
        <v>1818.51001</v>
      </c>
    </row>
    <row r="743" spans="1:2">
      <c r="A743" s="267">
        <v>43798</v>
      </c>
      <c r="B743" s="99">
        <v>1800.8000489999999</v>
      </c>
    </row>
    <row r="744" spans="1:2">
      <c r="A744" s="267">
        <v>43801</v>
      </c>
      <c r="B744" s="99">
        <v>1781.599976</v>
      </c>
    </row>
    <row r="745" spans="1:2">
      <c r="A745" s="267">
        <v>43802</v>
      </c>
      <c r="B745" s="99">
        <v>1769.959961</v>
      </c>
    </row>
    <row r="746" spans="1:2">
      <c r="A746" s="267">
        <v>43803</v>
      </c>
      <c r="B746" s="99">
        <v>1760.6899410000001</v>
      </c>
    </row>
    <row r="747" spans="1:2">
      <c r="A747" s="267">
        <v>43804</v>
      </c>
      <c r="B747" s="99">
        <v>1740.4799800000001</v>
      </c>
    </row>
    <row r="748" spans="1:2">
      <c r="A748" s="267">
        <v>43805</v>
      </c>
      <c r="B748" s="99">
        <v>1751.599976</v>
      </c>
    </row>
    <row r="749" spans="1:2">
      <c r="A749" s="267">
        <v>43808</v>
      </c>
      <c r="B749" s="99">
        <v>1749.51001</v>
      </c>
    </row>
    <row r="750" spans="1:2">
      <c r="A750" s="267">
        <v>43809</v>
      </c>
      <c r="B750" s="99">
        <v>1739.209961</v>
      </c>
    </row>
    <row r="751" spans="1:2">
      <c r="A751" s="267">
        <v>43810</v>
      </c>
      <c r="B751" s="99">
        <v>1748.719971</v>
      </c>
    </row>
    <row r="752" spans="1:2">
      <c r="A752" s="267">
        <v>43811</v>
      </c>
      <c r="B752" s="99">
        <v>1760.329956</v>
      </c>
    </row>
    <row r="753" spans="1:2">
      <c r="A753" s="267">
        <v>43812</v>
      </c>
      <c r="B753" s="99">
        <v>1760.9399410000001</v>
      </c>
    </row>
    <row r="754" spans="1:2">
      <c r="A754" s="267">
        <v>43815</v>
      </c>
      <c r="B754" s="99">
        <v>1769.209961</v>
      </c>
    </row>
    <row r="755" spans="1:2">
      <c r="A755" s="267">
        <v>43816</v>
      </c>
      <c r="B755" s="99">
        <v>1790.660034</v>
      </c>
    </row>
    <row r="756" spans="1:2">
      <c r="A756" s="267">
        <v>43817</v>
      </c>
      <c r="B756" s="99">
        <v>1784.030029</v>
      </c>
    </row>
    <row r="757" spans="1:2">
      <c r="A757" s="267">
        <v>43818</v>
      </c>
      <c r="B757" s="99">
        <v>1792.280029</v>
      </c>
    </row>
    <row r="758" spans="1:2">
      <c r="A758" s="267">
        <v>43819</v>
      </c>
      <c r="B758" s="99">
        <v>1786.5</v>
      </c>
    </row>
    <row r="759" spans="1:2">
      <c r="A759" s="267">
        <v>43822</v>
      </c>
      <c r="B759" s="99">
        <v>1793</v>
      </c>
    </row>
    <row r="760" spans="1:2">
      <c r="A760" s="267">
        <v>43823</v>
      </c>
      <c r="B760" s="99">
        <v>1789.209961</v>
      </c>
    </row>
    <row r="761" spans="1:2">
      <c r="A761" s="267">
        <v>43825</v>
      </c>
      <c r="B761" s="99">
        <v>1868.7700199999999</v>
      </c>
    </row>
    <row r="762" spans="1:2">
      <c r="A762" s="267">
        <v>43826</v>
      </c>
      <c r="B762" s="99">
        <v>1869.8000489999999</v>
      </c>
    </row>
    <row r="763" spans="1:2">
      <c r="A763" s="267">
        <v>43829</v>
      </c>
      <c r="B763" s="99">
        <v>1846.8900149999999</v>
      </c>
    </row>
    <row r="764" spans="1:2">
      <c r="A764" s="267">
        <v>43830</v>
      </c>
      <c r="B764" s="99">
        <v>1847.839966</v>
      </c>
    </row>
    <row r="765" spans="1:2">
      <c r="A765" s="267">
        <v>43832</v>
      </c>
      <c r="B765" s="99">
        <v>1898.01001</v>
      </c>
    </row>
    <row r="766" spans="1:2">
      <c r="A766" s="267">
        <v>43833</v>
      </c>
      <c r="B766" s="99">
        <v>1874.969971</v>
      </c>
    </row>
    <row r="767" spans="1:2">
      <c r="A767" s="267">
        <v>43836</v>
      </c>
      <c r="B767" s="99">
        <v>1902.880005</v>
      </c>
    </row>
    <row r="768" spans="1:2">
      <c r="A768" s="267">
        <v>43837</v>
      </c>
      <c r="B768" s="99">
        <v>1906.8599850000001</v>
      </c>
    </row>
    <row r="769" spans="1:2">
      <c r="A769" s="267">
        <v>43838</v>
      </c>
      <c r="B769" s="99">
        <v>1891.969971</v>
      </c>
    </row>
    <row r="770" spans="1:2">
      <c r="A770" s="267">
        <v>43839</v>
      </c>
      <c r="B770" s="99">
        <v>1901.0500489999999</v>
      </c>
    </row>
    <row r="771" spans="1:2">
      <c r="A771" s="267">
        <v>43840</v>
      </c>
      <c r="B771" s="99">
        <v>1883.160034</v>
      </c>
    </row>
    <row r="772" spans="1:2">
      <c r="A772" s="267">
        <v>43843</v>
      </c>
      <c r="B772" s="99">
        <v>1891.3000489999999</v>
      </c>
    </row>
    <row r="773" spans="1:2">
      <c r="A773" s="267">
        <v>43844</v>
      </c>
      <c r="B773" s="99">
        <v>1869.4399410000001</v>
      </c>
    </row>
    <row r="774" spans="1:2">
      <c r="A774" s="267">
        <v>43845</v>
      </c>
      <c r="B774" s="99">
        <v>1862.0200199999999</v>
      </c>
    </row>
    <row r="775" spans="1:2">
      <c r="A775" s="267">
        <v>43846</v>
      </c>
      <c r="B775" s="99">
        <v>1877.9399410000001</v>
      </c>
    </row>
    <row r="776" spans="1:2">
      <c r="A776" s="267">
        <v>43847</v>
      </c>
      <c r="B776" s="99">
        <v>1864.719971</v>
      </c>
    </row>
    <row r="777" spans="1:2">
      <c r="A777" s="267">
        <v>43851</v>
      </c>
      <c r="B777" s="99">
        <v>1892</v>
      </c>
    </row>
    <row r="778" spans="1:2">
      <c r="A778" s="267">
        <v>43852</v>
      </c>
      <c r="B778" s="99">
        <v>1887.459961</v>
      </c>
    </row>
    <row r="779" spans="1:2">
      <c r="A779" s="267">
        <v>43853</v>
      </c>
      <c r="B779" s="99">
        <v>1884.579956</v>
      </c>
    </row>
    <row r="780" spans="1:2">
      <c r="A780" s="267">
        <v>43854</v>
      </c>
      <c r="B780" s="99">
        <v>1861.6400149999999</v>
      </c>
    </row>
    <row r="781" spans="1:2">
      <c r="A781" s="267">
        <v>43857</v>
      </c>
      <c r="B781" s="99">
        <v>1828.339966</v>
      </c>
    </row>
    <row r="782" spans="1:2">
      <c r="A782" s="267">
        <v>43858</v>
      </c>
      <c r="B782" s="99">
        <v>1853.25</v>
      </c>
    </row>
    <row r="783" spans="1:2">
      <c r="A783" s="267">
        <v>43859</v>
      </c>
      <c r="B783" s="99">
        <v>1858</v>
      </c>
    </row>
    <row r="784" spans="1:2">
      <c r="A784" s="267">
        <v>43860</v>
      </c>
      <c r="B784" s="99">
        <v>1870.6800539999999</v>
      </c>
    </row>
    <row r="785" spans="1:2">
      <c r="A785" s="267">
        <v>43861</v>
      </c>
      <c r="B785" s="99">
        <v>2008.719971</v>
      </c>
    </row>
    <row r="786" spans="1:2">
      <c r="A786" s="267">
        <v>43864</v>
      </c>
      <c r="B786" s="99">
        <v>2004.1999510000001</v>
      </c>
    </row>
    <row r="787" spans="1:2">
      <c r="A787" s="267">
        <v>43865</v>
      </c>
      <c r="B787" s="99">
        <v>2049.669922</v>
      </c>
    </row>
    <row r="788" spans="1:2">
      <c r="A788" s="267">
        <v>43866</v>
      </c>
      <c r="B788" s="99">
        <v>2039.869995</v>
      </c>
    </row>
    <row r="789" spans="1:2">
      <c r="A789" s="267">
        <v>43867</v>
      </c>
      <c r="B789" s="99">
        <v>2050.2299800000001</v>
      </c>
    </row>
    <row r="790" spans="1:2">
      <c r="A790" s="267">
        <v>43868</v>
      </c>
      <c r="B790" s="99">
        <v>2079.280029</v>
      </c>
    </row>
    <row r="791" spans="1:2">
      <c r="A791" s="267">
        <v>43871</v>
      </c>
      <c r="B791" s="99">
        <v>2133.9099120000001</v>
      </c>
    </row>
    <row r="792" spans="1:2">
      <c r="A792" s="267">
        <v>43872</v>
      </c>
      <c r="B792" s="99">
        <v>2150.8000489999999</v>
      </c>
    </row>
    <row r="793" spans="1:2">
      <c r="A793" s="267">
        <v>43873</v>
      </c>
      <c r="B793" s="99">
        <v>2160</v>
      </c>
    </row>
    <row r="794" spans="1:2">
      <c r="A794" s="267">
        <v>43874</v>
      </c>
      <c r="B794" s="99">
        <v>2149.8701169999999</v>
      </c>
    </row>
    <row r="795" spans="1:2">
      <c r="A795" s="267">
        <v>43875</v>
      </c>
      <c r="B795" s="99">
        <v>2134.8701169999999</v>
      </c>
    </row>
    <row r="796" spans="1:2">
      <c r="A796" s="267">
        <v>43879</v>
      </c>
      <c r="B796" s="99">
        <v>2155.669922</v>
      </c>
    </row>
    <row r="797" spans="1:2">
      <c r="A797" s="267">
        <v>43880</v>
      </c>
      <c r="B797" s="99">
        <v>2170.219971</v>
      </c>
    </row>
    <row r="798" spans="1:2">
      <c r="A798" s="267">
        <v>43881</v>
      </c>
      <c r="B798" s="99">
        <v>2153.1000979999999</v>
      </c>
    </row>
    <row r="799" spans="1:2">
      <c r="A799" s="267">
        <v>43882</v>
      </c>
      <c r="B799" s="99">
        <v>2095.969971</v>
      </c>
    </row>
    <row r="800" spans="1:2">
      <c r="A800" s="267">
        <v>43885</v>
      </c>
      <c r="B800" s="99">
        <v>2009.290039</v>
      </c>
    </row>
    <row r="801" spans="1:2">
      <c r="A801" s="267">
        <v>43886</v>
      </c>
      <c r="B801" s="99">
        <v>1972.73999</v>
      </c>
    </row>
    <row r="802" spans="1:2">
      <c r="A802" s="267">
        <v>43887</v>
      </c>
      <c r="B802" s="99">
        <v>1979.589966</v>
      </c>
    </row>
    <row r="803" spans="1:2">
      <c r="A803" s="267">
        <v>43888</v>
      </c>
      <c r="B803" s="99">
        <v>1884.3000489999999</v>
      </c>
    </row>
    <row r="804" spans="1:2">
      <c r="A804" s="267">
        <v>43889</v>
      </c>
      <c r="B804" s="99">
        <v>1883.75</v>
      </c>
    </row>
    <row r="805" spans="1:2">
      <c r="A805" s="267">
        <v>43892</v>
      </c>
      <c r="B805" s="99">
        <v>1953.9499510000001</v>
      </c>
    </row>
    <row r="806" spans="1:2">
      <c r="A806" s="267">
        <v>43893</v>
      </c>
      <c r="B806" s="99">
        <v>1908.98999</v>
      </c>
    </row>
    <row r="807" spans="1:2">
      <c r="A807" s="267">
        <v>43894</v>
      </c>
      <c r="B807" s="99">
        <v>1975.829956</v>
      </c>
    </row>
    <row r="808" spans="1:2">
      <c r="A808" s="267">
        <v>43895</v>
      </c>
      <c r="B808" s="99">
        <v>1924.030029</v>
      </c>
    </row>
    <row r="809" spans="1:2">
      <c r="A809" s="267">
        <v>43896</v>
      </c>
      <c r="B809" s="99">
        <v>1901.089966</v>
      </c>
    </row>
    <row r="810" spans="1:2">
      <c r="A810" s="267">
        <v>43899</v>
      </c>
      <c r="B810" s="99">
        <v>1800.6099850000001</v>
      </c>
    </row>
    <row r="811" spans="1:2">
      <c r="A811" s="267">
        <v>43900</v>
      </c>
      <c r="B811" s="99">
        <v>1891.8199460000001</v>
      </c>
    </row>
    <row r="812" spans="1:2">
      <c r="A812" s="267">
        <v>43901</v>
      </c>
      <c r="B812" s="99">
        <v>1820.8599850000001</v>
      </c>
    </row>
    <row r="813" spans="1:2">
      <c r="A813" s="267">
        <v>43902</v>
      </c>
      <c r="B813" s="99">
        <v>1676.6099850000001</v>
      </c>
    </row>
    <row r="814" spans="1:2">
      <c r="A814" s="267">
        <v>43903</v>
      </c>
      <c r="B814" s="99">
        <v>1785</v>
      </c>
    </row>
    <row r="815" spans="1:2">
      <c r="A815" s="267">
        <v>43906</v>
      </c>
      <c r="B815" s="99">
        <v>1689.150024</v>
      </c>
    </row>
    <row r="816" spans="1:2">
      <c r="A816" s="267">
        <v>43907</v>
      </c>
      <c r="B816" s="99">
        <v>1807.839966</v>
      </c>
    </row>
    <row r="817" spans="1:2">
      <c r="A817" s="267">
        <v>43908</v>
      </c>
      <c r="B817" s="99">
        <v>1830</v>
      </c>
    </row>
    <row r="818" spans="1:2">
      <c r="A818" s="267">
        <v>43909</v>
      </c>
      <c r="B818" s="99">
        <v>1880.9300539999999</v>
      </c>
    </row>
    <row r="819" spans="1:2">
      <c r="A819" s="267">
        <v>43910</v>
      </c>
      <c r="B819" s="99">
        <v>1846.089966</v>
      </c>
    </row>
    <row r="820" spans="1:2">
      <c r="A820" s="267">
        <v>43913</v>
      </c>
      <c r="B820" s="99">
        <v>1902.829956</v>
      </c>
    </row>
    <row r="821" spans="1:2">
      <c r="A821" s="267">
        <v>43914</v>
      </c>
      <c r="B821" s="99">
        <v>1940.099976</v>
      </c>
    </row>
    <row r="822" spans="1:2">
      <c r="A822" s="267">
        <v>43915</v>
      </c>
      <c r="B822" s="99">
        <v>1885.839966</v>
      </c>
    </row>
    <row r="823" spans="1:2">
      <c r="A823" s="267">
        <v>43916</v>
      </c>
      <c r="B823" s="99">
        <v>1955.48999</v>
      </c>
    </row>
    <row r="824" spans="1:2">
      <c r="A824" s="267">
        <v>43917</v>
      </c>
      <c r="B824" s="99">
        <v>1900.099976</v>
      </c>
    </row>
    <row r="825" spans="1:2">
      <c r="A825" s="267">
        <v>43920</v>
      </c>
      <c r="B825" s="99">
        <v>1963.9499510000001</v>
      </c>
    </row>
    <row r="826" spans="1:2">
      <c r="A826" s="267">
        <v>43921</v>
      </c>
      <c r="B826" s="99">
        <v>1949.719971</v>
      </c>
    </row>
    <row r="827" spans="1:2">
      <c r="A827" s="267">
        <v>43922</v>
      </c>
      <c r="B827" s="99">
        <v>1907.6999510000001</v>
      </c>
    </row>
    <row r="828" spans="1:2">
      <c r="A828" s="267">
        <v>43923</v>
      </c>
      <c r="B828" s="99">
        <v>1918.829956</v>
      </c>
    </row>
    <row r="829" spans="1:2">
      <c r="A829" s="267">
        <v>43924</v>
      </c>
      <c r="B829" s="99">
        <v>1906.589966</v>
      </c>
    </row>
    <row r="830" spans="1:2">
      <c r="A830" s="267">
        <v>43927</v>
      </c>
      <c r="B830" s="99">
        <v>1997.589966</v>
      </c>
    </row>
    <row r="831" spans="1:2">
      <c r="A831" s="267">
        <v>43928</v>
      </c>
      <c r="B831" s="99">
        <v>2011.599976</v>
      </c>
    </row>
    <row r="832" spans="1:2">
      <c r="A832" s="267">
        <v>43929</v>
      </c>
      <c r="B832" s="99">
        <v>2043</v>
      </c>
    </row>
    <row r="833" spans="1:2">
      <c r="A833" s="267">
        <v>43930</v>
      </c>
      <c r="B833" s="99">
        <v>2042.76001</v>
      </c>
    </row>
    <row r="834" spans="1:2">
      <c r="A834" s="267">
        <v>43934</v>
      </c>
      <c r="B834" s="99">
        <v>2168.8701169999999</v>
      </c>
    </row>
    <row r="835" spans="1:2">
      <c r="A835" s="267">
        <v>43935</v>
      </c>
      <c r="B835" s="99">
        <v>2283.320068</v>
      </c>
    </row>
    <row r="836" spans="1:2">
      <c r="A836" s="267">
        <v>43936</v>
      </c>
      <c r="B836" s="99">
        <v>2307.679932</v>
      </c>
    </row>
    <row r="837" spans="1:2">
      <c r="A837" s="267">
        <v>43937</v>
      </c>
      <c r="B837" s="99">
        <v>2408.1899410000001</v>
      </c>
    </row>
    <row r="838" spans="1:2">
      <c r="A838" s="267">
        <v>43938</v>
      </c>
      <c r="B838" s="99">
        <v>2375</v>
      </c>
    </row>
    <row r="839" spans="1:2">
      <c r="A839" s="267">
        <v>43941</v>
      </c>
      <c r="B839" s="99">
        <v>2393.610107</v>
      </c>
    </row>
    <row r="840" spans="1:2">
      <c r="A840" s="267">
        <v>43942</v>
      </c>
      <c r="B840" s="99">
        <v>2328.1201169999999</v>
      </c>
    </row>
    <row r="841" spans="1:2">
      <c r="A841" s="267">
        <v>43943</v>
      </c>
      <c r="B841" s="99">
        <v>2363.48999</v>
      </c>
    </row>
    <row r="842" spans="1:2">
      <c r="A842" s="267">
        <v>43944</v>
      </c>
      <c r="B842" s="99">
        <v>2399.4499510000001</v>
      </c>
    </row>
    <row r="843" spans="1:2">
      <c r="A843" s="267">
        <v>43945</v>
      </c>
      <c r="B843" s="99">
        <v>2410.219971</v>
      </c>
    </row>
    <row r="844" spans="1:2">
      <c r="A844" s="267">
        <v>43948</v>
      </c>
      <c r="B844" s="99">
        <v>2376</v>
      </c>
    </row>
    <row r="845" spans="1:2">
      <c r="A845" s="267">
        <v>43949</v>
      </c>
      <c r="B845" s="99">
        <v>2314.080078</v>
      </c>
    </row>
    <row r="846" spans="1:2">
      <c r="A846" s="267">
        <v>43950</v>
      </c>
      <c r="B846" s="99">
        <v>2372.709961</v>
      </c>
    </row>
    <row r="847" spans="1:2">
      <c r="A847" s="267">
        <v>43951</v>
      </c>
      <c r="B847" s="99">
        <v>2474</v>
      </c>
    </row>
    <row r="848" spans="1:2">
      <c r="A848" s="267">
        <v>43952</v>
      </c>
      <c r="B848" s="99">
        <v>2286.040039</v>
      </c>
    </row>
    <row r="849" spans="1:2">
      <c r="A849" s="267">
        <v>43955</v>
      </c>
      <c r="B849" s="99">
        <v>2315.98999</v>
      </c>
    </row>
    <row r="850" spans="1:2">
      <c r="A850" s="267">
        <v>43956</v>
      </c>
      <c r="B850" s="99">
        <v>2317.8000489999999</v>
      </c>
    </row>
    <row r="851" spans="1:2">
      <c r="A851" s="267">
        <v>43957</v>
      </c>
      <c r="B851" s="99">
        <v>2351.26001</v>
      </c>
    </row>
    <row r="852" spans="1:2">
      <c r="A852" s="267">
        <v>43958</v>
      </c>
      <c r="B852" s="99">
        <v>2367.610107</v>
      </c>
    </row>
    <row r="853" spans="1:2">
      <c r="A853" s="267">
        <v>43959</v>
      </c>
      <c r="B853" s="99">
        <v>2379.610107</v>
      </c>
    </row>
    <row r="854" spans="1:2">
      <c r="A854" s="267">
        <v>43962</v>
      </c>
      <c r="B854" s="99">
        <v>2409</v>
      </c>
    </row>
    <row r="855" spans="1:2">
      <c r="A855" s="267">
        <v>43963</v>
      </c>
      <c r="B855" s="99">
        <v>2356.9499510000001</v>
      </c>
    </row>
    <row r="856" spans="1:2">
      <c r="A856" s="267">
        <v>43964</v>
      </c>
      <c r="B856" s="99">
        <v>2367.919922</v>
      </c>
    </row>
    <row r="857" spans="1:2">
      <c r="A857" s="267">
        <v>43965</v>
      </c>
      <c r="B857" s="99">
        <v>2388.8500979999999</v>
      </c>
    </row>
    <row r="858" spans="1:2">
      <c r="A858" s="267">
        <v>43966</v>
      </c>
      <c r="B858" s="99">
        <v>2409.780029</v>
      </c>
    </row>
    <row r="859" spans="1:2">
      <c r="A859" s="267">
        <v>43969</v>
      </c>
      <c r="B859" s="99">
        <v>2426.26001</v>
      </c>
    </row>
    <row r="860" spans="1:2">
      <c r="A860" s="267">
        <v>43970</v>
      </c>
      <c r="B860" s="99">
        <v>2449.330078</v>
      </c>
    </row>
    <row r="861" spans="1:2">
      <c r="A861" s="267">
        <v>43971</v>
      </c>
      <c r="B861" s="99">
        <v>2497.9399410000001</v>
      </c>
    </row>
    <row r="862" spans="1:2">
      <c r="A862" s="267">
        <v>43972</v>
      </c>
      <c r="B862" s="99">
        <v>2446.73999</v>
      </c>
    </row>
    <row r="863" spans="1:2">
      <c r="A863" s="267">
        <v>43973</v>
      </c>
      <c r="B863" s="99">
        <v>2436.8798830000001</v>
      </c>
    </row>
    <row r="864" spans="1:2">
      <c r="A864" s="267">
        <v>43977</v>
      </c>
      <c r="B864" s="99">
        <v>2421.860107</v>
      </c>
    </row>
    <row r="865" spans="1:2">
      <c r="A865" s="267">
        <v>43978</v>
      </c>
      <c r="B865" s="99">
        <v>2410.389893</v>
      </c>
    </row>
    <row r="866" spans="1:2">
      <c r="A866" s="267">
        <v>43979</v>
      </c>
      <c r="B866" s="99">
        <v>2401.1000979999999</v>
      </c>
    </row>
    <row r="867" spans="1:2">
      <c r="A867" s="267">
        <v>43980</v>
      </c>
      <c r="B867" s="99">
        <v>2442.3701169999999</v>
      </c>
    </row>
    <row r="868" spans="1:2">
      <c r="A868" s="267">
        <v>43983</v>
      </c>
      <c r="B868" s="99">
        <v>2471.040039</v>
      </c>
    </row>
    <row r="869" spans="1:2">
      <c r="A869" s="267">
        <v>43984</v>
      </c>
      <c r="B869" s="99">
        <v>2472.4099120000001</v>
      </c>
    </row>
    <row r="870" spans="1:2">
      <c r="A870" s="267">
        <v>43985</v>
      </c>
      <c r="B870" s="99">
        <v>2478.3999020000001</v>
      </c>
    </row>
    <row r="871" spans="1:2">
      <c r="A871" s="267">
        <v>43986</v>
      </c>
      <c r="B871" s="99">
        <v>2460.6000979999999</v>
      </c>
    </row>
    <row r="872" spans="1:2">
      <c r="A872" s="267">
        <v>43987</v>
      </c>
      <c r="B872" s="99">
        <v>2483</v>
      </c>
    </row>
    <row r="873" spans="1:2">
      <c r="A873" s="267">
        <v>43990</v>
      </c>
      <c r="B873" s="99">
        <v>2524.0600589999999</v>
      </c>
    </row>
    <row r="874" spans="1:2">
      <c r="A874" s="267">
        <v>43991</v>
      </c>
      <c r="B874" s="99">
        <v>2600.860107</v>
      </c>
    </row>
    <row r="875" spans="1:2">
      <c r="A875" s="267">
        <v>43992</v>
      </c>
      <c r="B875" s="99">
        <v>2647.4499510000001</v>
      </c>
    </row>
    <row r="876" spans="1:2">
      <c r="A876" s="267">
        <v>43993</v>
      </c>
      <c r="B876" s="99">
        <v>2557.959961</v>
      </c>
    </row>
    <row r="877" spans="1:2">
      <c r="A877" s="267">
        <v>43994</v>
      </c>
      <c r="B877" s="99">
        <v>2545.0200199999999</v>
      </c>
    </row>
    <row r="878" spans="1:2">
      <c r="A878" s="267">
        <v>43997</v>
      </c>
      <c r="B878" s="99">
        <v>2572.679932</v>
      </c>
    </row>
    <row r="879" spans="1:2">
      <c r="A879" s="267">
        <v>43998</v>
      </c>
      <c r="B879" s="99">
        <v>2615.2700199999999</v>
      </c>
    </row>
    <row r="880" spans="1:2">
      <c r="A880" s="267">
        <v>43999</v>
      </c>
      <c r="B880" s="99">
        <v>2640.9799800000001</v>
      </c>
    </row>
    <row r="881" spans="1:2">
      <c r="A881" s="267">
        <v>44000</v>
      </c>
      <c r="B881" s="99">
        <v>2653.9799800000001</v>
      </c>
    </row>
    <row r="882" spans="1:2">
      <c r="A882" s="267">
        <v>44001</v>
      </c>
      <c r="B882" s="99">
        <v>2675.01001</v>
      </c>
    </row>
    <row r="883" spans="1:2">
      <c r="A883" s="267">
        <v>44004</v>
      </c>
      <c r="B883" s="99">
        <v>2713.820068</v>
      </c>
    </row>
    <row r="884" spans="1:2">
      <c r="A884" s="267">
        <v>44005</v>
      </c>
      <c r="B884" s="99">
        <v>2764.4099120000001</v>
      </c>
    </row>
    <row r="885" spans="1:2">
      <c r="A885" s="267">
        <v>44006</v>
      </c>
      <c r="B885" s="99">
        <v>2734.3999020000001</v>
      </c>
    </row>
    <row r="886" spans="1:2">
      <c r="A886" s="267">
        <v>44007</v>
      </c>
      <c r="B886" s="99">
        <v>2754.580078</v>
      </c>
    </row>
    <row r="887" spans="1:2">
      <c r="A887" s="267">
        <v>44008</v>
      </c>
      <c r="B887" s="99">
        <v>2692.8701169999999</v>
      </c>
    </row>
    <row r="888" spans="1:2">
      <c r="A888" s="267">
        <v>44011</v>
      </c>
      <c r="B888" s="99">
        <v>2680.3798830000001</v>
      </c>
    </row>
    <row r="889" spans="1:2">
      <c r="A889" s="267">
        <v>44012</v>
      </c>
      <c r="B889" s="99">
        <v>2758.820068</v>
      </c>
    </row>
    <row r="890" spans="1:2">
      <c r="A890" s="267">
        <v>44013</v>
      </c>
      <c r="B890" s="99">
        <v>2878.6999510000001</v>
      </c>
    </row>
    <row r="891" spans="1:2">
      <c r="A891" s="267">
        <v>44014</v>
      </c>
      <c r="B891" s="99">
        <v>2890.3000489999999</v>
      </c>
    </row>
    <row r="892" spans="1:2">
      <c r="A892" s="267">
        <v>44018</v>
      </c>
      <c r="B892" s="99">
        <v>3057.040039</v>
      </c>
    </row>
    <row r="893" spans="1:2">
      <c r="A893" s="267">
        <v>44019</v>
      </c>
      <c r="B893" s="99">
        <v>3000.1201169999999</v>
      </c>
    </row>
    <row r="894" spans="1:2">
      <c r="A894" s="267">
        <v>44020</v>
      </c>
      <c r="B894" s="99">
        <v>3081.110107</v>
      </c>
    </row>
    <row r="895" spans="1:2">
      <c r="A895" s="267">
        <v>44021</v>
      </c>
      <c r="B895" s="99">
        <v>3182.6298830000001</v>
      </c>
    </row>
    <row r="896" spans="1:2">
      <c r="A896" s="267">
        <v>44022</v>
      </c>
      <c r="B896" s="99">
        <v>3200</v>
      </c>
    </row>
    <row r="897" spans="1:2">
      <c r="A897" s="267">
        <v>44025</v>
      </c>
      <c r="B897" s="99">
        <v>3104</v>
      </c>
    </row>
    <row r="898" spans="1:2">
      <c r="A898" s="267">
        <v>44026</v>
      </c>
      <c r="B898" s="99">
        <v>3084</v>
      </c>
    </row>
    <row r="899" spans="1:2">
      <c r="A899" s="267">
        <v>44027</v>
      </c>
      <c r="B899" s="99">
        <v>3008.8701169999999</v>
      </c>
    </row>
    <row r="900" spans="1:2">
      <c r="A900" s="267">
        <v>44028</v>
      </c>
      <c r="B900" s="99">
        <v>2999.8999020000001</v>
      </c>
    </row>
    <row r="901" spans="1:2">
      <c r="A901" s="267">
        <v>44029</v>
      </c>
      <c r="B901" s="99">
        <v>2961.969971</v>
      </c>
    </row>
    <row r="902" spans="1:2">
      <c r="A902" s="267">
        <v>44032</v>
      </c>
      <c r="B902" s="99">
        <v>3196.8400879999999</v>
      </c>
    </row>
    <row r="903" spans="1:2">
      <c r="A903" s="267">
        <v>44033</v>
      </c>
      <c r="B903" s="99">
        <v>3138.290039</v>
      </c>
    </row>
    <row r="904" spans="1:2">
      <c r="A904" s="267">
        <v>44034</v>
      </c>
      <c r="B904" s="99">
        <v>3099.9099120000001</v>
      </c>
    </row>
    <row r="905" spans="1:2">
      <c r="A905" s="267">
        <v>44035</v>
      </c>
      <c r="B905" s="99">
        <v>2986.5500489999999</v>
      </c>
    </row>
    <row r="906" spans="1:2">
      <c r="A906" s="267">
        <v>44036</v>
      </c>
      <c r="B906" s="99">
        <v>3008.9099120000001</v>
      </c>
    </row>
    <row r="907" spans="1:2">
      <c r="A907" s="267">
        <v>44039</v>
      </c>
      <c r="B907" s="99">
        <v>3055.209961</v>
      </c>
    </row>
    <row r="908" spans="1:2">
      <c r="A908" s="267">
        <v>44040</v>
      </c>
      <c r="B908" s="99">
        <v>3000.330078</v>
      </c>
    </row>
    <row r="909" spans="1:2">
      <c r="A909" s="267">
        <v>44041</v>
      </c>
      <c r="B909" s="99">
        <v>3033.530029</v>
      </c>
    </row>
    <row r="910" spans="1:2">
      <c r="A910" s="267">
        <v>44042</v>
      </c>
      <c r="B910" s="99">
        <v>3051.8798830000001</v>
      </c>
    </row>
    <row r="911" spans="1:2">
      <c r="A911" s="267">
        <v>44043</v>
      </c>
      <c r="B911" s="99">
        <v>3164.679932</v>
      </c>
    </row>
    <row r="912" spans="1:2">
      <c r="A912" s="267">
        <v>44046</v>
      </c>
      <c r="B912" s="99">
        <v>3111.889893</v>
      </c>
    </row>
    <row r="913" spans="1:2">
      <c r="A913" s="267">
        <v>44047</v>
      </c>
      <c r="B913" s="99">
        <v>3138.830078</v>
      </c>
    </row>
    <row r="914" spans="1:2">
      <c r="A914" s="267">
        <v>44048</v>
      </c>
      <c r="B914" s="99">
        <v>3205.030029</v>
      </c>
    </row>
    <row r="915" spans="1:2">
      <c r="A915" s="267">
        <v>44049</v>
      </c>
      <c r="B915" s="99">
        <v>3225</v>
      </c>
    </row>
    <row r="916" spans="1:2">
      <c r="A916" s="267">
        <v>44050</v>
      </c>
      <c r="B916" s="99">
        <v>3167.459961</v>
      </c>
    </row>
    <row r="917" spans="1:2">
      <c r="A917" s="267">
        <v>44053</v>
      </c>
      <c r="B917" s="99">
        <v>3148.1599120000001</v>
      </c>
    </row>
    <row r="918" spans="1:2">
      <c r="A918" s="267">
        <v>44054</v>
      </c>
      <c r="B918" s="99">
        <v>3080.669922</v>
      </c>
    </row>
    <row r="919" spans="1:2">
      <c r="A919" s="267">
        <v>44055</v>
      </c>
      <c r="B919" s="99">
        <v>3162.23999</v>
      </c>
    </row>
    <row r="920" spans="1:2">
      <c r="A920" s="267">
        <v>44056</v>
      </c>
      <c r="B920" s="99">
        <v>3161.0200199999999</v>
      </c>
    </row>
    <row r="921" spans="1:2">
      <c r="A921" s="267">
        <v>44057</v>
      </c>
      <c r="B921" s="99">
        <v>3148.0200199999999</v>
      </c>
    </row>
    <row r="922" spans="1:2">
      <c r="A922" s="267">
        <v>44060</v>
      </c>
      <c r="B922" s="99">
        <v>3182.4099120000001</v>
      </c>
    </row>
    <row r="923" spans="1:2">
      <c r="A923" s="267">
        <v>44061</v>
      </c>
      <c r="B923" s="99">
        <v>3312.48999</v>
      </c>
    </row>
    <row r="924" spans="1:2">
      <c r="A924" s="267">
        <v>44062</v>
      </c>
      <c r="B924" s="99">
        <v>3260.4799800000001</v>
      </c>
    </row>
    <row r="925" spans="1:2">
      <c r="A925" s="267">
        <v>44063</v>
      </c>
      <c r="B925" s="99">
        <v>3297.3701169999999</v>
      </c>
    </row>
    <row r="926" spans="1:2">
      <c r="A926" s="267">
        <v>44064</v>
      </c>
      <c r="B926" s="99">
        <v>3284.719971</v>
      </c>
    </row>
    <row r="927" spans="1:2">
      <c r="A927" s="267">
        <v>44067</v>
      </c>
      <c r="B927" s="99">
        <v>3307.459961</v>
      </c>
    </row>
    <row r="928" spans="1:2">
      <c r="A928" s="267">
        <v>44068</v>
      </c>
      <c r="B928" s="99">
        <v>3346.48999</v>
      </c>
    </row>
    <row r="929" spans="1:2">
      <c r="A929" s="267">
        <v>44069</v>
      </c>
      <c r="B929" s="99">
        <v>3441.8500979999999</v>
      </c>
    </row>
    <row r="930" spans="1:2">
      <c r="A930" s="267">
        <v>44070</v>
      </c>
      <c r="B930" s="99">
        <v>3400</v>
      </c>
    </row>
    <row r="931" spans="1:2">
      <c r="A931" s="267">
        <v>44071</v>
      </c>
      <c r="B931" s="99">
        <v>3401.8000489999999</v>
      </c>
    </row>
    <row r="932" spans="1:2">
      <c r="A932" s="267">
        <v>44074</v>
      </c>
      <c r="B932" s="99">
        <v>3450.959961</v>
      </c>
    </row>
    <row r="933" spans="1:2">
      <c r="A933" s="267">
        <v>44075</v>
      </c>
      <c r="B933" s="99">
        <v>3499.1201169999999</v>
      </c>
    </row>
    <row r="934" spans="1:2">
      <c r="A934" s="267">
        <v>44076</v>
      </c>
      <c r="B934" s="99">
        <v>3531.4499510000001</v>
      </c>
    </row>
    <row r="935" spans="1:2">
      <c r="A935" s="267">
        <v>44077</v>
      </c>
      <c r="B935" s="99">
        <v>3368</v>
      </c>
    </row>
    <row r="936" spans="1:2">
      <c r="A936" s="267">
        <v>44078</v>
      </c>
      <c r="B936" s="99">
        <v>3294.6201169999999</v>
      </c>
    </row>
    <row r="937" spans="1:2">
      <c r="A937" s="267">
        <v>44082</v>
      </c>
      <c r="B937" s="99">
        <v>3149.8400879999999</v>
      </c>
    </row>
    <row r="938" spans="1:2">
      <c r="A938" s="267">
        <v>44083</v>
      </c>
      <c r="B938" s="99">
        <v>3268.610107</v>
      </c>
    </row>
    <row r="939" spans="1:2">
      <c r="A939" s="267">
        <v>44084</v>
      </c>
      <c r="B939" s="99">
        <v>3175.110107</v>
      </c>
    </row>
    <row r="940" spans="1:2">
      <c r="A940" s="267">
        <v>44085</v>
      </c>
      <c r="B940" s="99">
        <v>3116.219971</v>
      </c>
    </row>
    <row r="941" spans="1:2">
      <c r="A941" s="267">
        <v>44088</v>
      </c>
      <c r="B941" s="99">
        <v>3102.969971</v>
      </c>
    </row>
    <row r="942" spans="1:2">
      <c r="A942" s="267">
        <v>44089</v>
      </c>
      <c r="B942" s="99">
        <v>3156.1298830000001</v>
      </c>
    </row>
    <row r="943" spans="1:2">
      <c r="A943" s="267">
        <v>44090</v>
      </c>
      <c r="B943" s="99">
        <v>3078.1000979999999</v>
      </c>
    </row>
    <row r="944" spans="1:2">
      <c r="A944" s="267">
        <v>44091</v>
      </c>
      <c r="B944" s="99">
        <v>3008.7299800000001</v>
      </c>
    </row>
    <row r="945" spans="1:2">
      <c r="A945" s="267">
        <v>44092</v>
      </c>
      <c r="B945" s="99">
        <v>2954.9099120000001</v>
      </c>
    </row>
    <row r="946" spans="1:2">
      <c r="A946" s="267">
        <v>44095</v>
      </c>
      <c r="B946" s="99">
        <v>2960.469971</v>
      </c>
    </row>
    <row r="947" spans="1:2">
      <c r="A947" s="267">
        <v>44096</v>
      </c>
      <c r="B947" s="99">
        <v>3128.98999</v>
      </c>
    </row>
    <row r="948" spans="1:2">
      <c r="A948" s="267">
        <v>44097</v>
      </c>
      <c r="B948" s="99">
        <v>2999.860107</v>
      </c>
    </row>
    <row r="949" spans="1:2">
      <c r="A949" s="267">
        <v>44098</v>
      </c>
      <c r="B949" s="99">
        <v>3019.790039</v>
      </c>
    </row>
    <row r="950" spans="1:2">
      <c r="A950" s="267">
        <v>44099</v>
      </c>
      <c r="B950" s="99">
        <v>3095.1298830000001</v>
      </c>
    </row>
    <row r="951" spans="1:2">
      <c r="A951" s="267">
        <v>44102</v>
      </c>
      <c r="B951" s="99">
        <v>3174.0500489999999</v>
      </c>
    </row>
    <row r="952" spans="1:2">
      <c r="A952" s="267">
        <v>44103</v>
      </c>
      <c r="B952" s="99">
        <v>3144.8798830000001</v>
      </c>
    </row>
    <row r="953" spans="1:2">
      <c r="A953" s="267">
        <v>44104</v>
      </c>
      <c r="B953" s="99">
        <v>3148.7299800000001</v>
      </c>
    </row>
    <row r="954" spans="1:2">
      <c r="A954" s="267">
        <v>44105</v>
      </c>
      <c r="B954" s="99">
        <v>3221.26001</v>
      </c>
    </row>
    <row r="955" spans="1:2">
      <c r="A955" s="267">
        <v>44106</v>
      </c>
      <c r="B955" s="99">
        <v>3125</v>
      </c>
    </row>
    <row r="956" spans="1:2">
      <c r="A956" s="267">
        <v>44109</v>
      </c>
      <c r="B956" s="99">
        <v>3199.1999510000001</v>
      </c>
    </row>
    <row r="957" spans="1:2">
      <c r="A957" s="267">
        <v>44110</v>
      </c>
      <c r="B957" s="99">
        <v>3099.959961</v>
      </c>
    </row>
    <row r="958" spans="1:2">
      <c r="A958" s="267">
        <v>44111</v>
      </c>
      <c r="B958" s="99">
        <v>3195.6899410000001</v>
      </c>
    </row>
    <row r="959" spans="1:2">
      <c r="A959" s="267">
        <v>44112</v>
      </c>
      <c r="B959" s="99">
        <v>3190.5500489999999</v>
      </c>
    </row>
    <row r="960" spans="1:2">
      <c r="A960" s="267">
        <v>44113</v>
      </c>
      <c r="B960" s="99">
        <v>3286.6499020000001</v>
      </c>
    </row>
    <row r="961" spans="1:2">
      <c r="A961" s="267">
        <v>44116</v>
      </c>
      <c r="B961" s="99">
        <v>3442.929932</v>
      </c>
    </row>
    <row r="962" spans="1:2">
      <c r="A962" s="267">
        <v>44117</v>
      </c>
      <c r="B962" s="99">
        <v>3443.6298830000001</v>
      </c>
    </row>
    <row r="963" spans="1:2">
      <c r="A963" s="267">
        <v>44118</v>
      </c>
      <c r="B963" s="99">
        <v>3363.709961</v>
      </c>
    </row>
    <row r="964" spans="1:2">
      <c r="A964" s="267">
        <v>44119</v>
      </c>
      <c r="B964" s="99">
        <v>3338.6499020000001</v>
      </c>
    </row>
    <row r="965" spans="1:2">
      <c r="A965" s="267">
        <v>44120</v>
      </c>
      <c r="B965" s="99">
        <v>3272.709961</v>
      </c>
    </row>
    <row r="966" spans="1:2">
      <c r="A966" s="267">
        <v>44123</v>
      </c>
      <c r="B966" s="99">
        <v>3207.209961</v>
      </c>
    </row>
    <row r="967" spans="1:2">
      <c r="A967" s="267">
        <v>44124</v>
      </c>
      <c r="B967" s="99">
        <v>3217.01001</v>
      </c>
    </row>
    <row r="968" spans="1:2">
      <c r="A968" s="267">
        <v>44125</v>
      </c>
      <c r="B968" s="99">
        <v>3184.9399410000001</v>
      </c>
    </row>
    <row r="969" spans="1:2">
      <c r="A969" s="267">
        <v>44126</v>
      </c>
      <c r="B969" s="99">
        <v>3176.3999020000001</v>
      </c>
    </row>
    <row r="970" spans="1:2">
      <c r="A970" s="267">
        <v>44127</v>
      </c>
      <c r="B970" s="99">
        <v>3204.3999020000001</v>
      </c>
    </row>
    <row r="971" spans="1:2">
      <c r="A971" s="267">
        <v>44130</v>
      </c>
      <c r="B971" s="99">
        <v>3207.040039</v>
      </c>
    </row>
    <row r="972" spans="1:2">
      <c r="A972" s="267">
        <v>44131</v>
      </c>
      <c r="B972" s="99">
        <v>3286.330078</v>
      </c>
    </row>
    <row r="973" spans="1:2">
      <c r="A973" s="267">
        <v>44132</v>
      </c>
      <c r="B973" s="99">
        <v>3162.780029</v>
      </c>
    </row>
    <row r="974" spans="1:2">
      <c r="A974" s="267">
        <v>44133</v>
      </c>
      <c r="B974" s="99">
        <v>3211.01001</v>
      </c>
    </row>
    <row r="975" spans="1:2">
      <c r="A975" s="267">
        <v>44134</v>
      </c>
      <c r="B975" s="99">
        <v>3036.1499020000001</v>
      </c>
    </row>
    <row r="976" spans="1:2">
      <c r="A976" s="267">
        <v>44137</v>
      </c>
      <c r="B976" s="99">
        <v>3004.4799800000001</v>
      </c>
    </row>
    <row r="977" spans="1:5">
      <c r="A977" s="267">
        <v>44138</v>
      </c>
      <c r="B977" s="99">
        <v>3048.4099120000001</v>
      </c>
    </row>
    <row r="978" spans="1:5">
      <c r="A978" s="267">
        <v>44139</v>
      </c>
      <c r="B978" s="99">
        <v>3241.1599120000001</v>
      </c>
    </row>
    <row r="979" spans="1:5">
      <c r="A979" s="267">
        <v>44140</v>
      </c>
      <c r="B979" s="99">
        <v>3322</v>
      </c>
    </row>
    <row r="980" spans="1:5">
      <c r="A980" s="267">
        <v>44141</v>
      </c>
      <c r="B980" s="99">
        <v>3311.3701169999999</v>
      </c>
    </row>
    <row r="981" spans="1:5">
      <c r="A981" s="267">
        <v>44144</v>
      </c>
      <c r="B981" s="99">
        <v>3143.73999</v>
      </c>
    </row>
    <row r="982" spans="1:5">
      <c r="A982" s="267">
        <v>44145</v>
      </c>
      <c r="B982" s="99">
        <v>3035.0200199999999</v>
      </c>
    </row>
    <row r="983" spans="1:5">
      <c r="A983" s="267">
        <v>44146</v>
      </c>
      <c r="B983" s="99">
        <v>3137.389893</v>
      </c>
    </row>
    <row r="984" spans="1:5">
      <c r="A984" s="267">
        <v>44147</v>
      </c>
      <c r="B984" s="99">
        <v>3110.280029</v>
      </c>
    </row>
    <row r="985" spans="1:5">
      <c r="A985" s="267">
        <v>44148</v>
      </c>
      <c r="B985" s="99">
        <v>3128.8100589999999</v>
      </c>
    </row>
    <row r="986" spans="1:5">
      <c r="A986" s="267">
        <v>44151</v>
      </c>
      <c r="B986" s="99">
        <v>3131.0600589999999</v>
      </c>
    </row>
    <row r="987" spans="1:5">
      <c r="A987" s="267">
        <v>44152</v>
      </c>
      <c r="B987" s="99">
        <v>3135.6599120000001</v>
      </c>
    </row>
    <row r="988" spans="1:5">
      <c r="A988" s="267">
        <v>44153</v>
      </c>
      <c r="B988" s="99">
        <v>3105.459961</v>
      </c>
    </row>
    <row r="989" spans="1:5">
      <c r="A989" s="267">
        <v>44154</v>
      </c>
      <c r="B989" s="99">
        <v>3117.0200199999999</v>
      </c>
      <c r="C989" s="274">
        <f>B989</f>
        <v>3117.0200199999999</v>
      </c>
      <c r="D989" s="274">
        <f t="shared" ref="D989:E989" si="0">C989</f>
        <v>3117.0200199999999</v>
      </c>
      <c r="E989" s="274">
        <f t="shared" si="0"/>
        <v>3117.0200199999999</v>
      </c>
    </row>
    <row r="990" spans="1:5">
      <c r="A990" s="267">
        <v>44196</v>
      </c>
      <c r="C990" s="551">
        <v>4673.8504464781372</v>
      </c>
      <c r="D990" s="551">
        <v>5254.3765792843833</v>
      </c>
      <c r="E990" s="551">
        <v>1932.434313973768</v>
      </c>
    </row>
    <row r="991" spans="1:5">
      <c r="A991" s="267">
        <v>44561</v>
      </c>
      <c r="C991" s="551">
        <v>5023.2475211030287</v>
      </c>
      <c r="D991" s="551">
        <v>5737.6865284939004</v>
      </c>
      <c r="E991" s="551">
        <v>2111.2969210566666</v>
      </c>
    </row>
    <row r="992" spans="1:5">
      <c r="A992" s="267">
        <v>44926</v>
      </c>
      <c r="C992" s="551">
        <v>5342.035079911243</v>
      </c>
      <c r="D992" s="551">
        <v>6152.0179594829033</v>
      </c>
      <c r="E992" s="551">
        <v>2229.6366870735442</v>
      </c>
    </row>
    <row r="993" spans="1:5">
      <c r="A993" s="267">
        <v>45291</v>
      </c>
      <c r="C993" s="551">
        <v>5681.0259089807714</v>
      </c>
      <c r="D993" s="551">
        <v>6592.9210651701869</v>
      </c>
      <c r="E993" s="551">
        <v>2360.7464790796844</v>
      </c>
    </row>
    <row r="994" spans="1:5">
      <c r="A994" s="267">
        <v>45657</v>
      </c>
      <c r="C994" s="551">
        <v>6034.7108097646742</v>
      </c>
      <c r="D994" s="551">
        <v>7076.0459224539063</v>
      </c>
      <c r="E994" s="551">
        <v>2513.2151240449448</v>
      </c>
    </row>
    <row r="995" spans="1:5">
      <c r="A995" s="267">
        <v>46022</v>
      </c>
      <c r="C995" s="551">
        <v>6355.9684913212241</v>
      </c>
      <c r="D995" s="551">
        <v>7528.160248340434</v>
      </c>
      <c r="E995" s="551">
        <v>2636.9198443580995</v>
      </c>
    </row>
    <row r="996" spans="1:5">
      <c r="C996" s="229"/>
      <c r="D996" s="229"/>
      <c r="E996" s="229"/>
    </row>
  </sheetData>
  <phoneticPr fontId="10" type="noConversion"/>
  <pageMargins left="0.7" right="0.7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F38F2B6FF8545B4DA986C0D138AD5" ma:contentTypeVersion="7" ma:contentTypeDescription="Create a new document." ma:contentTypeScope="" ma:versionID="b3d5d3f8b9b942e06ad228ed6130a50d">
  <xsd:schema xmlns:xsd="http://www.w3.org/2001/XMLSchema" xmlns:xs="http://www.w3.org/2001/XMLSchema" xmlns:p="http://schemas.microsoft.com/office/2006/metadata/properties" xmlns:ns3="5b19e0af-a46b-4527-9e06-e3a11d265708" xmlns:ns4="fad74c4c-5be1-421e-914f-a7a4b865fc38" targetNamespace="http://schemas.microsoft.com/office/2006/metadata/properties" ma:root="true" ma:fieldsID="2e9e122c3e2b3307a67497741f1c3c45" ns3:_="" ns4:_="">
    <xsd:import namespace="5b19e0af-a46b-4527-9e06-e3a11d265708"/>
    <xsd:import namespace="fad74c4c-5be1-421e-914f-a7a4b865fc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e0af-a46b-4527-9e06-e3a11d2657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74c4c-5be1-421e-914f-a7a4b865f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22C72-C2DB-4832-A04A-C31BA3679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e0af-a46b-4527-9e06-e3a11d265708"/>
    <ds:schemaRef ds:uri="fad74c4c-5be1-421e-914f-a7a4b865f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BD557A-AA6C-4ED0-A3B9-C6DCAA2752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C78111-41EF-45E4-9CCC-F50F2A139035}">
  <ds:schemaRefs>
    <ds:schemaRef ds:uri="http://purl.org/dc/elements/1.1/"/>
    <ds:schemaRef ds:uri="http://schemas.microsoft.com/office/2006/metadata/properties"/>
    <ds:schemaRef ds:uri="fad74c4c-5be1-421e-914f-a7a4b865fc38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b19e0af-a46b-4527-9e06-e3a11d26570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Market Size</vt:lpstr>
      <vt:lpstr>Financial Analysis</vt:lpstr>
      <vt:lpstr>Scenarios</vt:lpstr>
      <vt:lpstr>SOTP COMPS</vt:lpstr>
      <vt:lpstr>Other Charts</vt:lpstr>
      <vt:lpstr>WACC Analysis</vt:lpstr>
      <vt:lpstr>Management</vt:lpstr>
      <vt:lpstr>Share Price</vt:lpstr>
      <vt:lpstr>'Market Size'!Print_Area</vt:lpstr>
      <vt:lpstr>'Share Price'!Print_Area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Odufuwa, Suky Odufuwa (PG/T - Surrey Business Schl)</dc:creator>
  <cp:lastModifiedBy>sunkanmi</cp:lastModifiedBy>
  <cp:lastPrinted>2020-12-22T16:34:25Z</cp:lastPrinted>
  <dcterms:created xsi:type="dcterms:W3CDTF">2020-10-28T18:25:09Z</dcterms:created>
  <dcterms:modified xsi:type="dcterms:W3CDTF">2021-05-13T14:09:46Z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0x0101006AEF38F2B6FF8545B4DA986C0D138AD5</vt:lpwstr>
  </property>
</Properties>
</file>