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susm-my.sharepoint.com/personal/sulis002_csusm_edu/Documents/Desktop/Midterm Project_Natasha_Christina_Sulistyo/"/>
    </mc:Choice>
  </mc:AlternateContent>
  <xr:revisionPtr revIDLastSave="14" documentId="13_ncr:1_{FF726D77-FDE8-403C-9924-8A36D061CB25}" xr6:coauthVersionLast="47" xr6:coauthVersionMax="47" xr10:uidLastSave="{DBDB6408-BCBD-4C19-9BAC-E36CBCF98636}"/>
  <bookViews>
    <workbookView xWindow="-110" yWindow="-110" windowWidth="22180" windowHeight="14140" tabRatio="500" firstSheet="3" activeTab="5" xr2:uid="{00000000-000D-0000-FFFF-FFFF00000000}"/>
  </bookViews>
  <sheets>
    <sheet name="Data" sheetId="1" r:id="rId1"/>
    <sheet name="VOC Calculations" sheetId="2" r:id="rId2"/>
    <sheet name="Influence Diagram" sheetId="3" r:id="rId3"/>
    <sheet name="Influence Diagram (explanation)" sheetId="6" r:id="rId4"/>
    <sheet name="Decision Model" sheetId="4" r:id="rId5"/>
    <sheet name="Sensitivity Analysis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6" i="5" l="1"/>
  <c r="C26" i="5" s="1"/>
  <c r="B25" i="5"/>
  <c r="C25" i="5" s="1"/>
  <c r="B24" i="5"/>
  <c r="C24" i="5" s="1"/>
  <c r="B23" i="5"/>
  <c r="C23" i="5" s="1"/>
  <c r="B22" i="5"/>
  <c r="C22" i="5" s="1"/>
  <c r="B21" i="5"/>
  <c r="C21" i="5" s="1"/>
  <c r="B20" i="5"/>
  <c r="C20" i="5" s="1"/>
  <c r="B19" i="5"/>
  <c r="C19" i="5" s="1"/>
  <c r="B18" i="5"/>
  <c r="C18" i="5" s="1"/>
  <c r="H13" i="5"/>
  <c r="G13" i="5"/>
  <c r="F13" i="5"/>
  <c r="E13" i="5"/>
  <c r="D13" i="5"/>
  <c r="C13" i="5"/>
  <c r="B13" i="5"/>
  <c r="H12" i="5"/>
  <c r="G12" i="5"/>
  <c r="F12" i="5"/>
  <c r="E12" i="5"/>
  <c r="D12" i="5"/>
  <c r="C12" i="5"/>
  <c r="B12" i="5"/>
  <c r="H11" i="5"/>
  <c r="G11" i="5"/>
  <c r="F11" i="5"/>
  <c r="E11" i="5"/>
  <c r="D11" i="5"/>
  <c r="C11" i="5"/>
  <c r="B11" i="5"/>
  <c r="H10" i="5"/>
  <c r="G10" i="5"/>
  <c r="F10" i="5"/>
  <c r="E10" i="5"/>
  <c r="D10" i="5"/>
  <c r="C10" i="5"/>
  <c r="B10" i="5"/>
  <c r="H9" i="5"/>
  <c r="G9" i="5"/>
  <c r="F9" i="5"/>
  <c r="E9" i="5"/>
  <c r="D9" i="5"/>
  <c r="C9" i="5"/>
  <c r="B9" i="5"/>
  <c r="H8" i="5"/>
  <c r="G8" i="5"/>
  <c r="F8" i="5"/>
  <c r="E8" i="5"/>
  <c r="D8" i="5"/>
  <c r="C8" i="5"/>
  <c r="B8" i="5"/>
  <c r="H7" i="5"/>
  <c r="G7" i="5"/>
  <c r="F7" i="5"/>
  <c r="E7" i="5"/>
  <c r="D7" i="5"/>
  <c r="C7" i="5"/>
  <c r="B7" i="5"/>
  <c r="H6" i="5"/>
  <c r="G6" i="5"/>
  <c r="F6" i="5"/>
  <c r="E6" i="5"/>
  <c r="D6" i="5"/>
  <c r="C6" i="5"/>
  <c r="B6" i="5"/>
  <c r="H5" i="5"/>
  <c r="G5" i="5"/>
  <c r="F5" i="5"/>
  <c r="E5" i="5"/>
  <c r="D5" i="5"/>
  <c r="C5" i="5"/>
  <c r="B5" i="5"/>
  <c r="C15" i="4"/>
  <c r="C16" i="4" s="1"/>
  <c r="C17" i="4" s="1"/>
  <c r="C18" i="4" s="1"/>
  <c r="C19" i="4" s="1"/>
  <c r="B15" i="4"/>
  <c r="B16" i="4" s="1"/>
  <c r="B17" i="4" s="1"/>
  <c r="B18" i="4" s="1"/>
  <c r="B19" i="4" s="1"/>
  <c r="B20" i="4" s="1"/>
  <c r="B24" i="4" s="1"/>
  <c r="G10" i="2"/>
  <c r="H9" i="2"/>
  <c r="H8" i="2"/>
  <c r="H7" i="2"/>
  <c r="H6" i="2"/>
  <c r="H5" i="2"/>
  <c r="H10" i="2" s="1"/>
  <c r="C20" i="4" l="1"/>
  <c r="C25" i="4"/>
  <c r="C24" i="4" l="1"/>
  <c r="C26" i="4"/>
</calcChain>
</file>

<file path=xl/sharedStrings.xml><?xml version="1.0" encoding="utf-8"?>
<sst xmlns="http://schemas.openxmlformats.org/spreadsheetml/2006/main" count="168" uniqueCount="117">
  <si>
    <t>Respondent
#</t>
  </si>
  <si>
    <t>Speed of Service</t>
  </si>
  <si>
    <t>Beverage Quality</t>
  </si>
  <si>
    <t>Staff Friendliness</t>
  </si>
  <si>
    <t>Cleanliness</t>
  </si>
  <si>
    <t>Value for Money</t>
  </si>
  <si>
    <t>WiFi &amp; Ambiance</t>
  </si>
  <si>
    <t>Menu Variety</t>
  </si>
  <si>
    <t>Likelihood to
Recommend (1–5)</t>
  </si>
  <si>
    <t>Perf (1–5)</t>
  </si>
  <si>
    <t>Imp (1–5)</t>
  </si>
  <si>
    <t>Assumptions:</t>
  </si>
  <si>
    <t>Mean Performance &amp; Importance by Attribute</t>
  </si>
  <si>
    <t>Behavioral Intention Summary</t>
  </si>
  <si>
    <t>Attribute</t>
  </si>
  <si>
    <t>Mean Performance</t>
  </si>
  <si>
    <t>Mean Importance</t>
  </si>
  <si>
    <t>Quadrant</t>
  </si>
  <si>
    <t>Likelihood to Recommend</t>
  </si>
  <si>
    <t>Count</t>
  </si>
  <si>
    <t>% Share</t>
  </si>
  <si>
    <t>Concentrate Here</t>
  </si>
  <si>
    <t>Very Likely (5)</t>
  </si>
  <si>
    <t>Keep Up the Good Work</t>
  </si>
  <si>
    <t>Likely (4)</t>
  </si>
  <si>
    <t>Neutral (3)</t>
  </si>
  <si>
    <t>Unlikely (2)</t>
  </si>
  <si>
    <t>Who Cares</t>
  </si>
  <si>
    <t>Very Unlikely (1)</t>
  </si>
  <si>
    <t>Possible Overkill</t>
  </si>
  <si>
    <t>TOTAL</t>
  </si>
  <si>
    <t>Grand Mean (Cutoff)</t>
  </si>
  <si>
    <t>Quadrant Legend</t>
  </si>
  <si>
    <t>High Importance, High Performance — Maintain strengths</t>
  </si>
  <si>
    <t>High Importance, Low Performance  — Top priority for improvement</t>
  </si>
  <si>
    <t>Low Importance, High Performance  — Reduce investment</t>
  </si>
  <si>
    <t>Low Importance, Low Performance   — Low priority</t>
  </si>
  <si>
    <t>Decision Node</t>
  </si>
  <si>
    <t>Input Parameter</t>
  </si>
  <si>
    <t>Uncertain Variable</t>
  </si>
  <si>
    <t>Derived Variable</t>
  </si>
  <si>
    <t>Performance Measure</t>
  </si>
  <si>
    <t>DECISION
Invest in
Auto Espresso
Machine?</t>
  </si>
  <si>
    <t>Investment
Cost
$15,000</t>
  </si>
  <si>
    <t>Avg Ticket
$8.50
Contrib. Margin
65%</t>
  </si>
  <si>
    <t>→</t>
  </si>
  <si>
    <t>↓</t>
  </si>
  <si>
    <t>UNCERTAIN
Customer
Growth Rate
4%–20%</t>
  </si>
  <si>
    <t>Baseline
Customers/Day
150</t>
  </si>
  <si>
    <t>Daily Op.
Cost Increase
$20/day</t>
  </si>
  <si>
    <t>DERIVED VARIABLE 1
Additional Daily Customers
= Baseline Customers × Growth Rate
(e.g., 150 × 12% = 18 extra customers/day)</t>
  </si>
  <si>
    <t>Annual
Operating
Days
360</t>
  </si>
  <si>
    <t>DERIVED VARIABLE 2
Annual Net Contribution
= (Add. Customers × Avg Ticket × Contrib. Margin  −  Daily Op. Cost) × Annual Days
(e.g., (18 × $8.50 × 65%  −  $20) × 360  =  +$28,602)</t>
  </si>
  <si>
    <t>PERFORMANCE MEASURE
Annual Profit Impact
= Annual Net Contribution  −  Investment Cost
(Positive → INVEST  |  Negative → DO NOT INVEST)</t>
  </si>
  <si>
    <t>Note: Arrows represent causal flows. Orange = fixed inputs; Yellow = uncertain variable (modeled in Sensitivity Analysis tab); Purple = derived calculations; Green = outcome measure.</t>
  </si>
  <si>
    <t>INPUT PARAMETERS</t>
  </si>
  <si>
    <t>Parameter</t>
  </si>
  <si>
    <t>Value</t>
  </si>
  <si>
    <t>Units</t>
  </si>
  <si>
    <t>Notes</t>
  </si>
  <si>
    <t>Daily Customers (baseline)</t>
  </si>
  <si>
    <t>customers/day</t>
  </si>
  <si>
    <t>Blue = hardcoded input</t>
  </si>
  <si>
    <t>Average Ticket ($)</t>
  </si>
  <si>
    <t>$</t>
  </si>
  <si>
    <t>Contribution Margin (%)</t>
  </si>
  <si>
    <t>%</t>
  </si>
  <si>
    <t>Investment Cost ($)</t>
  </si>
  <si>
    <t>Daily Operating Cost Increase ($)</t>
  </si>
  <si>
    <t>$/day</t>
  </si>
  <si>
    <t>Customer Growth from Investment (%)</t>
  </si>
  <si>
    <t>Uncertain variable</t>
  </si>
  <si>
    <t>Annual Operating Days</t>
  </si>
  <si>
    <t>days/year</t>
  </si>
  <si>
    <t>DERIVED VARIABLES (Model)</t>
  </si>
  <si>
    <t>Variable</t>
  </si>
  <si>
    <t>Without Machine</t>
  </si>
  <si>
    <t>With Machine</t>
  </si>
  <si>
    <t>Formula / Notes</t>
  </si>
  <si>
    <t>Daily Customers</t>
  </si>
  <si>
    <t>With machine: growth rate applied</t>
  </si>
  <si>
    <t>Daily Revenue ($)</t>
  </si>
  <si>
    <t>Customers × avg ticket</t>
  </si>
  <si>
    <t>Daily Contribution ($)</t>
  </si>
  <si>
    <t>Revenue × contribution margin</t>
  </si>
  <si>
    <t>Daily Net Contribution ($)</t>
  </si>
  <si>
    <t>Net of additional operating cost</t>
  </si>
  <si>
    <t>Annual Net Contribution ($)</t>
  </si>
  <si>
    <t>× operating days</t>
  </si>
  <si>
    <t>Annual Profit Impact ($)</t>
  </si>
  <si>
    <t>With machine: net of investment</t>
  </si>
  <si>
    <t>PERFORMANCE MEASURE</t>
  </si>
  <si>
    <t>Metric</t>
  </si>
  <si>
    <t>Annual Net Profit Impact ($)</t>
  </si>
  <si>
    <t>Payback Period (years)</t>
  </si>
  <si>
    <t>N/A</t>
  </si>
  <si>
    <t>Decision</t>
  </si>
  <si>
    <t>Baseline</t>
  </si>
  <si>
    <t>Two-Way Sensitivity Analysis: Annual Profit Impact ($) — With Machine</t>
  </si>
  <si>
    <t>Analysis 1: Annual Profit Impact vs. Customer Growth Rate &amp; Daily Customers</t>
  </si>
  <si>
    <t>Daily Customers →</t>
  </si>
  <si>
    <t>KEY FINDINGS</t>
  </si>
  <si>
    <t>One-Way Sensitivity: Annual Profit vs. Customer Growth Rate (at 150 customers/day)</t>
  </si>
  <si>
    <t>Growth Rate</t>
  </si>
  <si>
    <t>Annual Profit ($)</t>
  </si>
  <si>
    <t>• Break-even growth rate at 150 customers/day: ~5.7% — highly achievable with service speed improvements.</t>
  </si>
  <si>
    <t>• At 12% growth (expected) &amp; 150 customers: annual profit gain ≈ $22,698 — full payback in ~8 months.</t>
  </si>
  <si>
    <t>• Even with only 100 daily customers, an 8% growth rate yields a positive return within the first year.</t>
  </si>
  <si>
    <t>• At high customer volume (200/day) + 12% growth, annual gain exceeds $41,000 — very strong ROI.</t>
  </si>
  <si>
    <t>• Decision is profitable across most realistic scenarios, making investment low-risk.</t>
  </si>
  <si>
    <t>PERFORMANCE RATINGS</t>
  </si>
  <si>
    <t>IMPORTANCE RATINGS</t>
  </si>
  <si>
    <t>Influence Diagram</t>
  </si>
  <si>
    <t>Decision Model: Invest in Automated Espresso Machine | CampusWay Café</t>
  </si>
  <si>
    <t>VOC Analysis — Performance–Importance Matrix | CampusWay Café</t>
  </si>
  <si>
    <t>CampusWay Café  Quality Management Survey Data</t>
  </si>
  <si>
    <t>Data simulated for CampusWay Café (San Marcos, CA). 30 respondents represent regular café patrons aged 18–45. Ratings reflect realistic performance gaps observed in quick-service café operations. Likert scale: 1=Very Poor/Not Important … 5=Excellent/Very Important.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</si>
</sst>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$#,##0.00"/>
    <numFmt numFmtId="166" formatCode="\$#,##0"/>
  </numFmts>
  <fonts count="14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i/>
      <sz val="9"/>
      <color rgb="FF595959"/>
      <name val="Arial"/>
      <charset val="1"/>
    </font>
    <font>
      <sz val="11"/>
      <name val="Calibri"/>
      <family val="2"/>
      <charset val="1"/>
    </font>
    <font>
      <b/>
      <sz val="13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4"/>
      <name val="Arial"/>
      <family val="2"/>
    </font>
    <font>
      <b/>
      <sz val="9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C55A11"/>
      </left>
      <right style="medium">
        <color rgb="FFC55A11"/>
      </right>
      <top style="medium">
        <color rgb="FFC55A11"/>
      </top>
      <bottom style="medium">
        <color rgb="FFC55A11"/>
      </bottom>
      <diagonal/>
    </border>
    <border>
      <left style="medium">
        <color rgb="FFBF8F00"/>
      </left>
      <right style="medium">
        <color rgb="FFBF8F00"/>
      </right>
      <top style="medium">
        <color rgb="FFBF8F00"/>
      </top>
      <bottom style="medium">
        <color rgb="FFBF8F00"/>
      </bottom>
      <diagonal/>
    </border>
    <border>
      <left style="medium">
        <color rgb="FF375623"/>
      </left>
      <right style="medium">
        <color rgb="FF375623"/>
      </right>
      <top style="medium">
        <color rgb="FF375623"/>
      </top>
      <bottom style="medium">
        <color rgb="FF375623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3" fillId="0" borderId="0" xfId="0" applyFont="1"/>
    <xf numFmtId="0" fontId="7" fillId="0" borderId="0" xfId="0" applyFont="1" applyAlignment="1">
      <alignment horizontal="center" vertical="center"/>
    </xf>
    <xf numFmtId="0" fontId="10" fillId="0" borderId="0" xfId="0" applyFont="1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/>
    <xf numFmtId="0" fontId="11" fillId="0" borderId="1" xfId="0" applyFont="1" applyBorder="1" applyAlignment="1">
      <alignment horizontal="center"/>
    </xf>
    <xf numFmtId="0" fontId="13" fillId="0" borderId="1" xfId="0" applyFont="1" applyBorder="1"/>
    <xf numFmtId="165" fontId="11" fillId="0" borderId="1" xfId="0" applyNumberFormat="1" applyFont="1" applyBorder="1" applyAlignment="1">
      <alignment horizontal="center"/>
    </xf>
    <xf numFmtId="9" fontId="11" fillId="0" borderId="1" xfId="0" applyNumberFormat="1" applyFont="1" applyBorder="1" applyAlignment="1">
      <alignment horizontal="center"/>
    </xf>
    <xf numFmtId="10" fontId="11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5" fontId="12" fillId="0" borderId="1" xfId="0" applyNumberFormat="1" applyFont="1" applyBorder="1" applyAlignment="1">
      <alignment horizontal="center"/>
    </xf>
    <xf numFmtId="0" fontId="11" fillId="0" borderId="1" xfId="0" applyFont="1" applyBorder="1"/>
    <xf numFmtId="166" fontId="11" fillId="0" borderId="1" xfId="0" applyNumberFormat="1" applyFont="1" applyBorder="1" applyAlignment="1">
      <alignment horizontal="center"/>
    </xf>
    <xf numFmtId="2" fontId="11" fillId="0" borderId="1" xfId="0" applyNumberFormat="1" applyFont="1" applyBorder="1" applyAlignment="1">
      <alignment horizontal="center"/>
    </xf>
    <xf numFmtId="166" fontId="12" fillId="0" borderId="1" xfId="0" applyNumberFormat="1" applyFont="1" applyBorder="1" applyAlignment="1">
      <alignment horizontal="center"/>
    </xf>
    <xf numFmtId="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12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11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/>
    </xf>
    <xf numFmtId="0" fontId="6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0" xfId="0" applyFont="1"/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AFAFA"/>
      <rgbColor rgb="FFE2EFDA"/>
      <rgbColor rgb="FF660066"/>
      <rgbColor rgb="FFFF8080"/>
      <rgbColor rgb="FF2E75B6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6EFCE"/>
      <rgbColor rgb="FFFFEB9C"/>
      <rgbColor rgb="FFF2F2F2"/>
      <rgbColor rgb="FFFCE4D6"/>
      <rgbColor rgb="FFCC99FF"/>
      <rgbColor rgb="FFFFCCCC"/>
      <rgbColor rgb="FF4472C4"/>
      <rgbColor rgb="FF33CCCC"/>
      <rgbColor rgb="FF99CC00"/>
      <rgbColor rgb="FFFFCC00"/>
      <rgbColor rgb="FFBF8F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392500</xdr:colOff>
      <xdr:row>28</xdr:row>
      <xdr:rowOff>22809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DFB60A-DAC9-454C-62C6-7B3AD6E5B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2659" y="0"/>
          <a:ext cx="7607181" cy="502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topLeftCell="C15" zoomScaleNormal="100" workbookViewId="0">
      <selection activeCell="D41" sqref="D41"/>
    </sheetView>
  </sheetViews>
  <sheetFormatPr defaultColWidth="8.6328125" defaultRowHeight="14.5" x14ac:dyDescent="0.35"/>
  <cols>
    <col min="1" max="1" width="11" customWidth="1"/>
    <col min="2" max="17" width="15" customWidth="1"/>
  </cols>
  <sheetData>
    <row r="1" spans="1:18" ht="27.75" customHeight="1" x14ac:dyDescent="0.35">
      <c r="A1" s="28" t="s">
        <v>115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5" customHeight="1" x14ac:dyDescent="0.35">
      <c r="A2" s="2"/>
      <c r="B2" s="30" t="s">
        <v>110</v>
      </c>
      <c r="C2" s="30"/>
      <c r="D2" s="30"/>
      <c r="E2" s="30"/>
      <c r="F2" s="30"/>
      <c r="G2" s="30"/>
      <c r="H2" s="30"/>
      <c r="I2" s="30" t="s">
        <v>111</v>
      </c>
      <c r="J2" s="30"/>
      <c r="K2" s="30"/>
      <c r="L2" s="30"/>
      <c r="M2" s="30"/>
      <c r="N2" s="30"/>
      <c r="O2" s="30"/>
      <c r="P2" s="2"/>
      <c r="Q2" s="2"/>
      <c r="R2" s="2"/>
    </row>
    <row r="3" spans="1:18" ht="39.75" customHeight="1" x14ac:dyDescent="0.35">
      <c r="A3" s="31" t="s">
        <v>0</v>
      </c>
      <c r="B3" s="25" t="s">
        <v>1</v>
      </c>
      <c r="C3" s="25" t="s">
        <v>2</v>
      </c>
      <c r="D3" s="25" t="s">
        <v>3</v>
      </c>
      <c r="E3" s="25" t="s">
        <v>4</v>
      </c>
      <c r="F3" s="25" t="s">
        <v>5</v>
      </c>
      <c r="G3" s="25" t="s">
        <v>6</v>
      </c>
      <c r="H3" s="25" t="s">
        <v>7</v>
      </c>
      <c r="I3" s="25" t="s">
        <v>1</v>
      </c>
      <c r="J3" s="25" t="s">
        <v>2</v>
      </c>
      <c r="K3" s="25" t="s">
        <v>3</v>
      </c>
      <c r="L3" s="25" t="s">
        <v>4</v>
      </c>
      <c r="M3" s="25" t="s">
        <v>5</v>
      </c>
      <c r="N3" s="25" t="s">
        <v>6</v>
      </c>
      <c r="O3" s="25" t="s">
        <v>7</v>
      </c>
      <c r="P3" s="24"/>
      <c r="Q3" s="32" t="s">
        <v>8</v>
      </c>
      <c r="R3" s="2"/>
    </row>
    <row r="4" spans="1:18" ht="21.75" customHeight="1" x14ac:dyDescent="0.35">
      <c r="A4" s="31"/>
      <c r="B4" s="26" t="s">
        <v>9</v>
      </c>
      <c r="C4" s="26" t="s">
        <v>9</v>
      </c>
      <c r="D4" s="26" t="s">
        <v>9</v>
      </c>
      <c r="E4" s="26" t="s">
        <v>9</v>
      </c>
      <c r="F4" s="26" t="s">
        <v>9</v>
      </c>
      <c r="G4" s="26" t="s">
        <v>9</v>
      </c>
      <c r="H4" s="26" t="s">
        <v>9</v>
      </c>
      <c r="I4" s="26" t="s">
        <v>10</v>
      </c>
      <c r="J4" s="26" t="s">
        <v>10</v>
      </c>
      <c r="K4" s="26" t="s">
        <v>10</v>
      </c>
      <c r="L4" s="26" t="s">
        <v>10</v>
      </c>
      <c r="M4" s="26" t="s">
        <v>10</v>
      </c>
      <c r="N4" s="26" t="s">
        <v>10</v>
      </c>
      <c r="O4" s="26" t="s">
        <v>10</v>
      </c>
      <c r="P4" s="24"/>
      <c r="Q4" s="32"/>
      <c r="R4" s="2"/>
    </row>
    <row r="5" spans="1:18" ht="15" customHeight="1" x14ac:dyDescent="0.35">
      <c r="A5" s="5">
        <v>1</v>
      </c>
      <c r="B5" s="13">
        <v>3</v>
      </c>
      <c r="C5" s="13">
        <v>5</v>
      </c>
      <c r="D5" s="13">
        <v>5</v>
      </c>
      <c r="E5" s="13">
        <v>5</v>
      </c>
      <c r="F5" s="13">
        <v>3</v>
      </c>
      <c r="G5" s="13">
        <v>4</v>
      </c>
      <c r="H5" s="13">
        <v>4</v>
      </c>
      <c r="I5" s="13">
        <v>5</v>
      </c>
      <c r="J5" s="13">
        <v>5</v>
      </c>
      <c r="K5" s="13">
        <v>5</v>
      </c>
      <c r="L5" s="13">
        <v>5</v>
      </c>
      <c r="M5" s="13">
        <v>4</v>
      </c>
      <c r="N5" s="13">
        <v>3</v>
      </c>
      <c r="O5" s="13">
        <v>3</v>
      </c>
      <c r="P5" s="24"/>
      <c r="Q5" s="13">
        <v>4</v>
      </c>
      <c r="R5" s="2"/>
    </row>
    <row r="6" spans="1:18" ht="15" customHeight="1" x14ac:dyDescent="0.35">
      <c r="A6" s="5">
        <v>2</v>
      </c>
      <c r="B6" s="13">
        <v>4</v>
      </c>
      <c r="C6" s="13">
        <v>4</v>
      </c>
      <c r="D6" s="13">
        <v>5</v>
      </c>
      <c r="E6" s="13">
        <v>4</v>
      </c>
      <c r="F6" s="13">
        <v>4</v>
      </c>
      <c r="G6" s="13">
        <v>5</v>
      </c>
      <c r="H6" s="13">
        <v>4</v>
      </c>
      <c r="I6" s="13">
        <v>5</v>
      </c>
      <c r="J6" s="13">
        <v>5</v>
      </c>
      <c r="K6" s="13">
        <v>4</v>
      </c>
      <c r="L6" s="13">
        <v>4</v>
      </c>
      <c r="M6" s="13">
        <v>4</v>
      </c>
      <c r="N6" s="13">
        <v>3</v>
      </c>
      <c r="O6" s="13">
        <v>3</v>
      </c>
      <c r="P6" s="24"/>
      <c r="Q6" s="13">
        <v>5</v>
      </c>
      <c r="R6" s="2"/>
    </row>
    <row r="7" spans="1:18" ht="15" customHeight="1" x14ac:dyDescent="0.35">
      <c r="A7" s="5">
        <v>3</v>
      </c>
      <c r="B7" s="13">
        <v>3</v>
      </c>
      <c r="C7" s="13">
        <v>5</v>
      </c>
      <c r="D7" s="13">
        <v>4</v>
      </c>
      <c r="E7" s="13">
        <v>4</v>
      </c>
      <c r="F7" s="13">
        <v>3</v>
      </c>
      <c r="G7" s="13">
        <v>4</v>
      </c>
      <c r="H7" s="13">
        <v>3</v>
      </c>
      <c r="I7" s="13">
        <v>5</v>
      </c>
      <c r="J7" s="13">
        <v>5</v>
      </c>
      <c r="K7" s="13">
        <v>5</v>
      </c>
      <c r="L7" s="13">
        <v>5</v>
      </c>
      <c r="M7" s="13">
        <v>5</v>
      </c>
      <c r="N7" s="13">
        <v>4</v>
      </c>
      <c r="O7" s="13">
        <v>3</v>
      </c>
      <c r="P7" s="24"/>
      <c r="Q7" s="13">
        <v>4</v>
      </c>
      <c r="R7" s="2"/>
    </row>
    <row r="8" spans="1:18" ht="15" customHeight="1" x14ac:dyDescent="0.35">
      <c r="A8" s="5">
        <v>4</v>
      </c>
      <c r="B8" s="13">
        <v>3</v>
      </c>
      <c r="C8" s="13">
        <v>4</v>
      </c>
      <c r="D8" s="13">
        <v>5</v>
      </c>
      <c r="E8" s="13">
        <v>5</v>
      </c>
      <c r="F8" s="13">
        <v>4</v>
      </c>
      <c r="G8" s="13">
        <v>4</v>
      </c>
      <c r="H8" s="13">
        <v>4</v>
      </c>
      <c r="I8" s="13">
        <v>4</v>
      </c>
      <c r="J8" s="13">
        <v>5</v>
      </c>
      <c r="K8" s="13">
        <v>5</v>
      </c>
      <c r="L8" s="13">
        <v>5</v>
      </c>
      <c r="M8" s="13">
        <v>4</v>
      </c>
      <c r="N8" s="13">
        <v>3</v>
      </c>
      <c r="O8" s="13">
        <v>3</v>
      </c>
      <c r="P8" s="24"/>
      <c r="Q8" s="13">
        <v>5</v>
      </c>
      <c r="R8" s="2"/>
    </row>
    <row r="9" spans="1:18" ht="15" customHeight="1" x14ac:dyDescent="0.35">
      <c r="A9" s="5">
        <v>5</v>
      </c>
      <c r="B9" s="13">
        <v>4</v>
      </c>
      <c r="C9" s="13">
        <v>5</v>
      </c>
      <c r="D9" s="13">
        <v>5</v>
      </c>
      <c r="E9" s="13">
        <v>5</v>
      </c>
      <c r="F9" s="13">
        <v>4</v>
      </c>
      <c r="G9" s="13">
        <v>4</v>
      </c>
      <c r="H9" s="13">
        <v>4</v>
      </c>
      <c r="I9" s="13">
        <v>5</v>
      </c>
      <c r="J9" s="13">
        <v>5</v>
      </c>
      <c r="K9" s="13">
        <v>4</v>
      </c>
      <c r="L9" s="13">
        <v>4</v>
      </c>
      <c r="M9" s="13">
        <v>4</v>
      </c>
      <c r="N9" s="13">
        <v>4</v>
      </c>
      <c r="O9" s="13">
        <v>3</v>
      </c>
      <c r="P9" s="24"/>
      <c r="Q9" s="13">
        <v>4</v>
      </c>
      <c r="R9" s="2"/>
    </row>
    <row r="10" spans="1:18" ht="15" customHeight="1" x14ac:dyDescent="0.35">
      <c r="A10" s="5">
        <v>6</v>
      </c>
      <c r="B10" s="13">
        <v>3</v>
      </c>
      <c r="C10" s="13">
        <v>4</v>
      </c>
      <c r="D10" s="13">
        <v>4</v>
      </c>
      <c r="E10" s="13">
        <v>4</v>
      </c>
      <c r="F10" s="13">
        <v>3</v>
      </c>
      <c r="G10" s="13">
        <v>4</v>
      </c>
      <c r="H10" s="13">
        <v>3</v>
      </c>
      <c r="I10" s="13">
        <v>5</v>
      </c>
      <c r="J10" s="13">
        <v>4</v>
      </c>
      <c r="K10" s="13">
        <v>4</v>
      </c>
      <c r="L10" s="13">
        <v>5</v>
      </c>
      <c r="M10" s="13">
        <v>4</v>
      </c>
      <c r="N10" s="13">
        <v>4</v>
      </c>
      <c r="O10" s="13">
        <v>4</v>
      </c>
      <c r="P10" s="24"/>
      <c r="Q10" s="13">
        <v>3</v>
      </c>
      <c r="R10" s="2"/>
    </row>
    <row r="11" spans="1:18" ht="15" customHeight="1" x14ac:dyDescent="0.35">
      <c r="A11" s="5">
        <v>7</v>
      </c>
      <c r="B11" s="13">
        <v>3</v>
      </c>
      <c r="C11" s="13">
        <v>5</v>
      </c>
      <c r="D11" s="13">
        <v>4</v>
      </c>
      <c r="E11" s="13">
        <v>5</v>
      </c>
      <c r="F11" s="13">
        <v>3</v>
      </c>
      <c r="G11" s="13">
        <v>5</v>
      </c>
      <c r="H11" s="13">
        <v>4</v>
      </c>
      <c r="I11" s="13">
        <v>5</v>
      </c>
      <c r="J11" s="13">
        <v>5</v>
      </c>
      <c r="K11" s="13">
        <v>5</v>
      </c>
      <c r="L11" s="13">
        <v>5</v>
      </c>
      <c r="M11" s="13">
        <v>4</v>
      </c>
      <c r="N11" s="13">
        <v>3</v>
      </c>
      <c r="O11" s="13">
        <v>3</v>
      </c>
      <c r="P11" s="24"/>
      <c r="Q11" s="13">
        <v>4</v>
      </c>
      <c r="R11" s="2"/>
    </row>
    <row r="12" spans="1:18" ht="15" customHeight="1" x14ac:dyDescent="0.35">
      <c r="A12" s="5">
        <v>8</v>
      </c>
      <c r="B12" s="13">
        <v>4</v>
      </c>
      <c r="C12" s="13">
        <v>5</v>
      </c>
      <c r="D12" s="13">
        <v>5</v>
      </c>
      <c r="E12" s="13">
        <v>4</v>
      </c>
      <c r="F12" s="13">
        <v>4</v>
      </c>
      <c r="G12" s="13">
        <v>4</v>
      </c>
      <c r="H12" s="13">
        <v>4</v>
      </c>
      <c r="I12" s="13">
        <v>4</v>
      </c>
      <c r="J12" s="13">
        <v>5</v>
      </c>
      <c r="K12" s="13">
        <v>5</v>
      </c>
      <c r="L12" s="13">
        <v>5</v>
      </c>
      <c r="M12" s="13">
        <v>4</v>
      </c>
      <c r="N12" s="13">
        <v>4</v>
      </c>
      <c r="O12" s="13">
        <v>3</v>
      </c>
      <c r="P12" s="24"/>
      <c r="Q12" s="13">
        <v>5</v>
      </c>
      <c r="R12" s="2"/>
    </row>
    <row r="13" spans="1:18" ht="15" customHeight="1" x14ac:dyDescent="0.35">
      <c r="A13" s="5">
        <v>9</v>
      </c>
      <c r="B13" s="13">
        <v>2</v>
      </c>
      <c r="C13" s="13">
        <v>4</v>
      </c>
      <c r="D13" s="13">
        <v>4</v>
      </c>
      <c r="E13" s="13">
        <v>4</v>
      </c>
      <c r="F13" s="13">
        <v>3</v>
      </c>
      <c r="G13" s="13">
        <v>4</v>
      </c>
      <c r="H13" s="13">
        <v>3</v>
      </c>
      <c r="I13" s="13">
        <v>5</v>
      </c>
      <c r="J13" s="13">
        <v>5</v>
      </c>
      <c r="K13" s="13">
        <v>5</v>
      </c>
      <c r="L13" s="13">
        <v>4</v>
      </c>
      <c r="M13" s="13">
        <v>4</v>
      </c>
      <c r="N13" s="13">
        <v>4</v>
      </c>
      <c r="O13" s="13">
        <v>3</v>
      </c>
      <c r="P13" s="24"/>
      <c r="Q13" s="13">
        <v>3</v>
      </c>
      <c r="R13" s="2"/>
    </row>
    <row r="14" spans="1:18" ht="15" customHeight="1" x14ac:dyDescent="0.35">
      <c r="A14" s="5">
        <v>10</v>
      </c>
      <c r="B14" s="13">
        <v>4</v>
      </c>
      <c r="C14" s="13">
        <v>5</v>
      </c>
      <c r="D14" s="13">
        <v>5</v>
      </c>
      <c r="E14" s="13">
        <v>5</v>
      </c>
      <c r="F14" s="13">
        <v>4</v>
      </c>
      <c r="G14" s="13">
        <v>4</v>
      </c>
      <c r="H14" s="13">
        <v>4</v>
      </c>
      <c r="I14" s="13">
        <v>4</v>
      </c>
      <c r="J14" s="13">
        <v>5</v>
      </c>
      <c r="K14" s="13">
        <v>4</v>
      </c>
      <c r="L14" s="13">
        <v>5</v>
      </c>
      <c r="M14" s="13">
        <v>4</v>
      </c>
      <c r="N14" s="13">
        <v>3</v>
      </c>
      <c r="O14" s="13">
        <v>3</v>
      </c>
      <c r="P14" s="24"/>
      <c r="Q14" s="13">
        <v>5</v>
      </c>
      <c r="R14" s="2"/>
    </row>
    <row r="15" spans="1:18" ht="15" customHeight="1" x14ac:dyDescent="0.35">
      <c r="A15" s="5">
        <v>11</v>
      </c>
      <c r="B15" s="13">
        <v>3</v>
      </c>
      <c r="C15" s="13">
        <v>4</v>
      </c>
      <c r="D15" s="13">
        <v>5</v>
      </c>
      <c r="E15" s="13">
        <v>4</v>
      </c>
      <c r="F15" s="13">
        <v>3</v>
      </c>
      <c r="G15" s="13">
        <v>4</v>
      </c>
      <c r="H15" s="13">
        <v>4</v>
      </c>
      <c r="I15" s="13">
        <v>5</v>
      </c>
      <c r="J15" s="13">
        <v>5</v>
      </c>
      <c r="K15" s="13">
        <v>5</v>
      </c>
      <c r="L15" s="13">
        <v>5</v>
      </c>
      <c r="M15" s="13">
        <v>5</v>
      </c>
      <c r="N15" s="13">
        <v>3</v>
      </c>
      <c r="O15" s="13">
        <v>3</v>
      </c>
      <c r="P15" s="24"/>
      <c r="Q15" s="13">
        <v>4</v>
      </c>
      <c r="R15" s="2"/>
    </row>
    <row r="16" spans="1:18" ht="15" customHeight="1" x14ac:dyDescent="0.35">
      <c r="A16" s="5">
        <v>12</v>
      </c>
      <c r="B16" s="13">
        <v>3</v>
      </c>
      <c r="C16" s="13">
        <v>5</v>
      </c>
      <c r="D16" s="13">
        <v>5</v>
      </c>
      <c r="E16" s="13">
        <v>5</v>
      </c>
      <c r="F16" s="13">
        <v>4</v>
      </c>
      <c r="G16" s="13">
        <v>5</v>
      </c>
      <c r="H16" s="13">
        <v>4</v>
      </c>
      <c r="I16" s="13">
        <v>5</v>
      </c>
      <c r="J16" s="13">
        <v>5</v>
      </c>
      <c r="K16" s="13">
        <v>4</v>
      </c>
      <c r="L16" s="13">
        <v>4</v>
      </c>
      <c r="M16" s="13">
        <v>4</v>
      </c>
      <c r="N16" s="13">
        <v>4</v>
      </c>
      <c r="O16" s="13">
        <v>3</v>
      </c>
      <c r="P16" s="24"/>
      <c r="Q16" s="13">
        <v>5</v>
      </c>
      <c r="R16" s="2"/>
    </row>
    <row r="17" spans="1:18" ht="15" customHeight="1" x14ac:dyDescent="0.35">
      <c r="A17" s="5">
        <v>13</v>
      </c>
      <c r="B17" s="13">
        <v>4</v>
      </c>
      <c r="C17" s="13">
        <v>4</v>
      </c>
      <c r="D17" s="13">
        <v>4</v>
      </c>
      <c r="E17" s="13">
        <v>4</v>
      </c>
      <c r="F17" s="13">
        <v>4</v>
      </c>
      <c r="G17" s="13">
        <v>4</v>
      </c>
      <c r="H17" s="13">
        <v>4</v>
      </c>
      <c r="I17" s="13">
        <v>4</v>
      </c>
      <c r="J17" s="13">
        <v>5</v>
      </c>
      <c r="K17" s="13">
        <v>4</v>
      </c>
      <c r="L17" s="13">
        <v>5</v>
      </c>
      <c r="M17" s="13">
        <v>5</v>
      </c>
      <c r="N17" s="13">
        <v>3</v>
      </c>
      <c r="O17" s="13">
        <v>3</v>
      </c>
      <c r="P17" s="24"/>
      <c r="Q17" s="13">
        <v>4</v>
      </c>
      <c r="R17" s="2"/>
    </row>
    <row r="18" spans="1:18" ht="15" customHeight="1" x14ac:dyDescent="0.35">
      <c r="A18" s="5">
        <v>14</v>
      </c>
      <c r="B18" s="13">
        <v>3</v>
      </c>
      <c r="C18" s="13">
        <v>5</v>
      </c>
      <c r="D18" s="13">
        <v>5</v>
      </c>
      <c r="E18" s="13">
        <v>4</v>
      </c>
      <c r="F18" s="13">
        <v>4</v>
      </c>
      <c r="G18" s="13">
        <v>4</v>
      </c>
      <c r="H18" s="13">
        <v>3</v>
      </c>
      <c r="I18" s="13">
        <v>5</v>
      </c>
      <c r="J18" s="13">
        <v>5</v>
      </c>
      <c r="K18" s="13">
        <v>5</v>
      </c>
      <c r="L18" s="13">
        <v>4</v>
      </c>
      <c r="M18" s="13">
        <v>4</v>
      </c>
      <c r="N18" s="13">
        <v>4</v>
      </c>
      <c r="O18" s="13">
        <v>4</v>
      </c>
      <c r="P18" s="24"/>
      <c r="Q18" s="13">
        <v>4</v>
      </c>
      <c r="R18" s="2"/>
    </row>
    <row r="19" spans="1:18" ht="15" customHeight="1" x14ac:dyDescent="0.35">
      <c r="A19" s="5">
        <v>15</v>
      </c>
      <c r="B19" s="13">
        <v>3</v>
      </c>
      <c r="C19" s="13">
        <v>4</v>
      </c>
      <c r="D19" s="13">
        <v>4</v>
      </c>
      <c r="E19" s="13">
        <v>4</v>
      </c>
      <c r="F19" s="13">
        <v>3</v>
      </c>
      <c r="G19" s="13">
        <v>4</v>
      </c>
      <c r="H19" s="13">
        <v>4</v>
      </c>
      <c r="I19" s="13">
        <v>5</v>
      </c>
      <c r="J19" s="13">
        <v>4</v>
      </c>
      <c r="K19" s="13">
        <v>4</v>
      </c>
      <c r="L19" s="13">
        <v>5</v>
      </c>
      <c r="M19" s="13">
        <v>4</v>
      </c>
      <c r="N19" s="13">
        <v>3</v>
      </c>
      <c r="O19" s="13">
        <v>3</v>
      </c>
      <c r="P19" s="24"/>
      <c r="Q19" s="13">
        <v>3</v>
      </c>
      <c r="R19" s="2"/>
    </row>
    <row r="20" spans="1:18" ht="15" customHeight="1" x14ac:dyDescent="0.35">
      <c r="A20" s="5">
        <v>16</v>
      </c>
      <c r="B20" s="13">
        <v>4</v>
      </c>
      <c r="C20" s="13">
        <v>5</v>
      </c>
      <c r="D20" s="13">
        <v>5</v>
      </c>
      <c r="E20" s="13">
        <v>5</v>
      </c>
      <c r="F20" s="13">
        <v>4</v>
      </c>
      <c r="G20" s="13">
        <v>4</v>
      </c>
      <c r="H20" s="13">
        <v>4</v>
      </c>
      <c r="I20" s="13">
        <v>4</v>
      </c>
      <c r="J20" s="13">
        <v>5</v>
      </c>
      <c r="K20" s="13">
        <v>5</v>
      </c>
      <c r="L20" s="13">
        <v>5</v>
      </c>
      <c r="M20" s="13">
        <v>4</v>
      </c>
      <c r="N20" s="13">
        <v>4</v>
      </c>
      <c r="O20" s="13">
        <v>3</v>
      </c>
      <c r="P20" s="24"/>
      <c r="Q20" s="13">
        <v>5</v>
      </c>
      <c r="R20" s="2"/>
    </row>
    <row r="21" spans="1:18" ht="15" customHeight="1" x14ac:dyDescent="0.35">
      <c r="A21" s="5">
        <v>17</v>
      </c>
      <c r="B21" s="13">
        <v>2</v>
      </c>
      <c r="C21" s="13">
        <v>4</v>
      </c>
      <c r="D21" s="13">
        <v>5</v>
      </c>
      <c r="E21" s="13">
        <v>4</v>
      </c>
      <c r="F21" s="13">
        <v>3</v>
      </c>
      <c r="G21" s="13">
        <v>4</v>
      </c>
      <c r="H21" s="13">
        <v>3</v>
      </c>
      <c r="I21" s="13">
        <v>5</v>
      </c>
      <c r="J21" s="13">
        <v>5</v>
      </c>
      <c r="K21" s="13">
        <v>5</v>
      </c>
      <c r="L21" s="13">
        <v>4</v>
      </c>
      <c r="M21" s="13">
        <v>4</v>
      </c>
      <c r="N21" s="13">
        <v>3</v>
      </c>
      <c r="O21" s="13">
        <v>3</v>
      </c>
      <c r="P21" s="24"/>
      <c r="Q21" s="13">
        <v>3</v>
      </c>
      <c r="R21" s="2"/>
    </row>
    <row r="22" spans="1:18" ht="15" customHeight="1" x14ac:dyDescent="0.35">
      <c r="A22" s="5">
        <v>18</v>
      </c>
      <c r="B22" s="13">
        <v>4</v>
      </c>
      <c r="C22" s="13">
        <v>5</v>
      </c>
      <c r="D22" s="13">
        <v>5</v>
      </c>
      <c r="E22" s="13">
        <v>5</v>
      </c>
      <c r="F22" s="13">
        <v>4</v>
      </c>
      <c r="G22" s="13">
        <v>5</v>
      </c>
      <c r="H22" s="13">
        <v>4</v>
      </c>
      <c r="I22" s="13">
        <v>5</v>
      </c>
      <c r="J22" s="13">
        <v>5</v>
      </c>
      <c r="K22" s="13">
        <v>4</v>
      </c>
      <c r="L22" s="13">
        <v>5</v>
      </c>
      <c r="M22" s="13">
        <v>4</v>
      </c>
      <c r="N22" s="13">
        <v>4</v>
      </c>
      <c r="O22" s="13">
        <v>3</v>
      </c>
      <c r="P22" s="24"/>
      <c r="Q22" s="13">
        <v>5</v>
      </c>
      <c r="R22" s="2"/>
    </row>
    <row r="23" spans="1:18" ht="15" customHeight="1" x14ac:dyDescent="0.35">
      <c r="A23" s="5">
        <v>19</v>
      </c>
      <c r="B23" s="13">
        <v>3</v>
      </c>
      <c r="C23" s="13">
        <v>4</v>
      </c>
      <c r="D23" s="13">
        <v>4</v>
      </c>
      <c r="E23" s="13">
        <v>4</v>
      </c>
      <c r="F23" s="13">
        <v>3</v>
      </c>
      <c r="G23" s="13">
        <v>4</v>
      </c>
      <c r="H23" s="13">
        <v>4</v>
      </c>
      <c r="I23" s="13">
        <v>4</v>
      </c>
      <c r="J23" s="13">
        <v>5</v>
      </c>
      <c r="K23" s="13">
        <v>5</v>
      </c>
      <c r="L23" s="13">
        <v>5</v>
      </c>
      <c r="M23" s="13">
        <v>5</v>
      </c>
      <c r="N23" s="13">
        <v>3</v>
      </c>
      <c r="O23" s="13">
        <v>4</v>
      </c>
      <c r="P23" s="24"/>
      <c r="Q23" s="13">
        <v>4</v>
      </c>
      <c r="R23" s="2"/>
    </row>
    <row r="24" spans="1:18" ht="15" customHeight="1" x14ac:dyDescent="0.35">
      <c r="A24" s="5">
        <v>20</v>
      </c>
      <c r="B24" s="13">
        <v>4</v>
      </c>
      <c r="C24" s="13">
        <v>5</v>
      </c>
      <c r="D24" s="13">
        <v>5</v>
      </c>
      <c r="E24" s="13">
        <v>5</v>
      </c>
      <c r="F24" s="13">
        <v>4</v>
      </c>
      <c r="G24" s="13">
        <v>4</v>
      </c>
      <c r="H24" s="13">
        <v>5</v>
      </c>
      <c r="I24" s="13">
        <v>5</v>
      </c>
      <c r="J24" s="13">
        <v>5</v>
      </c>
      <c r="K24" s="13">
        <v>4</v>
      </c>
      <c r="L24" s="13">
        <v>4</v>
      </c>
      <c r="M24" s="13">
        <v>4</v>
      </c>
      <c r="N24" s="13">
        <v>4</v>
      </c>
      <c r="O24" s="13">
        <v>3</v>
      </c>
      <c r="P24" s="24"/>
      <c r="Q24" s="13">
        <v>5</v>
      </c>
      <c r="R24" s="2"/>
    </row>
    <row r="25" spans="1:18" ht="15" customHeight="1" x14ac:dyDescent="0.35">
      <c r="A25" s="5">
        <v>21</v>
      </c>
      <c r="B25" s="13">
        <v>3</v>
      </c>
      <c r="C25" s="13">
        <v>4</v>
      </c>
      <c r="D25" s="13">
        <v>4</v>
      </c>
      <c r="E25" s="13">
        <v>4</v>
      </c>
      <c r="F25" s="13">
        <v>4</v>
      </c>
      <c r="G25" s="13">
        <v>4</v>
      </c>
      <c r="H25" s="13">
        <v>4</v>
      </c>
      <c r="I25" s="13">
        <v>4</v>
      </c>
      <c r="J25" s="13">
        <v>4</v>
      </c>
      <c r="K25" s="13">
        <v>5</v>
      </c>
      <c r="L25" s="13">
        <v>5</v>
      </c>
      <c r="M25" s="13">
        <v>4</v>
      </c>
      <c r="N25" s="13">
        <v>4</v>
      </c>
      <c r="O25" s="13">
        <v>4</v>
      </c>
      <c r="P25" s="24"/>
      <c r="Q25" s="13">
        <v>4</v>
      </c>
      <c r="R25" s="2"/>
    </row>
    <row r="26" spans="1:18" ht="15" customHeight="1" x14ac:dyDescent="0.35">
      <c r="A26" s="5">
        <v>22</v>
      </c>
      <c r="B26" s="13">
        <v>2</v>
      </c>
      <c r="C26" s="13">
        <v>5</v>
      </c>
      <c r="D26" s="13">
        <v>5</v>
      </c>
      <c r="E26" s="13">
        <v>4</v>
      </c>
      <c r="F26" s="13">
        <v>3</v>
      </c>
      <c r="G26" s="13">
        <v>4</v>
      </c>
      <c r="H26" s="13">
        <v>3</v>
      </c>
      <c r="I26" s="13">
        <v>5</v>
      </c>
      <c r="J26" s="13">
        <v>5</v>
      </c>
      <c r="K26" s="13">
        <v>5</v>
      </c>
      <c r="L26" s="13">
        <v>5</v>
      </c>
      <c r="M26" s="13">
        <v>5</v>
      </c>
      <c r="N26" s="13">
        <v>4</v>
      </c>
      <c r="O26" s="13">
        <v>3</v>
      </c>
      <c r="P26" s="24"/>
      <c r="Q26" s="13">
        <v>3</v>
      </c>
      <c r="R26" s="2"/>
    </row>
    <row r="27" spans="1:18" ht="15" customHeight="1" x14ac:dyDescent="0.35">
      <c r="A27" s="5">
        <v>23</v>
      </c>
      <c r="B27" s="13">
        <v>4</v>
      </c>
      <c r="C27" s="13">
        <v>5</v>
      </c>
      <c r="D27" s="13">
        <v>5</v>
      </c>
      <c r="E27" s="13">
        <v>5</v>
      </c>
      <c r="F27" s="13">
        <v>4</v>
      </c>
      <c r="G27" s="13">
        <v>4</v>
      </c>
      <c r="H27" s="13">
        <v>4</v>
      </c>
      <c r="I27" s="13">
        <v>5</v>
      </c>
      <c r="J27" s="13">
        <v>5</v>
      </c>
      <c r="K27" s="13">
        <v>4</v>
      </c>
      <c r="L27" s="13">
        <v>5</v>
      </c>
      <c r="M27" s="13">
        <v>4</v>
      </c>
      <c r="N27" s="13">
        <v>3</v>
      </c>
      <c r="O27" s="13">
        <v>3</v>
      </c>
      <c r="P27" s="24"/>
      <c r="Q27" s="13">
        <v>5</v>
      </c>
      <c r="R27" s="2"/>
    </row>
    <row r="28" spans="1:18" ht="15" customHeight="1" x14ac:dyDescent="0.35">
      <c r="A28" s="5">
        <v>24</v>
      </c>
      <c r="B28" s="13">
        <v>3</v>
      </c>
      <c r="C28" s="13">
        <v>4</v>
      </c>
      <c r="D28" s="13">
        <v>4</v>
      </c>
      <c r="E28" s="13">
        <v>4</v>
      </c>
      <c r="F28" s="13">
        <v>3</v>
      </c>
      <c r="G28" s="13">
        <v>4</v>
      </c>
      <c r="H28" s="13">
        <v>4</v>
      </c>
      <c r="I28" s="13">
        <v>5</v>
      </c>
      <c r="J28" s="13">
        <v>4</v>
      </c>
      <c r="K28" s="13">
        <v>5</v>
      </c>
      <c r="L28" s="13">
        <v>4</v>
      </c>
      <c r="M28" s="13">
        <v>4</v>
      </c>
      <c r="N28" s="13">
        <v>4</v>
      </c>
      <c r="O28" s="13">
        <v>4</v>
      </c>
      <c r="P28" s="24"/>
      <c r="Q28" s="13">
        <v>4</v>
      </c>
      <c r="R28" s="2"/>
    </row>
    <row r="29" spans="1:18" ht="15" customHeight="1" x14ac:dyDescent="0.35">
      <c r="A29" s="5">
        <v>25</v>
      </c>
      <c r="B29" s="13">
        <v>3</v>
      </c>
      <c r="C29" s="13">
        <v>5</v>
      </c>
      <c r="D29" s="13">
        <v>4</v>
      </c>
      <c r="E29" s="13">
        <v>5</v>
      </c>
      <c r="F29" s="13">
        <v>4</v>
      </c>
      <c r="G29" s="13">
        <v>4</v>
      </c>
      <c r="H29" s="13">
        <v>4</v>
      </c>
      <c r="I29" s="13">
        <v>5</v>
      </c>
      <c r="J29" s="13">
        <v>5</v>
      </c>
      <c r="K29" s="13">
        <v>5</v>
      </c>
      <c r="L29" s="13">
        <v>4</v>
      </c>
      <c r="M29" s="13">
        <v>4</v>
      </c>
      <c r="N29" s="13">
        <v>3</v>
      </c>
      <c r="O29" s="13">
        <v>3</v>
      </c>
      <c r="P29" s="24"/>
      <c r="Q29" s="13">
        <v>4</v>
      </c>
      <c r="R29" s="2"/>
    </row>
    <row r="30" spans="1:18" ht="15" customHeight="1" x14ac:dyDescent="0.35">
      <c r="A30" s="5">
        <v>26</v>
      </c>
      <c r="B30" s="13">
        <v>4</v>
      </c>
      <c r="C30" s="13">
        <v>4</v>
      </c>
      <c r="D30" s="13">
        <v>5</v>
      </c>
      <c r="E30" s="13">
        <v>4</v>
      </c>
      <c r="F30" s="13">
        <v>4</v>
      </c>
      <c r="G30" s="13">
        <v>4</v>
      </c>
      <c r="H30" s="13">
        <v>4</v>
      </c>
      <c r="I30" s="13">
        <v>4</v>
      </c>
      <c r="J30" s="13">
        <v>5</v>
      </c>
      <c r="K30" s="13">
        <v>4</v>
      </c>
      <c r="L30" s="13">
        <v>5</v>
      </c>
      <c r="M30" s="13">
        <v>5</v>
      </c>
      <c r="N30" s="13">
        <v>4</v>
      </c>
      <c r="O30" s="13">
        <v>4</v>
      </c>
      <c r="P30" s="24"/>
      <c r="Q30" s="13">
        <v>4</v>
      </c>
      <c r="R30" s="2"/>
    </row>
    <row r="31" spans="1:18" ht="15" customHeight="1" x14ac:dyDescent="0.35">
      <c r="A31" s="5">
        <v>27</v>
      </c>
      <c r="B31" s="13">
        <v>3</v>
      </c>
      <c r="C31" s="13">
        <v>5</v>
      </c>
      <c r="D31" s="13">
        <v>5</v>
      </c>
      <c r="E31" s="13">
        <v>4</v>
      </c>
      <c r="F31" s="13">
        <v>3</v>
      </c>
      <c r="G31" s="13">
        <v>4</v>
      </c>
      <c r="H31" s="13">
        <v>3</v>
      </c>
      <c r="I31" s="13">
        <v>5</v>
      </c>
      <c r="J31" s="13">
        <v>5</v>
      </c>
      <c r="K31" s="13">
        <v>5</v>
      </c>
      <c r="L31" s="13">
        <v>5</v>
      </c>
      <c r="M31" s="13">
        <v>4</v>
      </c>
      <c r="N31" s="13">
        <v>3</v>
      </c>
      <c r="O31" s="13">
        <v>3</v>
      </c>
      <c r="P31" s="24"/>
      <c r="Q31" s="13">
        <v>4</v>
      </c>
      <c r="R31" s="2"/>
    </row>
    <row r="32" spans="1:18" ht="15" customHeight="1" x14ac:dyDescent="0.35">
      <c r="A32" s="5">
        <v>28</v>
      </c>
      <c r="B32" s="13">
        <v>3</v>
      </c>
      <c r="C32" s="13">
        <v>4</v>
      </c>
      <c r="D32" s="13">
        <v>4</v>
      </c>
      <c r="E32" s="13">
        <v>4</v>
      </c>
      <c r="F32" s="13">
        <v>3</v>
      </c>
      <c r="G32" s="13">
        <v>4</v>
      </c>
      <c r="H32" s="13">
        <v>4</v>
      </c>
      <c r="I32" s="13">
        <v>5</v>
      </c>
      <c r="J32" s="13">
        <v>5</v>
      </c>
      <c r="K32" s="13">
        <v>4</v>
      </c>
      <c r="L32" s="13">
        <v>5</v>
      </c>
      <c r="M32" s="13">
        <v>4</v>
      </c>
      <c r="N32" s="13">
        <v>4</v>
      </c>
      <c r="O32" s="13">
        <v>3</v>
      </c>
      <c r="P32" s="24"/>
      <c r="Q32" s="13">
        <v>3</v>
      </c>
      <c r="R32" s="2"/>
    </row>
    <row r="33" spans="1:18" ht="15" customHeight="1" x14ac:dyDescent="0.35">
      <c r="A33" s="5">
        <v>29</v>
      </c>
      <c r="B33" s="13">
        <v>4</v>
      </c>
      <c r="C33" s="13">
        <v>5</v>
      </c>
      <c r="D33" s="13">
        <v>5</v>
      </c>
      <c r="E33" s="13">
        <v>5</v>
      </c>
      <c r="F33" s="13">
        <v>4</v>
      </c>
      <c r="G33" s="13">
        <v>5</v>
      </c>
      <c r="H33" s="13">
        <v>5</v>
      </c>
      <c r="I33" s="13">
        <v>4</v>
      </c>
      <c r="J33" s="13">
        <v>5</v>
      </c>
      <c r="K33" s="13">
        <v>5</v>
      </c>
      <c r="L33" s="13">
        <v>4</v>
      </c>
      <c r="M33" s="13">
        <v>4</v>
      </c>
      <c r="N33" s="13">
        <v>4</v>
      </c>
      <c r="O33" s="13">
        <v>3</v>
      </c>
      <c r="P33" s="24"/>
      <c r="Q33" s="13">
        <v>5</v>
      </c>
      <c r="R33" s="2"/>
    </row>
    <row r="34" spans="1:18" ht="15" customHeight="1" x14ac:dyDescent="0.35">
      <c r="A34" s="5">
        <v>30</v>
      </c>
      <c r="B34" s="13">
        <v>3</v>
      </c>
      <c r="C34" s="13">
        <v>4</v>
      </c>
      <c r="D34" s="13">
        <v>4</v>
      </c>
      <c r="E34" s="13">
        <v>4</v>
      </c>
      <c r="F34" s="13">
        <v>4</v>
      </c>
      <c r="G34" s="13">
        <v>4</v>
      </c>
      <c r="H34" s="13">
        <v>4</v>
      </c>
      <c r="I34" s="13">
        <v>5</v>
      </c>
      <c r="J34" s="13">
        <v>5</v>
      </c>
      <c r="K34" s="13">
        <v>5</v>
      </c>
      <c r="L34" s="13">
        <v>5</v>
      </c>
      <c r="M34" s="13">
        <v>4</v>
      </c>
      <c r="N34" s="13">
        <v>3</v>
      </c>
      <c r="O34" s="13">
        <v>3</v>
      </c>
      <c r="P34" s="24"/>
      <c r="Q34" s="13">
        <v>4</v>
      </c>
      <c r="R34" s="2"/>
    </row>
    <row r="37" spans="1:18" ht="30" customHeight="1" x14ac:dyDescent="0.35">
      <c r="A37" s="1" t="s">
        <v>11</v>
      </c>
      <c r="B37" s="29" t="s">
        <v>116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</row>
  </sheetData>
  <mergeCells count="6">
    <mergeCell ref="B37:Q37"/>
    <mergeCell ref="A1:R1"/>
    <mergeCell ref="B2:H2"/>
    <mergeCell ref="I2:O2"/>
    <mergeCell ref="A3:A4"/>
    <mergeCell ref="Q3:Q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"/>
  <sheetViews>
    <sheetView zoomScaleNormal="100" workbookViewId="0">
      <selection activeCell="E19" sqref="E19"/>
    </sheetView>
  </sheetViews>
  <sheetFormatPr defaultColWidth="8.6328125" defaultRowHeight="14.5" x14ac:dyDescent="0.35"/>
  <cols>
    <col min="1" max="1" width="24" style="2" customWidth="1"/>
    <col min="2" max="3" width="20" style="2" customWidth="1"/>
    <col min="4" max="4" width="28" style="2" customWidth="1"/>
    <col min="5" max="5" width="8.6328125" style="2"/>
    <col min="6" max="6" width="22" style="2" customWidth="1"/>
    <col min="7" max="7" width="10" style="2" customWidth="1"/>
    <col min="8" max="8" width="12" style="2" customWidth="1"/>
    <col min="9" max="16384" width="8.6328125" style="2"/>
  </cols>
  <sheetData>
    <row r="1" spans="1:12" ht="27.75" customHeight="1" x14ac:dyDescent="0.35">
      <c r="A1" s="28" t="s">
        <v>114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3" spans="1:12" ht="15" customHeight="1" x14ac:dyDescent="0.35">
      <c r="A3" s="4" t="s">
        <v>12</v>
      </c>
      <c r="F3" s="4" t="s">
        <v>13</v>
      </c>
    </row>
    <row r="4" spans="1:12" ht="15" customHeight="1" x14ac:dyDescent="0.35">
      <c r="A4" s="5" t="s">
        <v>14</v>
      </c>
      <c r="B4" s="5" t="s">
        <v>15</v>
      </c>
      <c r="C4" s="5" t="s">
        <v>16</v>
      </c>
      <c r="D4" s="5" t="s">
        <v>17</v>
      </c>
      <c r="F4" s="5" t="s">
        <v>18</v>
      </c>
      <c r="G4" s="5" t="s">
        <v>19</v>
      </c>
      <c r="H4" s="5" t="s">
        <v>20</v>
      </c>
    </row>
    <row r="5" spans="1:12" ht="15" customHeight="1" x14ac:dyDescent="0.35">
      <c r="A5" s="20" t="s">
        <v>1</v>
      </c>
      <c r="B5" s="21">
        <v>3.27</v>
      </c>
      <c r="C5" s="21">
        <v>4.7</v>
      </c>
      <c r="D5" s="21" t="s">
        <v>21</v>
      </c>
      <c r="F5" s="7" t="s">
        <v>22</v>
      </c>
      <c r="G5" s="13">
        <v>10</v>
      </c>
      <c r="H5" s="22">
        <f>G5/30</f>
        <v>0.33333333333333331</v>
      </c>
    </row>
    <row r="6" spans="1:12" ht="15" customHeight="1" x14ac:dyDescent="0.35">
      <c r="A6" s="20" t="s">
        <v>2</v>
      </c>
      <c r="B6" s="21">
        <v>4.53</v>
      </c>
      <c r="C6" s="21">
        <v>4.87</v>
      </c>
      <c r="D6" s="21" t="s">
        <v>23</v>
      </c>
      <c r="F6" s="7" t="s">
        <v>24</v>
      </c>
      <c r="G6" s="13">
        <v>14</v>
      </c>
      <c r="H6" s="22">
        <f>G6/30</f>
        <v>0.46666666666666667</v>
      </c>
    </row>
    <row r="7" spans="1:12" ht="15" customHeight="1" x14ac:dyDescent="0.35">
      <c r="A7" s="20" t="s">
        <v>3</v>
      </c>
      <c r="B7" s="21">
        <v>4.5999999999999996</v>
      </c>
      <c r="C7" s="21">
        <v>4.5999999999999996</v>
      </c>
      <c r="D7" s="21" t="s">
        <v>23</v>
      </c>
      <c r="F7" s="7" t="s">
        <v>25</v>
      </c>
      <c r="G7" s="13">
        <v>6</v>
      </c>
      <c r="H7" s="22">
        <f>G7/30</f>
        <v>0.2</v>
      </c>
    </row>
    <row r="8" spans="1:12" ht="15" customHeight="1" x14ac:dyDescent="0.35">
      <c r="A8" s="20" t="s">
        <v>4</v>
      </c>
      <c r="B8" s="21">
        <v>4.4000000000000004</v>
      </c>
      <c r="C8" s="21">
        <v>4.67</v>
      </c>
      <c r="D8" s="21" t="s">
        <v>23</v>
      </c>
      <c r="F8" s="7" t="s">
        <v>26</v>
      </c>
      <c r="G8" s="13">
        <v>0</v>
      </c>
      <c r="H8" s="22">
        <f>G8/30</f>
        <v>0</v>
      </c>
    </row>
    <row r="9" spans="1:12" ht="15" customHeight="1" x14ac:dyDescent="0.35">
      <c r="A9" s="20" t="s">
        <v>5</v>
      </c>
      <c r="B9" s="21">
        <v>3.57</v>
      </c>
      <c r="C9" s="21">
        <v>4.2</v>
      </c>
      <c r="D9" s="21" t="s">
        <v>27</v>
      </c>
      <c r="F9" s="7" t="s">
        <v>28</v>
      </c>
      <c r="G9" s="13">
        <v>0</v>
      </c>
      <c r="H9" s="22">
        <f>G9/30</f>
        <v>0</v>
      </c>
    </row>
    <row r="10" spans="1:12" ht="15" customHeight="1" x14ac:dyDescent="0.35">
      <c r="A10" s="20" t="s">
        <v>6</v>
      </c>
      <c r="B10" s="21">
        <v>4.17</v>
      </c>
      <c r="C10" s="21">
        <v>3.53</v>
      </c>
      <c r="D10" s="21" t="s">
        <v>29</v>
      </c>
      <c r="F10" s="15" t="s">
        <v>30</v>
      </c>
      <c r="G10" s="8">
        <f>SUM(G5:G9)</f>
        <v>30</v>
      </c>
      <c r="H10" s="23">
        <f>SUM(H5:H9)</f>
        <v>1</v>
      </c>
    </row>
    <row r="11" spans="1:12" ht="15" customHeight="1" x14ac:dyDescent="0.35">
      <c r="A11" s="20" t="s">
        <v>7</v>
      </c>
      <c r="B11" s="21">
        <v>3.83</v>
      </c>
      <c r="C11" s="21">
        <v>3.2</v>
      </c>
      <c r="D11" s="21" t="s">
        <v>27</v>
      </c>
    </row>
    <row r="12" spans="1:12" ht="15" customHeight="1" x14ac:dyDescent="0.35">
      <c r="A12" s="15" t="s">
        <v>31</v>
      </c>
      <c r="B12" s="8">
        <v>4.05</v>
      </c>
      <c r="C12" s="8">
        <v>4.25</v>
      </c>
      <c r="D12" s="24"/>
    </row>
    <row r="14" spans="1:12" ht="15" customHeight="1" x14ac:dyDescent="0.35">
      <c r="A14" s="4" t="s">
        <v>32</v>
      </c>
    </row>
    <row r="15" spans="1:12" ht="15" customHeight="1" x14ac:dyDescent="0.35">
      <c r="A15" s="15" t="s">
        <v>23</v>
      </c>
      <c r="B15" s="33" t="s">
        <v>33</v>
      </c>
      <c r="C15" s="33"/>
      <c r="D15" s="33"/>
    </row>
    <row r="16" spans="1:12" ht="15" customHeight="1" x14ac:dyDescent="0.35">
      <c r="A16" s="15" t="s">
        <v>21</v>
      </c>
      <c r="B16" s="33" t="s">
        <v>34</v>
      </c>
      <c r="C16" s="33"/>
      <c r="D16" s="33"/>
    </row>
    <row r="17" spans="1:4" ht="15" customHeight="1" x14ac:dyDescent="0.35">
      <c r="A17" s="15" t="s">
        <v>29</v>
      </c>
      <c r="B17" s="33" t="s">
        <v>35</v>
      </c>
      <c r="C17" s="33"/>
      <c r="D17" s="33"/>
    </row>
    <row r="18" spans="1:4" ht="15" customHeight="1" x14ac:dyDescent="0.35">
      <c r="A18" s="15" t="s">
        <v>27</v>
      </c>
      <c r="B18" s="33" t="s">
        <v>36</v>
      </c>
      <c r="C18" s="33"/>
      <c r="D18" s="33"/>
    </row>
  </sheetData>
  <mergeCells count="5">
    <mergeCell ref="A1:L1"/>
    <mergeCell ref="B15:D15"/>
    <mergeCell ref="B16:D16"/>
    <mergeCell ref="B17:D17"/>
    <mergeCell ref="B18:D1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6"/>
  <sheetViews>
    <sheetView zoomScale="94" zoomScaleNormal="100" workbookViewId="0">
      <selection activeCell="P19" sqref="P19"/>
    </sheetView>
  </sheetViews>
  <sheetFormatPr defaultColWidth="8.6328125" defaultRowHeight="14.5" x14ac:dyDescent="0.35"/>
  <cols>
    <col min="1" max="16384" width="8.6328125" style="2"/>
  </cols>
  <sheetData>
    <row r="1" ht="7.5" customHeight="1" x14ac:dyDescent="0.35"/>
    <row r="2" ht="27.75" customHeight="1" x14ac:dyDescent="0.35"/>
    <row r="3" ht="6" customHeight="1" x14ac:dyDescent="0.35"/>
    <row r="4" ht="18" customHeight="1" x14ac:dyDescent="0.35"/>
    <row r="5" ht="7.5" customHeight="1" x14ac:dyDescent="0.35"/>
    <row r="6" ht="7.5" customHeight="1" x14ac:dyDescent="0.35"/>
    <row r="7" ht="19.5" customHeight="1" x14ac:dyDescent="0.35"/>
    <row r="8" ht="19.5" customHeight="1" x14ac:dyDescent="0.35"/>
    <row r="9" ht="7.5" customHeight="1" x14ac:dyDescent="0.35"/>
    <row r="10" ht="18" customHeight="1" x14ac:dyDescent="0.35"/>
    <row r="11" ht="18" customHeight="1" x14ac:dyDescent="0.35"/>
    <row r="12" ht="7.5" customHeight="1" x14ac:dyDescent="0.35"/>
    <row r="13" ht="7.5" customHeight="1" x14ac:dyDescent="0.35"/>
    <row r="14" ht="19.5" customHeight="1" x14ac:dyDescent="0.35"/>
    <row r="15" ht="7.5" customHeight="1" x14ac:dyDescent="0.35"/>
    <row r="16" ht="19.5" customHeight="1" x14ac:dyDescent="0.35"/>
    <row r="17" ht="7.5" customHeight="1" x14ac:dyDescent="0.35"/>
    <row r="18" ht="7.5" customHeight="1" x14ac:dyDescent="0.35"/>
    <row r="19" ht="21.75" customHeight="1" x14ac:dyDescent="0.35"/>
    <row r="20" ht="21.75" customHeight="1" x14ac:dyDescent="0.35"/>
    <row r="21" ht="7.5" customHeight="1" x14ac:dyDescent="0.35"/>
    <row r="22" ht="19.5" customHeight="1" x14ac:dyDescent="0.35"/>
    <row r="23" ht="19.5" customHeight="1" x14ac:dyDescent="0.35"/>
    <row r="24" ht="7.5" customHeight="1" x14ac:dyDescent="0.35"/>
    <row r="25" ht="7.5" customHeight="1" x14ac:dyDescent="0.35"/>
    <row r="26" ht="27.75" customHeight="1" x14ac:dyDescent="0.35"/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8308D-70BB-4272-A6C4-31AB47F28FE6}">
  <dimension ref="A1:K26"/>
  <sheetViews>
    <sheetView topLeftCell="B1" zoomScale="94" zoomScaleNormal="100" workbookViewId="0">
      <selection activeCell="K15" sqref="K15"/>
    </sheetView>
  </sheetViews>
  <sheetFormatPr defaultColWidth="8.6328125" defaultRowHeight="14.5" x14ac:dyDescent="0.35"/>
  <cols>
    <col min="1" max="1" width="2" style="2" customWidth="1"/>
    <col min="2" max="2" width="14" style="2" customWidth="1"/>
    <col min="3" max="3" width="3" style="2" customWidth="1"/>
    <col min="4" max="4" width="14" style="2" customWidth="1"/>
    <col min="5" max="5" width="3" style="2" customWidth="1"/>
    <col min="6" max="6" width="14" style="2" customWidth="1"/>
    <col min="7" max="7" width="3" style="2" customWidth="1"/>
    <col min="8" max="8" width="14" style="2" customWidth="1"/>
    <col min="9" max="9" width="3" style="2" customWidth="1"/>
    <col min="10" max="10" width="14" style="2" customWidth="1"/>
    <col min="11" max="11" width="6.08984375" style="2" customWidth="1"/>
    <col min="12" max="16384" width="8.6328125" style="2"/>
  </cols>
  <sheetData>
    <row r="1" spans="1:11" ht="7.5" customHeight="1" x14ac:dyDescent="0.35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1" ht="27.75" customHeight="1" x14ac:dyDescent="0.35">
      <c r="A2" s="28" t="s">
        <v>112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1" ht="6" customHeight="1" thickBot="1" x14ac:dyDescent="0.4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</row>
    <row r="4" spans="1:11" ht="18" customHeight="1" thickBot="1" x14ac:dyDescent="0.4">
      <c r="B4" s="41" t="s">
        <v>37</v>
      </c>
      <c r="C4" s="41"/>
      <c r="D4" s="41" t="s">
        <v>38</v>
      </c>
      <c r="E4" s="41"/>
      <c r="F4" s="41" t="s">
        <v>39</v>
      </c>
      <c r="G4" s="41"/>
      <c r="H4" s="41" t="s">
        <v>40</v>
      </c>
      <c r="I4" s="41"/>
      <c r="J4" s="41" t="s">
        <v>41</v>
      </c>
      <c r="K4" s="41"/>
    </row>
    <row r="5" spans="1:11" ht="7.5" customHeight="1" thickBot="1" x14ac:dyDescent="0.4"/>
    <row r="6" spans="1:11" ht="7.5" customHeight="1" thickBot="1" x14ac:dyDescent="0.4">
      <c r="B6" s="38" t="s">
        <v>42</v>
      </c>
      <c r="C6" s="38"/>
      <c r="E6" s="35" t="s">
        <v>43</v>
      </c>
      <c r="F6" s="35"/>
      <c r="H6" s="35" t="s">
        <v>44</v>
      </c>
      <c r="I6" s="35"/>
    </row>
    <row r="7" spans="1:11" ht="19.5" customHeight="1" thickBot="1" x14ac:dyDescent="0.4">
      <c r="B7" s="38"/>
      <c r="C7" s="38"/>
      <c r="D7" s="3" t="s">
        <v>45</v>
      </c>
      <c r="E7" s="35"/>
      <c r="F7" s="35"/>
      <c r="G7" s="3" t="s">
        <v>45</v>
      </c>
      <c r="H7" s="35"/>
      <c r="I7" s="35"/>
    </row>
    <row r="8" spans="1:11" ht="19.5" customHeight="1" thickBot="1" x14ac:dyDescent="0.4">
      <c r="B8" s="38"/>
      <c r="C8" s="38"/>
      <c r="E8" s="35"/>
      <c r="F8" s="35"/>
      <c r="H8" s="35"/>
      <c r="I8" s="35"/>
    </row>
    <row r="9" spans="1:11" ht="7.5" customHeight="1" thickBot="1" x14ac:dyDescent="0.4">
      <c r="B9" s="3" t="s">
        <v>46</v>
      </c>
      <c r="E9" s="3" t="s">
        <v>46</v>
      </c>
      <c r="I9" s="3" t="s">
        <v>46</v>
      </c>
    </row>
    <row r="10" spans="1:11" ht="18" customHeight="1" thickBot="1" x14ac:dyDescent="0.4">
      <c r="B10" s="39" t="s">
        <v>47</v>
      </c>
      <c r="C10" s="39"/>
      <c r="E10" s="35" t="s">
        <v>48</v>
      </c>
      <c r="F10" s="35"/>
      <c r="H10" s="35" t="s">
        <v>49</v>
      </c>
      <c r="I10" s="35"/>
    </row>
    <row r="11" spans="1:11" ht="18" customHeight="1" thickBot="1" x14ac:dyDescent="0.4">
      <c r="B11" s="39"/>
      <c r="C11" s="39"/>
      <c r="D11" s="3" t="s">
        <v>45</v>
      </c>
      <c r="E11" s="35"/>
      <c r="F11" s="35"/>
      <c r="G11" s="3" t="s">
        <v>45</v>
      </c>
      <c r="H11" s="35"/>
      <c r="I11" s="35"/>
    </row>
    <row r="12" spans="1:11" ht="7.5" customHeight="1" thickBot="1" x14ac:dyDescent="0.4">
      <c r="B12" s="39"/>
      <c r="C12" s="39"/>
      <c r="E12" s="35"/>
      <c r="F12" s="35"/>
      <c r="H12" s="35"/>
      <c r="I12" s="35"/>
    </row>
    <row r="13" spans="1:11" ht="7.5" customHeight="1" thickBot="1" x14ac:dyDescent="0.4">
      <c r="B13" s="3" t="s">
        <v>46</v>
      </c>
      <c r="E13" s="3" t="s">
        <v>46</v>
      </c>
      <c r="I13" s="3" t="s">
        <v>46</v>
      </c>
    </row>
    <row r="14" spans="1:11" ht="19.5" customHeight="1" thickBot="1" x14ac:dyDescent="0.4">
      <c r="B14" s="34" t="s">
        <v>50</v>
      </c>
      <c r="C14" s="34"/>
      <c r="D14" s="34"/>
      <c r="E14" s="34"/>
      <c r="F14" s="34"/>
      <c r="H14" s="35" t="s">
        <v>51</v>
      </c>
      <c r="I14" s="35"/>
    </row>
    <row r="15" spans="1:11" ht="7.5" customHeight="1" thickBot="1" x14ac:dyDescent="0.4">
      <c r="B15" s="34"/>
      <c r="C15" s="34"/>
      <c r="D15" s="34"/>
      <c r="E15" s="34"/>
      <c r="F15" s="34"/>
      <c r="G15" s="3" t="s">
        <v>45</v>
      </c>
      <c r="H15" s="35"/>
      <c r="I15" s="35"/>
    </row>
    <row r="16" spans="1:11" ht="19.5" customHeight="1" thickBot="1" x14ac:dyDescent="0.4">
      <c r="B16" s="34"/>
      <c r="C16" s="34"/>
      <c r="D16" s="34"/>
      <c r="E16" s="34"/>
      <c r="F16" s="34"/>
      <c r="H16" s="35"/>
      <c r="I16" s="35"/>
    </row>
    <row r="17" spans="1:11" ht="7.5" customHeight="1" thickBot="1" x14ac:dyDescent="0.4">
      <c r="D17" s="3" t="s">
        <v>46</v>
      </c>
      <c r="I17" s="3" t="s">
        <v>46</v>
      </c>
    </row>
    <row r="18" spans="1:11" ht="7.5" customHeight="1" thickBot="1" x14ac:dyDescent="0.4">
      <c r="B18" s="34" t="s">
        <v>52</v>
      </c>
      <c r="C18" s="34"/>
      <c r="D18" s="34"/>
      <c r="E18" s="34"/>
      <c r="F18" s="34"/>
      <c r="G18" s="34"/>
      <c r="H18" s="34"/>
      <c r="I18" s="34"/>
    </row>
    <row r="19" spans="1:11" ht="21.75" customHeight="1" thickBot="1" x14ac:dyDescent="0.4">
      <c r="B19" s="34"/>
      <c r="C19" s="34"/>
      <c r="D19" s="34"/>
      <c r="E19" s="34"/>
      <c r="F19" s="34"/>
      <c r="G19" s="34"/>
      <c r="H19" s="34"/>
      <c r="I19" s="34"/>
    </row>
    <row r="20" spans="1:11" ht="21.75" customHeight="1" thickBot="1" x14ac:dyDescent="0.4">
      <c r="B20" s="34"/>
      <c r="C20" s="34"/>
      <c r="D20" s="34"/>
      <c r="E20" s="34"/>
      <c r="F20" s="34"/>
      <c r="G20" s="34"/>
      <c r="H20" s="34"/>
      <c r="I20" s="34"/>
    </row>
    <row r="21" spans="1:11" ht="7.5" customHeight="1" thickBot="1" x14ac:dyDescent="0.4">
      <c r="B21" s="3" t="s">
        <v>46</v>
      </c>
      <c r="E21" s="3" t="s">
        <v>46</v>
      </c>
    </row>
    <row r="22" spans="1:11" ht="19.5" customHeight="1" thickBot="1" x14ac:dyDescent="0.4">
      <c r="B22" s="36" t="s">
        <v>53</v>
      </c>
      <c r="C22" s="36"/>
      <c r="D22" s="36"/>
      <c r="E22" s="36"/>
      <c r="F22" s="36"/>
      <c r="G22" s="36"/>
      <c r="H22" s="36"/>
      <c r="I22" s="36"/>
    </row>
    <row r="23" spans="1:11" ht="19.5" customHeight="1" thickBot="1" x14ac:dyDescent="0.4">
      <c r="B23" s="36"/>
      <c r="C23" s="36"/>
      <c r="D23" s="36"/>
      <c r="E23" s="36"/>
      <c r="F23" s="36"/>
      <c r="G23" s="36"/>
      <c r="H23" s="36"/>
      <c r="I23" s="36"/>
    </row>
    <row r="24" spans="1:11" ht="7.5" customHeight="1" thickBot="1" x14ac:dyDescent="0.4">
      <c r="B24" s="36"/>
      <c r="C24" s="36"/>
      <c r="D24" s="36"/>
      <c r="E24" s="36"/>
      <c r="F24" s="36"/>
      <c r="G24" s="36"/>
      <c r="H24" s="36"/>
      <c r="I24" s="36"/>
    </row>
    <row r="25" spans="1:11" ht="7.5" customHeight="1" x14ac:dyDescent="0.35"/>
    <row r="26" spans="1:11" ht="27.75" customHeight="1" x14ac:dyDescent="0.35">
      <c r="A26" s="37" t="s">
        <v>54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</row>
  </sheetData>
  <mergeCells count="19">
    <mergeCell ref="A1:K1"/>
    <mergeCell ref="A2:K2"/>
    <mergeCell ref="A3:K3"/>
    <mergeCell ref="B4:C4"/>
    <mergeCell ref="D4:E4"/>
    <mergeCell ref="F4:G4"/>
    <mergeCell ref="H4:I4"/>
    <mergeCell ref="J4:K4"/>
    <mergeCell ref="B6:C8"/>
    <mergeCell ref="E6:F8"/>
    <mergeCell ref="H6:I8"/>
    <mergeCell ref="B10:C12"/>
    <mergeCell ref="E10:F12"/>
    <mergeCell ref="H10:I12"/>
    <mergeCell ref="B14:F16"/>
    <mergeCell ref="H14:I16"/>
    <mergeCell ref="B18:I20"/>
    <mergeCell ref="B22:I24"/>
    <mergeCell ref="A26:K2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6"/>
  <sheetViews>
    <sheetView zoomScaleNormal="100" workbookViewId="0">
      <selection sqref="A1:J1"/>
    </sheetView>
  </sheetViews>
  <sheetFormatPr defaultColWidth="8.6328125" defaultRowHeight="14.5" x14ac:dyDescent="0.35"/>
  <cols>
    <col min="1" max="1" width="30" customWidth="1"/>
    <col min="2" max="3" width="20" customWidth="1"/>
    <col min="4" max="4" width="40" customWidth="1"/>
  </cols>
  <sheetData>
    <row r="1" spans="1:10" ht="27.75" customHeight="1" x14ac:dyDescent="0.35">
      <c r="A1" s="28" t="s">
        <v>113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x14ac:dyDescent="0.3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15" customHeight="1" x14ac:dyDescent="0.35">
      <c r="A3" s="4" t="s">
        <v>55</v>
      </c>
      <c r="B3" s="2"/>
      <c r="C3" s="2"/>
      <c r="D3" s="2"/>
      <c r="E3" s="2"/>
      <c r="F3" s="2"/>
      <c r="G3" s="2"/>
      <c r="H3" s="2"/>
      <c r="I3" s="2"/>
      <c r="J3" s="2"/>
    </row>
    <row r="4" spans="1:10" ht="15" customHeight="1" x14ac:dyDescent="0.35">
      <c r="A4" s="5" t="s">
        <v>56</v>
      </c>
      <c r="B4" s="5" t="s">
        <v>57</v>
      </c>
      <c r="C4" s="5" t="s">
        <v>58</v>
      </c>
      <c r="D4" s="6" t="s">
        <v>59</v>
      </c>
      <c r="E4" s="2"/>
      <c r="F4" s="2"/>
      <c r="G4" s="2"/>
      <c r="H4" s="2"/>
      <c r="I4" s="2"/>
      <c r="J4" s="2"/>
    </row>
    <row r="5" spans="1:10" ht="15" customHeight="1" x14ac:dyDescent="0.35">
      <c r="A5" s="7" t="s">
        <v>60</v>
      </c>
      <c r="B5" s="8">
        <v>150</v>
      </c>
      <c r="C5" s="7" t="s">
        <v>61</v>
      </c>
      <c r="D5" s="9" t="s">
        <v>62</v>
      </c>
      <c r="E5" s="2"/>
      <c r="F5" s="2"/>
      <c r="G5" s="2"/>
      <c r="H5" s="2"/>
      <c r="I5" s="2"/>
      <c r="J5" s="2"/>
    </row>
    <row r="6" spans="1:10" ht="15" customHeight="1" x14ac:dyDescent="0.35">
      <c r="A6" s="7" t="s">
        <v>63</v>
      </c>
      <c r="B6" s="10">
        <v>8.5</v>
      </c>
      <c r="C6" s="7" t="s">
        <v>64</v>
      </c>
      <c r="D6" s="9"/>
      <c r="E6" s="2"/>
      <c r="F6" s="2"/>
      <c r="G6" s="2"/>
      <c r="H6" s="2"/>
      <c r="I6" s="2"/>
      <c r="J6" s="2"/>
    </row>
    <row r="7" spans="1:10" ht="15" customHeight="1" x14ac:dyDescent="0.35">
      <c r="A7" s="7" t="s">
        <v>65</v>
      </c>
      <c r="B7" s="11">
        <v>0.65</v>
      </c>
      <c r="C7" s="7" t="s">
        <v>66</v>
      </c>
      <c r="D7" s="9"/>
      <c r="E7" s="2"/>
      <c r="F7" s="2"/>
      <c r="G7" s="2"/>
      <c r="H7" s="2"/>
      <c r="I7" s="2"/>
      <c r="J7" s="2"/>
    </row>
    <row r="8" spans="1:10" ht="15" customHeight="1" x14ac:dyDescent="0.35">
      <c r="A8" s="7" t="s">
        <v>67</v>
      </c>
      <c r="B8" s="10">
        <v>15000</v>
      </c>
      <c r="C8" s="7" t="s">
        <v>64</v>
      </c>
      <c r="D8" s="9"/>
      <c r="E8" s="2"/>
      <c r="F8" s="2"/>
      <c r="G8" s="2"/>
      <c r="H8" s="2"/>
      <c r="I8" s="2"/>
      <c r="J8" s="2"/>
    </row>
    <row r="9" spans="1:10" ht="15" customHeight="1" x14ac:dyDescent="0.35">
      <c r="A9" s="7" t="s">
        <v>68</v>
      </c>
      <c r="B9" s="8">
        <v>20</v>
      </c>
      <c r="C9" s="7" t="s">
        <v>69</v>
      </c>
      <c r="D9" s="9"/>
      <c r="E9" s="2"/>
      <c r="F9" s="2"/>
      <c r="G9" s="2"/>
      <c r="H9" s="2"/>
      <c r="I9" s="2"/>
      <c r="J9" s="2"/>
    </row>
    <row r="10" spans="1:10" ht="15" customHeight="1" x14ac:dyDescent="0.35">
      <c r="A10" s="7" t="s">
        <v>70</v>
      </c>
      <c r="B10" s="12">
        <v>0.12</v>
      </c>
      <c r="C10" s="7" t="s">
        <v>66</v>
      </c>
      <c r="D10" s="9" t="s">
        <v>71</v>
      </c>
      <c r="E10" s="2"/>
      <c r="F10" s="2"/>
      <c r="G10" s="2"/>
      <c r="H10" s="2"/>
      <c r="I10" s="2"/>
      <c r="J10" s="2"/>
    </row>
    <row r="11" spans="1:10" ht="15" customHeight="1" x14ac:dyDescent="0.35">
      <c r="A11" s="7" t="s">
        <v>72</v>
      </c>
      <c r="B11" s="8">
        <v>360</v>
      </c>
      <c r="C11" s="7" t="s">
        <v>73</v>
      </c>
      <c r="D11" s="9"/>
      <c r="E11" s="2"/>
      <c r="F11" s="2"/>
      <c r="G11" s="2"/>
      <c r="H11" s="2"/>
      <c r="I11" s="2"/>
      <c r="J11" s="2"/>
    </row>
    <row r="12" spans="1:10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15" customHeight="1" x14ac:dyDescent="0.35">
      <c r="A13" s="4" t="s">
        <v>74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ht="15" customHeight="1" x14ac:dyDescent="0.35">
      <c r="A14" s="5" t="s">
        <v>75</v>
      </c>
      <c r="B14" s="5" t="s">
        <v>76</v>
      </c>
      <c r="C14" s="5" t="s">
        <v>77</v>
      </c>
      <c r="D14" s="6" t="s">
        <v>78</v>
      </c>
      <c r="E14" s="2"/>
      <c r="F14" s="2"/>
      <c r="G14" s="2"/>
      <c r="H14" s="2"/>
      <c r="I14" s="2"/>
      <c r="J14" s="2"/>
    </row>
    <row r="15" spans="1:10" ht="15" customHeight="1" x14ac:dyDescent="0.35">
      <c r="A15" s="7" t="s">
        <v>79</v>
      </c>
      <c r="B15" s="13">
        <f>B5</f>
        <v>150</v>
      </c>
      <c r="C15" s="13">
        <f>B5*(1+B10)</f>
        <v>168.00000000000003</v>
      </c>
      <c r="D15" s="9" t="s">
        <v>80</v>
      </c>
      <c r="E15" s="2"/>
      <c r="F15" s="2"/>
      <c r="G15" s="2"/>
      <c r="H15" s="2"/>
      <c r="I15" s="2"/>
      <c r="J15" s="2"/>
    </row>
    <row r="16" spans="1:10" ht="15" customHeight="1" x14ac:dyDescent="0.35">
      <c r="A16" s="7" t="s">
        <v>81</v>
      </c>
      <c r="B16" s="14">
        <f>B15*B6</f>
        <v>1275</v>
      </c>
      <c r="C16" s="14">
        <f>C15*B6</f>
        <v>1428.0000000000002</v>
      </c>
      <c r="D16" s="9" t="s">
        <v>82</v>
      </c>
      <c r="E16" s="2"/>
      <c r="F16" s="2"/>
      <c r="G16" s="2"/>
      <c r="H16" s="2"/>
      <c r="I16" s="2"/>
      <c r="J16" s="2"/>
    </row>
    <row r="17" spans="1:10" ht="15" customHeight="1" x14ac:dyDescent="0.35">
      <c r="A17" s="7" t="s">
        <v>83</v>
      </c>
      <c r="B17" s="14">
        <f>B16*B7</f>
        <v>828.75</v>
      </c>
      <c r="C17" s="14">
        <f>C16*B7</f>
        <v>928.20000000000016</v>
      </c>
      <c r="D17" s="9" t="s">
        <v>84</v>
      </c>
      <c r="E17" s="2"/>
      <c r="F17" s="2"/>
      <c r="G17" s="2"/>
      <c r="H17" s="2"/>
      <c r="I17" s="2"/>
      <c r="J17" s="2"/>
    </row>
    <row r="18" spans="1:10" ht="15" customHeight="1" x14ac:dyDescent="0.35">
      <c r="A18" s="7" t="s">
        <v>85</v>
      </c>
      <c r="B18" s="14">
        <f>B17</f>
        <v>828.75</v>
      </c>
      <c r="C18" s="14">
        <f>C17-B9</f>
        <v>908.20000000000016</v>
      </c>
      <c r="D18" s="9" t="s">
        <v>86</v>
      </c>
      <c r="E18" s="2"/>
      <c r="F18" s="2"/>
      <c r="G18" s="2"/>
      <c r="H18" s="2"/>
      <c r="I18" s="2"/>
      <c r="J18" s="2"/>
    </row>
    <row r="19" spans="1:10" ht="15" customHeight="1" x14ac:dyDescent="0.35">
      <c r="A19" s="7" t="s">
        <v>87</v>
      </c>
      <c r="B19" s="14">
        <f>B18*B11</f>
        <v>298350</v>
      </c>
      <c r="C19" s="14">
        <f>C18*B11</f>
        <v>326952.00000000006</v>
      </c>
      <c r="D19" s="9" t="s">
        <v>88</v>
      </c>
      <c r="E19" s="2"/>
      <c r="F19" s="2"/>
      <c r="G19" s="2"/>
      <c r="H19" s="2"/>
      <c r="I19" s="2"/>
      <c r="J19" s="2"/>
    </row>
    <row r="20" spans="1:10" ht="15" customHeight="1" x14ac:dyDescent="0.35">
      <c r="A20" s="7" t="s">
        <v>89</v>
      </c>
      <c r="B20" s="14">
        <f>B19</f>
        <v>298350</v>
      </c>
      <c r="C20" s="14">
        <f>C19-B8</f>
        <v>311952.00000000006</v>
      </c>
      <c r="D20" s="9" t="s">
        <v>90</v>
      </c>
      <c r="E20" s="2"/>
      <c r="F20" s="2"/>
      <c r="G20" s="2"/>
      <c r="H20" s="2"/>
      <c r="I20" s="2"/>
      <c r="J20" s="2"/>
    </row>
    <row r="21" spans="1:10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15" customHeight="1" x14ac:dyDescent="0.35">
      <c r="A22" s="4" t="s">
        <v>91</v>
      </c>
      <c r="B22" s="2"/>
      <c r="C22" s="2"/>
      <c r="D22" s="2"/>
      <c r="E22" s="2"/>
      <c r="F22" s="2"/>
      <c r="G22" s="2"/>
      <c r="H22" s="2"/>
      <c r="I22" s="2"/>
      <c r="J22" s="2"/>
    </row>
    <row r="23" spans="1:10" ht="15" customHeight="1" x14ac:dyDescent="0.35">
      <c r="A23" s="5" t="s">
        <v>92</v>
      </c>
      <c r="B23" s="5" t="s">
        <v>76</v>
      </c>
      <c r="C23" s="5" t="s">
        <v>77</v>
      </c>
      <c r="D23" s="2"/>
      <c r="E23" s="2"/>
      <c r="F23" s="2"/>
      <c r="G23" s="2"/>
      <c r="H23" s="2"/>
      <c r="I23" s="2"/>
      <c r="J23" s="2"/>
    </row>
    <row r="24" spans="1:10" ht="15" customHeight="1" x14ac:dyDescent="0.35">
      <c r="A24" s="15" t="s">
        <v>93</v>
      </c>
      <c r="B24" s="16">
        <f>B20</f>
        <v>298350</v>
      </c>
      <c r="C24" s="16">
        <f>C20</f>
        <v>311952.00000000006</v>
      </c>
      <c r="D24" s="2"/>
      <c r="E24" s="2"/>
      <c r="F24" s="2"/>
      <c r="G24" s="2"/>
      <c r="H24" s="2"/>
      <c r="I24" s="2"/>
      <c r="J24" s="2"/>
    </row>
    <row r="25" spans="1:10" ht="15" customHeight="1" x14ac:dyDescent="0.35">
      <c r="A25" s="15" t="s">
        <v>94</v>
      </c>
      <c r="B25" s="8" t="s">
        <v>95</v>
      </c>
      <c r="C25" s="17">
        <f>B8/MAX(C19-B19,1)</f>
        <v>0.52443885043003879</v>
      </c>
      <c r="D25" s="2"/>
      <c r="E25" s="2"/>
      <c r="F25" s="2"/>
      <c r="G25" s="2"/>
      <c r="H25" s="2"/>
      <c r="I25" s="2"/>
      <c r="J25" s="2"/>
    </row>
    <row r="26" spans="1:10" ht="15" customHeight="1" x14ac:dyDescent="0.35">
      <c r="A26" s="15" t="s">
        <v>96</v>
      </c>
      <c r="B26" s="8" t="s">
        <v>97</v>
      </c>
      <c r="C26" s="8" t="str">
        <f>IF(C20&gt;B20,"INVEST","DO NOT INVEST")</f>
        <v>INVEST</v>
      </c>
      <c r="D26" s="2"/>
      <c r="E26" s="2"/>
      <c r="F26" s="2"/>
      <c r="G26" s="2"/>
      <c r="H26" s="2"/>
      <c r="I26" s="2"/>
      <c r="J26" s="2"/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2"/>
  <sheetViews>
    <sheetView tabSelected="1" zoomScaleNormal="100" workbookViewId="0">
      <selection activeCell="E9" sqref="E9"/>
    </sheetView>
  </sheetViews>
  <sheetFormatPr defaultColWidth="8.6328125" defaultRowHeight="14.5" x14ac:dyDescent="0.35"/>
  <cols>
    <col min="1" max="8" width="14" style="2" customWidth="1"/>
    <col min="9" max="16384" width="8.6328125" style="2"/>
  </cols>
  <sheetData>
    <row r="1" spans="1:13" ht="27.75" customHeight="1" x14ac:dyDescent="0.35">
      <c r="A1" s="28" t="s">
        <v>98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3" spans="1:13" ht="15" customHeight="1" x14ac:dyDescent="0.35">
      <c r="A3" s="4" t="s">
        <v>99</v>
      </c>
    </row>
    <row r="4" spans="1:13" ht="15" customHeight="1" x14ac:dyDescent="0.35">
      <c r="A4" s="15" t="s">
        <v>100</v>
      </c>
      <c r="B4" s="8">
        <v>100</v>
      </c>
      <c r="C4" s="8">
        <v>120</v>
      </c>
      <c r="D4" s="8">
        <v>140</v>
      </c>
      <c r="E4" s="8">
        <v>150</v>
      </c>
      <c r="F4" s="8">
        <v>160</v>
      </c>
      <c r="G4" s="8">
        <v>180</v>
      </c>
      <c r="H4" s="8">
        <v>200</v>
      </c>
    </row>
    <row r="5" spans="1:13" ht="15" customHeight="1" x14ac:dyDescent="0.35">
      <c r="A5" s="11">
        <v>0.04</v>
      </c>
      <c r="B5" s="18">
        <f>(100*(1+0.04)*8.5*0.65-100*8.5*0.65-20)*360-15000</f>
        <v>-14243.999999999993</v>
      </c>
      <c r="C5" s="18">
        <f>(120*(1+0.04)*8.5*0.65-120*8.5*0.65-20)*360-15000</f>
        <v>-12652.799999999967</v>
      </c>
      <c r="D5" s="18">
        <f>(140*(1+0.04)*8.5*0.65-140*8.5*0.65-20)*360-15000</f>
        <v>-11061.60000000002</v>
      </c>
      <c r="E5" s="18">
        <f>(150*(1+0.04)*8.5*0.65-150*8.5*0.65-20)*360-15000</f>
        <v>-10266.000000000007</v>
      </c>
      <c r="F5" s="18">
        <f>(160*(1+0.04)*8.5*0.65-160*8.5*0.65-20)*360-15000</f>
        <v>-9470.3999999999542</v>
      </c>
      <c r="G5" s="18">
        <f>(180*(1+0.04)*8.5*0.65-180*8.5*0.65-20)*360-15000</f>
        <v>-7879.2000000000098</v>
      </c>
      <c r="H5" s="18">
        <f>(200*(1+0.04)*8.5*0.65-200*8.5*0.65-20)*360-15000</f>
        <v>-6287.9999999999836</v>
      </c>
    </row>
    <row r="6" spans="1:13" ht="15" customHeight="1" x14ac:dyDescent="0.35">
      <c r="A6" s="11">
        <v>0.06</v>
      </c>
      <c r="B6" s="18">
        <f>(100*(1+0.06)*8.5*0.65-100*8.5*0.65-20)*360-15000</f>
        <v>-10266.000000000007</v>
      </c>
      <c r="C6" s="18">
        <f>(120*(1+0.06)*8.5*0.65-120*8.5*0.65-20)*360-15000</f>
        <v>-7879.1999999999689</v>
      </c>
      <c r="D6" s="18">
        <f>(140*(1+0.06)*8.5*0.65-140*8.5*0.65-20)*360-15000</f>
        <v>-5492.3999999999705</v>
      </c>
      <c r="E6" s="18">
        <f>(150*(1+0.06)*8.5*0.65-150*8.5*0.65-20)*360-15000</f>
        <v>-4298.9999999999927</v>
      </c>
      <c r="F6" s="18">
        <f>(160*(1+0.06)*8.5*0.65-160*8.5*0.65-20)*360-15000</f>
        <v>-3105.5999999999731</v>
      </c>
      <c r="G6" s="18">
        <f>(180*(1+0.06)*8.5*0.65-180*8.5*0.65-20)*360-15000</f>
        <v>-718.79999999997381</v>
      </c>
      <c r="H6" s="18">
        <f>(200*(1+0.06)*8.5*0.65-200*8.5*0.65-20)*360-15000</f>
        <v>1667.9999999999854</v>
      </c>
    </row>
    <row r="7" spans="1:13" ht="15" customHeight="1" x14ac:dyDescent="0.35">
      <c r="A7" s="11">
        <v>0.08</v>
      </c>
      <c r="B7" s="18">
        <f>(100*(1+0.08)*8.5*0.65-100*8.5*0.65-20)*360-15000</f>
        <v>-6287.9999999999836</v>
      </c>
      <c r="C7" s="18">
        <f>(120*(1+0.08)*8.5*0.65-120*8.5*0.65-20)*360-15000</f>
        <v>-3105.5999999999731</v>
      </c>
      <c r="D7" s="18">
        <f>(140*(1+0.08)*8.5*0.65-140*8.5*0.65-20)*360-15000</f>
        <v>76.80000000003929</v>
      </c>
      <c r="E7" s="18">
        <f>(150*(1+0.08)*8.5*0.65-150*8.5*0.65-20)*360-15000</f>
        <v>1668.0000000000255</v>
      </c>
      <c r="F7" s="18">
        <f>(160*(1+0.08)*8.5*0.65-160*8.5*0.65-20)*360-15000</f>
        <v>3259.2000000000517</v>
      </c>
      <c r="G7" s="18">
        <f>(180*(1+0.08)*8.5*0.65-180*8.5*0.65-20)*360-15000</f>
        <v>6441.600000000064</v>
      </c>
      <c r="H7" s="18">
        <f>(200*(1+0.08)*8.5*0.65-200*8.5*0.65-20)*360-15000</f>
        <v>9624.0000000000327</v>
      </c>
    </row>
    <row r="8" spans="1:13" ht="15" customHeight="1" x14ac:dyDescent="0.35">
      <c r="A8" s="11">
        <v>0.1</v>
      </c>
      <c r="B8" s="18">
        <f>(100*(1+0.1)*8.5*0.65-100*8.5*0.65-20)*360-15000</f>
        <v>-2309.99999999996</v>
      </c>
      <c r="C8" s="18">
        <f>(120*(1+0.1)*8.5*0.65-120*8.5*0.65-20)*360-15000</f>
        <v>1668.0000000000255</v>
      </c>
      <c r="D8" s="18">
        <f>(140*(1+0.1)*8.5*0.65-140*8.5*0.65-20)*360-15000</f>
        <v>5646.0000000000073</v>
      </c>
      <c r="E8" s="18">
        <f>(150*(1+0.1)*8.5*0.65-150*8.5*0.65-20)*360-15000</f>
        <v>7635</v>
      </c>
      <c r="F8" s="18">
        <f>(160*(1+0.1)*8.5*0.65-160*8.5*0.65-20)*360-15000</f>
        <v>9623.9999999999927</v>
      </c>
      <c r="G8" s="18">
        <f>(180*(1+0.1)*8.5*0.65-180*8.5*0.65-20)*360-15000</f>
        <v>13602.000000000098</v>
      </c>
      <c r="H8" s="18">
        <f>(200*(1+0.1)*8.5*0.65-200*8.5*0.65-20)*360-15000</f>
        <v>17580.00000000008</v>
      </c>
    </row>
    <row r="9" spans="1:13" ht="15" customHeight="1" x14ac:dyDescent="0.35">
      <c r="A9" s="11">
        <v>0.12</v>
      </c>
      <c r="B9" s="18">
        <f>(100*(1+0.12)*8.5*0.65-100*8.5*0.65-20)*360-15000</f>
        <v>1668.0000000000255</v>
      </c>
      <c r="C9" s="18">
        <f>(120*(1+0.12)*8.5*0.65-120*8.5*0.65-20)*360-15000</f>
        <v>6441.6000000000204</v>
      </c>
      <c r="D9" s="18">
        <f>(140*(1+0.12)*8.5*0.65-140*8.5*0.65-20)*360-15000</f>
        <v>11215.200000000059</v>
      </c>
      <c r="E9" s="18">
        <f>(150*(1+0.12)*8.5*0.65-150*8.5*0.65-20)*360-15000</f>
        <v>13602.000000000058</v>
      </c>
      <c r="F9" s="18">
        <f>(160*(1+0.12)*8.5*0.65-160*8.5*0.65-20)*360-15000</f>
        <v>15988.800000000014</v>
      </c>
      <c r="G9" s="18">
        <f>(180*(1+0.12)*8.5*0.65-180*8.5*0.65-20)*360-15000</f>
        <v>20762.400000000052</v>
      </c>
      <c r="H9" s="18">
        <f>(200*(1+0.12)*8.5*0.65-200*8.5*0.65-20)*360-15000</f>
        <v>25536.000000000051</v>
      </c>
    </row>
    <row r="10" spans="1:13" ht="15" customHeight="1" x14ac:dyDescent="0.35">
      <c r="A10" s="11">
        <v>0.14000000000000001</v>
      </c>
      <c r="B10" s="18">
        <f>(100*(1+0.14)*8.5*0.65-100*8.5*0.65-20)*360-15000</f>
        <v>5646.0000000000509</v>
      </c>
      <c r="C10" s="18">
        <f>(120*(1+0.14)*8.5*0.65-120*8.5*0.65-20)*360-15000</f>
        <v>11215.200000000059</v>
      </c>
      <c r="D10" s="18">
        <f>(140*(1+0.14)*8.5*0.65-140*8.5*0.65-20)*360-15000</f>
        <v>16784.400000000027</v>
      </c>
      <c r="E10" s="18">
        <f>(150*(1+0.14)*8.5*0.65-150*8.5*0.65-20)*360-15000</f>
        <v>19569.000000000073</v>
      </c>
      <c r="F10" s="18">
        <f>(160*(1+0.14)*8.5*0.65-160*8.5*0.65-20)*360-15000</f>
        <v>22353.600000000079</v>
      </c>
      <c r="G10" s="18">
        <f>(180*(1+0.14)*8.5*0.65-180*8.5*0.65-20)*360-15000</f>
        <v>27922.800000000003</v>
      </c>
      <c r="H10" s="18">
        <f>(200*(1+0.14)*8.5*0.65-200*8.5*0.65-20)*360-15000</f>
        <v>33492.000000000102</v>
      </c>
    </row>
    <row r="11" spans="1:13" ht="15" customHeight="1" x14ac:dyDescent="0.35">
      <c r="A11" s="11">
        <v>0.16</v>
      </c>
      <c r="B11" s="18">
        <f>(100*(1+0.16)*8.5*0.65-100*8.5*0.65-20)*360-15000</f>
        <v>9623.9999999999927</v>
      </c>
      <c r="C11" s="18">
        <f>(120*(1+0.16)*8.5*0.65-120*8.5*0.65-20)*360-15000</f>
        <v>15988.799999999974</v>
      </c>
      <c r="D11" s="18">
        <f>(140*(1+0.16)*8.5*0.65-140*8.5*0.65-20)*360-15000</f>
        <v>22353.599999999999</v>
      </c>
      <c r="E11" s="18">
        <f>(150*(1+0.16)*8.5*0.65-150*8.5*0.65-20)*360-15000</f>
        <v>25536.000000000007</v>
      </c>
      <c r="F11" s="18">
        <f>(160*(1+0.16)*8.5*0.65-160*8.5*0.65-20)*360-15000</f>
        <v>28718.400000000023</v>
      </c>
      <c r="G11" s="18">
        <f>(180*(1+0.16)*8.5*0.65-180*8.5*0.65-20)*360-15000</f>
        <v>35083.200000000041</v>
      </c>
      <c r="H11" s="18">
        <f>(200*(1+0.16)*8.5*0.65-200*8.5*0.65-20)*360-15000</f>
        <v>41447.999999999985</v>
      </c>
    </row>
    <row r="12" spans="1:13" ht="15" customHeight="1" x14ac:dyDescent="0.35">
      <c r="A12" s="11">
        <v>0.18</v>
      </c>
      <c r="B12" s="18">
        <f>(100*(1+0.18)*8.5*0.65-100*8.5*0.65-20)*360-15000</f>
        <v>13602.000000000015</v>
      </c>
      <c r="C12" s="18">
        <f>(120*(1+0.18)*8.5*0.65-120*8.5*0.65-20)*360-15000</f>
        <v>20762.399999999972</v>
      </c>
      <c r="D12" s="18">
        <f>(140*(1+0.18)*8.5*0.65-140*8.5*0.65-20)*360-15000</f>
        <v>27922.799999999967</v>
      </c>
      <c r="E12" s="18">
        <f>(150*(1+0.18)*8.5*0.65-150*8.5*0.65-20)*360-15000</f>
        <v>31503.000000000022</v>
      </c>
      <c r="F12" s="18">
        <f>(160*(1+0.18)*8.5*0.65-160*8.5*0.65-20)*360-15000</f>
        <v>35083.200000000041</v>
      </c>
      <c r="G12" s="18">
        <f>(180*(1+0.18)*8.5*0.65-180*8.5*0.65-20)*360-15000</f>
        <v>42243.6</v>
      </c>
      <c r="H12" s="18">
        <f>(200*(1+0.18)*8.5*0.65-200*8.5*0.65-20)*360-15000</f>
        <v>49404.000000000029</v>
      </c>
    </row>
    <row r="13" spans="1:13" ht="15" customHeight="1" x14ac:dyDescent="0.35">
      <c r="A13" s="11">
        <v>0.2</v>
      </c>
      <c r="B13" s="18">
        <f>(100*(1+0.2)*8.5*0.65-100*8.5*0.65-20)*360-15000</f>
        <v>17580</v>
      </c>
      <c r="C13" s="18">
        <f>(120*(1+0.2)*8.5*0.65-120*8.5*0.65-20)*360-15000</f>
        <v>25536.000000000007</v>
      </c>
      <c r="D13" s="18">
        <f>(140*(1+0.2)*8.5*0.65-140*8.5*0.65-20)*360-15000</f>
        <v>33492.000000000015</v>
      </c>
      <c r="E13" s="18">
        <f>(150*(1+0.2)*8.5*0.65-150*8.5*0.65-20)*360-15000</f>
        <v>37470</v>
      </c>
      <c r="F13" s="18">
        <f>(160*(1+0.2)*8.5*0.65-160*8.5*0.65-20)*360-15000</f>
        <v>41447.999999999985</v>
      </c>
      <c r="G13" s="18">
        <f>(180*(1+0.2)*8.5*0.65-180*8.5*0.65-20)*360-15000</f>
        <v>49404.000000000029</v>
      </c>
      <c r="H13" s="18">
        <f>(200*(1+0.2)*8.5*0.65-200*8.5*0.65-20)*360-15000</f>
        <v>57360</v>
      </c>
    </row>
    <row r="15" spans="1:13" ht="15.75" customHeight="1" x14ac:dyDescent="0.35">
      <c r="A15" s="4" t="s">
        <v>101</v>
      </c>
    </row>
    <row r="16" spans="1:13" ht="15" customHeight="1" x14ac:dyDescent="0.35">
      <c r="A16" s="4" t="s">
        <v>102</v>
      </c>
    </row>
    <row r="17" spans="1:8" ht="15" customHeight="1" x14ac:dyDescent="0.35">
      <c r="A17" s="5" t="s">
        <v>103</v>
      </c>
      <c r="B17" s="5" t="s">
        <v>104</v>
      </c>
      <c r="C17" s="5" t="s">
        <v>96</v>
      </c>
    </row>
    <row r="18" spans="1:8" ht="15" customHeight="1" x14ac:dyDescent="0.35">
      <c r="A18" s="19">
        <v>0.04</v>
      </c>
      <c r="B18" s="18">
        <f>(150*(1+0.04)*8.5*0.65-150*8.5*0.65-20)*360-15000</f>
        <v>-10266.000000000007</v>
      </c>
      <c r="C18" s="13" t="str">
        <f t="shared" ref="C18:C26" si="0">IF(B18&gt;0,"INVEST","DO NOT INVEST")</f>
        <v>DO NOT INVEST</v>
      </c>
    </row>
    <row r="19" spans="1:8" ht="15" customHeight="1" x14ac:dyDescent="0.35">
      <c r="A19" s="19">
        <v>0.06</v>
      </c>
      <c r="B19" s="18">
        <f>(150*(1+0.06)*8.5*0.65-150*8.5*0.65-20)*360-15000</f>
        <v>-4298.9999999999927</v>
      </c>
      <c r="C19" s="13" t="str">
        <f t="shared" si="0"/>
        <v>DO NOT INVEST</v>
      </c>
    </row>
    <row r="20" spans="1:8" ht="15" customHeight="1" x14ac:dyDescent="0.35">
      <c r="A20" s="19">
        <v>0.08</v>
      </c>
      <c r="B20" s="18">
        <f>(150*(1+0.08)*8.5*0.65-150*8.5*0.65-20)*360-15000</f>
        <v>1668.0000000000255</v>
      </c>
      <c r="C20" s="13" t="str">
        <f t="shared" si="0"/>
        <v>INVEST</v>
      </c>
    </row>
    <row r="21" spans="1:8" ht="15" customHeight="1" x14ac:dyDescent="0.35">
      <c r="A21" s="19">
        <v>0.1</v>
      </c>
      <c r="B21" s="18">
        <f>(150*(1+0.1)*8.5*0.65-150*8.5*0.65-20)*360-15000</f>
        <v>7635</v>
      </c>
      <c r="C21" s="13" t="str">
        <f t="shared" si="0"/>
        <v>INVEST</v>
      </c>
    </row>
    <row r="22" spans="1:8" ht="15" customHeight="1" x14ac:dyDescent="0.35">
      <c r="A22" s="19">
        <v>0.12</v>
      </c>
      <c r="B22" s="18">
        <f>(150*(1+0.12)*8.5*0.65-150*8.5*0.65-20)*360-15000</f>
        <v>13602.000000000058</v>
      </c>
      <c r="C22" s="13" t="str">
        <f t="shared" si="0"/>
        <v>INVEST</v>
      </c>
    </row>
    <row r="23" spans="1:8" ht="15" customHeight="1" x14ac:dyDescent="0.35">
      <c r="A23" s="19">
        <v>0.14000000000000001</v>
      </c>
      <c r="B23" s="18">
        <f>(150*(1+0.14)*8.5*0.65-150*8.5*0.65-20)*360-15000</f>
        <v>19569.000000000073</v>
      </c>
      <c r="C23" s="13" t="str">
        <f t="shared" si="0"/>
        <v>INVEST</v>
      </c>
    </row>
    <row r="24" spans="1:8" ht="15" customHeight="1" x14ac:dyDescent="0.35">
      <c r="A24" s="19">
        <v>0.16</v>
      </c>
      <c r="B24" s="18">
        <f>(150*(1+0.16)*8.5*0.65-150*8.5*0.65-20)*360-15000</f>
        <v>25536.000000000007</v>
      </c>
      <c r="C24" s="13" t="str">
        <f t="shared" si="0"/>
        <v>INVEST</v>
      </c>
    </row>
    <row r="25" spans="1:8" ht="15" customHeight="1" x14ac:dyDescent="0.35">
      <c r="A25" s="19">
        <v>0.18</v>
      </c>
      <c r="B25" s="18">
        <f>(150*(1+0.18)*8.5*0.65-150*8.5*0.65-20)*360-15000</f>
        <v>31503.000000000022</v>
      </c>
      <c r="C25" s="13" t="str">
        <f t="shared" si="0"/>
        <v>INVEST</v>
      </c>
    </row>
    <row r="26" spans="1:8" ht="15" customHeight="1" x14ac:dyDescent="0.35">
      <c r="A26" s="19">
        <v>0.2</v>
      </c>
      <c r="B26" s="18">
        <f>(150*(1+0.2)*8.5*0.65-150*8.5*0.65-20)*360-15000</f>
        <v>37470</v>
      </c>
      <c r="C26" s="13" t="str">
        <f t="shared" si="0"/>
        <v>INVEST</v>
      </c>
    </row>
    <row r="28" spans="1:8" ht="24" customHeight="1" x14ac:dyDescent="0.35">
      <c r="A28" s="27" t="s">
        <v>105</v>
      </c>
      <c r="B28" s="27"/>
      <c r="C28" s="27"/>
      <c r="D28" s="27"/>
      <c r="E28" s="27"/>
      <c r="F28" s="27"/>
      <c r="G28" s="27"/>
      <c r="H28" s="27"/>
    </row>
    <row r="29" spans="1:8" ht="24" customHeight="1" x14ac:dyDescent="0.35">
      <c r="A29" s="27" t="s">
        <v>106</v>
      </c>
      <c r="B29" s="27"/>
      <c r="C29" s="27"/>
      <c r="D29" s="27"/>
      <c r="E29" s="27"/>
      <c r="F29" s="27"/>
      <c r="G29" s="27"/>
      <c r="H29" s="27"/>
    </row>
    <row r="30" spans="1:8" ht="24" customHeight="1" x14ac:dyDescent="0.35">
      <c r="A30" s="27" t="s">
        <v>107</v>
      </c>
      <c r="B30" s="27"/>
      <c r="C30" s="27"/>
      <c r="D30" s="27"/>
      <c r="E30" s="27"/>
      <c r="F30" s="27"/>
      <c r="G30" s="27"/>
      <c r="H30" s="27"/>
    </row>
    <row r="31" spans="1:8" ht="24" customHeight="1" x14ac:dyDescent="0.35">
      <c r="A31" s="27" t="s">
        <v>108</v>
      </c>
      <c r="B31" s="27"/>
      <c r="C31" s="27"/>
      <c r="D31" s="27"/>
      <c r="E31" s="27"/>
      <c r="F31" s="27"/>
      <c r="G31" s="27"/>
      <c r="H31" s="27"/>
    </row>
    <row r="32" spans="1:8" ht="24" customHeight="1" x14ac:dyDescent="0.35">
      <c r="A32" s="27" t="s">
        <v>109</v>
      </c>
      <c r="B32" s="27"/>
      <c r="C32" s="27"/>
      <c r="D32" s="27"/>
      <c r="E32" s="27"/>
      <c r="F32" s="27"/>
      <c r="G32" s="27"/>
      <c r="H32" s="27"/>
    </row>
  </sheetData>
  <mergeCells count="6">
    <mergeCell ref="A32:H32"/>
    <mergeCell ref="A1:M1"/>
    <mergeCell ref="A28:H28"/>
    <mergeCell ref="A29:H29"/>
    <mergeCell ref="A30:H30"/>
    <mergeCell ref="A31:H3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VOC Calculations</vt:lpstr>
      <vt:lpstr>Influence Diagram</vt:lpstr>
      <vt:lpstr>Influence Diagram (explanation)</vt:lpstr>
      <vt:lpstr>Decision Model</vt:lpstr>
      <vt:lpstr>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Natasha Sulistyo</cp:lastModifiedBy>
  <cp:revision>0</cp:revision>
  <dcterms:created xsi:type="dcterms:W3CDTF">2026-03-24T04:04:19Z</dcterms:created>
  <dcterms:modified xsi:type="dcterms:W3CDTF">2026-03-25T15:06:06Z</dcterms:modified>
  <dc:language>en-US</dc:language>
</cp:coreProperties>
</file>