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70" windowWidth="14055" windowHeight="4050" activeTab="1"/>
  </bookViews>
  <sheets>
    <sheet name="Sheet" sheetId="1" r:id="rId1"/>
    <sheet name="Sheet1" sheetId="2" r:id="rId2"/>
  </sheets>
  <calcPr calcId="125725"/>
</workbook>
</file>

<file path=xl/calcChain.xml><?xml version="1.0" encoding="utf-8"?>
<calcChain xmlns="http://schemas.openxmlformats.org/spreadsheetml/2006/main">
  <c r="Y1504" i="1"/>
  <c r="Y1503"/>
  <c r="Y1502"/>
  <c r="Y1501"/>
  <c r="Y1500"/>
  <c r="Y1499"/>
  <c r="Y1498"/>
  <c r="Y1497"/>
  <c r="Y1496"/>
  <c r="Y1495"/>
  <c r="Y1494"/>
  <c r="Y1493"/>
  <c r="Y1492"/>
  <c r="Y1491"/>
  <c r="Y1490"/>
  <c r="Y1489"/>
  <c r="Y1488"/>
  <c r="Y1487"/>
  <c r="Y1486"/>
  <c r="Y1485"/>
  <c r="Y1484"/>
  <c r="Y1483"/>
  <c r="Y1482"/>
  <c r="Y1481"/>
  <c r="Y1480"/>
  <c r="Y1479"/>
  <c r="Y1478"/>
  <c r="Y1477"/>
  <c r="Y1476"/>
  <c r="Y1475"/>
  <c r="Y1474"/>
  <c r="Y1473"/>
  <c r="Y1472"/>
  <c r="Y1471"/>
  <c r="Y1470"/>
  <c r="Y1469"/>
  <c r="Y1468"/>
  <c r="Y1467"/>
  <c r="Y1466"/>
  <c r="Y1465"/>
  <c r="Y1464"/>
  <c r="Y1463"/>
  <c r="Y1462"/>
  <c r="Y1461"/>
  <c r="Y1460"/>
  <c r="Y1459"/>
  <c r="Y1458"/>
  <c r="Y1457"/>
  <c r="Y1456"/>
  <c r="Y1455"/>
  <c r="Y1454"/>
  <c r="Y1453"/>
  <c r="Y1452"/>
  <c r="Y1451"/>
  <c r="Y1450"/>
  <c r="Y1449"/>
  <c r="Y1448"/>
  <c r="Y1447"/>
  <c r="Y1446"/>
  <c r="Y1445"/>
  <c r="Y1444"/>
  <c r="Y1443"/>
  <c r="Y1442"/>
  <c r="Y1441"/>
  <c r="Y1440"/>
  <c r="Y1439"/>
  <c r="Y1438"/>
  <c r="Y1437"/>
  <c r="Y1436"/>
  <c r="Y1435"/>
  <c r="Y1434"/>
  <c r="Y1433"/>
  <c r="Y1432"/>
  <c r="Y1431"/>
  <c r="Y1430"/>
  <c r="Y1429"/>
  <c r="Y1428"/>
  <c r="Y1427"/>
  <c r="Y1426"/>
  <c r="Y1425"/>
  <c r="Y1424"/>
  <c r="Y1423"/>
  <c r="Y1422"/>
  <c r="Y1421"/>
  <c r="Y1420"/>
  <c r="Y1419"/>
  <c r="Y1418"/>
  <c r="Y1417"/>
  <c r="Y1416"/>
  <c r="Y1415"/>
  <c r="Y1414"/>
  <c r="Y1413"/>
  <c r="Y1412"/>
  <c r="Y1411"/>
  <c r="Y1410"/>
  <c r="Y1409"/>
  <c r="Y1408"/>
  <c r="Y1407"/>
  <c r="Y1406"/>
  <c r="Y1405"/>
  <c r="Y1404"/>
  <c r="Y1403"/>
  <c r="Y1402"/>
  <c r="Y1401"/>
  <c r="Y1400"/>
  <c r="Y1399"/>
  <c r="Y1398"/>
  <c r="Y1397"/>
  <c r="Y1396"/>
  <c r="Y1395"/>
  <c r="Y1394"/>
  <c r="Y1393"/>
  <c r="Y1392"/>
  <c r="Y1391"/>
  <c r="Y1390"/>
  <c r="Y1389"/>
  <c r="Y1388"/>
  <c r="Y1387"/>
  <c r="Y1386"/>
  <c r="Y1385"/>
  <c r="Y1384"/>
  <c r="Y1383"/>
  <c r="Y1382"/>
  <c r="Y1381"/>
  <c r="Y1380"/>
  <c r="Y1379"/>
  <c r="Y1378"/>
  <c r="Y1377"/>
  <c r="Y1376"/>
  <c r="Y1375"/>
  <c r="Y1374"/>
  <c r="Y1373"/>
  <c r="Y1372"/>
  <c r="Y1371"/>
  <c r="Y1370"/>
  <c r="Y1369"/>
  <c r="Y1368"/>
  <c r="Y1367"/>
  <c r="Y1366"/>
  <c r="Y1365"/>
  <c r="Y1364"/>
  <c r="Y1363"/>
  <c r="Y1362"/>
  <c r="Y1361"/>
  <c r="Y1360"/>
  <c r="Y1359"/>
  <c r="Y1358"/>
  <c r="Y1357"/>
  <c r="Y1356"/>
  <c r="Y1355"/>
  <c r="Y1354"/>
  <c r="Y1353"/>
  <c r="Y1352"/>
  <c r="Y1351"/>
  <c r="Y1350"/>
  <c r="Y1349"/>
  <c r="Y1348"/>
  <c r="Y1347"/>
  <c r="Y1346"/>
  <c r="Y1345"/>
  <c r="Y1344"/>
  <c r="Y1343"/>
  <c r="Y1342"/>
  <c r="Y1341"/>
  <c r="Y1340"/>
  <c r="Y1339"/>
  <c r="Y1338"/>
  <c r="Y1337"/>
  <c r="Y1336"/>
  <c r="Y1335"/>
  <c r="Y1334"/>
  <c r="Y1333"/>
  <c r="Y1332"/>
  <c r="Y1331"/>
  <c r="Y1330"/>
  <c r="Y1329"/>
  <c r="Y1328"/>
  <c r="Y1327"/>
  <c r="Y1326"/>
  <c r="Y1325"/>
  <c r="Y1324"/>
  <c r="Y1323"/>
  <c r="Y1322"/>
  <c r="Y1321"/>
  <c r="Y1320"/>
  <c r="Y1319"/>
  <c r="Y1318"/>
  <c r="Y1317"/>
  <c r="Y1316"/>
  <c r="Y1315"/>
  <c r="Y1314"/>
  <c r="Y1313"/>
  <c r="Y1312"/>
  <c r="Y1311"/>
  <c r="Y1310"/>
  <c r="Y1309"/>
  <c r="Y1308"/>
  <c r="Y1307"/>
  <c r="Y1306"/>
  <c r="Y1305"/>
  <c r="Y1304"/>
  <c r="Y1303"/>
  <c r="Y1302"/>
  <c r="Y1301"/>
  <c r="Y1300"/>
  <c r="Y1299"/>
  <c r="Y1298"/>
  <c r="Y1297"/>
  <c r="Y1296"/>
  <c r="Y1295"/>
  <c r="Y1294"/>
  <c r="Y1293"/>
  <c r="Y1292"/>
  <c r="Y1291"/>
  <c r="Y1290"/>
  <c r="Y1289"/>
  <c r="Y1288"/>
  <c r="Y1287"/>
  <c r="Y1286"/>
  <c r="Y1285"/>
  <c r="Y1284"/>
  <c r="Y1283"/>
  <c r="Y1282"/>
  <c r="Y1281"/>
  <c r="Y1280"/>
  <c r="Y1279"/>
  <c r="Y1278"/>
  <c r="Y1277"/>
  <c r="Y1276"/>
  <c r="Y1275"/>
  <c r="Y1274"/>
  <c r="Y1273"/>
  <c r="Y1272"/>
  <c r="Y1271"/>
  <c r="Y1270"/>
  <c r="Y1269"/>
  <c r="Y1268"/>
  <c r="Y1267"/>
  <c r="Y1266"/>
  <c r="Y1265"/>
  <c r="Y1264"/>
  <c r="Y1263"/>
  <c r="Y1262"/>
  <c r="Y1261"/>
  <c r="Y1260"/>
  <c r="Y1259"/>
  <c r="Y1258"/>
  <c r="Y1257"/>
  <c r="Y1256"/>
  <c r="Y1254"/>
  <c r="Y1253"/>
  <c r="Y1252"/>
  <c r="Y1251"/>
  <c r="Y1250"/>
  <c r="Y1249"/>
  <c r="Y1248"/>
  <c r="Y1247"/>
  <c r="Y1246"/>
  <c r="Y1245"/>
  <c r="Y1244"/>
  <c r="Y1243"/>
  <c r="Y1242"/>
  <c r="Y1241"/>
  <c r="Y1240"/>
  <c r="Y1239"/>
  <c r="Y1238"/>
  <c r="Y1237"/>
  <c r="Y1236"/>
  <c r="Y1235"/>
  <c r="Y1234"/>
  <c r="Y1233"/>
  <c r="Y1232"/>
  <c r="Y1231"/>
  <c r="Y1230"/>
  <c r="Y1229"/>
  <c r="Y1228"/>
  <c r="Y1227"/>
  <c r="Y1226"/>
  <c r="Y1225"/>
  <c r="Y1224"/>
  <c r="Y1223"/>
  <c r="Y1222"/>
  <c r="Y1221"/>
  <c r="Y1220"/>
  <c r="Y1219"/>
  <c r="Y1218"/>
  <c r="Y1217"/>
  <c r="Y1216"/>
  <c r="Y1215"/>
  <c r="Y1214"/>
  <c r="Y1213"/>
  <c r="Y1212"/>
  <c r="Y1211"/>
  <c r="Y1210"/>
  <c r="Y1209"/>
  <c r="Y1208"/>
  <c r="Y1207"/>
  <c r="Y1206"/>
  <c r="Y1205"/>
  <c r="Y1204"/>
  <c r="Y1203"/>
  <c r="Y1202"/>
  <c r="Y1201"/>
  <c r="Y1200"/>
  <c r="Y1199"/>
  <c r="Y1198"/>
  <c r="Y1197"/>
  <c r="Y1196"/>
  <c r="Y1195"/>
  <c r="Y1194"/>
  <c r="Y1193"/>
  <c r="Y1192"/>
  <c r="Y1191"/>
  <c r="Y1190"/>
  <c r="Y1189"/>
  <c r="Y1188"/>
  <c r="Y1187"/>
  <c r="Y1186"/>
  <c r="Y1185"/>
  <c r="Y1184"/>
  <c r="Y1183"/>
  <c r="Y1182"/>
  <c r="Y1181"/>
  <c r="Y1180"/>
  <c r="Y1179"/>
  <c r="Y1178"/>
  <c r="Y1177"/>
  <c r="Y1176"/>
  <c r="Y1175"/>
  <c r="Y1174"/>
  <c r="Y1173"/>
  <c r="Y1172"/>
  <c r="Y1171"/>
  <c r="Y1170"/>
  <c r="Y1169"/>
  <c r="Y1168"/>
  <c r="Y1167"/>
  <c r="Y1166"/>
  <c r="Y1165"/>
  <c r="Y1164"/>
  <c r="Y1163"/>
  <c r="Y1162"/>
  <c r="Y1161"/>
  <c r="Y1160"/>
  <c r="Y1159"/>
  <c r="Y1158"/>
  <c r="Y1157"/>
  <c r="Y1156"/>
  <c r="Y1155"/>
  <c r="Y1154"/>
  <c r="Y1153"/>
  <c r="Y1152"/>
  <c r="Y1151"/>
  <c r="Y1150"/>
  <c r="Y1149"/>
  <c r="Y1148"/>
  <c r="Y1147"/>
  <c r="Y1146"/>
  <c r="Y1145"/>
  <c r="Y1144"/>
  <c r="Y1143"/>
  <c r="Y1142"/>
  <c r="Y1141"/>
  <c r="Y1140"/>
  <c r="Y1139"/>
  <c r="Y1138"/>
  <c r="Y1137"/>
  <c r="Y1136"/>
  <c r="Y1135"/>
  <c r="Y1134"/>
  <c r="Y1133"/>
  <c r="Y1132"/>
  <c r="Y1131"/>
  <c r="Y1130"/>
  <c r="Y1129"/>
  <c r="Y1128"/>
  <c r="Y1127"/>
  <c r="Y1126"/>
  <c r="Y1125"/>
  <c r="Y1124"/>
  <c r="Y1123"/>
  <c r="Y1122"/>
  <c r="Y1121"/>
  <c r="Y1120"/>
  <c r="Y1119"/>
  <c r="Y1118"/>
  <c r="Y1117"/>
  <c r="Y1116"/>
  <c r="Y1115"/>
  <c r="Y1114"/>
  <c r="Y1113"/>
  <c r="Y1112"/>
  <c r="Y1111"/>
  <c r="Y1110"/>
  <c r="Y1109"/>
  <c r="Y1108"/>
  <c r="Y1107"/>
  <c r="Y1106"/>
  <c r="Y1105"/>
  <c r="Y1104"/>
  <c r="Y1103"/>
  <c r="Y1102"/>
  <c r="Y1101"/>
  <c r="Y1100"/>
  <c r="Y1099"/>
  <c r="Y1098"/>
  <c r="Y1097"/>
  <c r="Y1096"/>
  <c r="Y1095"/>
  <c r="Y1094"/>
  <c r="Y1093"/>
  <c r="Y1092"/>
  <c r="Y1091"/>
  <c r="Y1090"/>
  <c r="Y1089"/>
  <c r="Y1088"/>
  <c r="Y1087"/>
  <c r="Y1086"/>
  <c r="Y1085"/>
  <c r="Y1084"/>
  <c r="Y1083"/>
  <c r="Y1082"/>
  <c r="Y1081"/>
  <c r="Y1080"/>
  <c r="Y1079"/>
  <c r="Y1078"/>
  <c r="Y1077"/>
  <c r="Y1076"/>
  <c r="Y1075"/>
  <c r="Y1074"/>
  <c r="Y1073"/>
  <c r="Y1072"/>
  <c r="Y1071"/>
  <c r="Y1070"/>
  <c r="Y1069"/>
  <c r="Y1068"/>
  <c r="Y1067"/>
  <c r="Y1066"/>
  <c r="Y1065"/>
  <c r="Y1064"/>
  <c r="Y1063"/>
  <c r="Y1061"/>
  <c r="Y1060"/>
  <c r="Y1059"/>
  <c r="Y1058"/>
  <c r="Y1057"/>
  <c r="Y1056"/>
  <c r="Y1055"/>
  <c r="Y1054"/>
  <c r="Y1053"/>
  <c r="Y1052"/>
  <c r="Y1051"/>
  <c r="Y1050"/>
  <c r="Y1049"/>
  <c r="Y1048"/>
  <c r="Y1047"/>
  <c r="Y1046"/>
  <c r="Y1045"/>
  <c r="Y1044"/>
  <c r="Y1043"/>
  <c r="Y1042"/>
  <c r="Y1041"/>
  <c r="Y1040"/>
  <c r="Y1039"/>
  <c r="Y1038"/>
  <c r="Y1037"/>
  <c r="Y1036"/>
  <c r="Y1035"/>
  <c r="Y1034"/>
  <c r="Y1033"/>
  <c r="Y1032"/>
  <c r="Y1031"/>
  <c r="Y1030"/>
  <c r="Y1029"/>
  <c r="Y1028"/>
  <c r="Y1027"/>
  <c r="Y1026"/>
  <c r="Y1025"/>
  <c r="Y1024"/>
  <c r="Y1023"/>
  <c r="Y1022"/>
  <c r="Y1021"/>
  <c r="Y1020"/>
  <c r="Y1019"/>
  <c r="Y1018"/>
  <c r="Y1017"/>
  <c r="Y1016"/>
  <c r="Y1015"/>
  <c r="Y1014"/>
  <c r="Y1013"/>
  <c r="Y1012"/>
  <c r="Y1011"/>
  <c r="Y1010"/>
  <c r="Y1009"/>
  <c r="Y1008"/>
  <c r="Y1007"/>
  <c r="Y1006"/>
  <c r="Y1005"/>
  <c r="Y1004"/>
  <c r="Y1003"/>
  <c r="Y1002"/>
  <c r="Y1001"/>
  <c r="Y1000"/>
  <c r="Y999"/>
  <c r="Y998"/>
  <c r="Y997"/>
  <c r="Y996"/>
  <c r="Y995"/>
  <c r="Y994"/>
  <c r="Y993"/>
  <c r="Y992"/>
  <c r="Y991"/>
  <c r="Y990"/>
  <c r="Y989"/>
  <c r="Y988"/>
  <c r="Y987"/>
  <c r="Y986"/>
  <c r="Y985"/>
  <c r="Y984"/>
  <c r="Y983"/>
  <c r="Y982"/>
  <c r="Y981"/>
  <c r="Y980"/>
  <c r="Y979"/>
  <c r="Y978"/>
  <c r="Y977"/>
  <c r="Y976"/>
  <c r="Y975"/>
  <c r="Y974"/>
  <c r="Y973"/>
  <c r="Y972"/>
  <c r="Y971"/>
  <c r="Y970"/>
  <c r="Y969"/>
  <c r="Y968"/>
  <c r="Y967"/>
  <c r="Y966"/>
  <c r="Y965"/>
  <c r="Y964"/>
  <c r="Y963"/>
  <c r="Y962"/>
  <c r="Y961"/>
  <c r="Y960"/>
  <c r="Y959"/>
  <c r="Y958"/>
  <c r="Y957"/>
  <c r="Y956"/>
  <c r="Y955"/>
  <c r="Y954"/>
  <c r="Y953"/>
  <c r="Y952"/>
  <c r="Y951"/>
  <c r="Y950"/>
  <c r="Y949"/>
  <c r="Y948"/>
  <c r="Y947"/>
  <c r="Y946"/>
  <c r="Y945"/>
  <c r="Y944"/>
  <c r="Y943"/>
  <c r="Y942"/>
  <c r="Y941"/>
  <c r="Y940"/>
  <c r="Y939"/>
  <c r="Y938"/>
  <c r="Y937"/>
  <c r="Y936"/>
  <c r="Y935"/>
  <c r="Y934"/>
  <c r="Y933"/>
  <c r="Y932"/>
  <c r="Y931"/>
  <c r="Y930"/>
  <c r="Y929"/>
  <c r="Y928"/>
  <c r="Y927"/>
  <c r="Y926"/>
  <c r="Y925"/>
  <c r="Y924"/>
  <c r="Y923"/>
  <c r="Y922"/>
  <c r="Y921"/>
  <c r="Y920"/>
  <c r="Y919"/>
  <c r="Y918"/>
  <c r="Y917"/>
  <c r="Y916"/>
  <c r="Y915"/>
  <c r="Y914"/>
  <c r="Y913"/>
  <c r="Y912"/>
  <c r="Y911"/>
  <c r="Y910"/>
  <c r="Y909"/>
  <c r="Y908"/>
  <c r="Y907"/>
  <c r="Y906"/>
  <c r="Y905"/>
  <c r="Y904"/>
  <c r="Y903"/>
  <c r="Y902"/>
  <c r="Y901"/>
  <c r="Y900"/>
  <c r="Y899"/>
  <c r="Y898"/>
  <c r="Y897"/>
  <c r="Y896"/>
  <c r="Y895"/>
  <c r="Y894"/>
  <c r="Y893"/>
  <c r="Y892"/>
  <c r="Y891"/>
  <c r="Y890"/>
  <c r="Y889"/>
  <c r="Y888"/>
  <c r="Y887"/>
  <c r="Y886"/>
  <c r="Y885"/>
  <c r="Y884"/>
  <c r="Y883"/>
  <c r="Y882"/>
  <c r="Y881"/>
  <c r="Y880"/>
  <c r="Y879"/>
  <c r="Y878"/>
  <c r="Y877"/>
  <c r="Y876"/>
  <c r="Y875"/>
  <c r="Y874"/>
  <c r="Y873"/>
  <c r="Y872"/>
  <c r="Y871"/>
  <c r="Y870"/>
  <c r="Y869"/>
  <c r="Y868"/>
  <c r="Y867"/>
  <c r="Y866"/>
  <c r="Y865"/>
  <c r="Y864"/>
  <c r="Y863"/>
  <c r="Y862"/>
  <c r="Y861"/>
  <c r="Y860"/>
  <c r="Y859"/>
  <c r="Y858"/>
  <c r="Y857"/>
  <c r="Y856"/>
  <c r="Y855"/>
  <c r="Y854"/>
  <c r="Y853"/>
  <c r="Y852"/>
  <c r="Y851"/>
  <c r="Y850"/>
  <c r="Y849"/>
  <c r="Y848"/>
  <c r="Y847"/>
  <c r="Y846"/>
  <c r="Y845"/>
  <c r="Y844"/>
  <c r="Y843"/>
  <c r="Y842"/>
  <c r="Y841"/>
  <c r="Y840"/>
  <c r="Y839"/>
  <c r="Y838"/>
  <c r="Y837"/>
  <c r="Y836"/>
  <c r="Y835"/>
  <c r="Y834"/>
  <c r="Y833"/>
  <c r="Y832"/>
  <c r="Y831"/>
  <c r="Y830"/>
  <c r="Y829"/>
  <c r="Y828"/>
  <c r="Y827"/>
  <c r="Y826"/>
  <c r="Y825"/>
  <c r="Y824"/>
  <c r="Y823"/>
  <c r="Y822"/>
  <c r="Y821"/>
  <c r="Y820"/>
  <c r="Y819"/>
  <c r="Y818"/>
  <c r="Y817"/>
  <c r="Y816"/>
  <c r="Y815"/>
  <c r="Y814"/>
  <c r="Y813"/>
  <c r="Y812"/>
  <c r="Y811"/>
  <c r="Y810"/>
  <c r="Y809"/>
  <c r="Y808"/>
  <c r="Y807"/>
  <c r="Y806"/>
  <c r="Y805"/>
  <c r="Y804"/>
  <c r="Y803"/>
  <c r="Y802"/>
  <c r="Y801"/>
  <c r="Y800"/>
  <c r="Y799"/>
  <c r="Y798"/>
  <c r="Y797"/>
  <c r="Y796"/>
  <c r="Y795"/>
  <c r="Y794"/>
  <c r="Y793"/>
  <c r="Y792"/>
  <c r="Y791"/>
  <c r="Y790"/>
  <c r="Y789"/>
  <c r="Y788"/>
  <c r="Y787"/>
  <c r="Y786"/>
  <c r="Y785"/>
  <c r="Y784"/>
  <c r="Y783"/>
  <c r="Y782"/>
  <c r="Y781"/>
  <c r="Y780"/>
  <c r="Y779"/>
  <c r="Y778"/>
  <c r="Y777"/>
  <c r="Y776"/>
  <c r="Y775"/>
  <c r="Y774"/>
  <c r="Y773"/>
  <c r="Y772"/>
  <c r="Y771"/>
  <c r="Y770"/>
  <c r="Y769"/>
  <c r="Y768"/>
  <c r="Y767"/>
  <c r="Y766"/>
  <c r="Y765"/>
  <c r="Y764"/>
  <c r="Y763"/>
  <c r="Y762"/>
  <c r="Y761"/>
  <c r="Y760"/>
  <c r="Y759"/>
  <c r="Y758"/>
  <c r="Y757"/>
  <c r="Y756"/>
  <c r="Y755"/>
  <c r="Y754"/>
  <c r="Y753"/>
  <c r="Y752"/>
  <c r="Y751"/>
  <c r="Y750"/>
  <c r="Y749"/>
  <c r="Y748"/>
  <c r="Y747"/>
  <c r="Y746"/>
  <c r="Y745"/>
  <c r="Y744"/>
  <c r="Y743"/>
  <c r="Y742"/>
  <c r="Y741"/>
  <c r="Y740"/>
  <c r="Y739"/>
  <c r="Y738"/>
  <c r="Y737"/>
  <c r="Y736"/>
  <c r="Y735"/>
  <c r="Y734"/>
  <c r="Y733"/>
  <c r="Y732"/>
  <c r="Y731"/>
  <c r="Y730"/>
  <c r="Y729"/>
  <c r="Y728"/>
  <c r="Y727"/>
  <c r="Y726"/>
  <c r="Y725"/>
  <c r="Y724"/>
  <c r="Y723"/>
  <c r="Y722"/>
  <c r="Y721"/>
  <c r="Y720"/>
  <c r="Y719"/>
  <c r="Y718"/>
  <c r="Y717"/>
  <c r="Y716"/>
  <c r="Y715"/>
  <c r="Y714"/>
  <c r="Y713"/>
  <c r="Y712"/>
  <c r="Y711"/>
  <c r="Y710"/>
  <c r="Y709"/>
  <c r="Y708"/>
  <c r="Y707"/>
  <c r="Y706"/>
  <c r="Y705"/>
  <c r="Y704"/>
  <c r="Y703"/>
  <c r="Y702"/>
  <c r="Y701"/>
  <c r="Y700"/>
  <c r="Y699"/>
  <c r="Y697"/>
  <c r="Y696"/>
  <c r="Y695"/>
  <c r="Y694"/>
  <c r="Y693"/>
  <c r="Y692"/>
  <c r="Y691"/>
  <c r="Y690"/>
  <c r="Y689"/>
  <c r="Y688"/>
  <c r="Y687"/>
  <c r="Y686"/>
  <c r="Y685"/>
  <c r="Y684"/>
  <c r="Y683"/>
  <c r="Y682"/>
  <c r="Y681"/>
  <c r="Y680"/>
  <c r="Y679"/>
  <c r="Y678"/>
  <c r="Y677"/>
  <c r="Y676"/>
  <c r="Y675"/>
  <c r="Y674"/>
  <c r="Y673"/>
  <c r="Y672"/>
  <c r="Y671"/>
  <c r="Y670"/>
  <c r="Y669"/>
  <c r="Y668"/>
  <c r="Y667"/>
  <c r="Y666"/>
  <c r="Y665"/>
  <c r="Y664"/>
  <c r="Y663"/>
  <c r="Y662"/>
  <c r="Y661"/>
  <c r="Y660"/>
  <c r="Y659"/>
  <c r="Y658"/>
  <c r="Y657"/>
  <c r="Y656"/>
  <c r="Y655"/>
  <c r="Y654"/>
  <c r="Y653"/>
  <c r="Y652"/>
  <c r="Y651"/>
  <c r="Y650"/>
  <c r="Y649"/>
  <c r="Y648"/>
  <c r="Y647"/>
  <c r="Y646"/>
  <c r="Y645"/>
  <c r="Y644"/>
  <c r="Y643"/>
  <c r="Y642"/>
  <c r="Y641"/>
  <c r="Y640"/>
  <c r="Y639"/>
  <c r="Y638"/>
  <c r="Y637"/>
  <c r="Y636"/>
  <c r="Y635"/>
  <c r="Y634"/>
  <c r="Y633"/>
  <c r="Y632"/>
  <c r="Y631"/>
  <c r="Y630"/>
  <c r="Y629"/>
  <c r="Y628"/>
  <c r="Y627"/>
  <c r="Y626"/>
  <c r="Y625"/>
  <c r="Y624"/>
  <c r="Y623"/>
  <c r="Y622"/>
  <c r="Y621"/>
  <c r="Y620"/>
  <c r="Y619"/>
  <c r="Y618"/>
  <c r="Y617"/>
  <c r="Y616"/>
  <c r="Y615"/>
  <c r="Y614"/>
  <c r="Y613"/>
  <c r="Y612"/>
  <c r="Y611"/>
  <c r="Y610"/>
  <c r="Y609"/>
  <c r="Y608"/>
  <c r="Y607"/>
  <c r="Y606"/>
  <c r="Y605"/>
  <c r="Y604"/>
  <c r="Y603"/>
  <c r="Y602"/>
  <c r="Y601"/>
  <c r="Y600"/>
  <c r="Y599"/>
  <c r="Y598"/>
  <c r="Y597"/>
  <c r="Y596"/>
  <c r="Y595"/>
  <c r="Y594"/>
  <c r="Y593"/>
  <c r="Y592"/>
  <c r="Y591"/>
  <c r="Y590"/>
  <c r="Y589"/>
  <c r="Y588"/>
  <c r="Y587"/>
  <c r="Y586"/>
  <c r="Y585"/>
  <c r="Y584"/>
  <c r="Y583"/>
  <c r="Y582"/>
  <c r="Y581"/>
  <c r="Y580"/>
  <c r="Y579"/>
  <c r="Y578"/>
  <c r="Y577"/>
  <c r="Y576"/>
  <c r="Y575"/>
  <c r="Y574"/>
  <c r="Y573"/>
  <c r="Y572"/>
  <c r="Y571"/>
  <c r="Y570"/>
  <c r="Y569"/>
  <c r="Y568"/>
  <c r="Y567"/>
  <c r="Y566"/>
  <c r="Y565"/>
  <c r="Y564"/>
  <c r="Y563"/>
  <c r="Y562"/>
  <c r="Y561"/>
  <c r="Y560"/>
  <c r="Y559"/>
  <c r="Y558"/>
  <c r="Y557"/>
  <c r="Y556"/>
  <c r="Y555"/>
  <c r="Y554"/>
  <c r="Y553"/>
  <c r="Y552"/>
  <c r="Y551"/>
  <c r="Y550"/>
  <c r="Y549"/>
  <c r="Y548"/>
  <c r="Y547"/>
  <c r="Y546"/>
  <c r="Y545"/>
  <c r="Y544"/>
  <c r="Y543"/>
  <c r="Y542"/>
  <c r="Y541"/>
  <c r="Y540"/>
  <c r="Y539"/>
  <c r="Y538"/>
  <c r="Y537"/>
  <c r="Y536"/>
  <c r="Y535"/>
  <c r="Y534"/>
  <c r="Y533"/>
  <c r="Y532"/>
  <c r="Y531"/>
  <c r="Y530"/>
  <c r="Y529"/>
  <c r="Y528"/>
  <c r="Y527"/>
  <c r="Y526"/>
  <c r="Y525"/>
  <c r="Y524"/>
  <c r="Y523"/>
  <c r="Y522"/>
  <c r="Y521"/>
  <c r="Y520"/>
  <c r="Y519"/>
  <c r="Y518"/>
  <c r="Y516"/>
  <c r="Y515"/>
  <c r="Y514"/>
  <c r="Y513"/>
  <c r="Y512"/>
  <c r="Y511"/>
  <c r="Y510"/>
  <c r="Y509"/>
  <c r="Y508"/>
  <c r="Y507"/>
  <c r="Y506"/>
  <c r="Y505"/>
  <c r="Y504"/>
  <c r="Y503"/>
  <c r="Y502"/>
  <c r="Y501"/>
  <c r="Y500"/>
  <c r="Y499"/>
  <c r="Y498"/>
  <c r="Y497"/>
  <c r="Y496"/>
  <c r="Y495"/>
  <c r="Y494"/>
  <c r="Y493"/>
  <c r="Y492"/>
  <c r="Y491"/>
  <c r="Y490"/>
  <c r="Y489"/>
  <c r="Y488"/>
  <c r="Y487"/>
  <c r="Y486"/>
  <c r="Y485"/>
  <c r="Y484"/>
  <c r="Y483"/>
  <c r="Y482"/>
  <c r="Y481"/>
  <c r="Y480"/>
  <c r="Y479"/>
  <c r="Y478"/>
  <c r="Y477"/>
  <c r="Y476"/>
  <c r="Y475"/>
  <c r="Y474"/>
  <c r="Y473"/>
  <c r="Y472"/>
  <c r="Y471"/>
  <c r="Y470"/>
  <c r="Y469"/>
  <c r="Y468"/>
  <c r="Y467"/>
  <c r="Y466"/>
  <c r="Y465"/>
  <c r="Y464"/>
  <c r="Y463"/>
  <c r="Y462"/>
  <c r="Y461"/>
  <c r="Y460"/>
  <c r="Y459"/>
  <c r="Y458"/>
  <c r="Y457"/>
  <c r="Y456"/>
  <c r="Y455"/>
  <c r="Y454"/>
  <c r="Y453"/>
  <c r="Y452"/>
  <c r="Y451"/>
  <c r="Y450"/>
  <c r="Y449"/>
  <c r="Y448"/>
  <c r="Y447"/>
  <c r="Y446"/>
  <c r="Y445"/>
  <c r="Y444"/>
  <c r="Y443"/>
  <c r="Y442"/>
  <c r="Y441"/>
  <c r="Y440"/>
  <c r="Y439"/>
  <c r="Y438"/>
  <c r="Y437"/>
  <c r="Y436"/>
  <c r="Y435"/>
  <c r="Y434"/>
  <c r="Y433"/>
  <c r="Y432"/>
  <c r="Y431"/>
  <c r="Y430"/>
  <c r="Y429"/>
  <c r="Y428"/>
  <c r="Y427"/>
  <c r="Y426"/>
  <c r="Y425"/>
  <c r="Y424"/>
  <c r="Y423"/>
  <c r="Y422"/>
  <c r="Y421"/>
  <c r="Y420"/>
  <c r="Y419"/>
  <c r="Y418"/>
  <c r="Y417"/>
  <c r="Y416"/>
  <c r="Y415"/>
  <c r="Y414"/>
  <c r="Y413"/>
  <c r="Y412"/>
  <c r="Y411"/>
  <c r="Y410"/>
  <c r="Y409"/>
  <c r="Y408"/>
  <c r="Y407"/>
  <c r="Y406"/>
  <c r="Y405"/>
  <c r="Y404"/>
  <c r="Y403"/>
  <c r="Y402"/>
  <c r="Y401"/>
  <c r="Y400"/>
  <c r="Y399"/>
  <c r="Y398"/>
  <c r="Y397"/>
  <c r="Y396"/>
  <c r="Y395"/>
  <c r="Y394"/>
  <c r="Y393"/>
  <c r="Y392"/>
  <c r="Y391"/>
  <c r="Y390"/>
  <c r="Y389"/>
  <c r="Y388"/>
  <c r="Y387"/>
  <c r="Y386"/>
  <c r="Y385"/>
  <c r="Y384"/>
  <c r="Y383"/>
  <c r="Y382"/>
  <c r="Y381"/>
  <c r="Y380"/>
  <c r="Y379"/>
  <c r="Y378"/>
  <c r="Y377"/>
  <c r="Y376"/>
  <c r="Y375"/>
  <c r="Y374"/>
  <c r="Y373"/>
  <c r="Y372"/>
  <c r="Y371"/>
  <c r="Y370"/>
  <c r="Y369"/>
  <c r="Y368"/>
  <c r="Y367"/>
  <c r="Y366"/>
  <c r="Y365"/>
  <c r="Y364"/>
  <c r="Y363"/>
  <c r="Y362"/>
  <c r="Y361"/>
  <c r="Y360"/>
  <c r="Y359"/>
  <c r="Y358"/>
  <c r="Y357"/>
  <c r="Y356"/>
  <c r="Y355"/>
  <c r="Y354"/>
  <c r="Y353"/>
  <c r="Y352"/>
  <c r="Y351"/>
  <c r="Y350"/>
  <c r="Y349"/>
  <c r="Y348"/>
  <c r="Y347"/>
  <c r="Y346"/>
  <c r="Y345"/>
  <c r="Y344"/>
  <c r="Y343"/>
  <c r="Y342"/>
  <c r="Y341"/>
  <c r="Y340"/>
  <c r="Y339"/>
  <c r="Y338"/>
  <c r="Y337"/>
  <c r="Y336"/>
  <c r="Y335"/>
  <c r="Y334"/>
  <c r="Y333"/>
  <c r="Y332"/>
  <c r="Y331"/>
  <c r="Y330"/>
  <c r="Y329"/>
  <c r="Y328"/>
  <c r="Y327"/>
  <c r="Y326"/>
  <c r="Y325"/>
  <c r="Y324"/>
  <c r="Y323"/>
  <c r="Y322"/>
  <c r="Y321"/>
  <c r="Y320"/>
  <c r="Y319"/>
  <c r="Y318"/>
  <c r="Y317"/>
  <c r="Y316"/>
  <c r="Y315"/>
  <c r="Y314"/>
  <c r="Y313"/>
  <c r="Y312"/>
  <c r="Y311"/>
  <c r="Y310"/>
  <c r="Y309"/>
  <c r="Y308"/>
  <c r="Y307"/>
  <c r="Y306"/>
  <c r="Y305"/>
  <c r="Y304"/>
  <c r="Y303"/>
  <c r="Y302"/>
  <c r="Y301"/>
  <c r="Y300"/>
  <c r="Y299"/>
  <c r="Y298"/>
  <c r="Y297"/>
  <c r="Y296"/>
  <c r="Y295"/>
  <c r="Y294"/>
  <c r="Y293"/>
  <c r="Y292"/>
  <c r="Y291"/>
  <c r="Y290"/>
  <c r="Y289"/>
  <c r="Y288"/>
  <c r="Y287"/>
  <c r="Y286"/>
  <c r="Y285"/>
  <c r="Y284"/>
  <c r="Y283"/>
  <c r="Y282"/>
  <c r="Y281"/>
  <c r="Y280"/>
  <c r="Y279"/>
  <c r="Y278"/>
  <c r="Y277"/>
  <c r="Y276"/>
  <c r="Y275"/>
  <c r="Y274"/>
  <c r="Y273"/>
  <c r="Y272"/>
  <c r="Y271"/>
  <c r="Y270"/>
  <c r="Y269"/>
  <c r="Y268"/>
  <c r="Y267"/>
  <c r="Y266"/>
  <c r="Y265"/>
  <c r="Y264"/>
  <c r="Y263"/>
  <c r="Y262"/>
  <c r="Y261"/>
  <c r="Y260"/>
  <c r="Y259"/>
  <c r="Y258"/>
  <c r="Y257"/>
  <c r="Y256"/>
  <c r="Y255"/>
  <c r="Y254"/>
  <c r="Y253"/>
  <c r="Y252"/>
  <c r="Y251"/>
  <c r="Y250"/>
  <c r="Y249"/>
  <c r="Y248"/>
  <c r="Y247"/>
  <c r="Y246"/>
  <c r="Y245"/>
  <c r="Y244"/>
  <c r="Y243"/>
  <c r="Y242"/>
  <c r="Y241"/>
  <c r="Y240"/>
  <c r="Y239"/>
  <c r="Y238"/>
  <c r="Y237"/>
  <c r="Y236"/>
  <c r="Y235"/>
  <c r="Y234"/>
  <c r="Y233"/>
  <c r="Y232"/>
  <c r="Y231"/>
  <c r="Y230"/>
  <c r="Y229"/>
  <c r="Y228"/>
  <c r="Y227"/>
  <c r="Y226"/>
  <c r="Y225"/>
  <c r="Y224"/>
  <c r="Y223"/>
  <c r="Y222"/>
  <c r="Y221"/>
  <c r="Y220"/>
  <c r="Y219"/>
  <c r="Y218"/>
  <c r="Y217"/>
  <c r="Y216"/>
  <c r="Y215"/>
  <c r="Y214"/>
  <c r="Y213"/>
  <c r="Y212"/>
  <c r="Y211"/>
  <c r="Y210"/>
  <c r="Y209"/>
  <c r="Y208"/>
  <c r="Y207"/>
  <c r="Y206"/>
  <c r="Y205"/>
  <c r="Y204"/>
  <c r="Y203"/>
  <c r="Y202"/>
  <c r="Y201"/>
  <c r="Y200"/>
  <c r="Y199"/>
  <c r="Y198"/>
  <c r="Y197"/>
  <c r="Y196"/>
  <c r="Y195"/>
  <c r="Y194"/>
  <c r="Y193"/>
  <c r="Y192"/>
  <c r="Y191"/>
  <c r="Y190"/>
  <c r="Y189"/>
  <c r="Y188"/>
  <c r="Y187"/>
  <c r="Y186"/>
  <c r="Y185"/>
  <c r="Y184"/>
  <c r="Y183"/>
  <c r="Y182"/>
  <c r="Y181"/>
  <c r="Y180"/>
  <c r="Y179"/>
  <c r="Y178"/>
  <c r="Y177"/>
  <c r="Y176"/>
  <c r="Y175"/>
  <c r="Y174"/>
  <c r="Y173"/>
  <c r="Y172"/>
  <c r="Y171"/>
  <c r="Y170"/>
  <c r="Y169"/>
  <c r="Y168"/>
  <c r="Y167"/>
  <c r="Y166"/>
  <c r="Y165"/>
  <c r="Y164"/>
  <c r="Y163"/>
  <c r="Y162"/>
  <c r="Y161"/>
  <c r="Y160"/>
  <c r="Y159"/>
  <c r="Y158"/>
  <c r="Y157"/>
  <c r="Y156"/>
  <c r="Y155"/>
  <c r="Y154"/>
  <c r="Y153"/>
  <c r="Y152"/>
  <c r="Y151"/>
  <c r="Y150"/>
  <c r="Y149"/>
  <c r="Y148"/>
  <c r="Y147"/>
  <c r="Y146"/>
  <c r="Y145"/>
  <c r="Y144"/>
  <c r="Y143"/>
  <c r="Y142"/>
  <c r="Y141"/>
  <c r="Y140"/>
  <c r="Y139"/>
  <c r="Y138"/>
  <c r="Y137"/>
  <c r="Y136"/>
  <c r="Y135"/>
  <c r="Y134"/>
  <c r="Y133"/>
  <c r="Y132"/>
  <c r="Y131"/>
  <c r="Y130"/>
  <c r="Y129"/>
  <c r="Y128"/>
  <c r="Y127"/>
  <c r="Y126"/>
  <c r="Y125"/>
  <c r="Y124"/>
  <c r="Y123"/>
  <c r="Y122"/>
  <c r="Y121"/>
  <c r="Y120"/>
  <c r="Y119"/>
  <c r="Y118"/>
  <c r="Y117"/>
  <c r="Y116"/>
  <c r="Y115"/>
  <c r="Y114"/>
  <c r="Y113"/>
  <c r="Y112"/>
  <c r="Y111"/>
  <c r="Y110"/>
  <c r="Y109"/>
  <c r="Y108"/>
  <c r="Y107"/>
  <c r="Y106"/>
  <c r="Y105"/>
  <c r="Y104"/>
  <c r="Y103"/>
  <c r="Y102"/>
  <c r="Y101"/>
  <c r="Y100"/>
  <c r="Y99"/>
  <c r="Y98"/>
  <c r="Y97"/>
  <c r="Y96"/>
  <c r="Y95"/>
  <c r="Y94"/>
  <c r="Y93"/>
  <c r="Y92"/>
  <c r="Y91"/>
  <c r="Y90"/>
  <c r="Y89"/>
  <c r="Y88"/>
  <c r="Y87"/>
  <c r="Y86"/>
  <c r="Y85"/>
  <c r="Y84"/>
  <c r="Y83"/>
  <c r="Y82"/>
  <c r="Y81"/>
  <c r="Y80"/>
  <c r="Y79"/>
  <c r="Y78"/>
  <c r="Y77"/>
  <c r="Y76"/>
  <c r="Y75"/>
  <c r="Y74"/>
  <c r="Y73"/>
  <c r="Y72"/>
  <c r="Y71"/>
  <c r="Y70"/>
  <c r="Y69"/>
  <c r="Y68"/>
  <c r="Y67"/>
  <c r="Y66"/>
  <c r="Y65"/>
  <c r="Y64"/>
  <c r="Y63"/>
  <c r="Y62"/>
  <c r="Y61"/>
  <c r="Y60"/>
  <c r="Y59"/>
  <c r="Y58"/>
  <c r="Y57"/>
  <c r="Y56"/>
  <c r="Y55"/>
  <c r="Y54"/>
  <c r="Y53"/>
  <c r="Y52"/>
  <c r="Y51"/>
  <c r="Y50"/>
  <c r="Y49"/>
  <c r="Y48"/>
  <c r="Y47"/>
  <c r="Y46"/>
  <c r="Y45"/>
  <c r="Y44"/>
  <c r="Y43"/>
  <c r="Y42"/>
  <c r="Y41"/>
  <c r="Y40"/>
  <c r="Y39"/>
  <c r="Y38"/>
  <c r="Y37"/>
  <c r="Y36"/>
  <c r="Y35"/>
  <c r="Y34"/>
  <c r="Y33"/>
  <c r="Y32"/>
  <c r="Y31"/>
  <c r="Y30"/>
  <c r="Y29"/>
  <c r="Y28"/>
  <c r="Y27"/>
  <c r="Y26"/>
  <c r="Y25"/>
  <c r="Y24"/>
  <c r="Y23"/>
  <c r="Y22"/>
  <c r="Y21"/>
  <c r="Y20"/>
  <c r="Y19"/>
  <c r="Y18"/>
  <c r="Y17"/>
  <c r="Y16"/>
  <c r="Y15"/>
  <c r="Y14"/>
  <c r="Y13"/>
  <c r="Y12"/>
  <c r="Y11"/>
  <c r="Y10"/>
  <c r="Y9"/>
  <c r="Y8"/>
  <c r="Y7"/>
  <c r="Y6"/>
  <c r="Y5"/>
</calcChain>
</file>

<file path=xl/sharedStrings.xml><?xml version="1.0" encoding="utf-8"?>
<sst xmlns="http://schemas.openxmlformats.org/spreadsheetml/2006/main" count="33210" uniqueCount="12981">
  <si>
    <t xml:space="preserve">Downloaded on [ 2018-09-08 ]
Downloaded by [ orangestone ]
</t>
  </si>
  <si>
    <t>Sno</t>
  </si>
  <si>
    <t>Candidate Name</t>
  </si>
  <si>
    <t>DOB</t>
  </si>
  <si>
    <t>Email ID</t>
  </si>
  <si>
    <t>Contact Number</t>
  </si>
  <si>
    <t>Current Location</t>
  </si>
  <si>
    <t>Preferred Location</t>
  </si>
  <si>
    <t>Gender</t>
  </si>
  <si>
    <t>Total Work Experience</t>
  </si>
  <si>
    <t>Current Annual Salary</t>
  </si>
  <si>
    <t>Current Job Title</t>
  </si>
  <si>
    <t>Current Functional Area</t>
  </si>
  <si>
    <t>Current Industry</t>
  </si>
  <si>
    <t>Current Company</t>
  </si>
  <si>
    <t>Years in Current Job</t>
  </si>
  <si>
    <t>Notice Period</t>
  </si>
  <si>
    <t>Highest Education Level</t>
  </si>
  <si>
    <t>Highest Education Stream</t>
  </si>
  <si>
    <t>Highest Education Institute</t>
  </si>
  <si>
    <t>Year Of Passing</t>
  </si>
  <si>
    <t>Highest Education Course Type</t>
  </si>
  <si>
    <t>Last Modified Date</t>
  </si>
  <si>
    <t>Last Active Date</t>
  </si>
  <si>
    <t>Note</t>
  </si>
  <si>
    <t>Resume</t>
  </si>
  <si>
    <t>santosh sorte</t>
  </si>
  <si>
    <t>snsorte175352@yahoo.co.in</t>
  </si>
  <si>
    <t>91 8879222430</t>
  </si>
  <si>
    <t>Mumbai City</t>
  </si>
  <si>
    <t>Pune, Mumbai City</t>
  </si>
  <si>
    <t>M</t>
  </si>
  <si>
    <t>&gt; 25 Yrs 0 Month</t>
  </si>
  <si>
    <t>Rs. 9.60 Lacs</t>
  </si>
  <si>
    <t>Security Officer</t>
  </si>
  <si>
    <t>Security Services</t>
  </si>
  <si>
    <t>Manufacturing</t>
  </si>
  <si>
    <t>Siemens Ltd</t>
  </si>
  <si>
    <t>2 Yrs</t>
  </si>
  <si>
    <t>2 months</t>
  </si>
  <si>
    <t>B.A</t>
  </si>
  <si>
    <t>Other</t>
  </si>
  <si>
    <t>Indian Navy (Submarines)</t>
  </si>
  <si>
    <t>Full Time</t>
  </si>
  <si>
    <t>17-09-17 16:33:29</t>
  </si>
  <si>
    <t>01-07-18 18:40:24</t>
  </si>
  <si>
    <t>amit auti</t>
  </si>
  <si>
    <t>06 Jul 1986</t>
  </si>
  <si>
    <t>amitauti7@gmail.com</t>
  </si>
  <si>
    <t>91 9503887683</t>
  </si>
  <si>
    <t>4 Yrs 6 Months</t>
  </si>
  <si>
    <t>Rs. 4.00 Lacs</t>
  </si>
  <si>
    <t>Research Associate ADL department</t>
  </si>
  <si>
    <t>Bio Tech / R&amp;D / Scientist</t>
  </si>
  <si>
    <t>Pharma / Biotech</t>
  </si>
  <si>
    <t>Ajanta</t>
  </si>
  <si>
    <t>1 Yr</t>
  </si>
  <si>
    <t>4 weeks</t>
  </si>
  <si>
    <t>M.Sc</t>
  </si>
  <si>
    <t>Chemistry</t>
  </si>
  <si>
    <t>Art's science &amp; commerce Otur college</t>
  </si>
  <si>
    <t>2012</t>
  </si>
  <si>
    <t>05-07-18 14:31:33</t>
  </si>
  <si>
    <t>09-07-18 14:17:29</t>
  </si>
  <si>
    <t>Dinesh Shambharkar</t>
  </si>
  <si>
    <t>dineshsm116@yahoo.co.in</t>
  </si>
  <si>
    <t>91 8334007186</t>
  </si>
  <si>
    <t>All India, Mumbai City</t>
  </si>
  <si>
    <t>14 Yrs 0 Month</t>
  </si>
  <si>
    <t>Rs. 16.95 Lacs</t>
  </si>
  <si>
    <t>Manager Industrial Engineering</t>
  </si>
  <si>
    <t>Statistics / Analytics</t>
  </si>
  <si>
    <t>Garden Reach Shipbuilders &amp; Engineers Ltd</t>
  </si>
  <si>
    <t>3 months</t>
  </si>
  <si>
    <t>M.Tech</t>
  </si>
  <si>
    <t>Production/Industrial</t>
  </si>
  <si>
    <t xml:space="preserve"> VJTI, Mumbai University</t>
  </si>
  <si>
    <t>2003</t>
  </si>
  <si>
    <t>12-08-18 01:15:01</t>
  </si>
  <si>
    <t>13-08-18 15:12:28</t>
  </si>
  <si>
    <t>Deepak Dhamija</t>
  </si>
  <si>
    <t>01 Jun 1969</t>
  </si>
  <si>
    <t>deepakdhamija@hotmail.com</t>
  </si>
  <si>
    <t>91 9099928244</t>
  </si>
  <si>
    <t>Noida, Gurugram, Pune, Mumbai City, Delhi, Ahmedabad</t>
  </si>
  <si>
    <t>20 Yrs 0 Month</t>
  </si>
  <si>
    <t>Rs. 24.00 Lacs</t>
  </si>
  <si>
    <t>Head Sales - Solar</t>
  </si>
  <si>
    <t>Sales / BD</t>
  </si>
  <si>
    <t>Karamtara Engineering Pvt. Ltd.</t>
  </si>
  <si>
    <t>MBA/PGDM</t>
  </si>
  <si>
    <t>Marketing</t>
  </si>
  <si>
    <t>Jiwaji University</t>
  </si>
  <si>
    <t>2000</t>
  </si>
  <si>
    <t>Part Time</t>
  </si>
  <si>
    <t>27-08-18 11:53:37</t>
  </si>
  <si>
    <t>Maroof Kazi</t>
  </si>
  <si>
    <t>22 Nov 1991</t>
  </si>
  <si>
    <t>maroof.kazi@gmail.com</t>
  </si>
  <si>
    <t>91 9773308890</t>
  </si>
  <si>
    <t>Navi Mumbai, Thane, Mumbai City</t>
  </si>
  <si>
    <t>2 Yrs 9 Months</t>
  </si>
  <si>
    <t>Rs. 4.40 Lacs</t>
  </si>
  <si>
    <t>Engineer - Projects</t>
  </si>
  <si>
    <t>Process Control</t>
  </si>
  <si>
    <t>Engineering / Construction</t>
  </si>
  <si>
    <t>Invensys India PVT LTD (Now Schneider Electric)</t>
  </si>
  <si>
    <t>B.Tech/B.E</t>
  </si>
  <si>
    <t>Instrumentation</t>
  </si>
  <si>
    <t>Ramrao Adik Institute of Technology, D. Y. Patil Group</t>
  </si>
  <si>
    <t>2013</t>
  </si>
  <si>
    <t>23-06-16 12:01:21</t>
  </si>
  <si>
    <t>28-06-18 21:10:41</t>
  </si>
  <si>
    <t>vikas naidu</t>
  </si>
  <si>
    <t>29 Aug 1989</t>
  </si>
  <si>
    <t>vikas.naidu77@gmail.com</t>
  </si>
  <si>
    <t>91 9167525089</t>
  </si>
  <si>
    <t>7 Yrs 6 Months</t>
  </si>
  <si>
    <t>Rs. 4.25 Lacs</t>
  </si>
  <si>
    <t>Operation assistant manager</t>
  </si>
  <si>
    <t>Operations Management / Process Analysis</t>
  </si>
  <si>
    <t>Media / Dotcom / Entertainment</t>
  </si>
  <si>
    <t>Gener8 Digital Media Corp</t>
  </si>
  <si>
    <t>B.Com</t>
  </si>
  <si>
    <t>Commerce</t>
  </si>
  <si>
    <t>Salem university</t>
  </si>
  <si>
    <t>2016</t>
  </si>
  <si>
    <t>Correspondence</t>
  </si>
  <si>
    <t>07-09-18 16:01:52</t>
  </si>
  <si>
    <t>Vikram Naraynan</t>
  </si>
  <si>
    <t>26 Jun 1986</t>
  </si>
  <si>
    <t>86.vikram@gmail.com</t>
  </si>
  <si>
    <t>91 9819132299</t>
  </si>
  <si>
    <t>Spain, Bangalore, United Arab Emirates, Netherlands, Canada, United States of America, Singapore, Mumbai City, France, South Africa</t>
  </si>
  <si>
    <t>7 Yrs 0 Month</t>
  </si>
  <si>
    <t>Rs. 0</t>
  </si>
  <si>
    <t>Freelance Transcription/Content Editor</t>
  </si>
  <si>
    <t>Content Development</t>
  </si>
  <si>
    <t>Medical / Healthcare</t>
  </si>
  <si>
    <t>A&amp;M</t>
  </si>
  <si>
    <t>2 weeks</t>
  </si>
  <si>
    <t>BHM</t>
  </si>
  <si>
    <t>Hotel Management</t>
  </si>
  <si>
    <t>M.S.B.T.E (Maharashtra State Board</t>
  </si>
  <si>
    <t>2009</t>
  </si>
  <si>
    <t>18-08-18 18:51:36</t>
  </si>
  <si>
    <t>06-09-18 17:22:45</t>
  </si>
  <si>
    <t xml:space="preserve">M. senthil kumar </t>
  </si>
  <si>
    <t>11 Jul 1987</t>
  </si>
  <si>
    <t>sugsenthil@gmail.com</t>
  </si>
  <si>
    <t>91 9082508879</t>
  </si>
  <si>
    <t>Oman, Qatar, Coimbatore, Bangalore, Kuwait, Madurai, Kochi, Chennai, United Arab Emirates, Hyderabad, Pondicherry, Mumbai City</t>
  </si>
  <si>
    <t>11 Yrs 0 Month</t>
  </si>
  <si>
    <t>Rs. 7.00 Lacs</t>
  </si>
  <si>
    <t>Site Engineer</t>
  </si>
  <si>
    <t>Site Engineering / Project Management</t>
  </si>
  <si>
    <t>Larsen &amp; Toubro Ltd</t>
  </si>
  <si>
    <t>5 Yrs</t>
  </si>
  <si>
    <t>Diploma</t>
  </si>
  <si>
    <t>Civil</t>
  </si>
  <si>
    <t>svpt polytechnic college</t>
  </si>
  <si>
    <t>2006</t>
  </si>
  <si>
    <t>13-09-17 17:01:55</t>
  </si>
  <si>
    <t>31-07-18 10:01:09</t>
  </si>
  <si>
    <t>Deepal Trivedi</t>
  </si>
  <si>
    <t>deepal77@gmail.com</t>
  </si>
  <si>
    <t>91 9892091833</t>
  </si>
  <si>
    <t>All India, Bangalore, Gurugram, Pune, Mumbai City, Surat, Vadodara, Ahmedabad</t>
  </si>
  <si>
    <t>18 Yrs 0 Month</t>
  </si>
  <si>
    <t>Rs. 15.00 Lacs</t>
  </si>
  <si>
    <t>VP - Client Servicing</t>
  </si>
  <si>
    <t>Marketing / Communication</t>
  </si>
  <si>
    <t>Advertising / MR / PR / Events</t>
  </si>
  <si>
    <t>Digillence Rolson Digital LLP</t>
  </si>
  <si>
    <t>Lala College of Commerce &amp; Economics</t>
  </si>
  <si>
    <t>1998</t>
  </si>
  <si>
    <t>23-08-18 14:11:02</t>
  </si>
  <si>
    <t>24-08-18 15:40:41</t>
  </si>
  <si>
    <t>Nambi Konar</t>
  </si>
  <si>
    <t>nambik22@gmail.com</t>
  </si>
  <si>
    <t>91 9702627630</t>
  </si>
  <si>
    <t>All India, Chennai, Pune, Mumbai City</t>
  </si>
  <si>
    <t>Rs. 7.30 Lacs</t>
  </si>
  <si>
    <t>Accounts Executive</t>
  </si>
  <si>
    <t>Finance / Accounts / Tax</t>
  </si>
  <si>
    <t>concast (india) Limited</t>
  </si>
  <si>
    <t>0 Yr</t>
  </si>
  <si>
    <t>M.Com</t>
  </si>
  <si>
    <t>Mumbai University</t>
  </si>
  <si>
    <t>22-06-18 00:56:05</t>
  </si>
  <si>
    <t>03-09-18 17:59:58</t>
  </si>
  <si>
    <t>NILESH KHILLARE</t>
  </si>
  <si>
    <t>18 Feb 1989</t>
  </si>
  <si>
    <t>khillarenilesh007@gmail.com</t>
  </si>
  <si>
    <t>91 7977055063</t>
  </si>
  <si>
    <t>Nashik, All India, Australia, Pune, Aurangabad, Mumbai City, Nagpur</t>
  </si>
  <si>
    <t>4 Yrs 0 Month</t>
  </si>
  <si>
    <t>Rs. 32.00 Lacs</t>
  </si>
  <si>
    <t>Project Engineer</t>
  </si>
  <si>
    <t>Production</t>
  </si>
  <si>
    <t>General instruments Consortium,Mumbai</t>
  </si>
  <si>
    <t>5 weeks</t>
  </si>
  <si>
    <t>Pune University</t>
  </si>
  <si>
    <t>21-08-18 23:12:55</t>
  </si>
  <si>
    <t>07-09-18 12:36:52</t>
  </si>
  <si>
    <t>Prakash Salvador Alfanso</t>
  </si>
  <si>
    <t>psalfanso@gmail.com</t>
  </si>
  <si>
    <t>91 8007879719</t>
  </si>
  <si>
    <t>10 Yrs 0 Month</t>
  </si>
  <si>
    <t>Rs. 6.05 Lacs</t>
  </si>
  <si>
    <t>Business Development Manager</t>
  </si>
  <si>
    <t>R.K.Technologies</t>
  </si>
  <si>
    <t>31-01-18 14:37:16</t>
  </si>
  <si>
    <t>16-03-18 18:33:54</t>
  </si>
  <si>
    <t>Madhu Manoharan</t>
  </si>
  <si>
    <t>15 Apr 1982</t>
  </si>
  <si>
    <t>manoharan.madhu@gmail.com</t>
  </si>
  <si>
    <t>91 9538274499</t>
  </si>
  <si>
    <t>Sri Lanka, United Arab Emirates, Virgin Islands (US), Poland, Netherlands, Trinidad and Tobago, Maldives, Sweden, South Africa, Russia</t>
  </si>
  <si>
    <t>14 Yrs 5 Months</t>
  </si>
  <si>
    <t>Rs. 8.60 Lacs</t>
  </si>
  <si>
    <t>Relationship Manager</t>
  </si>
  <si>
    <t>Automobile / Auto Ancillaries</t>
  </si>
  <si>
    <t>AUTOonline India</t>
  </si>
  <si>
    <t>3 Yrs</t>
  </si>
  <si>
    <t>Other Engineering</t>
  </si>
  <si>
    <t>Dyanda Dyanpeeth</t>
  </si>
  <si>
    <t>2008</t>
  </si>
  <si>
    <t>10-01-18 12:12:28</t>
  </si>
  <si>
    <t>07-07-18 10:33:37</t>
  </si>
  <si>
    <t>Vrushali Padhye</t>
  </si>
  <si>
    <t>vrush_padhye@yahoo.co.in</t>
  </si>
  <si>
    <t>91 9663710377</t>
  </si>
  <si>
    <t>All India, Bangalore, Mumbai City</t>
  </si>
  <si>
    <t>F</t>
  </si>
  <si>
    <t>Rs. 7.50 Lacs</t>
  </si>
  <si>
    <t>Credit Manager</t>
  </si>
  <si>
    <t>Risk / Underwriting</t>
  </si>
  <si>
    <t>Banking / Financial Services</t>
  </si>
  <si>
    <t>Kotak Mahindra Prime Ltd</t>
  </si>
  <si>
    <t>C.A</t>
  </si>
  <si>
    <t>Chartered Accountant</t>
  </si>
  <si>
    <t>Institute of Chartered Accountants of India</t>
  </si>
  <si>
    <t>25-06-18 15:44:05</t>
  </si>
  <si>
    <t>05-07-18 15:49:09</t>
  </si>
  <si>
    <t>SARWAN KUMAR DUBEY</t>
  </si>
  <si>
    <t>11 Dec 1991</t>
  </si>
  <si>
    <t>sdubey215@gmail.com</t>
  </si>
  <si>
    <t>91 9920703850</t>
  </si>
  <si>
    <t>Thane</t>
  </si>
  <si>
    <t>0 Yr 7 Months</t>
  </si>
  <si>
    <t>Rs. 5.00 Lacs</t>
  </si>
  <si>
    <t>ACCOUNTS AND TAX EXECUTIVE</t>
  </si>
  <si>
    <t>Audit</t>
  </si>
  <si>
    <t>Management Consulting / Strategy</t>
  </si>
  <si>
    <t>AMPHI ANALYTICS</t>
  </si>
  <si>
    <t>THE INSTITUTE OF CHARTERED ACCOUNTANTS OF INDIA</t>
  </si>
  <si>
    <t>2018</t>
  </si>
  <si>
    <t>21-08-18 17:43:26</t>
  </si>
  <si>
    <t>31-08-18 18:55:40</t>
  </si>
  <si>
    <t>paresh paranjape</t>
  </si>
  <si>
    <t>09 Aug 1971</t>
  </si>
  <si>
    <t>paresh0908@yahoo.co.in</t>
  </si>
  <si>
    <t>91 9970094541</t>
  </si>
  <si>
    <t>Rs. 10.05 Lacs</t>
  </si>
  <si>
    <t>Sr. Designer Civil</t>
  </si>
  <si>
    <t>Engineering Design / Construction</t>
  </si>
  <si>
    <t>Reliance Engineering Group</t>
  </si>
  <si>
    <t>6 weeks</t>
  </si>
  <si>
    <t>I.T.I. Wagle Estate</t>
  </si>
  <si>
    <t>1989</t>
  </si>
  <si>
    <t>18-01-18 12:58:31</t>
  </si>
  <si>
    <t>29-04-18 09:56:07</t>
  </si>
  <si>
    <t>Ajit Tak</t>
  </si>
  <si>
    <t>15 Feb 1970</t>
  </si>
  <si>
    <t>ajit_tak@yahoo.co.in</t>
  </si>
  <si>
    <t>91 9594080410</t>
  </si>
  <si>
    <t>17 Yrs 6 Months</t>
  </si>
  <si>
    <t>Rs. 11.00 Lacs</t>
  </si>
  <si>
    <t>Regional Manager</t>
  </si>
  <si>
    <t>G.K.Sons Engineering Enterprises Pvt. Ltd.</t>
  </si>
  <si>
    <t>1991</t>
  </si>
  <si>
    <t>29-05-18 17:04:30</t>
  </si>
  <si>
    <t>03-09-18 18:39:28</t>
  </si>
  <si>
    <t>Zainulabedin khan</t>
  </si>
  <si>
    <t>zainulabedin987@gmail.com</t>
  </si>
  <si>
    <t>91 9987770797</t>
  </si>
  <si>
    <t>7 Yrs 10 Months</t>
  </si>
  <si>
    <t>Rs. 8.10 Lacs</t>
  </si>
  <si>
    <t>Business Process Speacilisation</t>
  </si>
  <si>
    <t>Investment Banking / M&amp;A</t>
  </si>
  <si>
    <t>Accenture</t>
  </si>
  <si>
    <t>Finance / Accounting</t>
  </si>
  <si>
    <t>26-05-18 14:03:44</t>
  </si>
  <si>
    <t>Mukesh kumar Pandit</t>
  </si>
  <si>
    <t>20 Dec 1989</t>
  </si>
  <si>
    <t>mukesh20121989@gmail.com</t>
  </si>
  <si>
    <t>91 9599313599</t>
  </si>
  <si>
    <t>Surat, Vadodara, Ahmedabad, All India, Noida, Gurugram, Kolkata, Pune, Bharuch, Mumbai City, Delhi, Ankleshwar</t>
  </si>
  <si>
    <t>Rs. 5.50 Lacs</t>
  </si>
  <si>
    <t>Regional EHS Engineer</t>
  </si>
  <si>
    <t>Occupational Health / Safety</t>
  </si>
  <si>
    <t>TYCO FIRE &amp; SECURITY INDIA PVT LTD</t>
  </si>
  <si>
    <t>cfesm , maharastra technical bord</t>
  </si>
  <si>
    <t>2011</t>
  </si>
  <si>
    <t>20-06-18 12:27:25</t>
  </si>
  <si>
    <t>30-08-18 16:34:44</t>
  </si>
  <si>
    <t>bhanuprakash behuria</t>
  </si>
  <si>
    <t>01 Jul 1978</t>
  </si>
  <si>
    <t>natgeoboy@gmail.com</t>
  </si>
  <si>
    <t>91 9930144587</t>
  </si>
  <si>
    <t>Bhubaneswar, Rourkela, Bangalore, Mumbai City</t>
  </si>
  <si>
    <t>Rs. 6.50 Lacs</t>
  </si>
  <si>
    <t>administrative officer</t>
  </si>
  <si>
    <t>Administration / Facility / Transport</t>
  </si>
  <si>
    <t>Education / Training</t>
  </si>
  <si>
    <t>CV Raman Engg College</t>
  </si>
  <si>
    <t>Operations</t>
  </si>
  <si>
    <t>sikkim university</t>
  </si>
  <si>
    <t>10-04-18 12:57:55</t>
  </si>
  <si>
    <t>13-06-18 11:51:28</t>
  </si>
  <si>
    <t xml:space="preserve">Pranjal Karnik </t>
  </si>
  <si>
    <t>21 Jun 1994</t>
  </si>
  <si>
    <t>pranjal.karnik@gmail.com</t>
  </si>
  <si>
    <t>91 9769242620</t>
  </si>
  <si>
    <t>0 Yr 2 Months</t>
  </si>
  <si>
    <t>Intern</t>
  </si>
  <si>
    <t>S.W.M Associates</t>
  </si>
  <si>
    <t>durgadevi saraf institute of management</t>
  </si>
  <si>
    <t>15-06-18 06:59:43</t>
  </si>
  <si>
    <t>subashish sarkar</t>
  </si>
  <si>
    <t>05 May 1959</t>
  </si>
  <si>
    <t>subashishsarkar@gmail.com</t>
  </si>
  <si>
    <t>91 8017198204</t>
  </si>
  <si>
    <t>All India, Noida, Hyderabad, Kolkata, Pune, Mumbai City</t>
  </si>
  <si>
    <t>&gt; 25 Yrs 1 Month</t>
  </si>
  <si>
    <t>Rs. 51.00 Lacs</t>
  </si>
  <si>
    <t>Vice President</t>
  </si>
  <si>
    <t>Purchase</t>
  </si>
  <si>
    <t>Power / Energy</t>
  </si>
  <si>
    <t>Private Power Utility</t>
  </si>
  <si>
    <t>Mechanical</t>
  </si>
  <si>
    <t>Jadavpur University, Kolkata</t>
  </si>
  <si>
    <t>1982</t>
  </si>
  <si>
    <t>19-09-17 12:13:05</t>
  </si>
  <si>
    <t>30-08-18 16:30:11</t>
  </si>
  <si>
    <t xml:space="preserve">sanjay bhagawat </t>
  </si>
  <si>
    <t>13 Oct 1990</t>
  </si>
  <si>
    <t>sanjaybhagawat77@gmail.com</t>
  </si>
  <si>
    <t>91 9762940209</t>
  </si>
  <si>
    <t>Nashik, Vapi, Thane, Pune, Mumbai City, Panaji</t>
  </si>
  <si>
    <t>3 Yrs 8 Months</t>
  </si>
  <si>
    <t>Rs. 3.95 Lacs</t>
  </si>
  <si>
    <t>Pharma analytical</t>
  </si>
  <si>
    <t>R&amp;D / Product Design</t>
  </si>
  <si>
    <t>Lupin Ltd</t>
  </si>
  <si>
    <t>02-06-18 14:52:49</t>
  </si>
  <si>
    <t>02-06-18 16:08:03</t>
  </si>
  <si>
    <t>Akash Ugle</t>
  </si>
  <si>
    <t>29 Nov 1997</t>
  </si>
  <si>
    <t>akashugle2919@gmail.com</t>
  </si>
  <si>
    <t>91 8898031601</t>
  </si>
  <si>
    <t>0 Yr 0 Month</t>
  </si>
  <si>
    <t>Fresher (No Experience)</t>
  </si>
  <si>
    <t>Fresher (No Industry)</t>
  </si>
  <si>
    <t>10+2 or Below</t>
  </si>
  <si>
    <t>07-04-18 20:24:30</t>
  </si>
  <si>
    <t>10-07-18 16:33:10</t>
  </si>
  <si>
    <t>Girish Tambe</t>
  </si>
  <si>
    <t>16 Sep 1986</t>
  </si>
  <si>
    <t>girishtambe777@gmail.com</t>
  </si>
  <si>
    <t>91 9820783681</t>
  </si>
  <si>
    <t>Rs. 4.55 Lacs</t>
  </si>
  <si>
    <t>Senior Executive Officer</t>
  </si>
  <si>
    <t>The Clearing Corporation of India Ltd.</t>
  </si>
  <si>
    <t>03-07-18 10:54:32</t>
  </si>
  <si>
    <t>04-07-18 11:08:07</t>
  </si>
  <si>
    <t>rahul verma</t>
  </si>
  <si>
    <t>19 Jul 1989</t>
  </si>
  <si>
    <t>rverma1907@gmail.com</t>
  </si>
  <si>
    <t>91 8510914466</t>
  </si>
  <si>
    <t>Noida, Hyderabad, Kolkata, Gurugram, Pune, Chandigarh, Mumbai City, Delhi, Meerut</t>
  </si>
  <si>
    <t>Asst.Manager</t>
  </si>
  <si>
    <t>Valad infotech solutions</t>
  </si>
  <si>
    <t>Marine</t>
  </si>
  <si>
    <t>marine engineering training institute</t>
  </si>
  <si>
    <t>09-01-18 18:53:18</t>
  </si>
  <si>
    <t>22-06-18 10:42:50</t>
  </si>
  <si>
    <t>VILTON L REMEDIOS</t>
  </si>
  <si>
    <t>14 May 1974</t>
  </si>
  <si>
    <t>remediosvilton@gmail.com</t>
  </si>
  <si>
    <t>91 9820054444</t>
  </si>
  <si>
    <t>21 Yrs 1 Month</t>
  </si>
  <si>
    <t>Rs. 30.00 Lacs</t>
  </si>
  <si>
    <t>Assistant General Manager</t>
  </si>
  <si>
    <t>Telecom / ISP</t>
  </si>
  <si>
    <t>Vodafone India Ltd</t>
  </si>
  <si>
    <t>14 Yrs</t>
  </si>
  <si>
    <t>Narsee Monjee Institute of Management Studies</t>
  </si>
  <si>
    <t>2002</t>
  </si>
  <si>
    <t>19-07-18 16:46:31</t>
  </si>
  <si>
    <t>28-08-18 15:33:54</t>
  </si>
  <si>
    <t>Abhishek Prasad</t>
  </si>
  <si>
    <t>17 Feb 1986</t>
  </si>
  <si>
    <t>abhi.pra86@gmail.com</t>
  </si>
  <si>
    <t>91 9029418900</t>
  </si>
  <si>
    <t>Mumbai City, Delhi</t>
  </si>
  <si>
    <t>4 Yrs 3 Months</t>
  </si>
  <si>
    <t>Rs. 4.20 Lacs</t>
  </si>
  <si>
    <t>Manager-Operations and Marketing</t>
  </si>
  <si>
    <t>Textile / Garments / Fashion</t>
  </si>
  <si>
    <t>Arula Lifestyle</t>
  </si>
  <si>
    <t>M.A</t>
  </si>
  <si>
    <t>Communication</t>
  </si>
  <si>
    <t>EMPI Business School</t>
  </si>
  <si>
    <t>2010</t>
  </si>
  <si>
    <t>05-06-18 12:01:52</t>
  </si>
  <si>
    <t>05-07-18 16:11:31</t>
  </si>
  <si>
    <t>Vijay Gujaran</t>
  </si>
  <si>
    <t>02 May 1992</t>
  </si>
  <si>
    <t>vj.gujaran@gmail.com</t>
  </si>
  <si>
    <t>91 9892979894</t>
  </si>
  <si>
    <t>4 Yrs 2 Months</t>
  </si>
  <si>
    <t>Rs. 5.25 Lacs</t>
  </si>
  <si>
    <t>Assoicate</t>
  </si>
  <si>
    <t>Equity Research</t>
  </si>
  <si>
    <t>Morgan Stanley</t>
  </si>
  <si>
    <t>Other Management</t>
  </si>
  <si>
    <t>M.K.S College</t>
  </si>
  <si>
    <t>2015</t>
  </si>
  <si>
    <t>21-05-18 11:37:13</t>
  </si>
  <si>
    <t>22-05-18 13:52:58</t>
  </si>
  <si>
    <t>Jayesh Devadiga</t>
  </si>
  <si>
    <t>12 Aug 1993</t>
  </si>
  <si>
    <t>jaykumar384@gmail.com</t>
  </si>
  <si>
    <t>91 8286661640</t>
  </si>
  <si>
    <t>3 Yrs 4 Months</t>
  </si>
  <si>
    <t>Rs. 4.75 Lacs</t>
  </si>
  <si>
    <t>Sr.Associate</t>
  </si>
  <si>
    <t>Globeop Financial Services</t>
  </si>
  <si>
    <t>S.K. Somaiya College</t>
  </si>
  <si>
    <t>2014</t>
  </si>
  <si>
    <t>26-03-18 12:15:15</t>
  </si>
  <si>
    <t>27-03-18 10:08:20</t>
  </si>
  <si>
    <t>Nasir Sayed</t>
  </si>
  <si>
    <t>20 Aug 1969</t>
  </si>
  <si>
    <t>nasirsayed69@rediffmail.com</t>
  </si>
  <si>
    <t>91 9820889770</t>
  </si>
  <si>
    <t>23 Yrs 0 Month</t>
  </si>
  <si>
    <t>EVP &amp; Business head</t>
  </si>
  <si>
    <t>SBU Head / CEO / Director</t>
  </si>
  <si>
    <t>Volition Credit ( Finmax Group)</t>
  </si>
  <si>
    <t>NationalInstituteofMgt</t>
  </si>
  <si>
    <t>27-08-18 10:27:02</t>
  </si>
  <si>
    <t>28-08-18 11:52:03</t>
  </si>
  <si>
    <t>Manasi Muranjan</t>
  </si>
  <si>
    <t>28 Nov 1991</t>
  </si>
  <si>
    <t>muranjan.mansi@gmail.com</t>
  </si>
  <si>
    <t>91 7744880752</t>
  </si>
  <si>
    <t>All India, Mumbai City, Vadodara</t>
  </si>
  <si>
    <t>1 Yr 11 Months</t>
  </si>
  <si>
    <t>HR Consultant</t>
  </si>
  <si>
    <t>HR</t>
  </si>
  <si>
    <t>Retail</t>
  </si>
  <si>
    <t>Marks and Spencer</t>
  </si>
  <si>
    <t>HR/ Industrial Relations</t>
  </si>
  <si>
    <t>MITSOB</t>
  </si>
  <si>
    <t>31-07-18 06:48:44</t>
  </si>
  <si>
    <t>Nilesh Mangesh Chavan</t>
  </si>
  <si>
    <t>chavan.nilesh10@gmail.com</t>
  </si>
  <si>
    <t>91 9730146008</t>
  </si>
  <si>
    <t>Sales Executive</t>
  </si>
  <si>
    <t>Real Estate Consultant / Agent</t>
  </si>
  <si>
    <t>Real Estate</t>
  </si>
  <si>
    <t>udaan builders and devlopers</t>
  </si>
  <si>
    <t>7 Yrs</t>
  </si>
  <si>
    <t>Arts and Humanities</t>
  </si>
  <si>
    <t>01-07-18 10:51:30</t>
  </si>
  <si>
    <t>03-09-18 20:19:52</t>
  </si>
  <si>
    <t>Wasim Shaikh</t>
  </si>
  <si>
    <t>17 Nov 1990</t>
  </si>
  <si>
    <t>skwasi50@yahoo.in</t>
  </si>
  <si>
    <t>91 9768050832</t>
  </si>
  <si>
    <t>6 Yrs 2 Months</t>
  </si>
  <si>
    <t>Rs. 5.10 Lacs</t>
  </si>
  <si>
    <t>Senior Associate - Back Office Processing</t>
  </si>
  <si>
    <t>Back Office Operations</t>
  </si>
  <si>
    <t>Insurance</t>
  </si>
  <si>
    <t>Jardine Lloyd's Thomson LTD</t>
  </si>
  <si>
    <t>B.B.A / B.M.S</t>
  </si>
  <si>
    <t>Management</t>
  </si>
  <si>
    <t>06-07-18 00:10:48</t>
  </si>
  <si>
    <t>06-07-18 13:30:29</t>
  </si>
  <si>
    <t>Shubham Lal</t>
  </si>
  <si>
    <t>26 Mar 1992</t>
  </si>
  <si>
    <t>shubhamlal.92@gmail.com</t>
  </si>
  <si>
    <t>91 8980173703</t>
  </si>
  <si>
    <t>Indian Institute of Technology, Guwahati</t>
  </si>
  <si>
    <t>13-02-16 02:45:25</t>
  </si>
  <si>
    <t>03-05-18 12:28:10</t>
  </si>
  <si>
    <t>Sarvesh Dinesh Pandey</t>
  </si>
  <si>
    <t>30 Jan 1992</t>
  </si>
  <si>
    <t>saviopandey@gmail.com</t>
  </si>
  <si>
    <t>91 8898379653</t>
  </si>
  <si>
    <t>Bangalore, Noida, Thane, Pune, Mumbai City, Delhi, Panaji, Shimla</t>
  </si>
  <si>
    <t>2 Yrs 5 Months</t>
  </si>
  <si>
    <t>Rs. 4.50 Lacs</t>
  </si>
  <si>
    <t>Credit Deparment</t>
  </si>
  <si>
    <t>Greater Bombay Co Op Bank</t>
  </si>
  <si>
    <t>ATHARVA INSTITUTE OF MANAGEMENT STUDIES</t>
  </si>
  <si>
    <t>11-08-18 15:18:24</t>
  </si>
  <si>
    <t>Purendra Rai</t>
  </si>
  <si>
    <t>15 Jul 1988</t>
  </si>
  <si>
    <t>raipurendra@gmail.com</t>
  </si>
  <si>
    <t>91 8655302691</t>
  </si>
  <si>
    <t>Ghaziabad, Mumbai City</t>
  </si>
  <si>
    <t>6 Yrs 8 Months</t>
  </si>
  <si>
    <t>Rs. 4.80 Lacs</t>
  </si>
  <si>
    <t>Engineer</t>
  </si>
  <si>
    <t>Technical Support / Helpdesk</t>
  </si>
  <si>
    <t>Prime Focus Ltd</t>
  </si>
  <si>
    <t>Harware and Networking</t>
  </si>
  <si>
    <t>Shokeenda Hardware and Networking Institute</t>
  </si>
  <si>
    <t>01-03-18 16:58:48</t>
  </si>
  <si>
    <t>28-05-18 14:21:48</t>
  </si>
  <si>
    <t>Dolly DCunha</t>
  </si>
  <si>
    <t>29 Mar 1988</t>
  </si>
  <si>
    <t>dolly298@rediffmail.com</t>
  </si>
  <si>
    <t>91 9272047486</t>
  </si>
  <si>
    <t>Pune, Mumbai City, Vasco da Gama, Other Goa, Panaji</t>
  </si>
  <si>
    <t>2 Yrs 11 Months</t>
  </si>
  <si>
    <t>Rs. 5.40 Lacs</t>
  </si>
  <si>
    <t>Junior Legal</t>
  </si>
  <si>
    <t>Legal Support Services</t>
  </si>
  <si>
    <t>Cognizant Technology Solutions</t>
  </si>
  <si>
    <t>LL.M</t>
  </si>
  <si>
    <t>Law</t>
  </si>
  <si>
    <t>Modern Law College, Pune</t>
  </si>
  <si>
    <t>19-04-18 19:32:30</t>
  </si>
  <si>
    <t>01-08-18 18:02:48</t>
  </si>
  <si>
    <t>Jignesh Damania</t>
  </si>
  <si>
    <t>damaniajignesh@yahoo.com</t>
  </si>
  <si>
    <t>91 9821440209</t>
  </si>
  <si>
    <t>10 Yrs 1 Month</t>
  </si>
  <si>
    <t>MANAGER</t>
  </si>
  <si>
    <t>BRII APPARELS</t>
  </si>
  <si>
    <t>Computers</t>
  </si>
  <si>
    <t>r e i</t>
  </si>
  <si>
    <t>19-07-18 18:55:50</t>
  </si>
  <si>
    <t>21-07-18 10:38:52</t>
  </si>
  <si>
    <t>Jignesh Kapadia</t>
  </si>
  <si>
    <t>22 Apr 1976</t>
  </si>
  <si>
    <t>jigneshikapadia@yahoo.co.in</t>
  </si>
  <si>
    <t>91 9833303366</t>
  </si>
  <si>
    <t>16 Yrs 4 Months</t>
  </si>
  <si>
    <t>Rs. 5.90 Lacs</t>
  </si>
  <si>
    <t>Estimation Engineer</t>
  </si>
  <si>
    <t>Antia Electricals Pvt. Ltd.</t>
  </si>
  <si>
    <t>12 Yrs</t>
  </si>
  <si>
    <t>Electrical</t>
  </si>
  <si>
    <t>Smt. S. S. Patil Institute of technology</t>
  </si>
  <si>
    <t>1996</t>
  </si>
  <si>
    <t>19-08-18 16:14:22</t>
  </si>
  <si>
    <t>02-09-18 17:48:13</t>
  </si>
  <si>
    <t>KAILASH LOHAR</t>
  </si>
  <si>
    <t>01 Jun 1981</t>
  </si>
  <si>
    <t>krlohar@rediffmail.com</t>
  </si>
  <si>
    <t>91 9921083864</t>
  </si>
  <si>
    <t>13 Yrs 0 Month</t>
  </si>
  <si>
    <t>Rs. 8.40 Lacs</t>
  </si>
  <si>
    <t>Project EngineerSite EngineerJr Engineer</t>
  </si>
  <si>
    <t>IVRCL Infrastructures &amp; Projects Limited</t>
  </si>
  <si>
    <t>10 Yrs</t>
  </si>
  <si>
    <t>Biotechnology</t>
  </si>
  <si>
    <t>Karnataka state open university</t>
  </si>
  <si>
    <t>24-12-17 12:41:20</t>
  </si>
  <si>
    <t>16-08-18 11:16:19</t>
  </si>
  <si>
    <t>bheem sain chauhan</t>
  </si>
  <si>
    <t>bheemsain.93@gmail.com</t>
  </si>
  <si>
    <t>91 9763951723</t>
  </si>
  <si>
    <t>Rs. 3.50 Lacs</t>
  </si>
  <si>
    <t>Security Supervisor</t>
  </si>
  <si>
    <t>Securities Trading</t>
  </si>
  <si>
    <t>Security / Detective Services</t>
  </si>
  <si>
    <t>mast</t>
  </si>
  <si>
    <t>4 Yrs</t>
  </si>
  <si>
    <t>sgrpgcollegedobhi jaunpur</t>
  </si>
  <si>
    <t>1995</t>
  </si>
  <si>
    <t>15-03-17 10:17:16</t>
  </si>
  <si>
    <t>06-09-18 18:09:20</t>
  </si>
  <si>
    <t>Rushabh Shah</t>
  </si>
  <si>
    <t>25 Aug 1990</t>
  </si>
  <si>
    <t>rushabhshah1990@gmail.com</t>
  </si>
  <si>
    <t>91 9323419380</t>
  </si>
  <si>
    <t>Rs. 15.30 Lacs</t>
  </si>
  <si>
    <t>Assistant Manager</t>
  </si>
  <si>
    <t>Maintenance</t>
  </si>
  <si>
    <t>NTPC Limited</t>
  </si>
  <si>
    <t>Indian Institute of Technology, Kharagpur</t>
  </si>
  <si>
    <t>23-08-18 09:56:57</t>
  </si>
  <si>
    <t>Niraj Yadav</t>
  </si>
  <si>
    <t>24 Jun 1991</t>
  </si>
  <si>
    <t>nyniraj@gmail.com</t>
  </si>
  <si>
    <t>91 9702143699</t>
  </si>
  <si>
    <t>4 Yrs 7 Months</t>
  </si>
  <si>
    <t>Electrical Engineer(Testing)</t>
  </si>
  <si>
    <t>Testing</t>
  </si>
  <si>
    <t>Diagnostic Technologies India PVT ltd</t>
  </si>
  <si>
    <t>Viva Institute of Technology</t>
  </si>
  <si>
    <t>29-08-18 18:58:07</t>
  </si>
  <si>
    <t>30-08-18 10:10:12</t>
  </si>
  <si>
    <t>nupur tiwari</t>
  </si>
  <si>
    <t>nupurtiwari4@gmail.com</t>
  </si>
  <si>
    <t>91 9930187733</t>
  </si>
  <si>
    <t>24-07-18 16:16:32</t>
  </si>
  <si>
    <t>26-07-18 15:03:40</t>
  </si>
  <si>
    <t>Saurabh Sasikumar</t>
  </si>
  <si>
    <t>26 May 1994</t>
  </si>
  <si>
    <t>saurabh.sskmr@gmail.com</t>
  </si>
  <si>
    <t>91 9567227624</t>
  </si>
  <si>
    <t>- Any -, Idukki, Kochi, Kozhikode, Thane, Thiruvanananthapuram, Thrissur, Wayanad</t>
  </si>
  <si>
    <t>Trainee</t>
  </si>
  <si>
    <t>Furnishings / Sanitaryware / Electricals</t>
  </si>
  <si>
    <t>Pulsar engineering</t>
  </si>
  <si>
    <t>Holy kings college of engineering and technology</t>
  </si>
  <si>
    <t>2017</t>
  </si>
  <si>
    <t>31-10-17 13:25:13</t>
  </si>
  <si>
    <t>01-06-18 21:09:30</t>
  </si>
  <si>
    <t>Unni M Kakanadan</t>
  </si>
  <si>
    <t>05 Jul 1986</t>
  </si>
  <si>
    <t>theunni009@gmail.com</t>
  </si>
  <si>
    <t>91 7715892163</t>
  </si>
  <si>
    <t>Bangalore, Kochi, Mumbai City</t>
  </si>
  <si>
    <t>0 Yr 3 Months</t>
  </si>
  <si>
    <t>Souvenir Editorial</t>
  </si>
  <si>
    <t>Gateway LitFest</t>
  </si>
  <si>
    <t>Zee Institute ofCreative Arts (ZICA)</t>
  </si>
  <si>
    <t>09-05-18 17:42:29</t>
  </si>
  <si>
    <t>19-07-18 15:08:44</t>
  </si>
  <si>
    <t>VIJAY RAJKUMAR CHELLANI</t>
  </si>
  <si>
    <t>vijay20chellani@gmail.com</t>
  </si>
  <si>
    <t>91 9860868327</t>
  </si>
  <si>
    <t>IT-Software</t>
  </si>
  <si>
    <t>Thadomal Shahani Engineering College</t>
  </si>
  <si>
    <t>27-10-17 14:28:00</t>
  </si>
  <si>
    <t>10-05-18 12:46:43</t>
  </si>
  <si>
    <t>mayank dabral</t>
  </si>
  <si>
    <t>20 Jun 1991</t>
  </si>
  <si>
    <t>mayankdabral18@gmail.com</t>
  </si>
  <si>
    <t>91 7506889552</t>
  </si>
  <si>
    <t>5 Yrs 3 Months</t>
  </si>
  <si>
    <t>Rs. 6.55 Lacs</t>
  </si>
  <si>
    <t>Vfx artist</t>
  </si>
  <si>
    <t>Visual Effects</t>
  </si>
  <si>
    <t>Double negative</t>
  </si>
  <si>
    <t>maac</t>
  </si>
  <si>
    <t>12-06-18 01:35:36</t>
  </si>
  <si>
    <t>28-06-18 14:18:03</t>
  </si>
  <si>
    <t>PRAKASH ZIMBAL</t>
  </si>
  <si>
    <t>18 Jun 1987</t>
  </si>
  <si>
    <t>zimbalprakashaaa@gmail.com</t>
  </si>
  <si>
    <t>91 9970325296</t>
  </si>
  <si>
    <t>4 Yrs 8 Months</t>
  </si>
  <si>
    <t>Sr.QA OFFICER</t>
  </si>
  <si>
    <t>Quality (QA-QC)</t>
  </si>
  <si>
    <t>Sri Krishna Pharma Ltd</t>
  </si>
  <si>
    <t>Applied Chemistry</t>
  </si>
  <si>
    <t>28-08-18 21:15:41</t>
  </si>
  <si>
    <t>06-09-18 15:46:52</t>
  </si>
  <si>
    <t>PANKESH PIMPLE</t>
  </si>
  <si>
    <t>01 Jun 1975</t>
  </si>
  <si>
    <t>pankeshpimple@gmail.com</t>
  </si>
  <si>
    <t>91 8983657976</t>
  </si>
  <si>
    <t>18 Yrs 2 Months</t>
  </si>
  <si>
    <t>Rs. 16.25 Lacs</t>
  </si>
  <si>
    <t>Manager-Execution</t>
  </si>
  <si>
    <t>Rohini Industrial Electricals Ltd.(A Voltas Subsidiary)</t>
  </si>
  <si>
    <t>Rajasthan University</t>
  </si>
  <si>
    <t>04-08-18 15:27:28</t>
  </si>
  <si>
    <t>20-08-18 15:11:21</t>
  </si>
  <si>
    <t>Dinesh Kanade</t>
  </si>
  <si>
    <t>dineshkanade27@yahoo.com</t>
  </si>
  <si>
    <t>91 9221966335</t>
  </si>
  <si>
    <t>ProcessDRAUGHTMAN</t>
  </si>
  <si>
    <t>Oil &amp; Gas / Petroleum</t>
  </si>
  <si>
    <t>M.C. CONSULTANT</t>
  </si>
  <si>
    <t>Dadar technical Institute</t>
  </si>
  <si>
    <t>2007</t>
  </si>
  <si>
    <t>08-03-18 13:04:45</t>
  </si>
  <si>
    <t>08-03-18 13:10:20</t>
  </si>
  <si>
    <t>MISHRA RAKESH</t>
  </si>
  <si>
    <t>14 Aug 1986</t>
  </si>
  <si>
    <t>ndmrakesh.mishra007@gmail.com</t>
  </si>
  <si>
    <t>91 7303858805</t>
  </si>
  <si>
    <t>All India, Varanasi, Lucknow, Mathura, Pune, Mumbai City, Allahabad</t>
  </si>
  <si>
    <t>7 Yrs 9 Months</t>
  </si>
  <si>
    <t>Field officer in NGO Handled the Team size of 5 People.</t>
  </si>
  <si>
    <t>NGO / Social Work</t>
  </si>
  <si>
    <t>Path</t>
  </si>
  <si>
    <t>B.Sc</t>
  </si>
  <si>
    <t>01-06-18 23:48:14</t>
  </si>
  <si>
    <t>01-09-18 12:25:08</t>
  </si>
  <si>
    <t xml:space="preserve">Sumit. P. Salunke   </t>
  </si>
  <si>
    <t>sumitbuddys86@gmail.com</t>
  </si>
  <si>
    <t>91 8898251248</t>
  </si>
  <si>
    <t>Rs. 4.10 Lacs</t>
  </si>
  <si>
    <t>Senior Associate</t>
  </si>
  <si>
    <t>Government Department</t>
  </si>
  <si>
    <t>TCS Roche Pharma</t>
  </si>
  <si>
    <t>02-09-18 16:30:39</t>
  </si>
  <si>
    <t>06-09-18 15:45:02</t>
  </si>
  <si>
    <t>Nishant B</t>
  </si>
  <si>
    <t>nerabang@gmail.com</t>
  </si>
  <si>
    <t>91 1000000000</t>
  </si>
  <si>
    <t>12 Yrs 0 Month</t>
  </si>
  <si>
    <t>Rs. 8.00 Lacs</t>
  </si>
  <si>
    <t>Finance Executive</t>
  </si>
  <si>
    <t>BPO / Call Center</t>
  </si>
  <si>
    <t>Not Mentioned</t>
  </si>
  <si>
    <t>06-09-18 21:22:57</t>
  </si>
  <si>
    <t>Shardul Samant</t>
  </si>
  <si>
    <t>01 Dec 1991</t>
  </si>
  <si>
    <t>shardul11291@gmail.com</t>
  </si>
  <si>
    <t>91 9820862044</t>
  </si>
  <si>
    <t>- Any -, Mumbai City</t>
  </si>
  <si>
    <t>2 Yrs 2 Months</t>
  </si>
  <si>
    <t>Associate</t>
  </si>
  <si>
    <t>SS&amp;C Globeop Financial services</t>
  </si>
  <si>
    <t>26-05-18 16:13:32</t>
  </si>
  <si>
    <t>28-05-18 14:40:05</t>
  </si>
  <si>
    <t>Bharti Nagdeo</t>
  </si>
  <si>
    <t>27 Jan 1992</t>
  </si>
  <si>
    <t>bhartinagdeo@gmail.com</t>
  </si>
  <si>
    <t>91 8087264159</t>
  </si>
  <si>
    <t>3 Yrs 11 Months</t>
  </si>
  <si>
    <t>Rs. 10.35 Lacs</t>
  </si>
  <si>
    <t>Senior Research Associate</t>
  </si>
  <si>
    <t>E(id,display,value,id_nosql) valueserve</t>
  </si>
  <si>
    <t xml:space="preserve"> Mumbai University </t>
  </si>
  <si>
    <t>01-03-18 15:40:36</t>
  </si>
  <si>
    <t>25-08-18 16:38:49</t>
  </si>
  <si>
    <t>Tushar Sawant</t>
  </si>
  <si>
    <t>24 Feb 1978</t>
  </si>
  <si>
    <t>tusharlsawant@gmail.com</t>
  </si>
  <si>
    <t>91 9222332222</t>
  </si>
  <si>
    <t>Rs. 20.00 Lacs</t>
  </si>
  <si>
    <t>General / Operations Management</t>
  </si>
  <si>
    <t>Rentech Designs India Pvt Ltd</t>
  </si>
  <si>
    <t>Delhi University</t>
  </si>
  <si>
    <t>19-03-18 12:58:56</t>
  </si>
  <si>
    <t>20-03-18 14:47:18</t>
  </si>
  <si>
    <t>CAROLINE ANTHONY</t>
  </si>
  <si>
    <t>13 Jul 1969</t>
  </si>
  <si>
    <t>ivanannecaroline@gmail.com</t>
  </si>
  <si>
    <t>91 9769357104</t>
  </si>
  <si>
    <t>21 Yrs 6 Months</t>
  </si>
  <si>
    <t>Deputy General Manager</t>
  </si>
  <si>
    <t>Travel / Tourism</t>
  </si>
  <si>
    <t>CORPORATE BUSINESS TRAVEL SOLUTIONS</t>
  </si>
  <si>
    <t>19 Yrs</t>
  </si>
  <si>
    <t>Sociology</t>
  </si>
  <si>
    <t>1992</t>
  </si>
  <si>
    <t>13-01-18 20:24:00</t>
  </si>
  <si>
    <t>28-08-18 11:49:06</t>
  </si>
  <si>
    <t>santosh trimukhe</t>
  </si>
  <si>
    <t>31 Jan 1983</t>
  </si>
  <si>
    <t>trimukhe.s@gmail.com</t>
  </si>
  <si>
    <t>91 7276493921</t>
  </si>
  <si>
    <t>Rs. 8.70 Lacs</t>
  </si>
  <si>
    <t>Revit moduller</t>
  </si>
  <si>
    <t>XS CAD BIM</t>
  </si>
  <si>
    <t>3 weeks</t>
  </si>
  <si>
    <t>Patuck Polytechnical</t>
  </si>
  <si>
    <t>2004</t>
  </si>
  <si>
    <t>03-09-18 20:55:33</t>
  </si>
  <si>
    <t>04-09-18 10:48:14</t>
  </si>
  <si>
    <t>Rati Shroff</t>
  </si>
  <si>
    <t>08 Jul 1984</t>
  </si>
  <si>
    <t>shroff.rati@gmail.com</t>
  </si>
  <si>
    <t>91 9920550500</t>
  </si>
  <si>
    <t>Bangalore, Pune, Mumbai City</t>
  </si>
  <si>
    <t>Rs. 12.00 Lacs</t>
  </si>
  <si>
    <t>The Q Experiences</t>
  </si>
  <si>
    <t>PG Diploma</t>
  </si>
  <si>
    <t>Indian Institute of Planning and Management</t>
  </si>
  <si>
    <t>10-04-18 12:13:42</t>
  </si>
  <si>
    <t>Mitesh Patel</t>
  </si>
  <si>
    <t>28 Oct 1991</t>
  </si>
  <si>
    <t>montu610@gmail.com</t>
  </si>
  <si>
    <t>91 9725909346</t>
  </si>
  <si>
    <t>Bahrain, Oman, Qatar, Russia, All India, Iraq, Kuwait, United Arab Emirates, Angola, Mumbai City, Kazakhstan, Indonesia</t>
  </si>
  <si>
    <t>7 Yrs 2 Months</t>
  </si>
  <si>
    <t>Rs. 16.00 Lacs</t>
  </si>
  <si>
    <t>Electrical commissioning Technician</t>
  </si>
  <si>
    <t>Oil &amp; Gas Engineering</t>
  </si>
  <si>
    <t>Petrofac</t>
  </si>
  <si>
    <t>G.S.E.B. Ghandhinagar</t>
  </si>
  <si>
    <t>22-08-18 18:09:27</t>
  </si>
  <si>
    <t>SANTOSH DATTARAM JADHAV</t>
  </si>
  <si>
    <t>jadhavsantosh1.sj@gmail.com</t>
  </si>
  <si>
    <t>91 9821667084</t>
  </si>
  <si>
    <t>Rs. 6.00 Lacs</t>
  </si>
  <si>
    <t>TEAM LEADER</t>
  </si>
  <si>
    <t>HEALTH PRIME INTERNATIONAL INDIA PVT LTD</t>
  </si>
  <si>
    <t>9 Yrs</t>
  </si>
  <si>
    <t>ITM MUMBAI</t>
  </si>
  <si>
    <t>19-08-18 10:26:55</t>
  </si>
  <si>
    <t>20-08-18 16:34:57</t>
  </si>
  <si>
    <t>MUKESH MATHUR</t>
  </si>
  <si>
    <t>03 Mar 1963</t>
  </si>
  <si>
    <t>mukesh.madhucreation@gmail.com</t>
  </si>
  <si>
    <t>91 9821035706</t>
  </si>
  <si>
    <t>United Arab Emirates, United Kingdom, Canada, United States of America, Bahrain, Mumbai City, Singapore, France, New Zealand, Indonesia</t>
  </si>
  <si>
    <t>Director</t>
  </si>
  <si>
    <t>Entrepreneur</t>
  </si>
  <si>
    <t>M.M.Studios</t>
  </si>
  <si>
    <t>Jamia Milia Islamia</t>
  </si>
  <si>
    <t>1986</t>
  </si>
  <si>
    <t>22-06-18 12:13:15</t>
  </si>
  <si>
    <t>30-08-18 23:14:57</t>
  </si>
  <si>
    <t>Sarthak Gupta</t>
  </si>
  <si>
    <t>16 Nov 1989</t>
  </si>
  <si>
    <t>sarthakg7@gmail.com</t>
  </si>
  <si>
    <t>91 9833020071</t>
  </si>
  <si>
    <t>All India, Bangalore, Pune, Mumbai City</t>
  </si>
  <si>
    <t>6 Yrs 0 Month</t>
  </si>
  <si>
    <t>Assistant Marketing Manager</t>
  </si>
  <si>
    <t>FMCG / F&amp;B</t>
  </si>
  <si>
    <t>White Owl Brewery</t>
  </si>
  <si>
    <t>Economics</t>
  </si>
  <si>
    <t>MIthibai College</t>
  </si>
  <si>
    <t>01-09-18 19:55:47</t>
  </si>
  <si>
    <t>Reuben dsouza</t>
  </si>
  <si>
    <t>13 Nov 1986</t>
  </si>
  <si>
    <t>dsouza.reuben@gmail.com</t>
  </si>
  <si>
    <t>91 9833149268</t>
  </si>
  <si>
    <t>9 Yrs 0 Month</t>
  </si>
  <si>
    <t>Manager HR</t>
  </si>
  <si>
    <t>UPL Ltd</t>
  </si>
  <si>
    <t>N L Dalmia Institute of Management Studies and Research</t>
  </si>
  <si>
    <t>08-02-18 14:16:34</t>
  </si>
  <si>
    <t>08-06-18 14:35:37</t>
  </si>
  <si>
    <t>Sashank Sekhar Mohanty</t>
  </si>
  <si>
    <t>30 Nov 1961</t>
  </si>
  <si>
    <t>sashmohanty@yahoo.com</t>
  </si>
  <si>
    <t>91 9930961126</t>
  </si>
  <si>
    <t>Assistant Commandant in CISF,Govt.of India</t>
  </si>
  <si>
    <t>CENTRAL  INDUSTRIAL SECURITY FORCE</t>
  </si>
  <si>
    <t>&gt; 25 Yrs</t>
  </si>
  <si>
    <t>LLB</t>
  </si>
  <si>
    <t>Utkal University</t>
  </si>
  <si>
    <t>1985</t>
  </si>
  <si>
    <t>17-07-17 19:26:32</t>
  </si>
  <si>
    <t>01-05-18 17:10:41</t>
  </si>
  <si>
    <t>kalyan kokate</t>
  </si>
  <si>
    <t>30 Aug 1991</t>
  </si>
  <si>
    <t>k.kokate001@gmail.com</t>
  </si>
  <si>
    <t>91 9860219707</t>
  </si>
  <si>
    <t>Navi Mumbai</t>
  </si>
  <si>
    <t>Bangalore, Chennai, Kochi, Hyderabad, Kolkata, Navi Mumbai, Pune, Mumbai City, Ahmedabad</t>
  </si>
  <si>
    <t>5 Yrs 0 Month</t>
  </si>
  <si>
    <t>Rs. 4.05 Lacs</t>
  </si>
  <si>
    <t>Project engineer</t>
  </si>
  <si>
    <t>Emerson process management india ltd</t>
  </si>
  <si>
    <t>Electronics/Telecommunication</t>
  </si>
  <si>
    <t>PUNE UNIVERSITY</t>
  </si>
  <si>
    <t>04-08-18 16:03:11</t>
  </si>
  <si>
    <t>29-08-18 09:59:02</t>
  </si>
  <si>
    <t>OM PRAKASH JAISWAL</t>
  </si>
  <si>
    <t>opjaiswal.1959@gmail.com</t>
  </si>
  <si>
    <t>91 9879905248</t>
  </si>
  <si>
    <t>Rs. 10.00 Lacs</t>
  </si>
  <si>
    <t>UB Engineering Ltd</t>
  </si>
  <si>
    <t>Magadh University</t>
  </si>
  <si>
    <t>1983</t>
  </si>
  <si>
    <t>04-01-17 16:32:22</t>
  </si>
  <si>
    <t>09-07-18 19:53:08</t>
  </si>
  <si>
    <t>ARYABRAT GHOSH</t>
  </si>
  <si>
    <t>05 May 1974</t>
  </si>
  <si>
    <t>aryabrat.ghosh@gmail.com</t>
  </si>
  <si>
    <t>91 9711190475</t>
  </si>
  <si>
    <t>All India, Other Odisha, Kolkata, Pune, Mumbai City, Delhi</t>
  </si>
  <si>
    <t>Rs. 38.00 Lacs</t>
  </si>
  <si>
    <t>BU Head Cement Additive</t>
  </si>
  <si>
    <t>Chemical / Plastic / Rubber / Glass</t>
  </si>
  <si>
    <t>Chryso(india)</t>
  </si>
  <si>
    <t>Sambalpur University</t>
  </si>
  <si>
    <t>1997</t>
  </si>
  <si>
    <t>15-06-18 10:47:02</t>
  </si>
  <si>
    <t>03-09-18 14:34:11</t>
  </si>
  <si>
    <t xml:space="preserve">Shivaji Shelar </t>
  </si>
  <si>
    <t>26 May 1987</t>
  </si>
  <si>
    <t>shivajishelar26@gmail.com</t>
  </si>
  <si>
    <t>91 8378941575</t>
  </si>
  <si>
    <t>Pune</t>
  </si>
  <si>
    <t>Sr.officer Quality Control (Microbiology)</t>
  </si>
  <si>
    <t>Lupin pharmaceutical</t>
  </si>
  <si>
    <t>Microbiology</t>
  </si>
  <si>
    <t>Bharti vidypeth</t>
  </si>
  <si>
    <t>26-03-18 10:43:35</t>
  </si>
  <si>
    <t>22-08-18 10:07:26</t>
  </si>
  <si>
    <t>Moideen Sha N</t>
  </si>
  <si>
    <t>05 Jul 1980</t>
  </si>
  <si>
    <t>moideensha099@gmail.com</t>
  </si>
  <si>
    <t>966 0551862142</t>
  </si>
  <si>
    <t>3 Yrs 7 Months</t>
  </si>
  <si>
    <t>HSE Engineer</t>
  </si>
  <si>
    <t>Hadi H Al Hammam contracting co</t>
  </si>
  <si>
    <t>University of Calicut</t>
  </si>
  <si>
    <t>28-06-18 07:55:07</t>
  </si>
  <si>
    <t>viren dedhia</t>
  </si>
  <si>
    <t>18 Mar 1986</t>
  </si>
  <si>
    <t>dedhiaviren@yahoo.com</t>
  </si>
  <si>
    <t>91 9987145720</t>
  </si>
  <si>
    <t>1 Yr 5 Months</t>
  </si>
  <si>
    <t>Consultant - Security Services</t>
  </si>
  <si>
    <t>Angel Broking Ltd</t>
  </si>
  <si>
    <t>29-04-18 11:13:05</t>
  </si>
  <si>
    <t>neha wadke</t>
  </si>
  <si>
    <t>08 Apr 1992</t>
  </si>
  <si>
    <t>wadkeneha@ymail.com</t>
  </si>
  <si>
    <t>91 8976792846</t>
  </si>
  <si>
    <t>Thane, Mumbai City</t>
  </si>
  <si>
    <t>0 Yr 8 Months</t>
  </si>
  <si>
    <t>Medical Transcriptor</t>
  </si>
  <si>
    <t>Data Entry</t>
  </si>
  <si>
    <t>health prime international india pvt ltd</t>
  </si>
  <si>
    <t>HOSPITAL ADMINISTRATION</t>
  </si>
  <si>
    <t>Garware Institute of career education &amp; developement</t>
  </si>
  <si>
    <t>22-09-17 15:56:25</t>
  </si>
  <si>
    <t>28-06-18 20:44:03</t>
  </si>
  <si>
    <t>Surendra Agrawal</t>
  </si>
  <si>
    <t>18 Sep 1951</t>
  </si>
  <si>
    <t>suvidhafreightforwarders@gmail.com</t>
  </si>
  <si>
    <t>91 9867112227</t>
  </si>
  <si>
    <t>Rs. 18.00 Lacs</t>
  </si>
  <si>
    <t>Operation Manager (Shipping/Logistics)</t>
  </si>
  <si>
    <t>Documentation / Shipping</t>
  </si>
  <si>
    <t>Logistics / Courier / Transportation</t>
  </si>
  <si>
    <t>Suvidha Freight Forwarders</t>
  </si>
  <si>
    <t>1 week</t>
  </si>
  <si>
    <t>1975</t>
  </si>
  <si>
    <t>25-06-16 10:12:23</t>
  </si>
  <si>
    <t>04-08-18 13:26:00</t>
  </si>
  <si>
    <t>Devanshu Mishra</t>
  </si>
  <si>
    <t>24 Oct 1986</t>
  </si>
  <si>
    <t>devanshumishramumbai@gmail.com</t>
  </si>
  <si>
    <t>91 9022392455</t>
  </si>
  <si>
    <t>Rs. 22.20 Lacs</t>
  </si>
  <si>
    <t>Manager Property &amp; Assets</t>
  </si>
  <si>
    <t>Jones Lang LaSalle Meghraj</t>
  </si>
  <si>
    <t>University of Mumbai</t>
  </si>
  <si>
    <t>20-06-18 11:45:13</t>
  </si>
  <si>
    <t>karunya j</t>
  </si>
  <si>
    <t>26 Jul 1991</t>
  </si>
  <si>
    <t>karunya26eee@gmail.com</t>
  </si>
  <si>
    <t>91 9769953522</t>
  </si>
  <si>
    <t>Bangalore</t>
  </si>
  <si>
    <t>3 Yrs 5 Months</t>
  </si>
  <si>
    <t>Rs. 5.70 Lacs</t>
  </si>
  <si>
    <t>Electrical Design Engineer</t>
  </si>
  <si>
    <t>Bajaj Electricals Limited</t>
  </si>
  <si>
    <t>CENTRAL BOARD OF IRRIGATION &amp; POWER</t>
  </si>
  <si>
    <t>20-03-18 15:05:38</t>
  </si>
  <si>
    <t>23-08-18 15:06:49</t>
  </si>
  <si>
    <t>Ranika Sharma</t>
  </si>
  <si>
    <t>ranikasharma1@gmail.com</t>
  </si>
  <si>
    <t>91 9833853622</t>
  </si>
  <si>
    <t>1 Yr 2 Months</t>
  </si>
  <si>
    <t>Associate producer (WION)</t>
  </si>
  <si>
    <t>Journalism / Writing</t>
  </si>
  <si>
    <t>Zee News Ltd</t>
  </si>
  <si>
    <t>journalism</t>
  </si>
  <si>
    <t>CBSE Board</t>
  </si>
  <si>
    <t>15-03-18 19:00:51</t>
  </si>
  <si>
    <t>GOVIND MOHITE</t>
  </si>
  <si>
    <t>23 Aug 1981</t>
  </si>
  <si>
    <t>gm238105@gmail.com</t>
  </si>
  <si>
    <t>91 8600392973</t>
  </si>
  <si>
    <t>Jamnagar, Pune, Mumbai City, Kolhapur, Panaji</t>
  </si>
  <si>
    <t>Sr. Engineer</t>
  </si>
  <si>
    <t>DAS Offshore Engg PVT LTD</t>
  </si>
  <si>
    <t>11-08-18 09:47:16</t>
  </si>
  <si>
    <t>03-09-18 13:28:51</t>
  </si>
  <si>
    <t>Prakash Handge</t>
  </si>
  <si>
    <t>12 Sep 1988</t>
  </si>
  <si>
    <t>praks7287@gmail.com</t>
  </si>
  <si>
    <t>91 9869838226</t>
  </si>
  <si>
    <t>Rs. 5.20 Lacs</t>
  </si>
  <si>
    <t>Team Leader</t>
  </si>
  <si>
    <t>Prime Focus Technologies</t>
  </si>
  <si>
    <t>Sinhgad Institute of business mangament</t>
  </si>
  <si>
    <t>03-09-18 16:22:05</t>
  </si>
  <si>
    <t>ABDUL RAHEEM</t>
  </si>
  <si>
    <t>12 Apr 1992</t>
  </si>
  <si>
    <t>abdulraheem2013.ar@gmail.com</t>
  </si>
  <si>
    <t>91 8072238697</t>
  </si>
  <si>
    <t>Kuwait, United Arab Emirates, Poland, Malaysia, Bahrain, Oman, Qatar, Saudi Arabia</t>
  </si>
  <si>
    <t>3 Yrs 0 Month</t>
  </si>
  <si>
    <t>SAFETY OFFICER</t>
  </si>
  <si>
    <t>EQUATE Petrochemical Company, Shuaiba Plant, Kuwait.Kuwaitis Distinguished Systems Company (KDSC).</t>
  </si>
  <si>
    <t>Ganapathy Chittiyar college of Engineering and Technology</t>
  </si>
  <si>
    <t>09-02-18 19:48:05</t>
  </si>
  <si>
    <t>07-06-18 11:28:19</t>
  </si>
  <si>
    <t>Mukesh Gajra</t>
  </si>
  <si>
    <t>03 Oct 1973</t>
  </si>
  <si>
    <t>m_gajra@rediffmail.com</t>
  </si>
  <si>
    <t>91 9930007514</t>
  </si>
  <si>
    <t>- Any -</t>
  </si>
  <si>
    <t>23 Yrs 5 Months</t>
  </si>
  <si>
    <t>Head Retail</t>
  </si>
  <si>
    <t>Reliance Retail</t>
  </si>
  <si>
    <t>The University of Sheffield</t>
  </si>
  <si>
    <t>19-08-18 18:43:53</t>
  </si>
  <si>
    <t>30-08-18 20:27:24</t>
  </si>
  <si>
    <t>krunal desai</t>
  </si>
  <si>
    <t>12 Mar 1992</t>
  </si>
  <si>
    <t>krunaldesai007@yahoo.com</t>
  </si>
  <si>
    <t>91 8879510117</t>
  </si>
  <si>
    <t>4 Yrs 5 Months</t>
  </si>
  <si>
    <t>Sr. Executive Sales</t>
  </si>
  <si>
    <t>Runwal Properties Pvt. Ltd.</t>
  </si>
  <si>
    <t>Malini Kishor Sanghvi College of Commerce &amp; Economics</t>
  </si>
  <si>
    <t>16-07-18 14:49:28</t>
  </si>
  <si>
    <t>17-07-18 11:37:13</t>
  </si>
  <si>
    <t xml:space="preserve">PANKAJ </t>
  </si>
  <si>
    <t>pnkj_naik@yahoo.co.in</t>
  </si>
  <si>
    <t>91 9619834604</t>
  </si>
  <si>
    <t>Rs. 36.00 Lacs</t>
  </si>
  <si>
    <t>PRINCIPAL ENGINEER</t>
  </si>
  <si>
    <t>SAMSUNG ENGINEERING SAUDI ARABIA</t>
  </si>
  <si>
    <t>Gujarat University</t>
  </si>
  <si>
    <t>24-03-18 11:45:22</t>
  </si>
  <si>
    <t>16-04-18 15:32:10</t>
  </si>
  <si>
    <t xml:space="preserve">SANTOSH KORI </t>
  </si>
  <si>
    <t>05 Apr 1986</t>
  </si>
  <si>
    <t>santoshkori1986@gmail.com</t>
  </si>
  <si>
    <t>91 9773669292</t>
  </si>
  <si>
    <t>8 Yrs 0 Month</t>
  </si>
  <si>
    <t>Legal</t>
  </si>
  <si>
    <t>Thomson Reuters</t>
  </si>
  <si>
    <t>6 Yrs</t>
  </si>
  <si>
    <t>Kanpur University</t>
  </si>
  <si>
    <t>13-03-18 14:30:45</t>
  </si>
  <si>
    <t>16-08-18 16:14:30</t>
  </si>
  <si>
    <t>Nakib ullah</t>
  </si>
  <si>
    <t>12 Feb 1992</t>
  </si>
  <si>
    <t>md.nakib1@gmail.com</t>
  </si>
  <si>
    <t>91 8015811370</t>
  </si>
  <si>
    <t>Chennai</t>
  </si>
  <si>
    <t>Rs. 4.30 Lacs</t>
  </si>
  <si>
    <t>Inspection Engineer</t>
  </si>
  <si>
    <t>Saudi Kayan Petrochemical</t>
  </si>
  <si>
    <t>Annamalai University</t>
  </si>
  <si>
    <t>03-05-18 19:27:14</t>
  </si>
  <si>
    <t>30-05-18 16:33:20</t>
  </si>
  <si>
    <t xml:space="preserve">PRASEED.T.K. </t>
  </si>
  <si>
    <t>tkpraseed@gmail.com</t>
  </si>
  <si>
    <t>91 9819397842</t>
  </si>
  <si>
    <t>18 Yrs 6 Months</t>
  </si>
  <si>
    <t>Rs. 8.50 Lacs</t>
  </si>
  <si>
    <t>Sr Construction Manager</t>
  </si>
  <si>
    <t>L&amp;T Construction</t>
  </si>
  <si>
    <t>18 Yrs</t>
  </si>
  <si>
    <t>Kerala Govt. polytechnic,Calicut.</t>
  </si>
  <si>
    <t>1976</t>
  </si>
  <si>
    <t>24-01-17 12:02:57</t>
  </si>
  <si>
    <t>16-08-18 11:41:48</t>
  </si>
  <si>
    <t xml:space="preserve">Abbhaysing Baayas </t>
  </si>
  <si>
    <t>09 Feb 1985</t>
  </si>
  <si>
    <t>abbhaysingbaayas@gmail.com</t>
  </si>
  <si>
    <t>91 7977630510</t>
  </si>
  <si>
    <t>7 Yrs 3 Months</t>
  </si>
  <si>
    <t>SME</t>
  </si>
  <si>
    <t>Kothari Solutions</t>
  </si>
  <si>
    <t>The Institute for Technology &amp; Management (ITM)</t>
  </si>
  <si>
    <t>01-08-18 19:30:28</t>
  </si>
  <si>
    <t>07-08-18 21:34:23</t>
  </si>
  <si>
    <t>AMIT KUMAR DAS</t>
  </si>
  <si>
    <t>amit_ee04@yahoo.co.in</t>
  </si>
  <si>
    <t>91 9967663277</t>
  </si>
  <si>
    <t>Rs. 13.00 Lacs</t>
  </si>
  <si>
    <t>DY MANAGER ELECTRICAL MAINTENANCE WRM</t>
  </si>
  <si>
    <t>Metal / Iron / Steel</t>
  </si>
  <si>
    <t>Mukand Ltd</t>
  </si>
  <si>
    <t>R G P V BHOPAL</t>
  </si>
  <si>
    <t>12-11-16 14:50:40</t>
  </si>
  <si>
    <t>10-03-18 10:09:03</t>
  </si>
  <si>
    <t xml:space="preserve">Ghanshyam v Jethva </t>
  </si>
  <si>
    <t>12 Jun 1994</t>
  </si>
  <si>
    <t>jethvaghanshyam7@gmail.com</t>
  </si>
  <si>
    <t>91 7405106293</t>
  </si>
  <si>
    <t>- Any -, Other Gujarat, Rajkot, Vapi, Navi Mumbai, Mumbai City, Surat, Valsad, Vadodara</t>
  </si>
  <si>
    <t>2 Yrs 6 Months</t>
  </si>
  <si>
    <t>NDT inspector</t>
  </si>
  <si>
    <t>Godrej aerospace</t>
  </si>
  <si>
    <t>Uka tarsadia University</t>
  </si>
  <si>
    <t>28-08-18 23:51:59</t>
  </si>
  <si>
    <t>07-09-18 12:18:12</t>
  </si>
  <si>
    <t>Srinivas Samala</t>
  </si>
  <si>
    <t>10 Jun 1966</t>
  </si>
  <si>
    <t>srinivas.samala@rediffmail.com</t>
  </si>
  <si>
    <t>91 9769063289</t>
  </si>
  <si>
    <t>Commissioning Engineer</t>
  </si>
  <si>
    <t>Petrofac International Ltd.</t>
  </si>
  <si>
    <t>National inst of labour education</t>
  </si>
  <si>
    <t>23-04-18 17:24:19</t>
  </si>
  <si>
    <t>02-07-18 10:38:15</t>
  </si>
  <si>
    <t>Dipali Amol Shinde</t>
  </si>
  <si>
    <t>02 Jun 1989</t>
  </si>
  <si>
    <t>salunkhedipali@gmail.com</t>
  </si>
  <si>
    <t>91 9975873463</t>
  </si>
  <si>
    <t>6 Yrs 7 Months</t>
  </si>
  <si>
    <t>Assistant Manager- Technical services</t>
  </si>
  <si>
    <t>M/s. Colour Roof India Ltd</t>
  </si>
  <si>
    <t>KIT's College of Engineering, Kolhapur.</t>
  </si>
  <si>
    <t>21-12-17 10:46:35</t>
  </si>
  <si>
    <t>27-07-18 12:13:36</t>
  </si>
  <si>
    <t>Oscarina Barretto</t>
  </si>
  <si>
    <t>21 Jul 1993</t>
  </si>
  <si>
    <t>oscy_21@yahoo.in</t>
  </si>
  <si>
    <t>91 9833573683</t>
  </si>
  <si>
    <t>2 Yrs 0 Month</t>
  </si>
  <si>
    <t>Marketing Officer</t>
  </si>
  <si>
    <t>Aviation / Airline</t>
  </si>
  <si>
    <t>air india sats</t>
  </si>
  <si>
    <t>Sasmira's Institute of Management Studies &amp; Research</t>
  </si>
  <si>
    <t>21-05-18 15:39:45</t>
  </si>
  <si>
    <t>05-06-18 15:41:23</t>
  </si>
  <si>
    <t>arun sharma</t>
  </si>
  <si>
    <t>13 Aug 1972</t>
  </si>
  <si>
    <t>arunsh2@rediffmail.com</t>
  </si>
  <si>
    <t>91 9867257685</t>
  </si>
  <si>
    <t>Rs. 14.50 Lacs</t>
  </si>
  <si>
    <t>Regional / Area Manager</t>
  </si>
  <si>
    <t>HDFC Bank Limited</t>
  </si>
  <si>
    <t>Andhra University</t>
  </si>
  <si>
    <t>1993</t>
  </si>
  <si>
    <t>03-09-18 11:09:28</t>
  </si>
  <si>
    <t>06-09-18 16:27:23</t>
  </si>
  <si>
    <t>suraj chavan</t>
  </si>
  <si>
    <t>26 Dec 1993</t>
  </si>
  <si>
    <t>suraj.chavanp@gmail.com</t>
  </si>
  <si>
    <t>91 8082798922</t>
  </si>
  <si>
    <t>Rs. 3.70 Lacs</t>
  </si>
  <si>
    <t>Engineer- QA/QC</t>
  </si>
  <si>
    <t>Walchandnagar Industries Ltd</t>
  </si>
  <si>
    <t>M.H. saboo siddik Polytechnic</t>
  </si>
  <si>
    <t>20-06-18 23:11:53</t>
  </si>
  <si>
    <t>13-08-18 11:33:52</t>
  </si>
  <si>
    <t>Pradeep Kumar Gupta</t>
  </si>
  <si>
    <t>07 Jan 1981</t>
  </si>
  <si>
    <t>rpk171981@gmail.com</t>
  </si>
  <si>
    <t>91 8108704559</t>
  </si>
  <si>
    <t>Noida, Gurugram, Thane, Pune, Mumbai City, Delhi</t>
  </si>
  <si>
    <t>15 Yrs 6 Months</t>
  </si>
  <si>
    <t>Accountant</t>
  </si>
  <si>
    <t>CITIZEN SYNTHETICS PVT.LTD</t>
  </si>
  <si>
    <t>07-08-18 18:37:35</t>
  </si>
  <si>
    <t>17-08-18 19:08:21</t>
  </si>
  <si>
    <t xml:space="preserve">Rajesh Pandey </t>
  </si>
  <si>
    <t>18 Aug 1976</t>
  </si>
  <si>
    <t>rajeshpandey_02@yahoo.co.in</t>
  </si>
  <si>
    <t>91 8850054481</t>
  </si>
  <si>
    <t>Gandhinagar, Other Gujarat, Mumbai City, Surat, Delhi, Vadodara, Ahmedabad</t>
  </si>
  <si>
    <t>16 Yrs 2 Months</t>
  </si>
  <si>
    <t>Rs. 9.20 Lacs</t>
  </si>
  <si>
    <t>Manager</t>
  </si>
  <si>
    <t>ICICI Securities Limited</t>
  </si>
  <si>
    <t>NARSEE MONJEE INSTITUTE OF MANAGEMENT STUDIES</t>
  </si>
  <si>
    <t>18-07-18 00:02:06</t>
  </si>
  <si>
    <t>23-08-18 10:07:00</t>
  </si>
  <si>
    <t>Zeenat Tai</t>
  </si>
  <si>
    <t>10 May 1992</t>
  </si>
  <si>
    <t>zeenat_tai@hotmail.com</t>
  </si>
  <si>
    <t>91 9819980976</t>
  </si>
  <si>
    <t>Assistant structural engineer</t>
  </si>
  <si>
    <t>Clique engineering services &amp; solutions Pvt Ltd</t>
  </si>
  <si>
    <t>M.H.Saboo siddik college of engineering</t>
  </si>
  <si>
    <t>25-03-17 15:53:37</t>
  </si>
  <si>
    <t>13-03-18 12:10:32</t>
  </si>
  <si>
    <t>NEERAJ  DAMODAR AMIN</t>
  </si>
  <si>
    <t>01 Sep 1987</t>
  </si>
  <si>
    <t>neerajdamin11@gmail.com</t>
  </si>
  <si>
    <t>91 9869170795</t>
  </si>
  <si>
    <t>5 Yrs 2 Months</t>
  </si>
  <si>
    <t>Rs. 5.30 Lacs</t>
  </si>
  <si>
    <t>Senior Analyst</t>
  </si>
  <si>
    <t>Nomura Services India Pvt. Ltd</t>
  </si>
  <si>
    <t>St. Francis Institute of Management and Research</t>
  </si>
  <si>
    <t>16-03-18 14:03:43</t>
  </si>
  <si>
    <t>14-04-18 11:55:37</t>
  </si>
  <si>
    <t xml:space="preserve">vivek J </t>
  </si>
  <si>
    <t>01 Jan 1962</t>
  </si>
  <si>
    <t>shamita_sandesh@rediffmail.com</t>
  </si>
  <si>
    <t>91 9819547840</t>
  </si>
  <si>
    <t>Other Maharashtra, Mumbai City</t>
  </si>
  <si>
    <t>Manager Quality control &amp; co-ordination</t>
  </si>
  <si>
    <t>M/s Nahalchand Laloochand pvt ltd</t>
  </si>
  <si>
    <t>Mysore University</t>
  </si>
  <si>
    <t>1984</t>
  </si>
  <si>
    <t>04-11-17 12:43:25</t>
  </si>
  <si>
    <t>04-05-18 20:30:19</t>
  </si>
  <si>
    <t>SARAVANAKUMAR R</t>
  </si>
  <si>
    <t>11 Jul 1991</t>
  </si>
  <si>
    <t>rockskingz@gmail.com</t>
  </si>
  <si>
    <t>91 9629348599</t>
  </si>
  <si>
    <t>Bangalore, Madurai, Chennai, Kochi, Hyderabad, Tiruchirappalli, Hosur, Mumbai City, Coimbatore, Erode</t>
  </si>
  <si>
    <t>4 Yrs 9 Months</t>
  </si>
  <si>
    <t>Sr. Engineer QA/QC</t>
  </si>
  <si>
    <t>OXFORD ENGINEERING COLLEGE</t>
  </si>
  <si>
    <t>16-05-18 22:01:27</t>
  </si>
  <si>
    <t>17-05-18 10:13:55</t>
  </si>
  <si>
    <t>Himanish Ghosh</t>
  </si>
  <si>
    <t>21 Oct 1992</t>
  </si>
  <si>
    <t>himanishs@gmail.com</t>
  </si>
  <si>
    <t>91 9476287960</t>
  </si>
  <si>
    <t>Institute for Technology and Management</t>
  </si>
  <si>
    <t>04-10-16 11:11:32</t>
  </si>
  <si>
    <t>05-09-18 17:42:41</t>
  </si>
  <si>
    <t>dwiti krushna sahu</t>
  </si>
  <si>
    <t>19 Feb 1984</t>
  </si>
  <si>
    <t>dwiti84@rediffmail.com</t>
  </si>
  <si>
    <t>7873777148</t>
  </si>
  <si>
    <t>9 Yrs 10 Months</t>
  </si>
  <si>
    <t>Electrical Maintenance Engineer</t>
  </si>
  <si>
    <t>Bhushan Power &amp; Steel Ltd.</t>
  </si>
  <si>
    <t>orissa engineering collage,bhubneswar</t>
  </si>
  <si>
    <t>07-08-18 08:07:35</t>
  </si>
  <si>
    <t>rajkumar vaidyanathan</t>
  </si>
  <si>
    <t>25 Dec 1982</t>
  </si>
  <si>
    <t>rajomegar@gmail.com</t>
  </si>
  <si>
    <t>91 7506349404</t>
  </si>
  <si>
    <t>Broadcast Engineer</t>
  </si>
  <si>
    <t>Prime Focus Technologies Pvt Ltd.,</t>
  </si>
  <si>
    <t>Physics</t>
  </si>
  <si>
    <t>Monanmaniam sundranar university</t>
  </si>
  <si>
    <t>30-07-18 15:42:17</t>
  </si>
  <si>
    <t>31-07-18 11:31:57</t>
  </si>
  <si>
    <t xml:space="preserve">    Shashikumar T.S</t>
  </si>
  <si>
    <t>shashi_ts79@yahoo.co.in</t>
  </si>
  <si>
    <t>91 8971315779</t>
  </si>
  <si>
    <t>7 Yrs 4 Months</t>
  </si>
  <si>
    <t>Pneumatic Design Engineer.</t>
  </si>
  <si>
    <t>Expert industries Pvt. Ltd.</t>
  </si>
  <si>
    <t>8 Yrs</t>
  </si>
  <si>
    <t xml:space="preserve"> BTE- Bangalore </t>
  </si>
  <si>
    <t>01-07-16 15:41:56</t>
  </si>
  <si>
    <t>16-06-18 11:03:05</t>
  </si>
  <si>
    <t>Jayendra Pai</t>
  </si>
  <si>
    <t>18 Sep 1963</t>
  </si>
  <si>
    <t>jayendrapai@gmail.com</t>
  </si>
  <si>
    <t>91 9892834560</t>
  </si>
  <si>
    <t>Rs. 25.15 Lacs</t>
  </si>
  <si>
    <t>Associate Vice President Investor Services</t>
  </si>
  <si>
    <t>Company Secretary</t>
  </si>
  <si>
    <t>GTL Limited</t>
  </si>
  <si>
    <t>Psychology</t>
  </si>
  <si>
    <t>04-06-18 16:17:04</t>
  </si>
  <si>
    <t>23-08-18 17:30:08</t>
  </si>
  <si>
    <t xml:space="preserve">PARTHA DAS </t>
  </si>
  <si>
    <t>10 Aug 1967</t>
  </si>
  <si>
    <t>parthadas45kolkata@gmail.com</t>
  </si>
  <si>
    <t>91 9550246758</t>
  </si>
  <si>
    <t>Hyderabad, Kolkata</t>
  </si>
  <si>
    <t>22 Yrs 0 Month</t>
  </si>
  <si>
    <t>Quality Manager</t>
  </si>
  <si>
    <t>KEC International Ltd</t>
  </si>
  <si>
    <t>11-06-18 13:35:29</t>
  </si>
  <si>
    <t>02-07-18 11:21:43</t>
  </si>
  <si>
    <t>Subhash B. Kesarkar</t>
  </si>
  <si>
    <t>09 May 1990</t>
  </si>
  <si>
    <t>subhashksrkr90@gmail.com</t>
  </si>
  <si>
    <t>91 9870573053</t>
  </si>
  <si>
    <t>Quality Assurance Engineer</t>
  </si>
  <si>
    <t>United industrial components co.pvt.ltd</t>
  </si>
  <si>
    <t xml:space="preserve">A C PATIL COLLEGE OF ENGINEERING , MUMBAI </t>
  </si>
  <si>
    <t>11-01-18 15:11:08</t>
  </si>
  <si>
    <t>02-06-18 10:47:32</t>
  </si>
  <si>
    <t>pankaj mehra</t>
  </si>
  <si>
    <t>05 Oct 1986</t>
  </si>
  <si>
    <t>pankajmehra86@yahoo.com</t>
  </si>
  <si>
    <t>91 7738394439</t>
  </si>
  <si>
    <t>Rs. 17.50 Lacs</t>
  </si>
  <si>
    <t>Schneider Electric</t>
  </si>
  <si>
    <t>Xaviers International University</t>
  </si>
  <si>
    <t>30-08-18 20:24:48</t>
  </si>
  <si>
    <t>03-09-18 16:40:26</t>
  </si>
  <si>
    <t>basantkumar jha</t>
  </si>
  <si>
    <t>15 Jan 1989</t>
  </si>
  <si>
    <t>basant.kaluahi@gmail.com</t>
  </si>
  <si>
    <t>91 9769958859</t>
  </si>
  <si>
    <t>Bhagalpur, Noida, Kanpur, Lucknow, Kolkata, Mumbai City, Delhi, Moradabad, Muzzafarpur, Patna</t>
  </si>
  <si>
    <t>6 Yrs 9 Months</t>
  </si>
  <si>
    <t>Rs. 6.25 Lacs</t>
  </si>
  <si>
    <t>sales officer</t>
  </si>
  <si>
    <t>bajaj corp ltd</t>
  </si>
  <si>
    <t>LNMU (LALIT NARAYAN MITHILA UNIVERSITY) DARBHANGA BIHAR</t>
  </si>
  <si>
    <t>21-08-18 11:38:47</t>
  </si>
  <si>
    <t>30-08-18 19:38:17</t>
  </si>
  <si>
    <t>Vikash Kumar Mishra</t>
  </si>
  <si>
    <t>vikashmishra198@gmail.com</t>
  </si>
  <si>
    <t>91 6204962801</t>
  </si>
  <si>
    <t>Gandhinagar, Gandhidham, Jamnagar, Mumbai City, Porbandar, Kandla, Mehsana, Ahmedabad</t>
  </si>
  <si>
    <t>Mechanical cordinator</t>
  </si>
  <si>
    <t>qatar chemical</t>
  </si>
  <si>
    <t>iitb sonepat</t>
  </si>
  <si>
    <t>22-08-18 18:35:49</t>
  </si>
  <si>
    <t>07-09-18 13:09:58</t>
  </si>
  <si>
    <t>bhavesh rajput</t>
  </si>
  <si>
    <t>06 Nov 1978</t>
  </si>
  <si>
    <t>bhavesh.r.rajput@gmail.com</t>
  </si>
  <si>
    <t>91 9920331266</t>
  </si>
  <si>
    <t>Dy.Manager</t>
  </si>
  <si>
    <t>Matrix Cellular International Services Pvt. Ltd</t>
  </si>
  <si>
    <t>24-05-18 09:51:20</t>
  </si>
  <si>
    <t>Akash PhilipThomas</t>
  </si>
  <si>
    <t>08 Jan 1980</t>
  </si>
  <si>
    <t>thomasguardian@yahoo.co.in</t>
  </si>
  <si>
    <t>91 9377734359</t>
  </si>
  <si>
    <t>. Manager</t>
  </si>
  <si>
    <t>University of Wales. Unityed Kingdom</t>
  </si>
  <si>
    <t>01-09-18 12:03:44</t>
  </si>
  <si>
    <t>06-09-18 18:41:54</t>
  </si>
  <si>
    <t>yogesh yashwaqnt</t>
  </si>
  <si>
    <t>yogesh.kumbhar2792@gmail.com</t>
  </si>
  <si>
    <t>91 7506559536</t>
  </si>
  <si>
    <t>chetanas college</t>
  </si>
  <si>
    <t>02-07-18 18:35:16</t>
  </si>
  <si>
    <t>Capt CM SRIVASTAVA</t>
  </si>
  <si>
    <t>02 Jun 1957</t>
  </si>
  <si>
    <t>chandra4340@gmail.com</t>
  </si>
  <si>
    <t>91 9867745390</t>
  </si>
  <si>
    <t>Rs. 35.95 Lacs</t>
  </si>
  <si>
    <t>SR  VP Retired on 30/6/17</t>
  </si>
  <si>
    <t>Export-Import / Trading</t>
  </si>
  <si>
    <t>SCI ltd</t>
  </si>
  <si>
    <t>WMU Sweden</t>
  </si>
  <si>
    <t>06-08-18 23:20:59</t>
  </si>
  <si>
    <t>22-08-18 23:00:08</t>
  </si>
  <si>
    <t>Prasad Bidoo</t>
  </si>
  <si>
    <t>30 Jun 1976</t>
  </si>
  <si>
    <t>prasadbidoo555@gmail.com</t>
  </si>
  <si>
    <t>91 9664292472</t>
  </si>
  <si>
    <t>17 Yrs 5 Months</t>
  </si>
  <si>
    <t>Senior Design Engineer</t>
  </si>
  <si>
    <t>Tyco Fire &amp; Security India Pvt. Ltd.</t>
  </si>
  <si>
    <t>Shardasram Vidyamandir</t>
  </si>
  <si>
    <t>11-10-17 17:22:33</t>
  </si>
  <si>
    <t>17-04-18 10:03:30</t>
  </si>
  <si>
    <t>NILESH DATTARAM MORAJKAR</t>
  </si>
  <si>
    <t>11 Jul 1974</t>
  </si>
  <si>
    <t>nillu112005@gmail.com</t>
  </si>
  <si>
    <t>91 9930373487</t>
  </si>
  <si>
    <t>Rs. 6.20 Lacs</t>
  </si>
  <si>
    <t>MANAGER F &amp; B CONTROLS</t>
  </si>
  <si>
    <t>Hotel / Restaurant</t>
  </si>
  <si>
    <t>Narangs International Hotels Pvt Ltd</t>
  </si>
  <si>
    <t>BOMBAY UNIVERSITY PASSED OUT</t>
  </si>
  <si>
    <t>30-08-18 21:12:42</t>
  </si>
  <si>
    <t>31-08-18 15:32:58</t>
  </si>
  <si>
    <t>rupali Vichare</t>
  </si>
  <si>
    <t>14 Sep 1984</t>
  </si>
  <si>
    <t>rupali_pansare@yahoo.co.in</t>
  </si>
  <si>
    <t>91 8691095604</t>
  </si>
  <si>
    <t>9 Yrs 1 Month</t>
  </si>
  <si>
    <t xml:space="preserve">Senior cosultant </t>
  </si>
  <si>
    <t>Haribhakti and company LLP</t>
  </si>
  <si>
    <t>RizviAcademyofMgmt</t>
  </si>
  <si>
    <t>03-08-18 11:15:21</t>
  </si>
  <si>
    <t>24-08-18 15:12:44</t>
  </si>
  <si>
    <t>PAULMATHI lucas</t>
  </si>
  <si>
    <t>paulmathilucas@gmail.com</t>
  </si>
  <si>
    <t>91 9870508282</t>
  </si>
  <si>
    <t>Asst Teacher</t>
  </si>
  <si>
    <t>Education Management / Director / Principal</t>
  </si>
  <si>
    <t>Lokpuram public schooldyalaya</t>
  </si>
  <si>
    <t>22 Yrs</t>
  </si>
  <si>
    <t>M.Ed</t>
  </si>
  <si>
    <t>Education</t>
  </si>
  <si>
    <t>ignou university</t>
  </si>
  <si>
    <t>17-04-18 21:19:34</t>
  </si>
  <si>
    <t>02-08-18 21:14:47</t>
  </si>
  <si>
    <t>Tarun Kumar Layek</t>
  </si>
  <si>
    <t>22 Jan 1970</t>
  </si>
  <si>
    <t>layektk@gmail.com</t>
  </si>
  <si>
    <t>91 9819208249</t>
  </si>
  <si>
    <t>22 Yrs 9 Months</t>
  </si>
  <si>
    <t>Rs. 29.90 Lacs</t>
  </si>
  <si>
    <t>Project Management, Engineering Support to BU</t>
  </si>
  <si>
    <t>Service / Installation / Repair</t>
  </si>
  <si>
    <t>Bajaj Electricals Ltd</t>
  </si>
  <si>
    <t>16 Yrs</t>
  </si>
  <si>
    <t>NIT/REC Durgapur</t>
  </si>
  <si>
    <t>07-12-16 21:18:18</t>
  </si>
  <si>
    <t>13-06-18 13:23:36</t>
  </si>
  <si>
    <t>Uday Shankar</t>
  </si>
  <si>
    <t>29 Jul 1978</t>
  </si>
  <si>
    <t>shankaruday@yahoo.com</t>
  </si>
  <si>
    <t>91 8879640010</t>
  </si>
  <si>
    <t>Supply Chain Lead Planner</t>
  </si>
  <si>
    <t>Orange Business Services</t>
  </si>
  <si>
    <t>Bangalore University</t>
  </si>
  <si>
    <t>16-07-18 10:22:54</t>
  </si>
  <si>
    <t>17-07-18 13:10:41</t>
  </si>
  <si>
    <t>Ambanna Gherdi</t>
  </si>
  <si>
    <t>amgherdi1984@gmail.com</t>
  </si>
  <si>
    <t>91 9969639342</t>
  </si>
  <si>
    <t>8 Yrs 2 Months</t>
  </si>
  <si>
    <t>Surveyor (QA/QC)</t>
  </si>
  <si>
    <t>Certification Engineers International Limited</t>
  </si>
  <si>
    <t>Government polytechenic Miraj Sangli</t>
  </si>
  <si>
    <t>07-03-16 16:20:28</t>
  </si>
  <si>
    <t>27-06-18 12:28:44</t>
  </si>
  <si>
    <t>neeraj kumar</t>
  </si>
  <si>
    <t>10 Feb 1981</t>
  </si>
  <si>
    <t>begins007@yahoo.co.in</t>
  </si>
  <si>
    <t>91 9531927503</t>
  </si>
  <si>
    <t>Bangalore, Indore, Pune, Mumbai City</t>
  </si>
  <si>
    <t>16 Yrs 0 Month</t>
  </si>
  <si>
    <t>Technical supervisor</t>
  </si>
  <si>
    <t>government</t>
  </si>
  <si>
    <t>20 Yrs</t>
  </si>
  <si>
    <t>INDIAN NAVY</t>
  </si>
  <si>
    <t>23-01-18 18:35:31</t>
  </si>
  <si>
    <t>18-04-18 11:02:15</t>
  </si>
  <si>
    <t>Kamlesh Kulkarni</t>
  </si>
  <si>
    <t>08 Jul 1982</t>
  </si>
  <si>
    <t>kamlesh.kulkarni@rediffmail.com</t>
  </si>
  <si>
    <t>91 9967134364</t>
  </si>
  <si>
    <t>TCS eServe Ltd</t>
  </si>
  <si>
    <t>21-02-18 16:12:00</t>
  </si>
  <si>
    <t>22-08-18 13:23:30</t>
  </si>
  <si>
    <t>Vibhaw Shukla</t>
  </si>
  <si>
    <t>05 May 1992</t>
  </si>
  <si>
    <t>vibhaw.ael@gmail.com</t>
  </si>
  <si>
    <t>91 9320093044</t>
  </si>
  <si>
    <t>All India, Noida, Mumbai City</t>
  </si>
  <si>
    <t>ASST. MANAGER</t>
  </si>
  <si>
    <t>Automatic Electric Limited</t>
  </si>
  <si>
    <t>BTEUP</t>
  </si>
  <si>
    <t>06-09-18 18:02:48</t>
  </si>
  <si>
    <t>Purva Sule</t>
  </si>
  <si>
    <t>purva.sule01@gmail.com</t>
  </si>
  <si>
    <t>91 9819738969</t>
  </si>
  <si>
    <t>Associate - Operations</t>
  </si>
  <si>
    <t>KPO / Analytics</t>
  </si>
  <si>
    <t>SS&amp;C Globeop Fiancial Services</t>
  </si>
  <si>
    <t>14-05-18 16:34:00</t>
  </si>
  <si>
    <t>15-05-18 13:25:52</t>
  </si>
  <si>
    <t>Jitendra Deshpande</t>
  </si>
  <si>
    <t>jrpande@hotmail.com</t>
  </si>
  <si>
    <t>91 9930785962</t>
  </si>
  <si>
    <t>Hyderabad, Pune, Mumbai City, Delhi</t>
  </si>
  <si>
    <t>Instrumentation Engineer</t>
  </si>
  <si>
    <t>Thermax Ltd</t>
  </si>
  <si>
    <t>BTE</t>
  </si>
  <si>
    <t>01-12-15 10:35:41</t>
  </si>
  <si>
    <t>06-08-18 11:26:57</t>
  </si>
  <si>
    <t>ARUN KU.MATHUR</t>
  </si>
  <si>
    <t>26 Jun 1971</t>
  </si>
  <si>
    <t>mathur.karun@gmail.com</t>
  </si>
  <si>
    <t>91 9967224415</t>
  </si>
  <si>
    <t>19 Yrs 0 Month</t>
  </si>
  <si>
    <t>Rs. 22.00 Lacs</t>
  </si>
  <si>
    <t>Business Manager</t>
  </si>
  <si>
    <t>BOSCH LIMITED.MUMBAI</t>
  </si>
  <si>
    <t>Nagpur University</t>
  </si>
  <si>
    <t>20-05-17 21:03:10</t>
  </si>
  <si>
    <t>31-08-18 12:12:26</t>
  </si>
  <si>
    <t>pratik gosar</t>
  </si>
  <si>
    <t>27 Sep 1992</t>
  </si>
  <si>
    <t>pratikgosar@gmail.com</t>
  </si>
  <si>
    <t>91 7666321234</t>
  </si>
  <si>
    <t>1 Yr 10 Months</t>
  </si>
  <si>
    <t>Rs. 6.95 Lacs</t>
  </si>
  <si>
    <t>Management Trainee</t>
  </si>
  <si>
    <t>viteos capital services private limited</t>
  </si>
  <si>
    <t>institute of chartered accountants of india</t>
  </si>
  <si>
    <t>11-07-18 15:41:41</t>
  </si>
  <si>
    <t>09-08-18 19:12:19</t>
  </si>
  <si>
    <t>padmakar  patankar</t>
  </si>
  <si>
    <t>07 Oct 1952</t>
  </si>
  <si>
    <t>pwpatankar@gmail.com</t>
  </si>
  <si>
    <t>91 9820978364</t>
  </si>
  <si>
    <t>Jaipur, Jodhpur, Gurugram, Amritsar, Jalandhar, Mumbai City, Ludhiana, Surat, Panipat, Ahmedabad</t>
  </si>
  <si>
    <t>cheif executive</t>
  </si>
  <si>
    <t>Market Research (MR)</t>
  </si>
  <si>
    <t>maratha oil refinery</t>
  </si>
  <si>
    <t>16-01-17 09:58:32</t>
  </si>
  <si>
    <t>05-04-18 23:04:42</t>
  </si>
  <si>
    <t>VIJAY MHATRE</t>
  </si>
  <si>
    <t>15 Oct 1987</t>
  </si>
  <si>
    <t>mhatrevijay007@gmail.com</t>
  </si>
  <si>
    <t>91 8237710610</t>
  </si>
  <si>
    <t>Navi Mumbai, Thane, Pune, Mumbai City</t>
  </si>
  <si>
    <t>M/s Snowbell Machines Pvt. Ltd</t>
  </si>
  <si>
    <t>28-05-18 10:47:51</t>
  </si>
  <si>
    <t>07-08-18 10:15:59</t>
  </si>
  <si>
    <t>Tarun Sharma</t>
  </si>
  <si>
    <t>tarunhood@hotmail.com</t>
  </si>
  <si>
    <t>91 9819567910</t>
  </si>
  <si>
    <t>17 Yrs 9 Months</t>
  </si>
  <si>
    <t>Rs. 26.40 Lacs</t>
  </si>
  <si>
    <t>Principal Engineer - Piping</t>
  </si>
  <si>
    <t>PETROFAC ENGINEERING INDIA PVT LTD</t>
  </si>
  <si>
    <t>27-11-17 10:42:57</t>
  </si>
  <si>
    <t>01-05-18 11:28:47</t>
  </si>
  <si>
    <t>M Rajesh</t>
  </si>
  <si>
    <t>31 Aug 1974</t>
  </si>
  <si>
    <t>hellomrajesh@yahoo.com</t>
  </si>
  <si>
    <t>91 9597190601</t>
  </si>
  <si>
    <t>All India, Noida, Ghaziabad, Gurugram, Faridabad, Amritsar, Mumbai City, Delhi</t>
  </si>
  <si>
    <t>Rs. 9.50 Lacs</t>
  </si>
  <si>
    <t>Manager Supply Chain (Corporate)</t>
  </si>
  <si>
    <t>ISS Facility Services India Pvt Ltd</t>
  </si>
  <si>
    <t>Lucknow University</t>
  </si>
  <si>
    <t>30-07-18 09:53:01</t>
  </si>
  <si>
    <t>03-09-18 19:48:40</t>
  </si>
  <si>
    <t>Jaqueline Dsouza</t>
  </si>
  <si>
    <t>02 Aug 1991</t>
  </si>
  <si>
    <t>anthony.jaqueline@gmail.com</t>
  </si>
  <si>
    <t>91 7900185930</t>
  </si>
  <si>
    <t>Team lead User Happiness</t>
  </si>
  <si>
    <t>Customer Service (Domestic)</t>
  </si>
  <si>
    <t>Chillr</t>
  </si>
  <si>
    <t>Home Science</t>
  </si>
  <si>
    <t>nirmala niketan college of homescience</t>
  </si>
  <si>
    <t>16-08-18 16:20:12</t>
  </si>
  <si>
    <t>23-08-18 17:56:47</t>
  </si>
  <si>
    <t>Sweta  harish bhise</t>
  </si>
  <si>
    <t>03 Aug 1995</t>
  </si>
  <si>
    <t>shwetasalunke95@gmail.com</t>
  </si>
  <si>
    <t>91 7887543249</t>
  </si>
  <si>
    <t>Dr. Babasaheb Ambedkar Marathwada University</t>
  </si>
  <si>
    <t>27-07-18 18:04:56</t>
  </si>
  <si>
    <t>10-08-18 14:58:11</t>
  </si>
  <si>
    <t>Kunal Chitre</t>
  </si>
  <si>
    <t>15 Aug 1981</t>
  </si>
  <si>
    <t>chitrekunal@gmail.com</t>
  </si>
  <si>
    <t>91 9819221946</t>
  </si>
  <si>
    <t>United States of America, Mumbai City</t>
  </si>
  <si>
    <t>12 Yrs 4 Months</t>
  </si>
  <si>
    <t>Brand Marketing Manager</t>
  </si>
  <si>
    <t>The Byke Hospitality Ltd.</t>
  </si>
  <si>
    <t>MMH</t>
  </si>
  <si>
    <t>Adam Smith University</t>
  </si>
  <si>
    <t>23-04-18 18:45:30</t>
  </si>
  <si>
    <t>12-06-18 14:30:57</t>
  </si>
  <si>
    <t>rakesh ranjan</t>
  </si>
  <si>
    <t>04 Dec 1987</t>
  </si>
  <si>
    <t>rakeshranjan9844@gmail.com</t>
  </si>
  <si>
    <t>91 8433864061</t>
  </si>
  <si>
    <t>All India, Bangalore, Other Karnataka</t>
  </si>
  <si>
    <t>9 Yrs 2 Months</t>
  </si>
  <si>
    <t>Rs. 13.30 Lacs</t>
  </si>
  <si>
    <t>TRADE FINANCE MANAGER</t>
  </si>
  <si>
    <t>COLUMBIA PETRO CHEM PVT LTD</t>
  </si>
  <si>
    <t>bangalore management academy</t>
  </si>
  <si>
    <t>02-05-18 20:10:11</t>
  </si>
  <si>
    <t>31-05-18 12:07:22</t>
  </si>
  <si>
    <t>Shailesh Patel</t>
  </si>
  <si>
    <t>shailesh_0303@yahoo.co.in</t>
  </si>
  <si>
    <t>91 9313328821</t>
  </si>
  <si>
    <t>Other Gujarat, Mumbai City, Vadodara, Ahmedabad</t>
  </si>
  <si>
    <t>9 Yrs 9 Months</t>
  </si>
  <si>
    <t>Rs. 12.85 Lacs</t>
  </si>
  <si>
    <t>Sr. Manager</t>
  </si>
  <si>
    <t>Reliance Infrastructure Limited</t>
  </si>
  <si>
    <t>Indian Institute of Technology (IIT)</t>
  </si>
  <si>
    <t>10-06-18 15:10:22</t>
  </si>
  <si>
    <t>12-06-18 23:35:44</t>
  </si>
  <si>
    <t>Mahadevan Natarajasarma</t>
  </si>
  <si>
    <t>30 May 1967</t>
  </si>
  <si>
    <t>mahadevan.natarajasarma@gmail.com</t>
  </si>
  <si>
    <t>91 9895387658</t>
  </si>
  <si>
    <t>Bangalore, Chennai, Kochi, Thiruvanananthapuram</t>
  </si>
  <si>
    <t>Rs. 45.00 Lacs</t>
  </si>
  <si>
    <t>Head Channel Management, Retail Petroleum</t>
  </si>
  <si>
    <t>Reliance Industries Ltd</t>
  </si>
  <si>
    <t>XIMB, Bhubaneshvar</t>
  </si>
  <si>
    <t>16-01-18 21:53:51</t>
  </si>
  <si>
    <t>17-07-18 23:07:54</t>
  </si>
  <si>
    <t>Tejal Valanju</t>
  </si>
  <si>
    <t>22 Feb 1988</t>
  </si>
  <si>
    <t>valanjutejal22@gmail.com</t>
  </si>
  <si>
    <t>91 9969490916</t>
  </si>
  <si>
    <t>RPIMS college of mumbai university</t>
  </si>
  <si>
    <t>24-02-18 12:41:56</t>
  </si>
  <si>
    <t>31-03-18 23:27:05</t>
  </si>
  <si>
    <t>FIRDOUS AHMED</t>
  </si>
  <si>
    <t>firdousahmediitjee12@gmail.com</t>
  </si>
  <si>
    <t>91 8977951750</t>
  </si>
  <si>
    <t>United Arab Emirates, Hyderabad, Cameroon, Norway, Oman, Qatar, Egypt, Saudi Arabia</t>
  </si>
  <si>
    <t>Al Habeeb College of Engineering &amp;Technology (AHCET)</t>
  </si>
  <si>
    <t>27-06-18 16:07:59</t>
  </si>
  <si>
    <t>Rinku Biswas Chatterjee</t>
  </si>
  <si>
    <t>rinkubiswas@gmail.com</t>
  </si>
  <si>
    <t>91 9820680799</t>
  </si>
  <si>
    <t>Rs. 25.50 Lacs</t>
  </si>
  <si>
    <t>Senior Brand Manager</t>
  </si>
  <si>
    <t>Zee Entertainment Enterprise Limited</t>
  </si>
  <si>
    <t>Northpoint Centre of Learning, Institute of Lintas</t>
  </si>
  <si>
    <t>06-09-18 15:22:15</t>
  </si>
  <si>
    <t>Ramnath Dohare</t>
  </si>
  <si>
    <t>09 Jan 1946</t>
  </si>
  <si>
    <t>rndv774@gmail.com</t>
  </si>
  <si>
    <t>91 9533525577</t>
  </si>
  <si>
    <t>Rs. 24.10 Lacs</t>
  </si>
  <si>
    <t>Project Manager</t>
  </si>
  <si>
    <t>Sowil Ltd</t>
  </si>
  <si>
    <t>Indian Institute of Technology, Roorkee</t>
  </si>
  <si>
    <t>13-11-16 16:27:15</t>
  </si>
  <si>
    <t>29-08-18 13:36:20</t>
  </si>
  <si>
    <t>jalal ahmed</t>
  </si>
  <si>
    <t>afushaikh70@gmail.com</t>
  </si>
  <si>
    <t>91 8149700998</t>
  </si>
  <si>
    <t>ShriRamswaroop Memorial University</t>
  </si>
  <si>
    <t>30-07-16 14:05:30</t>
  </si>
  <si>
    <t>30-05-18 18:33:22</t>
  </si>
  <si>
    <t>Sudama Sahu</t>
  </si>
  <si>
    <t>07 May 1981</t>
  </si>
  <si>
    <t>emailsudama@gmail.com</t>
  </si>
  <si>
    <t>91 9699269692</t>
  </si>
  <si>
    <t>13 Yrs 3 Months</t>
  </si>
  <si>
    <t>Senior Account Manager (Advertising and Marketing)</t>
  </si>
  <si>
    <t>Bright Brain Technologies LLP</t>
  </si>
  <si>
    <t>Advertising/Mass Communication</t>
  </si>
  <si>
    <t>Welingkar Institute of Management</t>
  </si>
  <si>
    <t>01-09-18 19:59:51</t>
  </si>
  <si>
    <t>07-09-18 13:11:54</t>
  </si>
  <si>
    <t>Debarjun Dasgupta</t>
  </si>
  <si>
    <t>14 Sep 1989</t>
  </si>
  <si>
    <t>debarjun140989@gmail.com</t>
  </si>
  <si>
    <t>91 9920278141</t>
  </si>
  <si>
    <t>Rs. 10.30 Lacs</t>
  </si>
  <si>
    <t>Reliance Industries Limited</t>
  </si>
  <si>
    <t>03-09-18 14:10:52</t>
  </si>
  <si>
    <t xml:space="preserve">Yangzila-Jingre </t>
  </si>
  <si>
    <t>azijingre26@gmail.com</t>
  </si>
  <si>
    <t>91 9566207981</t>
  </si>
  <si>
    <t>Rs. 4.15 Lacs</t>
  </si>
  <si>
    <t xml:space="preserve">Guest Relation Executive </t>
  </si>
  <si>
    <t>Public Relations (PR)</t>
  </si>
  <si>
    <t>APOLLO MEDICAL CENTER,</t>
  </si>
  <si>
    <t>IGNOU.</t>
  </si>
  <si>
    <t>26-07-16 16:02:08</t>
  </si>
  <si>
    <t>19-03-18 22:25:17</t>
  </si>
  <si>
    <t>Ganesh Baire</t>
  </si>
  <si>
    <t>05 Jun 1984</t>
  </si>
  <si>
    <t>ganeshanna_5@yahoo.co.in</t>
  </si>
  <si>
    <t>91 9029473054</t>
  </si>
  <si>
    <t>Credit Analyst</t>
  </si>
  <si>
    <t>CRISIL Limited</t>
  </si>
  <si>
    <t>Institute for Technology &amp; Management Studies</t>
  </si>
  <si>
    <t>24-08-18 23:00:32</t>
  </si>
  <si>
    <t>25-08-18 13:15:08</t>
  </si>
  <si>
    <t>sunil kumar</t>
  </si>
  <si>
    <t>15 Aug 1977</t>
  </si>
  <si>
    <t>suniljyoti34@gmail.com</t>
  </si>
  <si>
    <t>91 7087012162</t>
  </si>
  <si>
    <t>Rs. 11.90 Lacs</t>
  </si>
  <si>
    <t>service/instalation</t>
  </si>
  <si>
    <t>Industrial Design</t>
  </si>
  <si>
    <t>rssb beas</t>
  </si>
  <si>
    <t>Industrial</t>
  </si>
  <si>
    <t>RIFS, Mumbai</t>
  </si>
  <si>
    <t>16-06-18 19:46:55</t>
  </si>
  <si>
    <t>03-07-18 19:55:14</t>
  </si>
  <si>
    <t>JAYAMOHAN A</t>
  </si>
  <si>
    <t>capricornjai@gmail.com</t>
  </si>
  <si>
    <t>91 7579217081</t>
  </si>
  <si>
    <t>2 Yrs 1 Month</t>
  </si>
  <si>
    <t>MBA PORT AND SHIPPING</t>
  </si>
  <si>
    <t>Supply Chain / Logistics</t>
  </si>
  <si>
    <t>UPES Dehradun</t>
  </si>
  <si>
    <t>International Business</t>
  </si>
  <si>
    <t>UNIVERSITY OF PETROLEUM AND ENERGY STUDIES</t>
  </si>
  <si>
    <t>02-07-18 14:16:49</t>
  </si>
  <si>
    <t>06-09-18 17:03:57</t>
  </si>
  <si>
    <t>priyanka netikunta</t>
  </si>
  <si>
    <t>12 Nov 1985</t>
  </si>
  <si>
    <t>priyankanetikunta@gmail.com</t>
  </si>
  <si>
    <t>91 9833641331</t>
  </si>
  <si>
    <t>Hyderabad, Mumbai City</t>
  </si>
  <si>
    <t>6 Yrs 1 Month</t>
  </si>
  <si>
    <t>BDM</t>
  </si>
  <si>
    <t>TranceForm</t>
  </si>
  <si>
    <t>SNDT University</t>
  </si>
  <si>
    <t>06-09-18 16:57:36</t>
  </si>
  <si>
    <t>Drishti Mirchandani</t>
  </si>
  <si>
    <t>27 Dec 1988</t>
  </si>
  <si>
    <t>dnmadeit@gmail.com</t>
  </si>
  <si>
    <t>91 7506302971</t>
  </si>
  <si>
    <t>Assistant Manager Operations</t>
  </si>
  <si>
    <t>Royal College of Arts Commerce and Science</t>
  </si>
  <si>
    <t>18-01-18 15:05:38</t>
  </si>
  <si>
    <t>24-04-18 13:51:57</t>
  </si>
  <si>
    <t>santosh kumar dubey</t>
  </si>
  <si>
    <t>santoshdubey0993@gmail.com</t>
  </si>
  <si>
    <t>91 8652042827</t>
  </si>
  <si>
    <t>UPTU</t>
  </si>
  <si>
    <t>08-05-18 11:26:54</t>
  </si>
  <si>
    <t>08-05-18 18:12:59</t>
  </si>
  <si>
    <t>gurusamy govindaraj</t>
  </si>
  <si>
    <t>30 May 1980</t>
  </si>
  <si>
    <t>gurusamy_be@yahoo.com</t>
  </si>
  <si>
    <t>91 9619430572</t>
  </si>
  <si>
    <t>All India, Chennai, United Arab Emirates, Mumbai City, Delhi</t>
  </si>
  <si>
    <t>21 Yrs 0 Month</t>
  </si>
  <si>
    <t>Rs. 35.00 Lacs</t>
  </si>
  <si>
    <t>general manager-india operations</t>
  </si>
  <si>
    <t>Schlumberger group sweco india</t>
  </si>
  <si>
    <t>Madurai Kamaraj University</t>
  </si>
  <si>
    <t>06-11-17 14:18:43</t>
  </si>
  <si>
    <t>03-09-18 17:13:33</t>
  </si>
  <si>
    <t>kulamani Mohapatra</t>
  </si>
  <si>
    <t>28 May 1983</t>
  </si>
  <si>
    <t>kulamani.mohapatra@yahoo.com</t>
  </si>
  <si>
    <t>91 9022375602</t>
  </si>
  <si>
    <t>Bangalore, Rourkela, Mumbai City</t>
  </si>
  <si>
    <t>9 Yrs 8 Months</t>
  </si>
  <si>
    <t>Rs. 10.15 Lacs</t>
  </si>
  <si>
    <t>Asst Manager-Payroll &amp; IR</t>
  </si>
  <si>
    <t>Bouygues Construction</t>
  </si>
  <si>
    <t>12-08-17 16:29:47</t>
  </si>
  <si>
    <t>19-03-18 14:59:21</t>
  </si>
  <si>
    <t>sumit changrani</t>
  </si>
  <si>
    <t>21 May 1987</t>
  </si>
  <si>
    <t>sumit.changrani@gmail.com</t>
  </si>
  <si>
    <t>91 8956809907</t>
  </si>
  <si>
    <t>5 Yrs 11 Months</t>
  </si>
  <si>
    <t>Senior Project engineer</t>
  </si>
  <si>
    <t>Secutech Automation Pvt Ltd</t>
  </si>
  <si>
    <t>KCE college of engineering</t>
  </si>
  <si>
    <t>09-07-18 20:13:45</t>
  </si>
  <si>
    <t>04-09-18 16:27:52</t>
  </si>
  <si>
    <t>Dilip Joshi</t>
  </si>
  <si>
    <t>02 Mar 1957</t>
  </si>
  <si>
    <t>ddjoshi1957@gmail.com</t>
  </si>
  <si>
    <t>91 9167962357</t>
  </si>
  <si>
    <t>Australia, Nashik, Rwanda, All India, Tanzania, Uganda, Thane, Pune, Aurangabad, Mumbai City, Jalgaon, Kenya</t>
  </si>
  <si>
    <t>Rs. 9.00 Lacs</t>
  </si>
  <si>
    <t>Assistant General Manager (AGM) Mumbai Cluster</t>
  </si>
  <si>
    <t>The Vaidyanath Urban Cooperative Bank Ltd.</t>
  </si>
  <si>
    <t>Government Law College, Mumbai</t>
  </si>
  <si>
    <t>1981</t>
  </si>
  <si>
    <t>21-08-18 13:23:57</t>
  </si>
  <si>
    <t>06-09-18 15:05:38</t>
  </si>
  <si>
    <t>Nilesh Chaugule</t>
  </si>
  <si>
    <t>02 Aug 1988</t>
  </si>
  <si>
    <t>nileshdeva88@gmail.com</t>
  </si>
  <si>
    <t>91 7276866785</t>
  </si>
  <si>
    <t>civil draughtsman autocad</t>
  </si>
  <si>
    <t>Civil Services</t>
  </si>
  <si>
    <t>Architecture / Interior Design</t>
  </si>
  <si>
    <t>fresher's</t>
  </si>
  <si>
    <t>civil draughtsman and AutoCAD</t>
  </si>
  <si>
    <t>gupte academy</t>
  </si>
  <si>
    <t>04-01-18 13:23:56</t>
  </si>
  <si>
    <t>05-04-18 20:02:00</t>
  </si>
  <si>
    <t>Nawal Kapur</t>
  </si>
  <si>
    <t>nawal.bbc@gmail.com</t>
  </si>
  <si>
    <t>91 9769444961</t>
  </si>
  <si>
    <t>director production  / technical /business development /marketing/sales and projct</t>
  </si>
  <si>
    <t>BHARAT BITUMELT COMPANY</t>
  </si>
  <si>
    <t xml:space="preserve">L B S MARINE COLLAGE </t>
  </si>
  <si>
    <t>28-12-17 16:45:26</t>
  </si>
  <si>
    <t>09-05-18 17:47:25</t>
  </si>
  <si>
    <t>gautam nath</t>
  </si>
  <si>
    <t>08 Aug 1977</t>
  </si>
  <si>
    <t>gautamkumarnath@rediffmail.com</t>
  </si>
  <si>
    <t>91 9158371879</t>
  </si>
  <si>
    <t>Nashik, Kolkata, Thane, Pune, Mumbai City, Ankleshwar, Ahmedabad</t>
  </si>
  <si>
    <t>1 Yr 0 Month</t>
  </si>
  <si>
    <t>Duty Officer</t>
  </si>
  <si>
    <t>Airport / Airline Ground Operations</t>
  </si>
  <si>
    <t>Quick link Aviation</t>
  </si>
  <si>
    <t>11-08-17 10:04:17</t>
  </si>
  <si>
    <t>06-05-18 13:52:27</t>
  </si>
  <si>
    <t xml:space="preserve">imran khan </t>
  </si>
  <si>
    <t>04 Dec 1992</t>
  </si>
  <si>
    <t>dearimran69@yahoo.com</t>
  </si>
  <si>
    <t>91 8969547301</t>
  </si>
  <si>
    <t>Iran, Bahrain, Cape Verde, Oman, Qatar, Saudi Arabia, All India, Iraq, Kuwait, United Arab Emirates, United Kingdom, United States of America, Egypt</t>
  </si>
  <si>
    <t>Rs. 7.20 Lacs</t>
  </si>
  <si>
    <t>FLOORMAN</t>
  </si>
  <si>
    <t>Mining</t>
  </si>
  <si>
    <t>TRINIDAD DRILLING INTERNATIONAL</t>
  </si>
  <si>
    <t>AL - FALAH SCHOOL OF ENGG.&amp; TEC</t>
  </si>
  <si>
    <t>26-06-18 09:48:15</t>
  </si>
  <si>
    <t>27-06-18 11:03:37</t>
  </si>
  <si>
    <t>Harmeet kaur sachdev</t>
  </si>
  <si>
    <t>25 Nov 1991</t>
  </si>
  <si>
    <t>harmeet_2511@yahoo.co.in</t>
  </si>
  <si>
    <t>91 9702636059</t>
  </si>
  <si>
    <t>ICAI</t>
  </si>
  <si>
    <t>08-08-18 15:17:20</t>
  </si>
  <si>
    <t>29-08-18 11:03:25</t>
  </si>
  <si>
    <t>Arpan Biswas</t>
  </si>
  <si>
    <t>25 Jan 1984</t>
  </si>
  <si>
    <t>abiswas001@gmail.com</t>
  </si>
  <si>
    <t>91 7977768247</t>
  </si>
  <si>
    <t>All India, Kolkata, Mumbai City</t>
  </si>
  <si>
    <t>Rs. 7.60 Lacs</t>
  </si>
  <si>
    <t>Team Leader_Legal</t>
  </si>
  <si>
    <t>Legal Practice</t>
  </si>
  <si>
    <t>Thomson Reuters India Pvt Ltd</t>
  </si>
  <si>
    <t>vidyasagaruniversity</t>
  </si>
  <si>
    <t>27-03-18 20:36:34</t>
  </si>
  <si>
    <t>18-04-18 10:41:04</t>
  </si>
  <si>
    <t>suhas shilewant</t>
  </si>
  <si>
    <t>04 Oct 1977</t>
  </si>
  <si>
    <t>shilewant@gmail.com</t>
  </si>
  <si>
    <t>91 9702543865</t>
  </si>
  <si>
    <t>Bangalore, Hyderabad, Pune, Mumbai City</t>
  </si>
  <si>
    <t>Rs. 5.80 Lacs</t>
  </si>
  <si>
    <t>Senior Executive Credit Control</t>
  </si>
  <si>
    <t>West Pioneer Properties (India)pvt ltd real estate developers, Metro junction Mall</t>
  </si>
  <si>
    <t>11-08-18 07:58:10</t>
  </si>
  <si>
    <t>21-08-18 12:28:43</t>
  </si>
  <si>
    <t xml:space="preserve">sk monirul islam </t>
  </si>
  <si>
    <t>10 Jan 1991</t>
  </si>
  <si>
    <t>islamskmonirul7@gmail.com</t>
  </si>
  <si>
    <t>91 9062070651</t>
  </si>
  <si>
    <t>Australia, United Arab Emirates, Canada, Malaysia, Mumbai City</t>
  </si>
  <si>
    <t>5 Yrs 4 Months</t>
  </si>
  <si>
    <t>hvac project engineer</t>
  </si>
  <si>
    <t>global as system pvt ltd</t>
  </si>
  <si>
    <t>Aryabhatta institute of engineering &amp; management</t>
  </si>
  <si>
    <t>26-04-18 16:35:42</t>
  </si>
  <si>
    <t>28-05-18 10:58:25</t>
  </si>
  <si>
    <t>Vinod Bhingarde</t>
  </si>
  <si>
    <t>18 Aug 1969</t>
  </si>
  <si>
    <t>v.bhingarde@gmail.com</t>
  </si>
  <si>
    <t>91 9870003763</t>
  </si>
  <si>
    <t>Nashik, Other Maharashtra, Pune, Mumbai City, Kolhapur, Other Goa, Panaji</t>
  </si>
  <si>
    <t>24 Yrs 3 Months</t>
  </si>
  <si>
    <t>Rs. 16.60 Lacs</t>
  </si>
  <si>
    <t>Sr.Manager-QA &amp; WCM Project</t>
  </si>
  <si>
    <t>Gala Precision Engg.Pvt.Ltd.</t>
  </si>
  <si>
    <t>BoardofTechnicalExamin</t>
  </si>
  <si>
    <t>1990</t>
  </si>
  <si>
    <t>06-01-18 19:51:28</t>
  </si>
  <si>
    <t>04-09-18 20:09:21</t>
  </si>
  <si>
    <t>vimlesh mishra</t>
  </si>
  <si>
    <t>15 Mar 1983</t>
  </si>
  <si>
    <t>vim_mishra83@yahoo.co.in</t>
  </si>
  <si>
    <t>91 9324790752</t>
  </si>
  <si>
    <t>Chennai, Mumbai City</t>
  </si>
  <si>
    <t>Rs. 5.55 Lacs</t>
  </si>
  <si>
    <t>Project Accounting / Finance</t>
  </si>
  <si>
    <t>TPSC (I) Pvt Ltd</t>
  </si>
  <si>
    <t>02-07-16 08:29:48</t>
  </si>
  <si>
    <t>07-09-18 15:15:52</t>
  </si>
  <si>
    <t>sagar biswas</t>
  </si>
  <si>
    <t>biswasgel@gmail.com</t>
  </si>
  <si>
    <t>9820107992</t>
  </si>
  <si>
    <t>Lead Project Manager</t>
  </si>
  <si>
    <t>Wadia techno engineering services ltd.</t>
  </si>
  <si>
    <t>Faculty of Engineering and Technology, Jadavpur University</t>
  </si>
  <si>
    <t>1979</t>
  </si>
  <si>
    <t>18-09-17 15:21:32</t>
  </si>
  <si>
    <t>21-06-18 17:05:09</t>
  </si>
  <si>
    <t>Sudhir Ajjikuttira</t>
  </si>
  <si>
    <t>sudhiram@yahoo.com</t>
  </si>
  <si>
    <t>91 9867508016</t>
  </si>
  <si>
    <t>PROCUREMENT EXECUTIVES</t>
  </si>
  <si>
    <t>ABOVE OIL &amp; GAS EXPLORATION AND PRODUCTION COMPANY</t>
  </si>
  <si>
    <t>BANGALORE INSTITUTE OF TECHNOLOGY</t>
  </si>
  <si>
    <t>15-04-18 20:49:43</t>
  </si>
  <si>
    <t>17-04-18 09:58:35</t>
  </si>
  <si>
    <t>Dr Vinay Kumar Pandey</t>
  </si>
  <si>
    <t>23 Dec 1978</t>
  </si>
  <si>
    <t>vinay78pandey@gmail.com</t>
  </si>
  <si>
    <t>91 8879406062</t>
  </si>
  <si>
    <t>18 Yrs 1 Month</t>
  </si>
  <si>
    <t>Rs. 20.10 Lacs</t>
  </si>
  <si>
    <t>Construction Manager- Civil &amp; Geotechnical</t>
  </si>
  <si>
    <t>L&amp;T STEC JV</t>
  </si>
  <si>
    <t>Ph.D/Doctorate</t>
  </si>
  <si>
    <t>Geology</t>
  </si>
  <si>
    <t>02-09-18 16:34:54</t>
  </si>
  <si>
    <t>07-09-18 22:20:34</t>
  </si>
  <si>
    <t>Sachin Desai</t>
  </si>
  <si>
    <t>03 Nov 1986</t>
  </si>
  <si>
    <t>evileyedesai007@gmail.com</t>
  </si>
  <si>
    <t>91 9004067275</t>
  </si>
  <si>
    <t>Senior Lecturer</t>
  </si>
  <si>
    <t>Doctor</t>
  </si>
  <si>
    <t>acpmdc, dhule</t>
  </si>
  <si>
    <t>MDS</t>
  </si>
  <si>
    <t>Dentistry</t>
  </si>
  <si>
    <t>Rajiv Gandhi University of Health Sciences</t>
  </si>
  <si>
    <t>15-01-18 21:21:43</t>
  </si>
  <si>
    <t>06-06-18 16:34:49</t>
  </si>
  <si>
    <t>Sachin Birwadkar</t>
  </si>
  <si>
    <t>sachinbirwadkar@gmail.com</t>
  </si>
  <si>
    <t>91 9869279124</t>
  </si>
  <si>
    <t>14 Yrs 4 Months</t>
  </si>
  <si>
    <t>IMS AUDITOR</t>
  </si>
  <si>
    <t>Quality Certification</t>
  </si>
  <si>
    <t>International Certification Services</t>
  </si>
  <si>
    <t>IRCA</t>
  </si>
  <si>
    <t>05-09-18 18:08:45</t>
  </si>
  <si>
    <t>06-09-18 15:26:57</t>
  </si>
  <si>
    <t xml:space="preserve">shailesh patel </t>
  </si>
  <si>
    <t>03 Mar 1984</t>
  </si>
  <si>
    <t>patel.shaile@gmail.com</t>
  </si>
  <si>
    <t>Jamnagar, Bhuj, Mumbai City, Vadodara, Ahmedabad</t>
  </si>
  <si>
    <t>Senior Manager</t>
  </si>
  <si>
    <t>Institute of technology BHU</t>
  </si>
  <si>
    <t>27-03-18 18:48:47</t>
  </si>
  <si>
    <t>26-08-18 22:35:02</t>
  </si>
  <si>
    <t xml:space="preserve">Selva kumar </t>
  </si>
  <si>
    <t>s.kumar601@yahoo.com</t>
  </si>
  <si>
    <t>91 7738924682</t>
  </si>
  <si>
    <t>Interior Designer</t>
  </si>
  <si>
    <t>Interior Design</t>
  </si>
  <si>
    <t xml:space="preserve">Gulf Contracting company </t>
  </si>
  <si>
    <t>ITI</t>
  </si>
  <si>
    <t>2005</t>
  </si>
  <si>
    <t>30-08-16 16:29:16</t>
  </si>
  <si>
    <t>30-07-18 15:04:16</t>
  </si>
  <si>
    <t>vaibhav chavan</t>
  </si>
  <si>
    <t>01 Oct 1978</t>
  </si>
  <si>
    <t>vaibhav_c2000@yahoo.com</t>
  </si>
  <si>
    <t>91 8692080372</t>
  </si>
  <si>
    <t>Instrument engineer</t>
  </si>
  <si>
    <t>Saipem,Saudi Arabia</t>
  </si>
  <si>
    <t>VIT</t>
  </si>
  <si>
    <t>04-01-18 12:12:34</t>
  </si>
  <si>
    <t>27-08-18 13:30:31</t>
  </si>
  <si>
    <t>Satish Sinha</t>
  </si>
  <si>
    <t>10 Jun 1971</t>
  </si>
  <si>
    <t>satishkumarsinha@hotmail.com</t>
  </si>
  <si>
    <t>91 9870455363</t>
  </si>
  <si>
    <t>Bangalore, Chennai, Noida, Hyderabad, Gurugram, Kolkata, Jamshedpur, Pune, Mumbai City, Delhi</t>
  </si>
  <si>
    <t>Registered Auditor</t>
  </si>
  <si>
    <t>IRCA &amp; ASCEB (Europe)Ltd.UK</t>
  </si>
  <si>
    <t>International American University</t>
  </si>
  <si>
    <t>28-08-17 18:37:26</t>
  </si>
  <si>
    <t>19-03-18 10:17:29</t>
  </si>
  <si>
    <t xml:space="preserve">jitin gopi </t>
  </si>
  <si>
    <t>15 May 1992</t>
  </si>
  <si>
    <t>jitingopi15@gmail.com</t>
  </si>
  <si>
    <t>91 8898525179</t>
  </si>
  <si>
    <t>karpagam university</t>
  </si>
  <si>
    <t>25-07-18 16:37:40</t>
  </si>
  <si>
    <t>25-07-18 16:41:09</t>
  </si>
  <si>
    <t>Krishnat Patil</t>
  </si>
  <si>
    <t>kn.patil67@gmail.com</t>
  </si>
  <si>
    <t>91 9892831230</t>
  </si>
  <si>
    <t>15 Yrs 9 Months</t>
  </si>
  <si>
    <t>Rs. 13.05 Lacs</t>
  </si>
  <si>
    <t>Manager Security</t>
  </si>
  <si>
    <t>Frigorifico Allana Pvt Ltd</t>
  </si>
  <si>
    <t>B.Ed</t>
  </si>
  <si>
    <t>Fore School of Management</t>
  </si>
  <si>
    <t>16-08-18 16:33:53</t>
  </si>
  <si>
    <t>03-09-18 17:05:15</t>
  </si>
  <si>
    <t>Rajeena Johnson</t>
  </si>
  <si>
    <t>18 Oct 1982</t>
  </si>
  <si>
    <t>rajeena.george@gmail.com</t>
  </si>
  <si>
    <t>91 9619829490</t>
  </si>
  <si>
    <t>Kochi, Navi Mumbai, Kollam, Thiruvanananthapuram, Thrissur, Mumbai City</t>
  </si>
  <si>
    <t>11 Yrs 7 Months</t>
  </si>
  <si>
    <t>Axis Bank Ltd</t>
  </si>
  <si>
    <t>Indian Institute of Modern Management</t>
  </si>
  <si>
    <t>30-08-17 12:35:22</t>
  </si>
  <si>
    <t>07-08-18 18:22:55</t>
  </si>
  <si>
    <t>COLONEL R SRINIVAS</t>
  </si>
  <si>
    <t>25 Aug 1966</t>
  </si>
  <si>
    <t>1971srinivasr@gmail.com</t>
  </si>
  <si>
    <t>91 8939284917</t>
  </si>
  <si>
    <t>Bangalore, Raipur, Mumbai City, Bhillai, Belgaum, Mysore</t>
  </si>
  <si>
    <t>SENIOR EXECUTIVE</t>
  </si>
  <si>
    <t>GOVT OF INDIA</t>
  </si>
  <si>
    <t>Symbiosis Institute of     				1998	
Management and Industrial          Management Studies</t>
  </si>
  <si>
    <t>27-12-16 09:58:47</t>
  </si>
  <si>
    <t>01-09-18 17:38:49</t>
  </si>
  <si>
    <t xml:space="preserve">Sreeju </t>
  </si>
  <si>
    <t>10 Jan 1987</t>
  </si>
  <si>
    <t>sreeju_krish786@yahoo.com</t>
  </si>
  <si>
    <t>91 9867536354</t>
  </si>
  <si>
    <t>All India, Kuwait, Australia, Virgin Islands (UK), United Arab Emirates, United Kingdom, United States of America, Mumbai City, Switzerland, Qatar, Saudi Arabia</t>
  </si>
  <si>
    <t>11 Yrs 8 Months</t>
  </si>
  <si>
    <t>Barclays Shared Services</t>
  </si>
  <si>
    <t>Kohinoor Business School &amp; Centre For Management Research</t>
  </si>
  <si>
    <t>23-08-18 18:59:11</t>
  </si>
  <si>
    <t>31-08-18 15:18:13</t>
  </si>
  <si>
    <t>shantanu chauhan</t>
  </si>
  <si>
    <t>23 Dec 1983</t>
  </si>
  <si>
    <t>shantanu2472@gmail.com</t>
  </si>
  <si>
    <t>91 9833919582</t>
  </si>
  <si>
    <t>Noida, Gurugram, Delhi</t>
  </si>
  <si>
    <t>10 Yrs 11 Months</t>
  </si>
  <si>
    <t>Manager - Operations</t>
  </si>
  <si>
    <t>Doublearm Insulation</t>
  </si>
  <si>
    <t>L.I.E.T</t>
  </si>
  <si>
    <t>15-02-18 10:28:20</t>
  </si>
  <si>
    <t>17-05-18 12:58:19</t>
  </si>
  <si>
    <t>Nityananda Adhikari</t>
  </si>
  <si>
    <t>01 Feb 1972</t>
  </si>
  <si>
    <t>nityananda2504@gmail.com</t>
  </si>
  <si>
    <t>91 9892160771</t>
  </si>
  <si>
    <t>All India</t>
  </si>
  <si>
    <t>Rs. 16.20 Lacs</t>
  </si>
  <si>
    <t>Zonal Business Head</t>
  </si>
  <si>
    <t>Chandras Chemical Ent.Pvt.Ltd</t>
  </si>
  <si>
    <t>Institute of Chartered Financial Analysts of India (ICFAI) University</t>
  </si>
  <si>
    <t>02-09-18 12:53:37</t>
  </si>
  <si>
    <t>anupam acharya</t>
  </si>
  <si>
    <t>anupamacharya@yahoo.com</t>
  </si>
  <si>
    <t>91 9987541211</t>
  </si>
  <si>
    <t>Bangalore, Pune, Mumbai City, Delhi</t>
  </si>
  <si>
    <t>Manager - HR</t>
  </si>
  <si>
    <t>Max Life Insurance</t>
  </si>
  <si>
    <t>North Maharashtra University</t>
  </si>
  <si>
    <t>23-08-18 13:14:18</t>
  </si>
  <si>
    <t>05-09-18 14:43:43</t>
  </si>
  <si>
    <t>PRAJAPATI GHANSHYAM</t>
  </si>
  <si>
    <t>01 Feb 1990</t>
  </si>
  <si>
    <t>prajapati677@gmail.com</t>
  </si>
  <si>
    <t>91 9820798172</t>
  </si>
  <si>
    <t>5 Yrs 5 Months</t>
  </si>
  <si>
    <t>Rs. 15.50 Lacs</t>
  </si>
  <si>
    <t>drilling fluids engineer</t>
  </si>
  <si>
    <t>baker Hughes</t>
  </si>
  <si>
    <t xml:space="preserve">University of Mumbai </t>
  </si>
  <si>
    <t>07-12-17 13:31:31</t>
  </si>
  <si>
    <t>23-05-18 18:03:54</t>
  </si>
  <si>
    <t xml:space="preserve">raviteja </t>
  </si>
  <si>
    <t>30 Mar 1996</t>
  </si>
  <si>
    <t>ravitejnetha55@gmail.com</t>
  </si>
  <si>
    <t>91 9136743692</t>
  </si>
  <si>
    <t>Kamala institute of technology and science</t>
  </si>
  <si>
    <t>01-08-18 10:50:21</t>
  </si>
  <si>
    <t>07-09-18 12:05:03</t>
  </si>
  <si>
    <t>nitin singh</t>
  </si>
  <si>
    <t>nitinagastwar@gmail.com</t>
  </si>
  <si>
    <t>91 7715833164</t>
  </si>
  <si>
    <t>United Arab Emirates, United Kingdom, Qatar</t>
  </si>
  <si>
    <t>13 Yrs 11 Months</t>
  </si>
  <si>
    <t>Rs. 27.10 Lacs</t>
  </si>
  <si>
    <t>Sr manager civil&amp; structural</t>
  </si>
  <si>
    <t>Thyssenkrupp industrial solutio</t>
  </si>
  <si>
    <t>Environmental</t>
  </si>
  <si>
    <t>Indian School Of Mines, Dhanbad</t>
  </si>
  <si>
    <t>08-03-18 13:27:58</t>
  </si>
  <si>
    <t>02-04-18 18:41:28</t>
  </si>
  <si>
    <t>Hareesh pambavasan</t>
  </si>
  <si>
    <t>28 May 1993</t>
  </si>
  <si>
    <t>hareeshharan@gmail.com</t>
  </si>
  <si>
    <t>91 7710901242</t>
  </si>
  <si>
    <t>Kochi, Kozhikode, Thiruvanananthapuram, Mumbai City</t>
  </si>
  <si>
    <t>thunchathezhuthachan college of arts and science</t>
  </si>
  <si>
    <t>14-03-18 13:58:52</t>
  </si>
  <si>
    <t>Mriganka Das</t>
  </si>
  <si>
    <t>24 Apr 1989</t>
  </si>
  <si>
    <t>mrigankachem1989@gmail.com</t>
  </si>
  <si>
    <t>91 9039622592</t>
  </si>
  <si>
    <t>Indore</t>
  </si>
  <si>
    <t>Rs. 6.30 Lacs</t>
  </si>
  <si>
    <t>Specially Appointed Researcher</t>
  </si>
  <si>
    <t>Osaka University, Japan</t>
  </si>
  <si>
    <t>Indian Institute of Technology, Indore</t>
  </si>
  <si>
    <t>30-04-18 17:06:22</t>
  </si>
  <si>
    <t>01-05-18 12:56:10</t>
  </si>
  <si>
    <t>Rajeev Paliwal</t>
  </si>
  <si>
    <t>29 Mar 1976</t>
  </si>
  <si>
    <t>rajeev.paliwal29@gmail.com</t>
  </si>
  <si>
    <t>91 9769938103</t>
  </si>
  <si>
    <t>All India, Mumbai City, Bhopal</t>
  </si>
  <si>
    <t>17 Yrs 0 Month</t>
  </si>
  <si>
    <t>Deputy Branch Manager</t>
  </si>
  <si>
    <t>ICICI Bank Limited</t>
  </si>
  <si>
    <t>Aisect University Institute of Science and Technology</t>
  </si>
  <si>
    <t>2019</t>
  </si>
  <si>
    <t>04-09-18 12:04:05</t>
  </si>
  <si>
    <t>Naseem Roshan</t>
  </si>
  <si>
    <t>08 Dec 1970</t>
  </si>
  <si>
    <t>naseemfaazil@gmail.com</t>
  </si>
  <si>
    <t>91 8655596075</t>
  </si>
  <si>
    <t>CAD MANAGER/INCHARGE</t>
  </si>
  <si>
    <t>ELEMEC ELECTROMECHANICAL CO. LLC</t>
  </si>
  <si>
    <t>RDVU</t>
  </si>
  <si>
    <t>27-11-17 15:23:36</t>
  </si>
  <si>
    <t>02-04-18 10:17:20</t>
  </si>
  <si>
    <t>baiju kant singh</t>
  </si>
  <si>
    <t>02 Dec 1995</t>
  </si>
  <si>
    <t>baiju.ranu.singh@gmail.com</t>
  </si>
  <si>
    <t>91 9718873357</t>
  </si>
  <si>
    <t>galgotias university</t>
  </si>
  <si>
    <t>05-02-18 23:03:33</t>
  </si>
  <si>
    <t>09-04-18 13:24:18</t>
  </si>
  <si>
    <t>Bhaskar Das</t>
  </si>
  <si>
    <t>01 Feb 1962</t>
  </si>
  <si>
    <t>bhaskar_jyoti@hotmail.com</t>
  </si>
  <si>
    <t>91 9619900102</t>
  </si>
  <si>
    <t>Rs. 37.00 Lacs</t>
  </si>
  <si>
    <t>General Manager &amp; Head (Security &amp; Vigilance)</t>
  </si>
  <si>
    <t>Mahanagar Gas Limited</t>
  </si>
  <si>
    <t>NIPM</t>
  </si>
  <si>
    <t>11-01-18 11:21:34</t>
  </si>
  <si>
    <t>30-08-18 15:07:28</t>
  </si>
  <si>
    <t>Pankaj Chavan</t>
  </si>
  <si>
    <t>03 Feb 1984</t>
  </si>
  <si>
    <t>pnkj9926@gmail.com</t>
  </si>
  <si>
    <t>91 9930296105</t>
  </si>
  <si>
    <t>Rs. 5.45 Lacs</t>
  </si>
  <si>
    <t>Asst manager Civil</t>
  </si>
  <si>
    <t>Antony Lara Enviro Solution Pvt LTd</t>
  </si>
  <si>
    <t>A.S.T.S. Pipri Wardha</t>
  </si>
  <si>
    <t>22-01-18 15:34:19</t>
  </si>
  <si>
    <t>01-06-18 14:24:40</t>
  </si>
  <si>
    <t>Kaushik Datta</t>
  </si>
  <si>
    <t>kaushik1711@gmail.com</t>
  </si>
  <si>
    <t>91 8879386963</t>
  </si>
  <si>
    <t>Programme Manager</t>
  </si>
  <si>
    <t>National CSR Hub</t>
  </si>
  <si>
    <t>Population Studies</t>
  </si>
  <si>
    <t>International Institute for Population Sciences</t>
  </si>
  <si>
    <t>17-01-18 18:52:41</t>
  </si>
  <si>
    <t>31-05-18 18:19:42</t>
  </si>
  <si>
    <t>Warren Fernandes</t>
  </si>
  <si>
    <t>08 Apr 1983</t>
  </si>
  <si>
    <t>warrenfds@gmail.com</t>
  </si>
  <si>
    <t>91 9833583232</t>
  </si>
  <si>
    <t>All India, Pune, Mumbai City</t>
  </si>
  <si>
    <t>Rs. 4.45 Lacs</t>
  </si>
  <si>
    <t>Recruiter</t>
  </si>
  <si>
    <t>Recruitment</t>
  </si>
  <si>
    <t>Recruitment Services</t>
  </si>
  <si>
    <t>Multiple startups</t>
  </si>
  <si>
    <t>05-09-18 04:42:46</t>
  </si>
  <si>
    <t>Trique Ahmad</t>
  </si>
  <si>
    <t>10 Feb 1992</t>
  </si>
  <si>
    <t>tariqueahmad097@gmail.com</t>
  </si>
  <si>
    <t>91 9595122091</t>
  </si>
  <si>
    <t>All India, Mumbai City, Nagpur</t>
  </si>
  <si>
    <t>Rs. 8.80 Lacs</t>
  </si>
  <si>
    <t>SIPCHEM</t>
  </si>
  <si>
    <t>16-08-18 16:22:52</t>
  </si>
  <si>
    <t>24-08-18 22:58:05</t>
  </si>
  <si>
    <t>Sampat More</t>
  </si>
  <si>
    <t>sampatmore45@gmail.com</t>
  </si>
  <si>
    <t>91 8888971887</t>
  </si>
  <si>
    <t>Research Associate</t>
  </si>
  <si>
    <t>M.Pharma</t>
  </si>
  <si>
    <t>Pharmacy</t>
  </si>
  <si>
    <t>Shivaji University,	Govt. College</t>
  </si>
  <si>
    <t>09-08-18 17:08:18</t>
  </si>
  <si>
    <t>chaitali kadam</t>
  </si>
  <si>
    <t>09 Jun 1978</t>
  </si>
  <si>
    <t>chaita_patil@yahoo.com</t>
  </si>
  <si>
    <t>91 9821576711</t>
  </si>
  <si>
    <t>TeamLeader</t>
  </si>
  <si>
    <t>RDP MANAGEMENT SERVICE PVT LTD, Gebbs Healthcare Solutions, HEALTH PRIME INTERNATIONAL SERVICE PVT L</t>
  </si>
  <si>
    <t>15-05-18 18:07:00</t>
  </si>
  <si>
    <t>23-07-18 15:13:12</t>
  </si>
  <si>
    <t>VINOD KHATOD</t>
  </si>
  <si>
    <t>vinodkhatod@hotmail.com</t>
  </si>
  <si>
    <t>91 9699936370</t>
  </si>
  <si>
    <t>United Arab Emirates, Mumbai City</t>
  </si>
  <si>
    <t>MANAGER ACCOUNTS &amp; FINANCE</t>
  </si>
  <si>
    <t>WHITE IMPEX GENERAL TRADING LLC</t>
  </si>
  <si>
    <t>THE INSTITUTE OF CHARTERED ACCOUNTANT OF INDIA</t>
  </si>
  <si>
    <t>05-07-18 11:15:35</t>
  </si>
  <si>
    <t>06-07-18 13:29:32</t>
  </si>
  <si>
    <t>KULDEEP KUMAR YADAV</t>
  </si>
  <si>
    <t>06 Dec 1994</t>
  </si>
  <si>
    <t>kuldeepkumaryadav12@gmail.com</t>
  </si>
  <si>
    <t>91 8522939397</t>
  </si>
  <si>
    <t>SRI SAI JYOTHI ENGG COLLEGE</t>
  </si>
  <si>
    <t>27-11-17 13:06:08</t>
  </si>
  <si>
    <t>29-08-18 10:08:07</t>
  </si>
  <si>
    <t>sachin dod</t>
  </si>
  <si>
    <t>harishdod23@gmail.com</t>
  </si>
  <si>
    <t>91 9225108777</t>
  </si>
  <si>
    <t>CONSULTANT</t>
  </si>
  <si>
    <t>KSL &amp; Industries LtdEMPRESS MALL &amp; EMPRESS CITY GENERAL MANAGER</t>
  </si>
  <si>
    <t>15-05-18 20:43:12</t>
  </si>
  <si>
    <t>29-08-18 13:05:20</t>
  </si>
  <si>
    <t xml:space="preserve">Tushar Ghag </t>
  </si>
  <si>
    <t>09 Jul 1992</t>
  </si>
  <si>
    <t>tusharghag.98@gmail.com</t>
  </si>
  <si>
    <t>91 8268514784</t>
  </si>
  <si>
    <t>0 Yr 5 Months</t>
  </si>
  <si>
    <t>Rs. 12.15 Lacs</t>
  </si>
  <si>
    <t>back-end executive</t>
  </si>
  <si>
    <t>sarvaria and brothers</t>
  </si>
  <si>
    <t>History</t>
  </si>
  <si>
    <t>21-06-18 13:39:50</t>
  </si>
  <si>
    <t>27-07-18 12:41:35</t>
  </si>
  <si>
    <t>SOUMYAJIT HAZRA</t>
  </si>
  <si>
    <t>soumyajithazra90@gmail.com</t>
  </si>
  <si>
    <t>91 7038038322</t>
  </si>
  <si>
    <t>Senior Executive Meteorologist- Quality Assurance</t>
  </si>
  <si>
    <t>Environment</t>
  </si>
  <si>
    <t>Skymet Weather Services Pvt. Ltd.</t>
  </si>
  <si>
    <t>Calcutta University</t>
  </si>
  <si>
    <t>15-10-17 23:42:36</t>
  </si>
  <si>
    <t>13-03-18 10:53:23</t>
  </si>
  <si>
    <t>Rakesh Ranjan</t>
  </si>
  <si>
    <t>15 Oct 1985</t>
  </si>
  <si>
    <t>ranjan1510@gmail.com</t>
  </si>
  <si>
    <t>91 7890007383</t>
  </si>
  <si>
    <t>Other West Bengal</t>
  </si>
  <si>
    <t>Rs. 14.85 Lacs</t>
  </si>
  <si>
    <t>Deputy Manager (Marketing)</t>
  </si>
  <si>
    <t>Bharat Petroleum Corporation Ltd</t>
  </si>
  <si>
    <t>Allahabad Agricultural Institute - Deemed University</t>
  </si>
  <si>
    <t>04-09-17 10:58:06</t>
  </si>
  <si>
    <t>08-03-18 17:01:04</t>
  </si>
  <si>
    <t>prashant malvankar</t>
  </si>
  <si>
    <t>30 Jun 1980</t>
  </si>
  <si>
    <t>pmalvankar.malvankar80@gmail.com</t>
  </si>
  <si>
    <t>91 9867462991</t>
  </si>
  <si>
    <t>16 Yrs 10 Months</t>
  </si>
  <si>
    <t>Rs. 12.75 Lacs</t>
  </si>
  <si>
    <t>Card Operation Manager</t>
  </si>
  <si>
    <t>IndusInd Bank Ltd</t>
  </si>
  <si>
    <t>In Indian Institute of banking &amp; fiance</t>
  </si>
  <si>
    <t>29-03-18 21:36:03</t>
  </si>
  <si>
    <t>30-03-18 12:57:39</t>
  </si>
  <si>
    <t>Anup Kumar Shrivastava</t>
  </si>
  <si>
    <t>321anupgunjan@gmail.com</t>
  </si>
  <si>
    <t>9867227301</t>
  </si>
  <si>
    <t>Indian Navy</t>
  </si>
  <si>
    <t>Science</t>
  </si>
  <si>
    <t>MP Board of education</t>
  </si>
  <si>
    <t>28-05-18 11:06:53</t>
  </si>
  <si>
    <t>07-09-18 11:03:21</t>
  </si>
  <si>
    <t>Ravinder Singh</t>
  </si>
  <si>
    <t>24 May 1969</t>
  </si>
  <si>
    <t>beerurawat@rediffmail.com</t>
  </si>
  <si>
    <t>91 9892592831</t>
  </si>
  <si>
    <t>Rs. 36.80 Lacs</t>
  </si>
  <si>
    <t>AVP -Facilities</t>
  </si>
  <si>
    <t>Property Management</t>
  </si>
  <si>
    <t>Omkar Realtors and Developers Pvt Ltd</t>
  </si>
  <si>
    <t>26-03-18 09:33:12</t>
  </si>
  <si>
    <t>23-04-18 15:34:55</t>
  </si>
  <si>
    <t>Avinash Yadav</t>
  </si>
  <si>
    <t>30 Oct 1985</t>
  </si>
  <si>
    <t>av.nash.y@gmail.com</t>
  </si>
  <si>
    <t>91 9819573412</t>
  </si>
  <si>
    <t>Client Servicing &amp; Production</t>
  </si>
  <si>
    <t>Event Management</t>
  </si>
  <si>
    <t>Imprint</t>
  </si>
  <si>
    <t>04-08-18 14:26:26</t>
  </si>
  <si>
    <t>12-08-18 16:55:55</t>
  </si>
  <si>
    <t>Naitik Babaria</t>
  </si>
  <si>
    <t>naitikbabariya3@gmail.com</t>
  </si>
  <si>
    <t>91 8898476491</t>
  </si>
  <si>
    <t>Mulund College of Commerce</t>
  </si>
  <si>
    <t>05-08-18 16:38:23</t>
  </si>
  <si>
    <t>vijay patil</t>
  </si>
  <si>
    <t>01 Jun 1985</t>
  </si>
  <si>
    <t>p.vjay1@gmail.com</t>
  </si>
  <si>
    <t>91 9167336032</t>
  </si>
  <si>
    <t>All India, Nashik, Other Maharashtra, Indore, Bhuj, Navi Mumbai, Thane, Pune, Bharuch, Mumbai City, Daman</t>
  </si>
  <si>
    <t>10 Yrs 5 Months</t>
  </si>
  <si>
    <t>Rs. 14.75 Lacs</t>
  </si>
  <si>
    <t>Sr. executive Quality Assurance</t>
  </si>
  <si>
    <t>sandoz Pharma pvt Ltd</t>
  </si>
  <si>
    <t>B.Pharma</t>
  </si>
  <si>
    <t>07-09-18 15:33:22</t>
  </si>
  <si>
    <t>Shreekant Kulkarni</t>
  </si>
  <si>
    <t>13 Sep 1975</t>
  </si>
  <si>
    <t>shreekantskulkarni@gmail.com</t>
  </si>
  <si>
    <t>91 7738059744</t>
  </si>
  <si>
    <t>Manager- Operations/Production</t>
  </si>
  <si>
    <t>Prime Focus Limited</t>
  </si>
  <si>
    <t>27-08-18 17:50:43</t>
  </si>
  <si>
    <t>03-09-18 16:13:06</t>
  </si>
  <si>
    <t>DURGESH DUBEY</t>
  </si>
  <si>
    <t>26 Oct 1989</t>
  </si>
  <si>
    <t>durgeshd212@gmail.com</t>
  </si>
  <si>
    <t>91 7027230666</t>
  </si>
  <si>
    <t>Jr. Assistant Manager</t>
  </si>
  <si>
    <t xml:space="preserve"> FLSmidth Pvt. Ltd.</t>
  </si>
  <si>
    <t>Karnataka State University</t>
  </si>
  <si>
    <t>11-04-18 10:21:18</t>
  </si>
  <si>
    <t>07-06-18 15:35:17</t>
  </si>
  <si>
    <t>Davindra Saini</t>
  </si>
  <si>
    <t>30 Nov 1979</t>
  </si>
  <si>
    <t>davindrasaini@gmail.com</t>
  </si>
  <si>
    <t>91 9167969038</t>
  </si>
  <si>
    <t>Marketing Manager</t>
  </si>
  <si>
    <t>Viiking Media &amp; Entertainment</t>
  </si>
  <si>
    <t>IIPM</t>
  </si>
  <si>
    <t>06-09-18 16:39:04</t>
  </si>
  <si>
    <t>Mannu Lal</t>
  </si>
  <si>
    <t>01 Jul 1953</t>
  </si>
  <si>
    <t>mannulal53@gmail.com</t>
  </si>
  <si>
    <t>91 9561122020</t>
  </si>
  <si>
    <t>Rs. 9.10 Lacs</t>
  </si>
  <si>
    <t>Quality Head</t>
  </si>
  <si>
    <t>Dte .Aero. QA.Def. Prodn. Deptt.New Delhi</t>
  </si>
  <si>
    <t>15 Yrs</t>
  </si>
  <si>
    <t>Aeronautics</t>
  </si>
  <si>
    <t>Naval air technical Institute, Kochi(Cochin)</t>
  </si>
  <si>
    <t>03-11-17 18:16:20</t>
  </si>
  <si>
    <t>02-06-18 20:59:29</t>
  </si>
  <si>
    <t>Md Salman</t>
  </si>
  <si>
    <t>mdsalmann6@gmail.com</t>
  </si>
  <si>
    <t>91 7860080487</t>
  </si>
  <si>
    <t>hi-tech technical institute</t>
  </si>
  <si>
    <t>21-03-18 09:39:19</t>
  </si>
  <si>
    <t>22-03-18 10:28:17</t>
  </si>
  <si>
    <t>Jackson David</t>
  </si>
  <si>
    <t>21 May 1986</t>
  </si>
  <si>
    <t>davidjackson31@gmail.com</t>
  </si>
  <si>
    <t>91 9004024948</t>
  </si>
  <si>
    <t>Bangalore, Chennai, Hyderabad, Pune, Mumbai City</t>
  </si>
  <si>
    <t>11 Yrs 6 Months</t>
  </si>
  <si>
    <t>Assistant Manager - Operations (Telecom Expense Management)</t>
  </si>
  <si>
    <t>InspiredgeIT Solutions pvt Ltd</t>
  </si>
  <si>
    <t>YCMOU Nasik University</t>
  </si>
  <si>
    <t>26-03-18 13:07:57</t>
  </si>
  <si>
    <t>04-04-18 12:49:57</t>
  </si>
  <si>
    <t>payal mendhekar</t>
  </si>
  <si>
    <t>30 Apr 1987</t>
  </si>
  <si>
    <t>payal.mendhekar@gmail.com</t>
  </si>
  <si>
    <t>91 9004579990</t>
  </si>
  <si>
    <t>Brand marketing professional</t>
  </si>
  <si>
    <t>Prachar Communications Ltd</t>
  </si>
  <si>
    <t>Chetana Institute of Management &amp; Research</t>
  </si>
  <si>
    <t>14-05-18 15:54:16</t>
  </si>
  <si>
    <t>15-05-18 13:03:28</t>
  </si>
  <si>
    <t>Priyanka Sahoo</t>
  </si>
  <si>
    <t>priyanka.sahoo141993@gmail.com</t>
  </si>
  <si>
    <t>91 9668641059</t>
  </si>
  <si>
    <t>Biology</t>
  </si>
  <si>
    <t>29-10-17 20:12:01</t>
  </si>
  <si>
    <t>30-06-18 21:17:21</t>
  </si>
  <si>
    <t>jinosh joseph</t>
  </si>
  <si>
    <t>20 May 1984</t>
  </si>
  <si>
    <t>jinoshjoseph@rediffmail.com</t>
  </si>
  <si>
    <t>91 9424029325</t>
  </si>
  <si>
    <t>Coimbatore, Ahmedabad, All India, Bangalore, Kochi, Chennai, Other Tamil Nadu, Other Madhya Pradesh, Hyderabad, Navi Mumbai, Other Kerala, Thiruvanananthapuram, Mumbai City</t>
  </si>
  <si>
    <t>8 Yrs 1 Month</t>
  </si>
  <si>
    <t>officer production</t>
  </si>
  <si>
    <t>navin flourine international</t>
  </si>
  <si>
    <t>Chemical</t>
  </si>
  <si>
    <t>IES IPS ACADEMY INDORE</t>
  </si>
  <si>
    <t>13-08-18 18:01:16</t>
  </si>
  <si>
    <t>07-09-18 16:04:04</t>
  </si>
  <si>
    <t>mangesh deshpnde</t>
  </si>
  <si>
    <t>14 Sep 1975</t>
  </si>
  <si>
    <t>mangesh1409@gmail.com</t>
  </si>
  <si>
    <t>91 9320099321</t>
  </si>
  <si>
    <t>15 Yrs 0 Month</t>
  </si>
  <si>
    <t>Rs. 24.40 Lacs</t>
  </si>
  <si>
    <t>Essel Infraprojects Limited</t>
  </si>
  <si>
    <t>CSIBER, Kolhapur</t>
  </si>
  <si>
    <t>2001</t>
  </si>
  <si>
    <t>06-02-18 12:12:17</t>
  </si>
  <si>
    <t>24-08-18 12:00:02</t>
  </si>
  <si>
    <t>MUSHAHID RAZA KHAN</t>
  </si>
  <si>
    <t>mushahidrazakhan55@gmail.com</t>
  </si>
  <si>
    <t>91 7738287995</t>
  </si>
  <si>
    <t>English</t>
  </si>
  <si>
    <t>Aligarh Muslim University</t>
  </si>
  <si>
    <t>25-09-16 16:00:16</t>
  </si>
  <si>
    <t>14-08-18 14:51:17</t>
  </si>
  <si>
    <t>Vishal Rupani</t>
  </si>
  <si>
    <t>01 Sep 1980</t>
  </si>
  <si>
    <t>vishalgrupani@rediffmail.com</t>
  </si>
  <si>
    <t>91 9819854933</t>
  </si>
  <si>
    <t>Rs. 10.55 Lacs</t>
  </si>
  <si>
    <t>Thomson Reuters: Pangea3 Legal</t>
  </si>
  <si>
    <t>S.I.E.S. College of Arts, Science and Commerce</t>
  </si>
  <si>
    <t>28-08-18 10:51:00</t>
  </si>
  <si>
    <t>04-09-18 11:09:23</t>
  </si>
  <si>
    <t>Prasad Shirodkar</t>
  </si>
  <si>
    <t>31 Oct 1975</t>
  </si>
  <si>
    <t>shirodkarpprasad@gmail.com</t>
  </si>
  <si>
    <t>91 8424042593</t>
  </si>
  <si>
    <t>insurance analyst</t>
  </si>
  <si>
    <t>Health Prime International</t>
  </si>
  <si>
    <t>J M Patel college</t>
  </si>
  <si>
    <t>01-03-18 16:48:40</t>
  </si>
  <si>
    <t>09-08-18 11:29:43</t>
  </si>
  <si>
    <t>George Kurien</t>
  </si>
  <si>
    <t>24 Feb 1982</t>
  </si>
  <si>
    <t>george.kurien.ies@gmail.com</t>
  </si>
  <si>
    <t>91 9769464680</t>
  </si>
  <si>
    <t>Assistant Manager  Production Planning</t>
  </si>
  <si>
    <t>KAMA SCHACHTER JEWELRY Pvt. Ltd.</t>
  </si>
  <si>
    <t>16-07-18 12:57:51</t>
  </si>
  <si>
    <t>06-08-18 12:48:33</t>
  </si>
  <si>
    <t>Manmohan Hawaldar</t>
  </si>
  <si>
    <t>mhawaldar2008@rediffmail.com</t>
  </si>
  <si>
    <t>91 9870642923</t>
  </si>
  <si>
    <t>FACTORYHEAD</t>
  </si>
  <si>
    <t>23 Yrs</t>
  </si>
  <si>
    <t>mAHARASHTRATECHBOARD</t>
  </si>
  <si>
    <t>1977</t>
  </si>
  <si>
    <t>14-08-18 09:41:18</t>
  </si>
  <si>
    <t>31-08-18 13:29:45</t>
  </si>
  <si>
    <t>shahab anwar</t>
  </si>
  <si>
    <t>31 Jan 1989</t>
  </si>
  <si>
    <t>shahabanwar0@gmail.com</t>
  </si>
  <si>
    <t>91 8076208651</t>
  </si>
  <si>
    <t>Varanasi, Gorakhpur, Noida, Ghaziabad, Kanpur, Lucknow, Other Uttarakhand</t>
  </si>
  <si>
    <t>INTEGRAL UNIVERSITY</t>
  </si>
  <si>
    <t>20-01-18 12:59:25</t>
  </si>
  <si>
    <t>12-07-18 15:33:02</t>
  </si>
  <si>
    <t>POOJA KUMARI</t>
  </si>
  <si>
    <t>pooja23192@gmail.com</t>
  </si>
  <si>
    <t>91 9594308443</t>
  </si>
  <si>
    <t>UNIVERSITY OF MUMBAI</t>
  </si>
  <si>
    <t>27-09-16 20:45:38</t>
  </si>
  <si>
    <t>16-08-18 15:57:31</t>
  </si>
  <si>
    <t>Gaurav Srivastava</t>
  </si>
  <si>
    <t>sri_gauravkumar@rediffmail.com</t>
  </si>
  <si>
    <t>91 9920427254</t>
  </si>
  <si>
    <t>Mumbai City, Delhi, Allahabad</t>
  </si>
  <si>
    <t>Rs. 4.65 Lacs</t>
  </si>
  <si>
    <t>Business Head</t>
  </si>
  <si>
    <t>Sales Support / MIS</t>
  </si>
  <si>
    <t>Citizen Housing</t>
  </si>
  <si>
    <t>Delhi Business School</t>
  </si>
  <si>
    <t>14-12-17 15:42:26</t>
  </si>
  <si>
    <t>15-05-18 16:20:58</t>
  </si>
  <si>
    <t xml:space="preserve">Aashish Mandolu </t>
  </si>
  <si>
    <t>17 Mar 1990</t>
  </si>
  <si>
    <t>aashishkumar17@hotmail.com</t>
  </si>
  <si>
    <t>91 9930615238</t>
  </si>
  <si>
    <t>BROADCAST  EX. OPERATER</t>
  </si>
  <si>
    <t>PLANETCAST MEDIA LTD.</t>
  </si>
  <si>
    <t>21-08-18 00:58:17</t>
  </si>
  <si>
    <t>21-08-18 11:49:37</t>
  </si>
  <si>
    <t xml:space="preserve">JS Madhavan </t>
  </si>
  <si>
    <t>jsmadhavan@gmail.com</t>
  </si>
  <si>
    <t>91 9567761536</t>
  </si>
  <si>
    <t>14 Yrs 8 Months</t>
  </si>
  <si>
    <t>Rs. 11.10 Lacs</t>
  </si>
  <si>
    <t>Project Manager,</t>
  </si>
  <si>
    <t xml:space="preserve"> Schindler India Private Limited</t>
  </si>
  <si>
    <t>NIAT, Kochi</t>
  </si>
  <si>
    <t>29-09-16 11:43:24</t>
  </si>
  <si>
    <t>27-07-18 10:08:08</t>
  </si>
  <si>
    <t>vivek vaidya</t>
  </si>
  <si>
    <t>04 Jul 1967</t>
  </si>
  <si>
    <t>vivaidya@hotmail.com</t>
  </si>
  <si>
    <t>91 8879610503</t>
  </si>
  <si>
    <t>Anand, Mumbai City, Surat, Ahmedabad</t>
  </si>
  <si>
    <t>JMC Projects (India) Ltd</t>
  </si>
  <si>
    <t>Government Polytechnic Mumbai.</t>
  </si>
  <si>
    <t>1988</t>
  </si>
  <si>
    <t>24-01-18 13:54:37</t>
  </si>
  <si>
    <t>18-07-18 10:32:49</t>
  </si>
  <si>
    <t>arun kadam</t>
  </si>
  <si>
    <t>26 Dec 1983</t>
  </si>
  <si>
    <t>arunkadam83@rediffmail.com</t>
  </si>
  <si>
    <t>91 9987177349</t>
  </si>
  <si>
    <t>8 Yrs 10 Months</t>
  </si>
  <si>
    <t>Mechanical Design Engineer</t>
  </si>
  <si>
    <t>IOT Design and Engineering ltd</t>
  </si>
  <si>
    <t>13-07-18 11:32:28</t>
  </si>
  <si>
    <t>06-09-18 15:38:06</t>
  </si>
  <si>
    <t>SAUVIK GHOSH</t>
  </si>
  <si>
    <t>14 Dec 1994</t>
  </si>
  <si>
    <t>ghoshsauvik1994@gmail.com</t>
  </si>
  <si>
    <t>91 8981542106</t>
  </si>
  <si>
    <t>Navi Mumbai, Kolkata</t>
  </si>
  <si>
    <t>Haldia Institute of Technology</t>
  </si>
  <si>
    <t>30-10-17 20:08:21</t>
  </si>
  <si>
    <t>04-05-18 22:01:24</t>
  </si>
  <si>
    <t>Chris Misquitta</t>
  </si>
  <si>
    <t>18 Oct 1969</t>
  </si>
  <si>
    <t>chrismiskita@yahoo.com</t>
  </si>
  <si>
    <t>91 9820226137</t>
  </si>
  <si>
    <t>Bangalore, Hyderabad, Gurugram, Mumbai City</t>
  </si>
  <si>
    <t>Proprietor</t>
  </si>
  <si>
    <t>Horizon Appraisers</t>
  </si>
  <si>
    <t>Dubai Institute of Managment</t>
  </si>
  <si>
    <t>14-06-18 16:32:08</t>
  </si>
  <si>
    <t>08-07-18 18:17:39</t>
  </si>
  <si>
    <t>Radheshyam Verma</t>
  </si>
  <si>
    <t>radheshyamverma5@gmail.com</t>
  </si>
  <si>
    <t>91 9867988307</t>
  </si>
  <si>
    <t>Land Surveyor</t>
  </si>
  <si>
    <t>land @cost</t>
  </si>
  <si>
    <t>Allahabad University</t>
  </si>
  <si>
    <t>23-08-18 14:20:35</t>
  </si>
  <si>
    <t>24-08-18 15:17:56</t>
  </si>
  <si>
    <t>Punit SAXENA</t>
  </si>
  <si>
    <t>punitsaxena@gmail.com</t>
  </si>
  <si>
    <t>91 9819010000</t>
  </si>
  <si>
    <t>Managing Director and Chief Executive Officer</t>
  </si>
  <si>
    <t>UTI Infrastructure, Technology  and Services Ltd</t>
  </si>
  <si>
    <t>Poddar Institute of Management</t>
  </si>
  <si>
    <t>07-06-18 12:34:45</t>
  </si>
  <si>
    <t>28-08-18 21:38:04</t>
  </si>
  <si>
    <t>Prakash Jaju</t>
  </si>
  <si>
    <t>15 Nov 1976</t>
  </si>
  <si>
    <t>jajuprakash@yahoo.co.in</t>
  </si>
  <si>
    <t>91 9920044594</t>
  </si>
  <si>
    <t>Rs. 21.00 Lacs</t>
  </si>
  <si>
    <t>MANAGER - Accounts and Finance</t>
  </si>
  <si>
    <t>B.G. SHIRKE CONSTRUCTION TECHNOLOGY PRIVATE LIMITED</t>
  </si>
  <si>
    <t>07-09-18 06:56:44</t>
  </si>
  <si>
    <t>08-09-18 10:44:57</t>
  </si>
  <si>
    <t xml:space="preserve">AKASH MITTAL </t>
  </si>
  <si>
    <t>12 Aug 1992</t>
  </si>
  <si>
    <t>akashmittalin@yahoo.co.in</t>
  </si>
  <si>
    <t>91 9993125870</t>
  </si>
  <si>
    <t>Surat, Vadodara, Ahmedabad, - Any -, Gwalior, Bangalore, Indore, Noida, Jabalpur, Hyderabad, Kolkata, Navi Mumbai, Gurugram, Thane, Pune, Mumbai City, Delhi, Bhopal</t>
  </si>
  <si>
    <t>Rs. 20.50 Lacs</t>
  </si>
  <si>
    <t>Senior Consultant</t>
  </si>
  <si>
    <t>GEP Worldwide</t>
  </si>
  <si>
    <t>IIT Mumbai</t>
  </si>
  <si>
    <t>29-06-18 18:16:57</t>
  </si>
  <si>
    <t>RENJITH R</t>
  </si>
  <si>
    <t>09 Jan 1980</t>
  </si>
  <si>
    <t>renjith8888@gmail.com</t>
  </si>
  <si>
    <t>91 9496668868</t>
  </si>
  <si>
    <t>Kochi, Other Kerala, Mumbai City</t>
  </si>
  <si>
    <t>6 Yrs 3 Months</t>
  </si>
  <si>
    <t xml:space="preserve">Operation </t>
  </si>
  <si>
    <t>Ministry of Defence</t>
  </si>
  <si>
    <t>COLLEGE,KOTHAMANGALAM,KE</t>
  </si>
  <si>
    <t>07-11-16 16:04:05</t>
  </si>
  <si>
    <t>19-03-18 10:54:53</t>
  </si>
  <si>
    <t>manohar nadar</t>
  </si>
  <si>
    <t>08 Nov 1985</t>
  </si>
  <si>
    <t>manohar.nadar@gmail.com</t>
  </si>
  <si>
    <t>91 9833570377</t>
  </si>
  <si>
    <t>Inventory Management and SCM</t>
  </si>
  <si>
    <t>Inventory / Warehousing</t>
  </si>
  <si>
    <t>HCL Infosystem Pvt Ltd</t>
  </si>
  <si>
    <t>12-06-18 17:11:17</t>
  </si>
  <si>
    <t>05-07-18 15:55:11</t>
  </si>
  <si>
    <t>Sachin Nikam</t>
  </si>
  <si>
    <t>07 Sep 1992</t>
  </si>
  <si>
    <t>sachinn246@gmail.com</t>
  </si>
  <si>
    <t>91 9930025281</t>
  </si>
  <si>
    <t>PRICING ANALYSTS</t>
  </si>
  <si>
    <t>Tata Consultancy Services</t>
  </si>
  <si>
    <t>Joshi Bedekar College of Commerce</t>
  </si>
  <si>
    <t>27-03-18 17:22:10</t>
  </si>
  <si>
    <t>08-05-18 06:01:31</t>
  </si>
  <si>
    <t xml:space="preserve">Samruddhi Khatu </t>
  </si>
  <si>
    <t>samruddhi_20@yahoo.co.in</t>
  </si>
  <si>
    <t>91 7710953124</t>
  </si>
  <si>
    <t>0 Yr 6 Months</t>
  </si>
  <si>
    <t>Assistant Manager - Banking</t>
  </si>
  <si>
    <t>Kotak Mahindra Bank Limited</t>
  </si>
  <si>
    <t>CHM college</t>
  </si>
  <si>
    <t>1999</t>
  </si>
  <si>
    <t>07-09-18 09:20:17</t>
  </si>
  <si>
    <t>RADHAKRISHNA MURTHY GUNTUPALLI</t>
  </si>
  <si>
    <t>21 Jun 1965</t>
  </si>
  <si>
    <t>murthy5559@yahoo.co.in</t>
  </si>
  <si>
    <t>91 9480808787</t>
  </si>
  <si>
    <t>All India, Bangalore, Thailand, Sri Lanka, United Arab Emirates, Hyderabad, Switzerland, Mumbai City, Oman, Qatar</t>
  </si>
  <si>
    <t>Freelancer/State Head-Karnataka</t>
  </si>
  <si>
    <t>Own/Wind Wrold India Ltd (Enercon India Ltd)</t>
  </si>
  <si>
    <t>Jawaharlal Nehru Technological University, Hyderabad</t>
  </si>
  <si>
    <t>20-02-18 21:48:37</t>
  </si>
  <si>
    <t>05-09-18 11:43:46</t>
  </si>
  <si>
    <t>Rajendra Singh</t>
  </si>
  <si>
    <t>24 Jul 1993</t>
  </si>
  <si>
    <t>sraj3563@gmail.com</t>
  </si>
  <si>
    <t>91 9369296523</t>
  </si>
  <si>
    <t>Noida, Gurugram, Mumbai City, Delhi</t>
  </si>
  <si>
    <t>Video Editor</t>
  </si>
  <si>
    <t>Sound Mixing / Editing</t>
  </si>
  <si>
    <t>Sushil movies</t>
  </si>
  <si>
    <t>CSJM</t>
  </si>
  <si>
    <t>06-07-18 23:07:11</t>
  </si>
  <si>
    <t>07-08-18 21:52:07</t>
  </si>
  <si>
    <t xml:space="preserve">Shrinivas </t>
  </si>
  <si>
    <t>shrinivas.thite@gmail.com</t>
  </si>
  <si>
    <t>91 8424066366</t>
  </si>
  <si>
    <t>Sr. Piping Engineer</t>
  </si>
  <si>
    <t>MCE Consulting Engineer</t>
  </si>
  <si>
    <t>COETA AKOLA</t>
  </si>
  <si>
    <t>22-09-17 20:05:22</t>
  </si>
  <si>
    <t>17-07-18 19:18:50</t>
  </si>
  <si>
    <t>parth shukla</t>
  </si>
  <si>
    <t>25 Mar 1986</t>
  </si>
  <si>
    <t>parth.shukla06@gmail.com</t>
  </si>
  <si>
    <t>91 7400349470</t>
  </si>
  <si>
    <t>Gandhinagar, Bangalore, Jamnagar, Rajkot, Canada, Pune, Mumbai City, Surat, New Zealand, Ahmedabad</t>
  </si>
  <si>
    <t>FX,Currency Dealer, Option trader, Interest Rate Futures Trader.</t>
  </si>
  <si>
    <t>PhillipCapital India Ltd</t>
  </si>
  <si>
    <t>M.S.UNIVERSITY</t>
  </si>
  <si>
    <t>06-04-18 09:28:52</t>
  </si>
  <si>
    <t>08-04-18 16:00:15</t>
  </si>
  <si>
    <t>PRADEEP DESAI</t>
  </si>
  <si>
    <t>13 Apr 1970</t>
  </si>
  <si>
    <t>pradeeppd@hotmail.com</t>
  </si>
  <si>
    <t>91 9987055660</t>
  </si>
  <si>
    <t>Mumbai City, Saudi Arabia</t>
  </si>
  <si>
    <t>Regional Manager Sales</t>
  </si>
  <si>
    <t>Verder Scientific India</t>
  </si>
  <si>
    <t>24-08-18 12:09:23</t>
  </si>
  <si>
    <t>04-09-18 15:00:05</t>
  </si>
  <si>
    <t>Neel Mandavia</t>
  </si>
  <si>
    <t>neelmandavia2311@gmail.com</t>
  </si>
  <si>
    <t>91 9702288679</t>
  </si>
  <si>
    <t>Business Development Executive</t>
  </si>
  <si>
    <t>K.C.Sharma &amp; Co</t>
  </si>
  <si>
    <t>ICFAI, Hyderabad</t>
  </si>
  <si>
    <t>24-11-17 11:13:06</t>
  </si>
  <si>
    <t>01-08-18 15:37:14</t>
  </si>
  <si>
    <t xml:space="preserve">Swapnil </t>
  </si>
  <si>
    <t>10 Dec 1983</t>
  </si>
  <si>
    <t>bhate_swapnil123@yahoo.co.in</t>
  </si>
  <si>
    <t>91 9619198009</t>
  </si>
  <si>
    <t>Marketing Head</t>
  </si>
  <si>
    <t>Mercedes Benz - Auto Hangar</t>
  </si>
  <si>
    <t>Welingkar Institute of Management Development and Research</t>
  </si>
  <si>
    <t>21-04-18 20:24:25</t>
  </si>
  <si>
    <t>17-08-18 19:07:27</t>
  </si>
  <si>
    <t>R PARTHASARATHY</t>
  </si>
  <si>
    <t>rpsarathy1958@gmail.com</t>
  </si>
  <si>
    <t>91 9819639818</t>
  </si>
  <si>
    <t>SENIOR CONTRACTS MANAGER</t>
  </si>
  <si>
    <t>SAFER EXPLORATION AND PRODUCTION OPERATIONS COMPANY, SANA'A, YEMEN</t>
  </si>
  <si>
    <t>LAW COLLEGE, MADURAI</t>
  </si>
  <si>
    <t>13-01-17 12:50:58</t>
  </si>
  <si>
    <t>19-07-18 15:43:25</t>
  </si>
  <si>
    <t>Rajeev ranjan kumar</t>
  </si>
  <si>
    <t>05 May 1994</t>
  </si>
  <si>
    <t>star.rajeev23@gmail.com</t>
  </si>
  <si>
    <t>91 8987538823</t>
  </si>
  <si>
    <t>Rs. 7.70 Lacs</t>
  </si>
  <si>
    <t>Trainee Marine Engineer/ 5th engineer</t>
  </si>
  <si>
    <t>Marine Engineering Department</t>
  </si>
  <si>
    <t>Merchant Navy</t>
  </si>
  <si>
    <t>Shipping company</t>
  </si>
  <si>
    <t>Indian Maritime University  Chennai</t>
  </si>
  <si>
    <t>03-07-18 21:38:56</t>
  </si>
  <si>
    <t>Abhijit Dutta</t>
  </si>
  <si>
    <t>11 Feb 1957</t>
  </si>
  <si>
    <t>abhijitsdutta@rediffmail.com</t>
  </si>
  <si>
    <t>91 7738896147</t>
  </si>
  <si>
    <t>Other Maharashtra, Pune, Mumbai City</t>
  </si>
  <si>
    <t>General Manager</t>
  </si>
  <si>
    <t>Indure Pvt. Ltd.</t>
  </si>
  <si>
    <t>NIT Jamshedpur</t>
  </si>
  <si>
    <t>09-05-18 18:45:12</t>
  </si>
  <si>
    <t>SUBRAT SHODANGI</t>
  </si>
  <si>
    <t>05 Jun 1976</t>
  </si>
  <si>
    <t>shodangi@gmail.com</t>
  </si>
  <si>
    <t>91 9029022112</t>
  </si>
  <si>
    <t>AVP</t>
  </si>
  <si>
    <t>HDFC Bank Ltd</t>
  </si>
  <si>
    <t>, Berhampure University</t>
  </si>
  <si>
    <t>01-05-16 18:14:46</t>
  </si>
  <si>
    <t>01-08-18 12:50:42</t>
  </si>
  <si>
    <t>Sushil Kumar</t>
  </si>
  <si>
    <t>01 Jan 1978</t>
  </si>
  <si>
    <t>kumar_susil08@rediffmail.com</t>
  </si>
  <si>
    <t>91 8550963132</t>
  </si>
  <si>
    <t>Chief Security Officer &amp; Vigilance Officer</t>
  </si>
  <si>
    <t>Embio Ltd Mahad</t>
  </si>
  <si>
    <t>Max Institute</t>
  </si>
  <si>
    <t>09-11-17 20:30:47</t>
  </si>
  <si>
    <t>14-08-18 20:59:27</t>
  </si>
  <si>
    <t>Neeraj Pandey</t>
  </si>
  <si>
    <t>28 Jul 1983</t>
  </si>
  <si>
    <t>neerajpandey28@gmail.com</t>
  </si>
  <si>
    <t>91 9829598031</t>
  </si>
  <si>
    <t>Manager(Supply Chain Management)</t>
  </si>
  <si>
    <t>Toshniwal Industries Pvt. Ltd.</t>
  </si>
  <si>
    <t>Asia Pacific Institute of Management</t>
  </si>
  <si>
    <t>13-08-18 20:22:31</t>
  </si>
  <si>
    <t>18-08-18 21:28:42</t>
  </si>
  <si>
    <t>Pravin Lawande</t>
  </si>
  <si>
    <t>07 Jul 1973</t>
  </si>
  <si>
    <t>plawande2010@gmail.com</t>
  </si>
  <si>
    <t>91 9867977337</t>
  </si>
  <si>
    <t>Freelancer</t>
  </si>
  <si>
    <t>Own Employee</t>
  </si>
  <si>
    <t>Tata Institute of Social Sciences, Mumbai</t>
  </si>
  <si>
    <t>30-08-18 17:07:01</t>
  </si>
  <si>
    <t>vinay kumar</t>
  </si>
  <si>
    <t>22 Jan 1989</t>
  </si>
  <si>
    <t>vinay.k.mnnit@gmail.com</t>
  </si>
  <si>
    <t>91 9958426572</t>
  </si>
  <si>
    <t>3 Yrs 3 Months</t>
  </si>
  <si>
    <t>Program associate (physics)</t>
  </si>
  <si>
    <t>Professor / Lecturer</t>
  </si>
  <si>
    <t>Avanti learning centres pvt. ltd.</t>
  </si>
  <si>
    <t xml:space="preserve">    MNNIT Allahabad </t>
  </si>
  <si>
    <t>16-01-18 12:19:26</t>
  </si>
  <si>
    <t>30-07-18 14:43:43</t>
  </si>
  <si>
    <t>Aniruddha kapre</t>
  </si>
  <si>
    <t>01 Aug 1978</t>
  </si>
  <si>
    <t>ani_kapre@yahoo.com</t>
  </si>
  <si>
    <t>91 9324580556</t>
  </si>
  <si>
    <t>All India, Bangalore, Chennai, United Arab Emirates, Hyderabad, Mumbai City</t>
  </si>
  <si>
    <t>16 Yrs 7 Months</t>
  </si>
  <si>
    <t>Rs. 13.50 Lacs</t>
  </si>
  <si>
    <t>Production Manager</t>
  </si>
  <si>
    <t>Belimo Actuators India Pvt Ltd</t>
  </si>
  <si>
    <t>Lakshmi Narain College of Technology</t>
  </si>
  <si>
    <t>07-06-18 15:15:45</t>
  </si>
  <si>
    <t>19-06-18 13:06:10</t>
  </si>
  <si>
    <t>Rahul Nagothkar</t>
  </si>
  <si>
    <t>28 May 1991</t>
  </si>
  <si>
    <t>rnagothkar42@gmail.com</t>
  </si>
  <si>
    <t>91 9028367326</t>
  </si>
  <si>
    <t>Dr.Babasaheb Ambedkar Technological University</t>
  </si>
  <si>
    <t>06-07-18 11:05:35</t>
  </si>
  <si>
    <t>22-08-18 20:22:21</t>
  </si>
  <si>
    <t>shrutika shinde</t>
  </si>
  <si>
    <t>shrutika2306@gmail.com</t>
  </si>
  <si>
    <t>91 9823097315</t>
  </si>
  <si>
    <t>Jewellery Designer</t>
  </si>
  <si>
    <t>Gems / Jewellery</t>
  </si>
  <si>
    <t>Nirav Modi</t>
  </si>
  <si>
    <t>Fine Arts</t>
  </si>
  <si>
    <t>NIFT , Istituto Marangoni, Milan</t>
  </si>
  <si>
    <t>20-08-18 18:11:38</t>
  </si>
  <si>
    <t>22-08-18 10:24:27</t>
  </si>
  <si>
    <t>Rahul Dange</t>
  </si>
  <si>
    <t>06 Nov 1984</t>
  </si>
  <si>
    <t>rahulvdange@gmail.com</t>
  </si>
  <si>
    <t>91 9867971711</t>
  </si>
  <si>
    <t>Australia, United Arab Emirates, Canada</t>
  </si>
  <si>
    <t>9 Yrs 3 Months</t>
  </si>
  <si>
    <t>Relationship manager</t>
  </si>
  <si>
    <t>itm-ifm</t>
  </si>
  <si>
    <t>17-07-18 22:07:46</t>
  </si>
  <si>
    <t>18-07-18 16:54:16</t>
  </si>
  <si>
    <t>Bhavik Shah</t>
  </si>
  <si>
    <t>29 Apr 1986</t>
  </si>
  <si>
    <t>bhavik.shah24@gmail.com</t>
  </si>
  <si>
    <t>91 9819058709</t>
  </si>
  <si>
    <t>7 Yrs 11 Months</t>
  </si>
  <si>
    <t>Assitant Manager</t>
  </si>
  <si>
    <t>V J Shroff</t>
  </si>
  <si>
    <t>30-06-18 18:23:38</t>
  </si>
  <si>
    <t>02-07-18 15:14:32</t>
  </si>
  <si>
    <t>Gaurav Yadav</t>
  </si>
  <si>
    <t>28 Aug 1988</t>
  </si>
  <si>
    <t>gaurav9974y@gmail.com</t>
  </si>
  <si>
    <t>91 9769261784</t>
  </si>
  <si>
    <t>4 Yrs 10 Months</t>
  </si>
  <si>
    <t>Mechanical Engineer</t>
  </si>
  <si>
    <t>L&amp;T</t>
  </si>
  <si>
    <t>BIT vadodara</t>
  </si>
  <si>
    <t>09-08-17 07:24:55</t>
  </si>
  <si>
    <t>20-03-18 11:24:23</t>
  </si>
  <si>
    <t>Vaishali Sanap</t>
  </si>
  <si>
    <t>17 Jun 1970</t>
  </si>
  <si>
    <t>vaishaliabhi09@rediffmail.com</t>
  </si>
  <si>
    <t>91 9819786981</t>
  </si>
  <si>
    <t>Sr. Manager - Business Development and Sales</t>
  </si>
  <si>
    <t>Beico Industries Private Limited</t>
  </si>
  <si>
    <t>Welingkar Institute Mumbai</t>
  </si>
  <si>
    <t>04-09-17 17:15:00</t>
  </si>
  <si>
    <t>27-06-18 12:54:18</t>
  </si>
  <si>
    <t>Mohmmad Javed Khan</t>
  </si>
  <si>
    <t>jk7787587@gmail.com</t>
  </si>
  <si>
    <t>91 9870035523</t>
  </si>
  <si>
    <t>Delivery Driver</t>
  </si>
  <si>
    <t>Training &amp; Development</t>
  </si>
  <si>
    <t>Al Fanar Travel - Lufthansa City Center Bahrain</t>
  </si>
  <si>
    <t>yeswantraw choowain</t>
  </si>
  <si>
    <t>01-07-18 15:12:45</t>
  </si>
  <si>
    <t>03-07-18 16:16:23</t>
  </si>
  <si>
    <t>Jaffer ali</t>
  </si>
  <si>
    <t>04 Oct 1987</t>
  </si>
  <si>
    <t>jafferalishaikh07@gmail.com</t>
  </si>
  <si>
    <t>91 9766666719</t>
  </si>
  <si>
    <t>Supply team</t>
  </si>
  <si>
    <t>OLA Cabs</t>
  </si>
  <si>
    <t>Yashwantrao Chavan maharashtra open  University</t>
  </si>
  <si>
    <t>13-08-18 17:33:26</t>
  </si>
  <si>
    <t>18-08-18 13:19:21</t>
  </si>
  <si>
    <t>VISHAL UCHIL</t>
  </si>
  <si>
    <t>07 Nov 1980</t>
  </si>
  <si>
    <t>vishalsai1@yahoo.co.in</t>
  </si>
  <si>
    <t>91 9920330364</t>
  </si>
  <si>
    <t>Navi Mumbai, Pune, Mumbai City</t>
  </si>
  <si>
    <t>AVP  Custody MO Client Facing/ Business Analytics &amp; Reporting (Capital Markets)</t>
  </si>
  <si>
    <t>JPMorgan Chase (India)</t>
  </si>
  <si>
    <t>Jamnalal Bajaj Inst. of Management Studies</t>
  </si>
  <si>
    <t>04-03-18 20:39:55</t>
  </si>
  <si>
    <t>07-08-18 19:10:17</t>
  </si>
  <si>
    <t>Taiyeb Shaikh</t>
  </si>
  <si>
    <t>taiyeb.shaikh786@gmail.com</t>
  </si>
  <si>
    <t>91 9833295938</t>
  </si>
  <si>
    <t>Customer Service officer</t>
  </si>
  <si>
    <t>Britannia Industries Limited</t>
  </si>
  <si>
    <t>V.E.S</t>
  </si>
  <si>
    <t>16-08-18 22:04:41</t>
  </si>
  <si>
    <t>17-08-18 13:06:26</t>
  </si>
  <si>
    <t>HIMANSHU SHARMA</t>
  </si>
  <si>
    <t>17 Feb 1993</t>
  </si>
  <si>
    <t>himon17@hotmail.com</t>
  </si>
  <si>
    <t>91 9509777482</t>
  </si>
  <si>
    <t>Kota, Mumbai City</t>
  </si>
  <si>
    <t>Trainee Engineer</t>
  </si>
  <si>
    <t>NTPC</t>
  </si>
  <si>
    <t>Career Point University</t>
  </si>
  <si>
    <t>20-11-16 12:37:00</t>
  </si>
  <si>
    <t>01-09-18 18:16:37</t>
  </si>
  <si>
    <t>sanjay kotha</t>
  </si>
  <si>
    <t>01 Oct 1969</t>
  </si>
  <si>
    <t>kothasanjay@yahoo.co.in</t>
  </si>
  <si>
    <t>91 9810098084</t>
  </si>
  <si>
    <t>Noida, Ghaziabad, Gurugram, Faridabad, Mumbai City, Delhi, Ahmedabad</t>
  </si>
  <si>
    <t>CEO</t>
  </si>
  <si>
    <t>Sports / Fitness</t>
  </si>
  <si>
    <t>Almac Sports (India) Pvt. Ltd.</t>
  </si>
  <si>
    <t>Indian Institute Of Business Management And Studies</t>
  </si>
  <si>
    <t>1994</t>
  </si>
  <si>
    <t>05-06-18 16:40:52</t>
  </si>
  <si>
    <t>06-08-18 17:34:57</t>
  </si>
  <si>
    <t>MANDAR DIGHE</t>
  </si>
  <si>
    <t>23 Nov 1971</t>
  </si>
  <si>
    <t>mddighe2311@gmail.com</t>
  </si>
  <si>
    <t>91 9223398244</t>
  </si>
  <si>
    <t>Nashik, Bangalore, Noida, Mohali, Hyderabad, Gurugram, Pune, Mumbai City</t>
  </si>
  <si>
    <t>Deputy Manager</t>
  </si>
  <si>
    <t>TTL</t>
  </si>
  <si>
    <t>St. Xaviers Technical  Institute</t>
  </si>
  <si>
    <t>23-08-18 17:38:54</t>
  </si>
  <si>
    <t>27-08-18 08:34:39</t>
  </si>
  <si>
    <t>manohar tiwari</t>
  </si>
  <si>
    <t>manohar_twr@yahoo.com</t>
  </si>
  <si>
    <t>91 9969893486</t>
  </si>
  <si>
    <t>PETTY OFFICER AIRCRAFT MECHANIC</t>
  </si>
  <si>
    <t>Military</t>
  </si>
  <si>
    <t>Military / Police / Arms &amp; Ammunition</t>
  </si>
  <si>
    <t>NIAT</t>
  </si>
  <si>
    <t>29-07-17 16:17:08</t>
  </si>
  <si>
    <t>03-05-18 15:35:05</t>
  </si>
  <si>
    <t xml:space="preserve">avijitchoudhary </t>
  </si>
  <si>
    <t>09 May 1980</t>
  </si>
  <si>
    <t>choudhary.avijit@gmail.com</t>
  </si>
  <si>
    <t>91 9503527921</t>
  </si>
  <si>
    <t>10 Yrs 6 Months</t>
  </si>
  <si>
    <t>Rs. 10.60 Lacs</t>
  </si>
  <si>
    <t>Environment / Waste Management</t>
  </si>
  <si>
    <t>Rite Water Solutions India Pvt Ltd</t>
  </si>
  <si>
    <t>Indian Institute of Technology, Delhi</t>
  </si>
  <si>
    <t>23-01-18 19:06:40</t>
  </si>
  <si>
    <t>31-03-18 12:42:18</t>
  </si>
  <si>
    <t>Rahulkumar Bhadane</t>
  </si>
  <si>
    <t>07 Jul 1978</t>
  </si>
  <si>
    <t>drrahulbhadane@gmail.com</t>
  </si>
  <si>
    <t>91 9321707277</t>
  </si>
  <si>
    <t>Navi Mumbai, Mumbai City</t>
  </si>
  <si>
    <t>Rs. 15.55 Lacs</t>
  </si>
  <si>
    <t>veterinarian lab animals</t>
  </si>
  <si>
    <t>Animal Husbandry</t>
  </si>
  <si>
    <t>Glenmark Pharmaceuticals Limited</t>
  </si>
  <si>
    <t>MVSC</t>
  </si>
  <si>
    <t>Veterinary Science</t>
  </si>
  <si>
    <t>MAFSU</t>
  </si>
  <si>
    <t>16-08-18 00:47:00</t>
  </si>
  <si>
    <t xml:space="preserve">Raghavendra Srinivasan </t>
  </si>
  <si>
    <t>20 Oct 1994</t>
  </si>
  <si>
    <t>s.raghavendra0705@gmail.com</t>
  </si>
  <si>
    <t>91 8652755175</t>
  </si>
  <si>
    <t>Gauges Bourdon India Pvt Ltd</t>
  </si>
  <si>
    <t>12-08-18 17:52:28</t>
  </si>
  <si>
    <t>16-08-18 10:02:14</t>
  </si>
  <si>
    <t>Tushar Shah</t>
  </si>
  <si>
    <t>tusharkrshah@gmail.com</t>
  </si>
  <si>
    <t>91 9313266791</t>
  </si>
  <si>
    <t>All India, Bangalore, Hyderabad, Kolkata, Mumbai City</t>
  </si>
  <si>
    <t>Equity Analyst</t>
  </si>
  <si>
    <t>Max New York Life Insurance Co. Ltd</t>
  </si>
  <si>
    <t>FMS Delhi</t>
  </si>
  <si>
    <t>30-06-18 05:56:34</t>
  </si>
  <si>
    <t>30-06-18 12:55:49</t>
  </si>
  <si>
    <t xml:space="preserve">Rupali Naik </t>
  </si>
  <si>
    <t>26 Oct 1984</t>
  </si>
  <si>
    <t>rupsnaik84@gmail.com</t>
  </si>
  <si>
    <t>91 9930934959</t>
  </si>
  <si>
    <t>Rs. 7.25 Lacs</t>
  </si>
  <si>
    <t>HR Generalist</t>
  </si>
  <si>
    <t>Sitel India Private Limited</t>
  </si>
  <si>
    <t>Welingkar University</t>
  </si>
  <si>
    <t>07-05-18 11:05:26</t>
  </si>
  <si>
    <t>17-05-18 18:36:22</t>
  </si>
  <si>
    <t>sk chandbabu</t>
  </si>
  <si>
    <t>sk.chandbabu3@gmail.com</t>
  </si>
  <si>
    <t>91 9934855140</t>
  </si>
  <si>
    <t>3 Yrs 10 Months</t>
  </si>
  <si>
    <t>Rs. 25.25 Lacs</t>
  </si>
  <si>
    <t>piping engineer</t>
  </si>
  <si>
    <t>Dr.v r k engineering college of technology jatiyal hyderabad</t>
  </si>
  <si>
    <t>31-10-17 00:37:55</t>
  </si>
  <si>
    <t>21-03-18 09:57:42</t>
  </si>
  <si>
    <t>Rajesh Paul</t>
  </si>
  <si>
    <t>01 Jan 1974</t>
  </si>
  <si>
    <t>rajesh_kol2003@yahoo.com</t>
  </si>
  <si>
    <t>91 7718822300</t>
  </si>
  <si>
    <t>Kolkata, Mumbai City</t>
  </si>
  <si>
    <t>DGM - Engineering</t>
  </si>
  <si>
    <t>Larsen &amp; Toubro Limited</t>
  </si>
  <si>
    <t>Jadavpur University</t>
  </si>
  <si>
    <t>29-08-18 23:12:14</t>
  </si>
  <si>
    <t xml:space="preserve"> Amit Dhongade</t>
  </si>
  <si>
    <t>11 Feb 1992</t>
  </si>
  <si>
    <t>sumitdhongade123@gmail.com</t>
  </si>
  <si>
    <t>91 9657445635</t>
  </si>
  <si>
    <t>VJ polytechnic Khamona</t>
  </si>
  <si>
    <t>15-08-16 14:48:56</t>
  </si>
  <si>
    <t>30-04-18 13:08:11</t>
  </si>
  <si>
    <t>ashish kumar rath</t>
  </si>
  <si>
    <t>akr074@gmail.com</t>
  </si>
  <si>
    <t>91 9096214083</t>
  </si>
  <si>
    <t>Bhubaneswar, Cuttack, Vasco da Gama, Other Goa, Panaji</t>
  </si>
  <si>
    <t>aircraft maintenace</t>
  </si>
  <si>
    <t>indian navy</t>
  </si>
  <si>
    <t>CUSAT</t>
  </si>
  <si>
    <t>06-06-17 17:17:35</t>
  </si>
  <si>
    <t>30-05-18 12:41:53</t>
  </si>
  <si>
    <t>RAHUL KAMBLI</t>
  </si>
  <si>
    <t>21 Mar 1987</t>
  </si>
  <si>
    <t>r_kambli2005@yahoo.com</t>
  </si>
  <si>
    <t>91 7977767463</t>
  </si>
  <si>
    <t>Executive - Customer Service</t>
  </si>
  <si>
    <t>Tcs</t>
  </si>
  <si>
    <t>15-07-17 05:02:07</t>
  </si>
  <si>
    <t>01-05-18 11:53:50</t>
  </si>
  <si>
    <t>Tushar Majgaonkar</t>
  </si>
  <si>
    <t>20 Mar 1987</t>
  </si>
  <si>
    <t>tusharmajgaonkar1987@gmail.com</t>
  </si>
  <si>
    <t>91 7045113324</t>
  </si>
  <si>
    <t>All India, Bharuch, Mumbai City</t>
  </si>
  <si>
    <t>Rs. 6.70 Lacs</t>
  </si>
  <si>
    <t>Sr.Civil Site Engineer</t>
  </si>
  <si>
    <t>Afcons Infrastructure &amp; Project Lmt.</t>
  </si>
  <si>
    <t>Walchand College Of Engineering,Sangli,Maharastra</t>
  </si>
  <si>
    <t>06-08-18 16:26:00</t>
  </si>
  <si>
    <t>07-08-18 11:54:52</t>
  </si>
  <si>
    <t>Riyaz Nagpurwala</t>
  </si>
  <si>
    <t>22 Aug 1976</t>
  </si>
  <si>
    <t>riyaz.nagpurwala@gmail.com</t>
  </si>
  <si>
    <t>91 8433643949</t>
  </si>
  <si>
    <t>9 Yrs 6 Months</t>
  </si>
  <si>
    <t>Prime Focus World Creative Services Ltd / Prime Focus Ltd</t>
  </si>
  <si>
    <t>Manav Bharti University</t>
  </si>
  <si>
    <t>19-06-18 21:03:52</t>
  </si>
  <si>
    <t>26-07-18 14:16:11</t>
  </si>
  <si>
    <t>KARTHIK KARUPPU</t>
  </si>
  <si>
    <t>16 Apr 1984</t>
  </si>
  <si>
    <t>nitkarthik2007@gmail.com</t>
  </si>
  <si>
    <t>91 7010422310</t>
  </si>
  <si>
    <t>Bangalore, Noida, Chennai, Gurugram, Delhi, Coimbatore</t>
  </si>
  <si>
    <t>Solar Project Manager</t>
  </si>
  <si>
    <t>solar kit india MNC</t>
  </si>
  <si>
    <t>NIT/REC, Tiruchirappalli</t>
  </si>
  <si>
    <t>07-07-18 20:42:32</t>
  </si>
  <si>
    <t>09-07-18 10:41:30</t>
  </si>
  <si>
    <t>Teju Kumar</t>
  </si>
  <si>
    <t>07 Jan 1989</t>
  </si>
  <si>
    <t>kumarteju98@gmail.com</t>
  </si>
  <si>
    <t>91 9967387069</t>
  </si>
  <si>
    <t>Digital Marketing</t>
  </si>
  <si>
    <t>Bigint Media</t>
  </si>
  <si>
    <t>Kallikote Junior collage</t>
  </si>
  <si>
    <t>01-07-18 12:48:38</t>
  </si>
  <si>
    <t>02-07-18 17:32:41</t>
  </si>
  <si>
    <t>vaishali rahul ghadge</t>
  </si>
  <si>
    <t>vaishalirahul82@gmail.com</t>
  </si>
  <si>
    <t>91 9870252760</t>
  </si>
  <si>
    <t>quality control manager</t>
  </si>
  <si>
    <t>dolphin marine foods &amp; processors (India) pvt. ltd.</t>
  </si>
  <si>
    <t>Zoology</t>
  </si>
  <si>
    <t>Mumbai univercity</t>
  </si>
  <si>
    <t>29-08-18 11:46:40</t>
  </si>
  <si>
    <t>29-08-18 11:46:52</t>
  </si>
  <si>
    <t>Shishir Roplekar</t>
  </si>
  <si>
    <t>07 Oct 1978</t>
  </si>
  <si>
    <t>s_roplekar@yahoo.com</t>
  </si>
  <si>
    <t>91 9819472929</t>
  </si>
  <si>
    <t>All India, Other Maharashtra, Mumbai City</t>
  </si>
  <si>
    <t>Rs. 10.10 Lacs</t>
  </si>
  <si>
    <t>QUANTUM ADVISORS PRIVATE LIMITED</t>
  </si>
  <si>
    <t>Atharva Institute of Management Studies, Mumbai University</t>
  </si>
  <si>
    <t>04-08-18 12:53:50</t>
  </si>
  <si>
    <t>Disha Maladkar</t>
  </si>
  <si>
    <t>14 Nov 1991</t>
  </si>
  <si>
    <t>maladkardisha@gmail.com</t>
  </si>
  <si>
    <t>91 9819292606</t>
  </si>
  <si>
    <t>Bangalore, Chennai, Pune, Mumbai City</t>
  </si>
  <si>
    <t>Business Manager - Hotel Supply Network</t>
  </si>
  <si>
    <t>Make My Trip Pvt. Ltd</t>
  </si>
  <si>
    <t>Indian Education Society's Management College and Research Centre</t>
  </si>
  <si>
    <t>13-08-18 13:36:36</t>
  </si>
  <si>
    <t>06-09-18 12:11:28</t>
  </si>
  <si>
    <t>Aditi S Ghaisas</t>
  </si>
  <si>
    <t>adisg92@gmail.com</t>
  </si>
  <si>
    <t>91 9773761190</t>
  </si>
  <si>
    <t>22-07-18 20:49:02</t>
  </si>
  <si>
    <t>05-08-18 22:05:41</t>
  </si>
  <si>
    <t>Arif Memon</t>
  </si>
  <si>
    <t>12 Aug 1980</t>
  </si>
  <si>
    <t>aarif.memon@goair.in</t>
  </si>
  <si>
    <t>91 9892915211</t>
  </si>
  <si>
    <t>DUTY OFFICER</t>
  </si>
  <si>
    <t>GO AIRLINES INDIA PVT LTD</t>
  </si>
  <si>
    <t>27-10-15 19:40:51</t>
  </si>
  <si>
    <t>30-06-18 17:04:30</t>
  </si>
  <si>
    <t>vijay pathak</t>
  </si>
  <si>
    <t>05 Jun 1989</t>
  </si>
  <si>
    <t>vijaypathak316@gmail.com</t>
  </si>
  <si>
    <t>91 9792056161</t>
  </si>
  <si>
    <t>Varanasi, Dehradun, Noida, Lucknow, Gurugram, Mathura, Mumbai City, Delhi, Meerut, Moradabad</t>
  </si>
  <si>
    <t>5 Yrs 1 Month</t>
  </si>
  <si>
    <t>Senior Engineer(Mechanical)</t>
  </si>
  <si>
    <t>Afon structure &amp; Infra Pvt. LTd.</t>
  </si>
  <si>
    <t>Niet greater noida</t>
  </si>
  <si>
    <t>02-12-17 13:53:53</t>
  </si>
  <si>
    <t>30-05-18 17:20:58</t>
  </si>
  <si>
    <t>Ram Lal</t>
  </si>
  <si>
    <t>23 Sep 1968</t>
  </si>
  <si>
    <t>kaithramlal23@gmail.com</t>
  </si>
  <si>
    <t>91 9969385368</t>
  </si>
  <si>
    <t>Govt. of India, Ministry of Personal letter,   No. 15012/8/82 Estt. (D) Dated 12 Feb, 1986 and the</t>
  </si>
  <si>
    <t>07-09-18 16:45:43</t>
  </si>
  <si>
    <t>Ashish Deb</t>
  </si>
  <si>
    <t>05 Mar 1960</t>
  </si>
  <si>
    <t>ashishkdeb@gmail.com</t>
  </si>
  <si>
    <t>91 9930360732</t>
  </si>
  <si>
    <t>All India, Bangalore, Hyderabad, Canada, United States of America, Pune, Mumbai City, Singapore, Hong Kong</t>
  </si>
  <si>
    <t>Vice President &amp; SBU Head</t>
  </si>
  <si>
    <t>Aegis Global Academy / Aegis Ltd, an Essar Enterprise</t>
  </si>
  <si>
    <t>Loyola College, Chennai</t>
  </si>
  <si>
    <t>25-08-18 20:47:54</t>
  </si>
  <si>
    <t>rajendra wahal</t>
  </si>
  <si>
    <t>20 Sep 1955</t>
  </si>
  <si>
    <t>rajendra.wahal26@gmail.com</t>
  </si>
  <si>
    <t>91 9821542081</t>
  </si>
  <si>
    <t>CFO</t>
  </si>
  <si>
    <t>Percept H P Ltd</t>
  </si>
  <si>
    <t>institute of chartered accountants</t>
  </si>
  <si>
    <t>05-01-18 14:26:26</t>
  </si>
  <si>
    <t>29-08-18 16:34:24</t>
  </si>
  <si>
    <t>BABBAN SINGH</t>
  </si>
  <si>
    <t>22 Oct 1969</t>
  </si>
  <si>
    <t>babbansingh69@gmail.com</t>
  </si>
  <si>
    <t>91 9321706604</t>
  </si>
  <si>
    <t>Thane, Pune, Mumbai City</t>
  </si>
  <si>
    <t>EXECUTIVE ADVISOR</t>
  </si>
  <si>
    <t>13 Yrs</t>
  </si>
  <si>
    <t>UP Board</t>
  </si>
  <si>
    <t>1987</t>
  </si>
  <si>
    <t>16-01-18 08:48:28</t>
  </si>
  <si>
    <t>12-04-18 12:49:37</t>
  </si>
  <si>
    <t>Abhishek Shivalkar</t>
  </si>
  <si>
    <t>18 Sep 1982</t>
  </si>
  <si>
    <t>shivalkar_abhishek@rediffmail.com</t>
  </si>
  <si>
    <t>91 9920896478</t>
  </si>
  <si>
    <t>Rs. 15.75 Lacs</t>
  </si>
  <si>
    <t>Senior manager</t>
  </si>
  <si>
    <t>amneal</t>
  </si>
  <si>
    <t>College of Pharmacy Kamptee, Rashtrasant Tukdoji Maharaj Nagpur University, Nagpur</t>
  </si>
  <si>
    <t>22-06-18 00:33:33</t>
  </si>
  <si>
    <t>27-08-18 04:03:39</t>
  </si>
  <si>
    <t xml:space="preserve">JITENDRA PATIL </t>
  </si>
  <si>
    <t>01 Jun 1979</t>
  </si>
  <si>
    <t>jitendrapatil1608@gmail.com</t>
  </si>
  <si>
    <t>91 9819108624</t>
  </si>
  <si>
    <t>Rs. 5.60 Lacs</t>
  </si>
  <si>
    <t>ASST PRODUCTION MANAGER</t>
  </si>
  <si>
    <t>RASHMI MECHATRONICS CO PVT LTD</t>
  </si>
  <si>
    <t>IBMT DELHI</t>
  </si>
  <si>
    <t>28-08-18 12:09:34</t>
  </si>
  <si>
    <t>03-09-18 15:34:41</t>
  </si>
  <si>
    <t>Anautur Rahman</t>
  </si>
  <si>
    <t>02 Apr 1993</t>
  </si>
  <si>
    <t>anauturrahman01@gmail.com</t>
  </si>
  <si>
    <t>91 7070703648</t>
  </si>
  <si>
    <t>MACET PATNA</t>
  </si>
  <si>
    <t>30-10-17 17:02:13</t>
  </si>
  <si>
    <t>29-07-18 10:02:56</t>
  </si>
  <si>
    <t>DAVE VISHAL R</t>
  </si>
  <si>
    <t>14 Dec 1986</t>
  </si>
  <si>
    <t>vishaldave139@yahoo.co.in</t>
  </si>
  <si>
    <t>91 9879908614</t>
  </si>
  <si>
    <t>United Arab Emirates, Canada, Oman</t>
  </si>
  <si>
    <t>QA QC ENGINEER</t>
  </si>
  <si>
    <t>Galfar oman</t>
  </si>
  <si>
    <t>Saurashtra University</t>
  </si>
  <si>
    <t>14-10-17 00:15:24</t>
  </si>
  <si>
    <t>02-04-18 13:54:27</t>
  </si>
  <si>
    <t>Som Panicker</t>
  </si>
  <si>
    <t>30 Jul 1961</t>
  </si>
  <si>
    <t>sompanicker@yahoo.com</t>
  </si>
  <si>
    <t>91 9920246688</t>
  </si>
  <si>
    <t>Vice President, MRI Div</t>
  </si>
  <si>
    <t>Sanrad Medical Systems</t>
  </si>
  <si>
    <t>Biomedical</t>
  </si>
  <si>
    <t>28-03-16 18:42:20</t>
  </si>
  <si>
    <t>19-07-18 17:00:27</t>
  </si>
  <si>
    <t>Priyanka Swarup</t>
  </si>
  <si>
    <t>22 Oct 1984</t>
  </si>
  <si>
    <t>swarup.priyanka@gmail.com</t>
  </si>
  <si>
    <t>91 8800814102</t>
  </si>
  <si>
    <t>All India, Gurugram, Mumbai City, Delhi</t>
  </si>
  <si>
    <t>Manager  - Chairman office</t>
  </si>
  <si>
    <t>Executive Assistant (EA)</t>
  </si>
  <si>
    <t>ESSEL Group</t>
  </si>
  <si>
    <t>Hospitality EnterpriseDevelopment</t>
  </si>
  <si>
    <t>10-06-18 10:29:45</t>
  </si>
  <si>
    <t>11-06-18 18:08:59</t>
  </si>
  <si>
    <t>Nikhil Chavan</t>
  </si>
  <si>
    <t>27 Nov 1982</t>
  </si>
  <si>
    <t>nikhil_s_chavan@yahoo.com</t>
  </si>
  <si>
    <t>91 9869624172</t>
  </si>
  <si>
    <t>Rs. 5.95 Lacs</t>
  </si>
  <si>
    <t>Sr Horticulturist</t>
  </si>
  <si>
    <t>Shree Naman Group</t>
  </si>
  <si>
    <t>Botany</t>
  </si>
  <si>
    <t>The Institute of Science, Mumbai</t>
  </si>
  <si>
    <t>09-08-18 14:57:46</t>
  </si>
  <si>
    <t>21-08-18 14:21:57</t>
  </si>
  <si>
    <t>Santosh Bhalerao</t>
  </si>
  <si>
    <t>15 Nov 1983</t>
  </si>
  <si>
    <t>santosh2.bhalerao@gmail.com</t>
  </si>
  <si>
    <t>91 9820151307</t>
  </si>
  <si>
    <t>Gandhinagar, Bangalore, Chennai, Hyderabad, Udaipur, Pune, Aurangabad, Mumbai City, Ahmedabad</t>
  </si>
  <si>
    <t>DCS,NETWORKING,DATABASE,ELECTRONICS</t>
  </si>
  <si>
    <t>Honeywell Automation India Ltd,CMS Computers Ltd.</t>
  </si>
  <si>
    <t>05-09-18 21:22:13</t>
  </si>
  <si>
    <t>06-09-18 15:35:33</t>
  </si>
  <si>
    <t>Jharna K Pandya</t>
  </si>
  <si>
    <t>jharnapandya@gmail.com</t>
  </si>
  <si>
    <t>91 9892220409</t>
  </si>
  <si>
    <t xml:space="preserve">Dy.Manager-HR </t>
  </si>
  <si>
    <t xml:space="preserve">Indoco Remedies Ltd </t>
  </si>
  <si>
    <t>02-07-18 19:05:31</t>
  </si>
  <si>
    <t>09-07-18 14:50:03</t>
  </si>
  <si>
    <t>SUDIP SENGUPTA</t>
  </si>
  <si>
    <t>02 Jan 1978</t>
  </si>
  <si>
    <t>sudipsengupta05@yahoo.com</t>
  </si>
  <si>
    <t>91 8170000732</t>
  </si>
  <si>
    <t>All India, Bhubaneswar, Other Assam, Kolkata, Mumbai City, Delhi, Qatar</t>
  </si>
  <si>
    <t>17 Yrs 1 Month</t>
  </si>
  <si>
    <t>Rs. 12.50 Lacs</t>
  </si>
  <si>
    <t>DY. Project Manager</t>
  </si>
  <si>
    <t>Simplex Infrastructures Ltd, QATAR</t>
  </si>
  <si>
    <t>INSTITUTION OF CIVIL ENGINEERS</t>
  </si>
  <si>
    <t>06-03-18 13:30:51</t>
  </si>
  <si>
    <t>07-03-18 10:37:42</t>
  </si>
  <si>
    <t xml:space="preserve">Amit Bhattacharjee </t>
  </si>
  <si>
    <t>27 Mar 1964</t>
  </si>
  <si>
    <t>amit270364@yahoo.com</t>
  </si>
  <si>
    <t>91 7021300410</t>
  </si>
  <si>
    <t>DGM</t>
  </si>
  <si>
    <t>Kilburn Engineering Limited</t>
  </si>
  <si>
    <t>ICWA / CMA</t>
  </si>
  <si>
    <t>Cost Accountant</t>
  </si>
  <si>
    <t>ICWA</t>
  </si>
  <si>
    <t>03-07-18 11:14:04</t>
  </si>
  <si>
    <t>23-08-18 16:06:53</t>
  </si>
  <si>
    <t>Mamata Vishwasrao</t>
  </si>
  <si>
    <t>12 Nov 1979</t>
  </si>
  <si>
    <t>mamtavishwasrao@gmail.com</t>
  </si>
  <si>
    <t>91 8369212406</t>
  </si>
  <si>
    <t>All India, Navi Mumbai, Thane, Mumbai City</t>
  </si>
  <si>
    <t>Rs. 5.15 Lacs</t>
  </si>
  <si>
    <t>Assistant manager Supply chain</t>
  </si>
  <si>
    <t>ASAP FLUIDS PVT. LTD</t>
  </si>
  <si>
    <t>Export Import</t>
  </si>
  <si>
    <t>Melange institute of management</t>
  </si>
  <si>
    <t>23-08-18 13:37:53</t>
  </si>
  <si>
    <t>04-09-18 16:30:33</t>
  </si>
  <si>
    <t>Gajanan Mule</t>
  </si>
  <si>
    <t>01 Oct 1961</t>
  </si>
  <si>
    <t>gdmule@gmail.com</t>
  </si>
  <si>
    <t>91 9820308252</t>
  </si>
  <si>
    <t>24 Yrs 0 Month</t>
  </si>
  <si>
    <t>Rs. 43.00 Lacs</t>
  </si>
  <si>
    <t>General Manager - Sales</t>
  </si>
  <si>
    <t>Consumer Durables / Electronics</t>
  </si>
  <si>
    <t>Princeware International Pvt Ltd</t>
  </si>
  <si>
    <t>26-08-18 00:47:58</t>
  </si>
  <si>
    <t>DINESH KANADE</t>
  </si>
  <si>
    <t>27 Apr 1975</t>
  </si>
  <si>
    <t>dinesh.kanade270475@gmail.com</t>
  </si>
  <si>
    <t>PROCESS DRAUGHTMAN</t>
  </si>
  <si>
    <t>PYRAMID ENGINEERING PVT</t>
  </si>
  <si>
    <t>DADAR TECNICAL INSTITUTE</t>
  </si>
  <si>
    <t>09-03-18 13:08:13</t>
  </si>
  <si>
    <t>25-03-18 19:23:29</t>
  </si>
  <si>
    <t xml:space="preserve">Rajendra Sampatrao Dalvi </t>
  </si>
  <si>
    <t>23 Jan 1988</t>
  </si>
  <si>
    <t>rajendra.dalvi2151@gmail.com</t>
  </si>
  <si>
    <t>91 9768228220</t>
  </si>
  <si>
    <t>Kilburn Engineering Limited,</t>
  </si>
  <si>
    <t>Mumbai university</t>
  </si>
  <si>
    <t>23-06-18 12:58:08</t>
  </si>
  <si>
    <t>26-06-18 16:32:46</t>
  </si>
  <si>
    <t>Dharmesh Patel</t>
  </si>
  <si>
    <t>26 Mar 1973</t>
  </si>
  <si>
    <t>dharmesh260373@gmail.com</t>
  </si>
  <si>
    <t>91 9892329396</t>
  </si>
  <si>
    <t>24 Yrs 8 Months</t>
  </si>
  <si>
    <t>Regional Service manager</t>
  </si>
  <si>
    <t>VERDER SCIENTIFIC INDIA PVT LTD</t>
  </si>
  <si>
    <t>20-08-18 11:57:35</t>
  </si>
  <si>
    <t>Suyog Kulkarni</t>
  </si>
  <si>
    <t>06 Jul 1991</t>
  </si>
  <si>
    <t>suyogk1991@gmail.com</t>
  </si>
  <si>
    <t>91 9029515181</t>
  </si>
  <si>
    <t>Rs. 3.60 Lacs</t>
  </si>
  <si>
    <t>Preferred Relationship Manager</t>
  </si>
  <si>
    <t>Padmashree Dr.D.Y.Patil</t>
  </si>
  <si>
    <t>16-11-17 15:20:56</t>
  </si>
  <si>
    <t>30-07-18 14:46:12</t>
  </si>
  <si>
    <t>Nitesh Salvi</t>
  </si>
  <si>
    <t>20 Jul 1991</t>
  </si>
  <si>
    <t>nsalvi72@gmail.com</t>
  </si>
  <si>
    <t>91 9096776898</t>
  </si>
  <si>
    <t>Editor</t>
  </si>
  <si>
    <t>NDTV</t>
  </si>
  <si>
    <t>S S Highschool morba</t>
  </si>
  <si>
    <t>13-11-17 11:47:11</t>
  </si>
  <si>
    <t>27-08-18 16:22:21</t>
  </si>
  <si>
    <t>JOSLIN FERNANDES</t>
  </si>
  <si>
    <t>06 Nov 1987</t>
  </si>
  <si>
    <t>joslin.2@hotmail.com</t>
  </si>
  <si>
    <t>91 7506267420</t>
  </si>
  <si>
    <t>Nashik, Bangalore, Pune, Mumbai City, Nagpur, Panama</t>
  </si>
  <si>
    <t>13-04-18 22:12:15</t>
  </si>
  <si>
    <t>02-07-18 12:43:02</t>
  </si>
  <si>
    <t>nonie pinto</t>
  </si>
  <si>
    <t>pintononie@gmail.com</t>
  </si>
  <si>
    <t>91 9892370038</t>
  </si>
  <si>
    <t>Bangalore, Dharwad, Bellary, Hyderabad, Pune, Mumbai City, Delhi, Mangalore, Mysore</t>
  </si>
  <si>
    <t>7 Yrs 8 Months</t>
  </si>
  <si>
    <t>Rs. 4.90 Lacs</t>
  </si>
  <si>
    <t>Govind Knowledge Ventures Pvt ltd</t>
  </si>
  <si>
    <t>22-06-18 16:22:56</t>
  </si>
  <si>
    <t>30-08-18 12:35:38</t>
  </si>
  <si>
    <t>Manoj kumar</t>
  </si>
  <si>
    <t>manoj3dnavy@gmail.com</t>
  </si>
  <si>
    <t>91 9969875641</t>
  </si>
  <si>
    <t>Information Security, security</t>
  </si>
  <si>
    <t>Indian navy</t>
  </si>
  <si>
    <t>04-07-17 11:41:43</t>
  </si>
  <si>
    <t>28-08-18 11:31:04</t>
  </si>
  <si>
    <t>Mandal Umashankar</t>
  </si>
  <si>
    <t>05 Mar 1985</t>
  </si>
  <si>
    <t>umashankar.mandal@gmail.com</t>
  </si>
  <si>
    <t>91 9167830809</t>
  </si>
  <si>
    <t>All India, Pune, Mumbai City, Delhi</t>
  </si>
  <si>
    <t>Rs. 9.35 Lacs</t>
  </si>
  <si>
    <t>Goodrich Maritime Pvt Ltd.</t>
  </si>
  <si>
    <t>BHARATI VIDYAPEETH COLLEGE OF ENGG., MUMBAI UNIVERSITY</t>
  </si>
  <si>
    <t>08-08-18 11:35:29</t>
  </si>
  <si>
    <t>10-08-18 12:01:29</t>
  </si>
  <si>
    <t>firoz khan</t>
  </si>
  <si>
    <t>10 Apr 1987</t>
  </si>
  <si>
    <t>firozkhan100487@gmail.com</t>
  </si>
  <si>
    <t>91 9892644125</t>
  </si>
  <si>
    <t>Rs. 4.35 Lacs</t>
  </si>
  <si>
    <t>EHS Asst.manager</t>
  </si>
  <si>
    <t>Dosti Realty</t>
  </si>
  <si>
    <t>PG Diploma in Fire &amp; Safety Engineering</t>
  </si>
  <si>
    <t>Nife Cochin Kerala</t>
  </si>
  <si>
    <t>02-08-18 00:13:00</t>
  </si>
  <si>
    <t>04-08-18 17:34:18</t>
  </si>
  <si>
    <t>SANDEEP  KULKAR</t>
  </si>
  <si>
    <t>08 Jan 1984</t>
  </si>
  <si>
    <t>sankulkar8@gmail.com</t>
  </si>
  <si>
    <t>91 9702215553</t>
  </si>
  <si>
    <t>Rs. 4.60 Lacs</t>
  </si>
  <si>
    <t>Area Sales Manager</t>
  </si>
  <si>
    <t>30-07-18 16:35:48</t>
  </si>
  <si>
    <t>Ram Babu Singh</t>
  </si>
  <si>
    <t>24 Dec 1986</t>
  </si>
  <si>
    <t>ram_agra8@yahoo.com</t>
  </si>
  <si>
    <t>91 8826121735</t>
  </si>
  <si>
    <t>Mumbai City, Delhi, Agra</t>
  </si>
  <si>
    <t>Survey Engineer</t>
  </si>
  <si>
    <t>ITD Cementation India Ltd</t>
  </si>
  <si>
    <t>Agra University</t>
  </si>
  <si>
    <t>05-01-18 12:52:26</t>
  </si>
  <si>
    <t>19-07-18 12:52:07</t>
  </si>
  <si>
    <t xml:space="preserve">Deepanshu Khatri </t>
  </si>
  <si>
    <t>14 Apr 1991</t>
  </si>
  <si>
    <t>khatrideepanshu@gmail.com</t>
  </si>
  <si>
    <t>91 7206362125</t>
  </si>
  <si>
    <t>All India, Kurukshetra, United Kingdom</t>
  </si>
  <si>
    <t>5 Yrs 9 Months</t>
  </si>
  <si>
    <t>QA/QC Engineer</t>
  </si>
  <si>
    <t>VCS Quality Service Pvt Ltd</t>
  </si>
  <si>
    <t>kurukshetra institutions of technology and management, kurukshetra</t>
  </si>
  <si>
    <t>01-02-18 15:11:30</t>
  </si>
  <si>
    <t>31-05-18 16:55:54</t>
  </si>
  <si>
    <t>Chetan Subhash Hadap</t>
  </si>
  <si>
    <t>03 Feb 1980</t>
  </si>
  <si>
    <t>hadapchetan@gmail.com</t>
  </si>
  <si>
    <t>91 7506524336</t>
  </si>
  <si>
    <t>14 Yrs 9 Months</t>
  </si>
  <si>
    <t>Rs. 15.05 Lacs</t>
  </si>
  <si>
    <t>Product Specialist (Business Analyst)</t>
  </si>
  <si>
    <t>NIIT Technologies Limited</t>
  </si>
  <si>
    <t>Sikkim Manipal University</t>
  </si>
  <si>
    <t>17-08-18 11:25:36</t>
  </si>
  <si>
    <t>03-09-18 14:44:16</t>
  </si>
  <si>
    <t>Karen Miranda</t>
  </si>
  <si>
    <t>17 Aug 1982</t>
  </si>
  <si>
    <t>mirankaren@gmail.com</t>
  </si>
  <si>
    <t>91 9819773350</t>
  </si>
  <si>
    <t>Training Coordinator Marine HR</t>
  </si>
  <si>
    <t>Maersk Line</t>
  </si>
  <si>
    <t>Smt. M.M.K College of Commerce &amp; Economics</t>
  </si>
  <si>
    <t>30-08-18 08:37:51</t>
  </si>
  <si>
    <t>Mohini Patil</t>
  </si>
  <si>
    <t>07 Oct 1988</t>
  </si>
  <si>
    <t>mohinipatil07@gmail.com</t>
  </si>
  <si>
    <t>91 8080244027</t>
  </si>
  <si>
    <t>Kuwait, Ireland, Australia, United Arab Emirates, United Kingdom, Canada, Germany, Mumbai City, New Zealand</t>
  </si>
  <si>
    <t>SS&amp;C Globeop Financial Services Ltd.</t>
  </si>
  <si>
    <t>Mumbai Unuversity</t>
  </si>
  <si>
    <t>01-07-18 12:00:52</t>
  </si>
  <si>
    <t>Prasad Masurkar</t>
  </si>
  <si>
    <t>prasadsm44@gmail.com</t>
  </si>
  <si>
    <t>91 9930293409</t>
  </si>
  <si>
    <t>Manager - Accounts</t>
  </si>
  <si>
    <t>Juneja Global</t>
  </si>
  <si>
    <t>Dr Ambedkar College of Commerce and Economics</t>
  </si>
  <si>
    <t>28-08-18 13:08:43</t>
  </si>
  <si>
    <t>05-09-18 23:08:47</t>
  </si>
  <si>
    <t>ajay gupta</t>
  </si>
  <si>
    <t>05 Sep 1985</t>
  </si>
  <si>
    <t>ag0509@yahoo.com</t>
  </si>
  <si>
    <t>91 8446989743</t>
  </si>
  <si>
    <t>10 Yrs 9 Months</t>
  </si>
  <si>
    <t>BEBITZ FLANGES PVT LTD (VIRAJ GROUP)</t>
  </si>
  <si>
    <t>07-09-18 14:16:06</t>
  </si>
  <si>
    <t>MJ SEBASTIAN</t>
  </si>
  <si>
    <t>mjsebastiangr@hotmail.com</t>
  </si>
  <si>
    <t>91 9890066152</t>
  </si>
  <si>
    <t>23 Yrs 8 Months</t>
  </si>
  <si>
    <t>Manager (E)</t>
  </si>
  <si>
    <t>IVRCL LTD</t>
  </si>
  <si>
    <t>BOARD OF TECHNICAL EXAMINATION</t>
  </si>
  <si>
    <t>11-11-17 19:18:13</t>
  </si>
  <si>
    <t>19-04-18 17:35:53</t>
  </si>
  <si>
    <t xml:space="preserve">resume </t>
  </si>
  <si>
    <t>shettysarika644@gmail.com</t>
  </si>
  <si>
    <t>91 9820744653</t>
  </si>
  <si>
    <t>Sales Coordinator</t>
  </si>
  <si>
    <t>Paint</t>
  </si>
  <si>
    <t>amar trading corproation</t>
  </si>
  <si>
    <t>Mumbai Board</t>
  </si>
  <si>
    <t>06-07-18 09:50:49</t>
  </si>
  <si>
    <t>21-08-18 17:13:13</t>
  </si>
  <si>
    <t>SANDIPSINH JITSINHSINDHA</t>
  </si>
  <si>
    <t>28 Oct 1982</t>
  </si>
  <si>
    <t>sandipsindha@gmail.com</t>
  </si>
  <si>
    <t>91 9925092032</t>
  </si>
  <si>
    <t>All India, Bharuch, Mumbai City, Vadodara</t>
  </si>
  <si>
    <t>13 Yrs 1 Month</t>
  </si>
  <si>
    <t>Supply chain executive (Logistics)</t>
  </si>
  <si>
    <t>S P Armada Oil Exploration Pvt. Ltd.</t>
  </si>
  <si>
    <t>Indian School of Business Management</t>
  </si>
  <si>
    <t>26-07-18 21:42:49</t>
  </si>
  <si>
    <t>27-07-18 09:54:00</t>
  </si>
  <si>
    <t>Deepu Kumar</t>
  </si>
  <si>
    <t>08 Dec 1991</t>
  </si>
  <si>
    <t>deepujai93@gmail.com</t>
  </si>
  <si>
    <t>91 7208980320</t>
  </si>
  <si>
    <t>Bhiwani Institute of technology &amp; sciences</t>
  </si>
  <si>
    <t>25-01-18 09:58:28</t>
  </si>
  <si>
    <t>26-06-18 18:39:29</t>
  </si>
  <si>
    <t>MANGESH BANDIWADEKAR</t>
  </si>
  <si>
    <t>21 Feb 1967</t>
  </si>
  <si>
    <t>bandym2001@yahoo.co.in</t>
  </si>
  <si>
    <t>91 9930276908</t>
  </si>
  <si>
    <t>JOBLESS</t>
  </si>
  <si>
    <t>VJTI, Mumbai</t>
  </si>
  <si>
    <t>25-08-18 03:46:17</t>
  </si>
  <si>
    <t>06-09-18 14:50:01</t>
  </si>
  <si>
    <t>HIRALAL Khobragade</t>
  </si>
  <si>
    <t>21 Sep 1965</t>
  </si>
  <si>
    <t>hiralalk@rediffmail.com</t>
  </si>
  <si>
    <t>91 9967048016</t>
  </si>
  <si>
    <t>Architect</t>
  </si>
  <si>
    <t>Architecture</t>
  </si>
  <si>
    <t>Self employed</t>
  </si>
  <si>
    <t>Visvesvaraya National Institute of Technology, Nagpur</t>
  </si>
  <si>
    <t>04-07-17 01:26:48</t>
  </si>
  <si>
    <t>03-07-18 20:15:29</t>
  </si>
  <si>
    <t>Anand Kalani</t>
  </si>
  <si>
    <t>29 Dec 1979</t>
  </si>
  <si>
    <t>anandkalani@gmail.com</t>
  </si>
  <si>
    <t>91 9833918904</t>
  </si>
  <si>
    <t>15 Yrs 1 Month</t>
  </si>
  <si>
    <t>Sr Manager Treasury</t>
  </si>
  <si>
    <t>Alexion Business Services Pvt. Ltd.</t>
  </si>
  <si>
    <t>20-08-18 20:42:59</t>
  </si>
  <si>
    <t>Abaso Kolekar</t>
  </si>
  <si>
    <t>02 Jun 1994</t>
  </si>
  <si>
    <t>abasokolekar99@gmail.com</t>
  </si>
  <si>
    <t>91 9960279124</t>
  </si>
  <si>
    <t>Navi Mumbai, Thane, Sangli, Pune, Satara</t>
  </si>
  <si>
    <t>g.v.acherya college of engineering and technology</t>
  </si>
  <si>
    <t>14-08-18 19:45:39</t>
  </si>
  <si>
    <t>02-09-18 20:54:43</t>
  </si>
  <si>
    <t>Arpana Chapke</t>
  </si>
  <si>
    <t>06 Nov 1985</t>
  </si>
  <si>
    <t>chapke.arpana@gmail.com</t>
  </si>
  <si>
    <t>91 9773518831</t>
  </si>
  <si>
    <t>Rs. 7.45 Lacs</t>
  </si>
  <si>
    <t>Associate - Banking Operations</t>
  </si>
  <si>
    <t>Swayamsidhhicollege</t>
  </si>
  <si>
    <t>24-07-18 23:17:29</t>
  </si>
  <si>
    <t>21-08-18 06:52:11</t>
  </si>
  <si>
    <t>Moumita Dash</t>
  </si>
  <si>
    <t>19 Mar 1990</t>
  </si>
  <si>
    <t>moumita.freelance@gmail.com</t>
  </si>
  <si>
    <t>91 9930320193</t>
  </si>
  <si>
    <t>All India, Navi Mumbai, Mumbai City</t>
  </si>
  <si>
    <t>Assistant Editor</t>
  </si>
  <si>
    <t>Mouthshut.com(I) Pvt. Ltd.</t>
  </si>
  <si>
    <t>Advances Institute of Modern Management &amp; Technology, Kolkata</t>
  </si>
  <si>
    <t>06-09-18 01:33:15</t>
  </si>
  <si>
    <t>Vikas Mishra</t>
  </si>
  <si>
    <t>03 Dec 1993</t>
  </si>
  <si>
    <t>vikasssm03@gmail.com</t>
  </si>
  <si>
    <t>91 9783503718</t>
  </si>
  <si>
    <t>All India, Chennai, Chandigarh, Mumbai City, New Zealand, Ahmedabad</t>
  </si>
  <si>
    <t>career point university</t>
  </si>
  <si>
    <t>16-07-18 17:49:49</t>
  </si>
  <si>
    <t>01-09-18 00:25:27</t>
  </si>
  <si>
    <t>Tushar Sinha</t>
  </si>
  <si>
    <t>09 Feb 1982</t>
  </si>
  <si>
    <t>24x7tushar@gmail.com</t>
  </si>
  <si>
    <t>91 9892651668</t>
  </si>
  <si>
    <t>Pay1 Mindsarrey Technologies pvt ltd</t>
  </si>
  <si>
    <t>Bharati Vidyapeeth Institute of Management, Navi Mumbai</t>
  </si>
  <si>
    <t>14-06-18 15:40:05</t>
  </si>
  <si>
    <t>22-08-18 16:47:42</t>
  </si>
  <si>
    <t>Binod Bisht</t>
  </si>
  <si>
    <t>24 Aug 1963</t>
  </si>
  <si>
    <t>binodbist@gmail.com</t>
  </si>
  <si>
    <t>91 9969610347</t>
  </si>
  <si>
    <t>Dehradun, Haldwani, Mumbai City, Haridwar, Other Uttar Pradesh</t>
  </si>
  <si>
    <t>Rs. 17.00 Lacs</t>
  </si>
  <si>
    <t>Assistant General Manager Administration</t>
  </si>
  <si>
    <t>Kohinoor Group</t>
  </si>
  <si>
    <t>Narsee Monjee Institute of Management Studies, Mumbai</t>
  </si>
  <si>
    <t>13-04-17 20:16:01</t>
  </si>
  <si>
    <t>03-09-18 16:49:15</t>
  </si>
  <si>
    <t>Dakshesh Patel</t>
  </si>
  <si>
    <t>22 Oct 1980</t>
  </si>
  <si>
    <t>pdakshesh@hotmail.com</t>
  </si>
  <si>
    <t>91 9892125125</t>
  </si>
  <si>
    <t>Manager - Sales</t>
  </si>
  <si>
    <t>Vivaan Prime Properties LLP</t>
  </si>
  <si>
    <t>GES</t>
  </si>
  <si>
    <t>09-08-18 16:27:51</t>
  </si>
  <si>
    <t>11-08-18 17:29:29</t>
  </si>
  <si>
    <t>Niranjan Raut</t>
  </si>
  <si>
    <t>14 Nov 1981</t>
  </si>
  <si>
    <t>niru4111@yahoo.co.in</t>
  </si>
  <si>
    <t>91 9833325419</t>
  </si>
  <si>
    <t>8 Yrs 7 Months</t>
  </si>
  <si>
    <t>Deputy Manager-Procurement/Purchase</t>
  </si>
  <si>
    <t>Jyoti Structures Ltd</t>
  </si>
  <si>
    <t>Skimm Manipal University</t>
  </si>
  <si>
    <t>24-06-18 18:13:03</t>
  </si>
  <si>
    <t>28-06-18 22:20:25</t>
  </si>
  <si>
    <t>Ganesh Bochu</t>
  </si>
  <si>
    <t>16 Sep 1985</t>
  </si>
  <si>
    <t>ganesh.bochu@yahoo.in</t>
  </si>
  <si>
    <t>91 9930172982</t>
  </si>
  <si>
    <t>All India, Chennai, Mumbai City</t>
  </si>
  <si>
    <t>7 Yrs 5 Months</t>
  </si>
  <si>
    <t>BES'S Institute of Management and Research</t>
  </si>
  <si>
    <t>29-08-18 10:10:18</t>
  </si>
  <si>
    <t>30-08-18 17:51:55</t>
  </si>
  <si>
    <t>nimish pandhari sawant</t>
  </si>
  <si>
    <t>nimi11.2020@gmail.com</t>
  </si>
  <si>
    <t>91 7083174982</t>
  </si>
  <si>
    <t>Other Maharashtra, Thane</t>
  </si>
  <si>
    <t>senior production officer</t>
  </si>
  <si>
    <t>YCMOU</t>
  </si>
  <si>
    <t>20-08-18 11:17:13</t>
  </si>
  <si>
    <t>27-08-18 17:12:01</t>
  </si>
  <si>
    <t>Manoj singh</t>
  </si>
  <si>
    <t>01 Jul 1977</t>
  </si>
  <si>
    <t>mksingh1001@gmail.com</t>
  </si>
  <si>
    <t>91 9001345247</t>
  </si>
  <si>
    <t>General Manager-HRD</t>
  </si>
  <si>
    <t>Bombay intelligence security</t>
  </si>
  <si>
    <t>26-08-18 12:23:35</t>
  </si>
  <si>
    <t>02-09-18 19:14:33</t>
  </si>
  <si>
    <t xml:space="preserve">vinayak bandi </t>
  </si>
  <si>
    <t>31 Oct 1990</t>
  </si>
  <si>
    <t>bandivinayak3@gmail.com</t>
  </si>
  <si>
    <t>91 9821536772</t>
  </si>
  <si>
    <t>autocad designer</t>
  </si>
  <si>
    <t>project interior</t>
  </si>
  <si>
    <t>Studies	Vidyalankar School of Information Technology	Mumbai University</t>
  </si>
  <si>
    <t>27-08-18 09:36:02</t>
  </si>
  <si>
    <t>27-08-18 09:38:47</t>
  </si>
  <si>
    <t>Sree Kumar K</t>
  </si>
  <si>
    <t>29 Aug 1974</t>
  </si>
  <si>
    <t>ksnaugust@gmail.com</t>
  </si>
  <si>
    <t>91 7038938191</t>
  </si>
  <si>
    <t>14 Yrs 2 Months</t>
  </si>
  <si>
    <t>Admin Manager</t>
  </si>
  <si>
    <t>Emirates medical center</t>
  </si>
  <si>
    <t>02-08-18 11:52:43</t>
  </si>
  <si>
    <t>23-08-18 14:23:28</t>
  </si>
  <si>
    <t>Indrajit Saha</t>
  </si>
  <si>
    <t>28 Jan 1975</t>
  </si>
  <si>
    <t>sindrajit@gmail.com</t>
  </si>
  <si>
    <t>91 7289842738</t>
  </si>
  <si>
    <t>All India, Thailand, Mumbai City</t>
  </si>
  <si>
    <t>Executive Chef</t>
  </si>
  <si>
    <t>Kitchen</t>
  </si>
  <si>
    <t>OBEROISCHOOLOFHOTELMA</t>
  </si>
  <si>
    <t>16-07-18 10:19:16</t>
  </si>
  <si>
    <t>gibin georgesamuel</t>
  </si>
  <si>
    <t>23 Mar 1993</t>
  </si>
  <si>
    <t>gibin.g.samuel@gmail.com</t>
  </si>
  <si>
    <t>91 9606501211</t>
  </si>
  <si>
    <t>Bangalore, Chennai, Kochi, Other Kerala, Thiruvanananthapuram, Mumbai City</t>
  </si>
  <si>
    <t>svnce</t>
  </si>
  <si>
    <t>10-07-18 11:49:44</t>
  </si>
  <si>
    <t>17-07-18 22:15:33</t>
  </si>
  <si>
    <t>Sapna Vankar</t>
  </si>
  <si>
    <t>17 Jun 1987</t>
  </si>
  <si>
    <t>sapna.vankar87@gmail.com</t>
  </si>
  <si>
    <t>91 8108944903</t>
  </si>
  <si>
    <t>Upsell Coordinator (Team Leader)</t>
  </si>
  <si>
    <t>Zicom Electronic Security Systems Limited</t>
  </si>
  <si>
    <t>TYBA</t>
  </si>
  <si>
    <t>07-09-18 15:08:17</t>
  </si>
  <si>
    <t>07-09-18 16:02:29</t>
  </si>
  <si>
    <t xml:space="preserve">Santosh Sawant </t>
  </si>
  <si>
    <t>23 Mar 1984</t>
  </si>
  <si>
    <t>santosh2331984@gmail.com</t>
  </si>
  <si>
    <t>91 9699540716</t>
  </si>
  <si>
    <t>8 Yrs 9 Months</t>
  </si>
  <si>
    <t>Sr. Project Engineer</t>
  </si>
  <si>
    <t>Linnhoff India Pvt. Ltd</t>
  </si>
  <si>
    <t>Allana Institute of Mgt. Sciences, Pune University</t>
  </si>
  <si>
    <t>06-07-18 23:33:25</t>
  </si>
  <si>
    <t>07-09-18 15:08:45</t>
  </si>
  <si>
    <t>Aditya Mehta</t>
  </si>
  <si>
    <t>12 May 1988</t>
  </si>
  <si>
    <t>mail.adityamehta@gmail.com</t>
  </si>
  <si>
    <t>91 8826306420</t>
  </si>
  <si>
    <t>ANZ Support Services India Pvt Ltd</t>
  </si>
  <si>
    <t>Institute of Chartered Accountants of India (ICAI)</t>
  </si>
  <si>
    <t>05-09-18 15:35:23</t>
  </si>
  <si>
    <t xml:space="preserve">sanjay </t>
  </si>
  <si>
    <t>sytm2442@gmail.com</t>
  </si>
  <si>
    <t>91 9004122531</t>
  </si>
  <si>
    <t>paint artist</t>
  </si>
  <si>
    <t>Graphic Design</t>
  </si>
  <si>
    <t>prime focus world</t>
  </si>
  <si>
    <t>purvanchal universty</t>
  </si>
  <si>
    <t>28-07-18 08:37:48</t>
  </si>
  <si>
    <t>03-08-18 10:04:50</t>
  </si>
  <si>
    <t>Tarika Khanna</t>
  </si>
  <si>
    <t>contactme_tarika@yahoo.co.in</t>
  </si>
  <si>
    <t>91 9867529954</t>
  </si>
  <si>
    <t>Fresher / Student</t>
  </si>
  <si>
    <t>06-09-18 01:58:17</t>
  </si>
  <si>
    <t>07-09-18 15:45:42</t>
  </si>
  <si>
    <t>KALPESH PATIL</t>
  </si>
  <si>
    <t>18 Sep 1980</t>
  </si>
  <si>
    <t>kalpeshpatil189@gmail.com</t>
  </si>
  <si>
    <t>91 9920882577</t>
  </si>
  <si>
    <t>All India, Jamnagar, United Arab Emirates, Navi Mumbai, Bahrain, Mumbai City, Oman, Ahmedabad</t>
  </si>
  <si>
    <t>Gammon Engineers &amp; Contractors Pvt. Ltd</t>
  </si>
  <si>
    <t>11 Yrs</t>
  </si>
  <si>
    <t>SP Jain institute of Management &amp; Research, Andheri,Mumbai</t>
  </si>
  <si>
    <t>25-08-18 16:17:09</t>
  </si>
  <si>
    <t>08-09-18 10:40:53</t>
  </si>
  <si>
    <t>Abhishek Sampatrao Bhosale</t>
  </si>
  <si>
    <t>abhishek.bhosale28@gmail.com</t>
  </si>
  <si>
    <t>91 7710020255</t>
  </si>
  <si>
    <t>13 Yrs 2 Months</t>
  </si>
  <si>
    <t>Rs. 14.00 Lacs</t>
  </si>
  <si>
    <t>Manager, Engineering</t>
  </si>
  <si>
    <t>Geography</t>
  </si>
  <si>
    <t>Indian Institute of Technology</t>
  </si>
  <si>
    <t>11-01-17 14:38:34</t>
  </si>
  <si>
    <t>07-07-18 11:02:01</t>
  </si>
  <si>
    <t>Anantraj Jinde</t>
  </si>
  <si>
    <t>28 Dec 1982</t>
  </si>
  <si>
    <t>anantrajj@gmail.com</t>
  </si>
  <si>
    <t>91 9321750774</t>
  </si>
  <si>
    <t>Bangalore, Thailand, Mumbai City, Singapore, Hong Kong</t>
  </si>
  <si>
    <t>Rs. 10.50 Lacs</t>
  </si>
  <si>
    <t>Senior Manager Business Management</t>
  </si>
  <si>
    <t>The Social Street</t>
  </si>
  <si>
    <t>St. Francis Institute of Management and Research, Mumbai University</t>
  </si>
  <si>
    <t>23-08-18 17:16:11</t>
  </si>
  <si>
    <t>30-08-18 10:09:55</t>
  </si>
  <si>
    <t>Manoj Dhuri</t>
  </si>
  <si>
    <t>manojdhuri7@gmail.com</t>
  </si>
  <si>
    <t>91 9870109610</t>
  </si>
  <si>
    <t>Hexaware Technologies Limited</t>
  </si>
  <si>
    <t>23-08-18 18:02:38</t>
  </si>
  <si>
    <t>29-08-18 06:10:52</t>
  </si>
  <si>
    <t xml:space="preserve">    ManavShah</t>
  </si>
  <si>
    <t>manav1978@gmail.com</t>
  </si>
  <si>
    <t>91 9824996921</t>
  </si>
  <si>
    <t>Rs. 7.15 Lacs</t>
  </si>
  <si>
    <t>(FI/CO)</t>
  </si>
  <si>
    <t>Adani Infra (India) Ltd</t>
  </si>
  <si>
    <t>mumbai</t>
  </si>
  <si>
    <t>04-01-18 17:39:24</t>
  </si>
  <si>
    <t>23-04-18 15:43:58</t>
  </si>
  <si>
    <t>Viral Patel</t>
  </si>
  <si>
    <t>13 Nov 1985</t>
  </si>
  <si>
    <t>veeru.pat123@gmail.com</t>
  </si>
  <si>
    <t>91 9920806781</t>
  </si>
  <si>
    <t>CMI Industry</t>
  </si>
  <si>
    <t>23-08-18 15:36:22</t>
  </si>
  <si>
    <t>24-08-18 10:22:57</t>
  </si>
  <si>
    <t>SHANKAR PILLAI</t>
  </si>
  <si>
    <t>23 Mar 1990</t>
  </si>
  <si>
    <t>shan00391@gmail.com</t>
  </si>
  <si>
    <t>91 9607170078</t>
  </si>
  <si>
    <t>Kuwait, Australia, United Arab Emirates, United Kingdom, Canada, Norway, United States of America, Mumbai City, France, Hong Kong, New Zealand</t>
  </si>
  <si>
    <t>Assistant Restaurant manager</t>
  </si>
  <si>
    <t>F&amp;B Service</t>
  </si>
  <si>
    <t>Marriott</t>
  </si>
  <si>
    <t>Atharva College of Hotel Management.</t>
  </si>
  <si>
    <t>09-06-18 16:20:12</t>
  </si>
  <si>
    <t>11-06-18 15:37:13</t>
  </si>
  <si>
    <t>MUKESH H ANJANKAR</t>
  </si>
  <si>
    <t>mukesh.anjankar@gmail.com</t>
  </si>
  <si>
    <t>91 9820035758</t>
  </si>
  <si>
    <t>Rs. 44.00 Lacs</t>
  </si>
  <si>
    <t>Sr GM AND HEAD-WRO</t>
  </si>
  <si>
    <t>ETA ENGINEERING PVT LIMITED MUMBAI</t>
  </si>
  <si>
    <t>SYMBIOSIS INSTITUTE OF BUSINESS MANAGEMENT PUNE</t>
  </si>
  <si>
    <t>18-03-17 21:38:08</t>
  </si>
  <si>
    <t>07-08-18 19:18:56</t>
  </si>
  <si>
    <t>Pragnendra Rahevar</t>
  </si>
  <si>
    <t>pragnendra@gmail.com</t>
  </si>
  <si>
    <t>91 9879409140</t>
  </si>
  <si>
    <t>All India, Mumbai City, Ahmedabad</t>
  </si>
  <si>
    <t>Rs. 16.75 Lacs</t>
  </si>
  <si>
    <t>Manager Operations</t>
  </si>
  <si>
    <t>29-08-18 23:24:36</t>
  </si>
  <si>
    <t>30-08-18 10:56:38</t>
  </si>
  <si>
    <t>CHETAN SINGADIA</t>
  </si>
  <si>
    <t>26 Jun 1989</t>
  </si>
  <si>
    <t>chetansingadia2689@gmail.com</t>
  </si>
  <si>
    <t>91 8286487775</t>
  </si>
  <si>
    <t>OPERATION WORK</t>
  </si>
  <si>
    <t>ICICI BANK LTD</t>
  </si>
  <si>
    <t>SIWS</t>
  </si>
  <si>
    <t>28-06-18 22:12:33</t>
  </si>
  <si>
    <t>21-08-18 22:53:04</t>
  </si>
  <si>
    <t>GANESH SUBHASH SHINDE</t>
  </si>
  <si>
    <t>05 Apr 1983</t>
  </si>
  <si>
    <t>ganesh.shinde1983@gmail.com</t>
  </si>
  <si>
    <t>91 9930823250</t>
  </si>
  <si>
    <t>12 Yrs 2 Months</t>
  </si>
  <si>
    <t>Associate  Manager</t>
  </si>
  <si>
    <t>Godrej &amp; Boyce Mfg. Co. Ltd.</t>
  </si>
  <si>
    <t>24-09-17 22:17:52</t>
  </si>
  <si>
    <t>16-03-18 15:48:28</t>
  </si>
  <si>
    <t>Shahaji Hajare</t>
  </si>
  <si>
    <t>shahjihajare@gmail.com</t>
  </si>
  <si>
    <t>91 7709909146</t>
  </si>
  <si>
    <t>All India, United Arab Emirates, Pune, Mumbai City</t>
  </si>
  <si>
    <t>GIS Executive</t>
  </si>
  <si>
    <t>Etisalat (Emirates Telecommunication Company)</t>
  </si>
  <si>
    <t>Sinhgad college of science pune</t>
  </si>
  <si>
    <t>29-08-18 23:55:46</t>
  </si>
  <si>
    <t>Sanjay Dontas</t>
  </si>
  <si>
    <t>28 Mar 1988</t>
  </si>
  <si>
    <t>sanjaydantastvp@gmail.com</t>
  </si>
  <si>
    <t>91 9699220227</t>
  </si>
  <si>
    <t>Assistant Manager - Operations</t>
  </si>
  <si>
    <t>One Point One Solution Ltd</t>
  </si>
  <si>
    <t>Siddharth College of Commerce and Economics</t>
  </si>
  <si>
    <t>10-02-18 15:45:54</t>
  </si>
  <si>
    <t>28-03-18 17:16:34</t>
  </si>
  <si>
    <t>Vishal kapoor</t>
  </si>
  <si>
    <t>24 Sep 1980</t>
  </si>
  <si>
    <t>vckapoor1980@gmail.com</t>
  </si>
  <si>
    <t>91 9719693666</t>
  </si>
  <si>
    <t>Bharti AXA General Insurance</t>
  </si>
  <si>
    <t xml:space="preserve">MIT School </t>
  </si>
  <si>
    <t>22-02-17 21:46:05</t>
  </si>
  <si>
    <t>04-05-18 21:33:53</t>
  </si>
  <si>
    <t>Vinit Manerikar</t>
  </si>
  <si>
    <t>11 Aug 1985</t>
  </si>
  <si>
    <t>vinit.manerikar@gmail.com</t>
  </si>
  <si>
    <t>91 9975092442</t>
  </si>
  <si>
    <t>All India, Bangalore, Pune, Mumbai City, Delhi, Other Goa, Panaji</t>
  </si>
  <si>
    <t>Rs. 6.85 Lacs</t>
  </si>
  <si>
    <t>Sr Analyst</t>
  </si>
  <si>
    <t>Eclerx Services Pvt Ltd</t>
  </si>
  <si>
    <t>Institute of Chartered Financial Accounting of India</t>
  </si>
  <si>
    <t>01-05-18 20:30:44</t>
  </si>
  <si>
    <t>22-06-18 15:58:49</t>
  </si>
  <si>
    <t>Muhammed Rishad KM</t>
  </si>
  <si>
    <t>27 May 1992</t>
  </si>
  <si>
    <t>km.rishad9@gmail.com</t>
  </si>
  <si>
    <t>91 9961917646</t>
  </si>
  <si>
    <t>Bangalore, Kochi, Kozhikode, Thiruvanananthapuram, Mumbai City, Mangalore</t>
  </si>
  <si>
    <t>Pre Risk Analyst</t>
  </si>
  <si>
    <t>XL Dynamics</t>
  </si>
  <si>
    <t>College of Engoneering,Trivandrum</t>
  </si>
  <si>
    <t>20-02-18 16:33:22</t>
  </si>
  <si>
    <t>14-08-18 13:56:10</t>
  </si>
  <si>
    <t>subhash Poonia</t>
  </si>
  <si>
    <t>16 Mar 1974</t>
  </si>
  <si>
    <t>subhashpoonia1660@gmail.com</t>
  </si>
  <si>
    <t>91 9799026000</t>
  </si>
  <si>
    <t>Noida, Bathinda, Gurugram, Ludhiana, Delhi, Panipat, Other Punjab</t>
  </si>
  <si>
    <t>Rs. 11.40 Lacs</t>
  </si>
  <si>
    <t>Parnika Commercial &amp; Estate Pvt. Ltd.</t>
  </si>
  <si>
    <t>26-08-18 12:23:18</t>
  </si>
  <si>
    <t>27-08-18 10:55:12</t>
  </si>
  <si>
    <t>SANJAY SINHA</t>
  </si>
  <si>
    <t>30 Sep 1969</t>
  </si>
  <si>
    <t>sanjayrita32@gmail.com</t>
  </si>
  <si>
    <t>91 9993458671</t>
  </si>
  <si>
    <t>Procurement Head at RO,Thane</t>
  </si>
  <si>
    <t>JMC Projects (India) Limited</t>
  </si>
  <si>
    <t>Karnataka University</t>
  </si>
  <si>
    <t>14-07-18 13:43:44</t>
  </si>
  <si>
    <t>06-09-18 17:30:55</t>
  </si>
  <si>
    <t>Mahesh Rathod</t>
  </si>
  <si>
    <t>28 Jan 1989</t>
  </si>
  <si>
    <t>maheshrathod89@gmail.com</t>
  </si>
  <si>
    <t>91 7276685017</t>
  </si>
  <si>
    <t>Jamnagar, Bhuj, Bharuch, Mumbai City, Vadodara, Kandla, Ankleshwar</t>
  </si>
  <si>
    <t>6 Yrs 10 Months</t>
  </si>
  <si>
    <t>Production Supervisor</t>
  </si>
  <si>
    <t>BMS TECHNO CRAFT LTD.</t>
  </si>
  <si>
    <t>AIEM University</t>
  </si>
  <si>
    <t>12-06-17 21:42:04</t>
  </si>
  <si>
    <t>04-09-18 12:57:35</t>
  </si>
  <si>
    <t>craig fernandes</t>
  </si>
  <si>
    <t>craigfernandes699@gmail.com</t>
  </si>
  <si>
    <t>91 9867509686</t>
  </si>
  <si>
    <t>13 Yrs 6 Months</t>
  </si>
  <si>
    <t>Rs. 13.15 Lacs</t>
  </si>
  <si>
    <t>cash ops supervisor</t>
  </si>
  <si>
    <t>Customer Service (International)</t>
  </si>
  <si>
    <t>Citibank</t>
  </si>
  <si>
    <t>28-03-17 10:16:27</t>
  </si>
  <si>
    <t>04-06-18 12:54:00</t>
  </si>
  <si>
    <t>Madhavan Arumugam</t>
  </si>
  <si>
    <t>20 Nov 1981</t>
  </si>
  <si>
    <t>mady_madhavan@rediffmail.com</t>
  </si>
  <si>
    <t>91 9920291898</t>
  </si>
  <si>
    <t>All India, Bangalore, Chennai, Hyderabad, Pune, Mumbai City</t>
  </si>
  <si>
    <t>Founder</t>
  </si>
  <si>
    <t>Merchandising / Sourcing</t>
  </si>
  <si>
    <t>A Way To Africa</t>
  </si>
  <si>
    <t>LoyolaCollege</t>
  </si>
  <si>
    <t>09-04-18 11:55:16</t>
  </si>
  <si>
    <t>DHANANJAY KUMAR TIWARI</t>
  </si>
  <si>
    <t>14 Dec 1980</t>
  </si>
  <si>
    <t>dhanjay_tiwari@yahoo.co.in</t>
  </si>
  <si>
    <t>91 7498719195</t>
  </si>
  <si>
    <t>Indore, Kolkata, Pune, Mumbai City, Delhi, Nagpur, Bhopal, Agra, Ahmedabad</t>
  </si>
  <si>
    <t>ASST MANAGER SECURITY</t>
  </si>
  <si>
    <t>Somaiya Trust</t>
  </si>
  <si>
    <t>Symbiosis Institute</t>
  </si>
  <si>
    <t>12-01-18 16:45:05</t>
  </si>
  <si>
    <t>07-09-18 15:31:21</t>
  </si>
  <si>
    <t>Vijay Bhatt</t>
  </si>
  <si>
    <t>tovijaybhatt@yahoo.co.in</t>
  </si>
  <si>
    <t>91 7021833050</t>
  </si>
  <si>
    <t>17 Yrs 8 Months</t>
  </si>
  <si>
    <t>Self Employed</t>
  </si>
  <si>
    <t>02-08-18 11:06:00</t>
  </si>
  <si>
    <t>Punit Jasani</t>
  </si>
  <si>
    <t>13 Oct 1985</t>
  </si>
  <si>
    <t>punitjasani@gmail.com</t>
  </si>
  <si>
    <t>91 9819453201</t>
  </si>
  <si>
    <t>Other Maharashtra, Mumbai City, Surat</t>
  </si>
  <si>
    <t>Sector / Business Research</t>
  </si>
  <si>
    <t>The Times Of India Group</t>
  </si>
  <si>
    <t>MITSchoolofBusinessPune</t>
  </si>
  <si>
    <t>30-08-18 12:11:52</t>
  </si>
  <si>
    <t>sachin chavan</t>
  </si>
  <si>
    <t>05 Jan 1980</t>
  </si>
  <si>
    <t>sachinchvn952@gmail.com</t>
  </si>
  <si>
    <t>91 9819419462</t>
  </si>
  <si>
    <t>sales  and marketing</t>
  </si>
  <si>
    <t>Pharmacist / Medical Representative</t>
  </si>
  <si>
    <t>MSD</t>
  </si>
  <si>
    <t>17-06-18 11:41:51</t>
  </si>
  <si>
    <t>06-09-18 15:00:34</t>
  </si>
  <si>
    <t xml:space="preserve">harish </t>
  </si>
  <si>
    <t>harish240876@gmail.com</t>
  </si>
  <si>
    <t>91 9049364466</t>
  </si>
  <si>
    <t>Rs. 5.05 Lacs</t>
  </si>
  <si>
    <t>excise</t>
  </si>
  <si>
    <t>17 Yrs</t>
  </si>
  <si>
    <t>'s d 's m college</t>
  </si>
  <si>
    <t>16-05-18 10:36:42</t>
  </si>
  <si>
    <t>09-07-18 15:12:10</t>
  </si>
  <si>
    <t>Ravi Sailappan</t>
  </si>
  <si>
    <t>08 Apr 1975</t>
  </si>
  <si>
    <t>sairavi50@rediffmail.com</t>
  </si>
  <si>
    <t>91 9819161344</t>
  </si>
  <si>
    <t>Nashik, United Arab Emirates, Navi Mumbai, Thane, Pune, Mumbai City, Daman</t>
  </si>
  <si>
    <t>Rs. 34.00 Lacs</t>
  </si>
  <si>
    <t>Dy. General Manager - Corporate Quality Assurance</t>
  </si>
  <si>
    <t>Lupin Limited, Mumbai, India.</t>
  </si>
  <si>
    <t>MS University, Tamilnadu.</t>
  </si>
  <si>
    <t>09-07-18 10:51:15</t>
  </si>
  <si>
    <t>06-08-18 17:45:12</t>
  </si>
  <si>
    <t>Manish Salunke</t>
  </si>
  <si>
    <t>25 May 1992</t>
  </si>
  <si>
    <t>manishsalunke27@gmail.com</t>
  </si>
  <si>
    <t>91 8237770041</t>
  </si>
  <si>
    <t>Nashik, Navi Mumbai, Pune, Mumbai City</t>
  </si>
  <si>
    <t>Market Research Intern</t>
  </si>
  <si>
    <t>Business Development Bureau</t>
  </si>
  <si>
    <t>Department of Management Sciences (PUMBA), Pune</t>
  </si>
  <si>
    <t>14-08-18 12:18:38</t>
  </si>
  <si>
    <t>05-09-18 11:33:16</t>
  </si>
  <si>
    <t>Gangadharan Iyer Subramanian</t>
  </si>
  <si>
    <t>gangadharan.iyer.s@gmail.com</t>
  </si>
  <si>
    <t>91 9819501800</t>
  </si>
  <si>
    <t>Supply Chain Manager</t>
  </si>
  <si>
    <t>Domo Engineering Plastics India Pvt. Ltd</t>
  </si>
  <si>
    <t>ITM Group of Institutions</t>
  </si>
  <si>
    <t>04-09-18 21:07:47</t>
  </si>
  <si>
    <t>ashwini mahadik</t>
  </si>
  <si>
    <t>14 Sep 1987</t>
  </si>
  <si>
    <t>asmahadik@gmail.com</t>
  </si>
  <si>
    <t>91 9870220375</t>
  </si>
  <si>
    <t>interior designer</t>
  </si>
  <si>
    <t>3d architechure</t>
  </si>
  <si>
    <t>23-05-17 17:14:59</t>
  </si>
  <si>
    <t>29-03-18 13:09:00</t>
  </si>
  <si>
    <t>Bharadwaj Sridhar</t>
  </si>
  <si>
    <t>08 Aug 1981</t>
  </si>
  <si>
    <t>bharadwaj8881@gmail.com</t>
  </si>
  <si>
    <t>91 9840678883</t>
  </si>
  <si>
    <t>Operations Manager</t>
  </si>
  <si>
    <t>Barclays</t>
  </si>
  <si>
    <t>Institute of finance and international management</t>
  </si>
  <si>
    <t>13-07-18 20:40:27</t>
  </si>
  <si>
    <t>17-07-18 11:11:58</t>
  </si>
  <si>
    <t>Tusshar Kanti Mukherjee</t>
  </si>
  <si>
    <t>08 Aug 1974</t>
  </si>
  <si>
    <t>tushar.mukherjee2009@gmail.com</t>
  </si>
  <si>
    <t>91 8208892038</t>
  </si>
  <si>
    <t>Rs. 12.05 Lacs</t>
  </si>
  <si>
    <t>Pure and Pristine Solutions pvt ltd</t>
  </si>
  <si>
    <t>Bhavan's college of Management &amp; Communication</t>
  </si>
  <si>
    <t>14-08-18 12:43:13</t>
  </si>
  <si>
    <t>31-08-18 13:20:46</t>
  </si>
  <si>
    <t xml:space="preserve"> Khan Zainulabedin</t>
  </si>
  <si>
    <t>26 Apr 1987</t>
  </si>
  <si>
    <t>khanzainul9@gmail.com</t>
  </si>
  <si>
    <t>Business Process Specialization</t>
  </si>
  <si>
    <t>26-05-18 13:56:57</t>
  </si>
  <si>
    <t>19-08-18 18:11:24</t>
  </si>
  <si>
    <t>Ashwin Patil</t>
  </si>
  <si>
    <t>21 Feb 1988</t>
  </si>
  <si>
    <t>apcool21288@yahoo.co.in</t>
  </si>
  <si>
    <t>91 9870821288</t>
  </si>
  <si>
    <t>Graphic Artist</t>
  </si>
  <si>
    <t>Prime Focus Technology</t>
  </si>
  <si>
    <t>MAAC Dadar</t>
  </si>
  <si>
    <t>30-06-18 00:32:54</t>
  </si>
  <si>
    <t>06-08-18 19:38:00</t>
  </si>
  <si>
    <t xml:space="preserve">Kavya Kotian </t>
  </si>
  <si>
    <t>04 Jun 1992</t>
  </si>
  <si>
    <t>kotiankavya92@gmail.com</t>
  </si>
  <si>
    <t>91 8828264164</t>
  </si>
  <si>
    <t>Worley Parsons</t>
  </si>
  <si>
    <t>St. John College of Engineering, Mumbai University</t>
  </si>
  <si>
    <t>14-12-17 15:12:48</t>
  </si>
  <si>
    <t>02-04-18 14:27:36</t>
  </si>
  <si>
    <t>Megha Khot</t>
  </si>
  <si>
    <t>08 May 1987</t>
  </si>
  <si>
    <t>meghakhot008@gmail.com</t>
  </si>
  <si>
    <t>91 8452013586</t>
  </si>
  <si>
    <t>Assistant ManagerExport Coordination-International Business</t>
  </si>
  <si>
    <t>Fertilizers / Pesticides</t>
  </si>
  <si>
    <t>Coromandel Sabero</t>
  </si>
  <si>
    <t>Welingkar</t>
  </si>
  <si>
    <t>23-08-18 18:33:12</t>
  </si>
  <si>
    <t>28-08-18 17:09:47</t>
  </si>
  <si>
    <t>suraj singh</t>
  </si>
  <si>
    <t>18 Dec 1992</t>
  </si>
  <si>
    <t>surajkumarsingh1892@gmail.com</t>
  </si>
  <si>
    <t>91 7208853844</t>
  </si>
  <si>
    <t>Bangalore, Pune, Mumbai City, Delhi, Patna, Guwahati, Ahmedabad</t>
  </si>
  <si>
    <t>Rs. 3.90 Lacs</t>
  </si>
  <si>
    <t>Service Engineer</t>
  </si>
  <si>
    <t>Unicorn Denmart Ltd.</t>
  </si>
  <si>
    <t>Y.T.I.E.T</t>
  </si>
  <si>
    <t>28-05-18 15:35:32</t>
  </si>
  <si>
    <t>29-08-18 15:42:46</t>
  </si>
  <si>
    <t>pradeepkumar yadav</t>
  </si>
  <si>
    <t>30 Sep 1990</t>
  </si>
  <si>
    <t>berejoicy@gmail.com</t>
  </si>
  <si>
    <t>91 8655850885</t>
  </si>
  <si>
    <t>WORKA MANAGER</t>
  </si>
  <si>
    <t>UNIVERSAL HOIST-O-FABRIK</t>
  </si>
  <si>
    <t>Fr. Conceicao Rodrigues College of Engineering</t>
  </si>
  <si>
    <t>05-08-18 12:04:51</t>
  </si>
  <si>
    <t>02-09-18 10:36:34</t>
  </si>
  <si>
    <t>Santosh Salvi</t>
  </si>
  <si>
    <t>10 Jun 1983</t>
  </si>
  <si>
    <t>santosh_salvi777@yahoo.co.in</t>
  </si>
  <si>
    <t>91 9892931350</t>
  </si>
  <si>
    <t>Rs. 11.45 Lacs</t>
  </si>
  <si>
    <t>Deputy Manager- Mortgage Underwriting Operation</t>
  </si>
  <si>
    <t>QUATRRO MORTGAGE SOLUTIONS PVT. LTD</t>
  </si>
  <si>
    <t>Manipal University</t>
  </si>
  <si>
    <t>18-08-18 16:27:15</t>
  </si>
  <si>
    <t>27-08-18 18:18:16</t>
  </si>
  <si>
    <t>PRACHEE BATRA</t>
  </si>
  <si>
    <t>02 Oct 1993</t>
  </si>
  <si>
    <t>pracheebatra1@gmail.com</t>
  </si>
  <si>
    <t>91 9967712183</t>
  </si>
  <si>
    <t>Masters in Visual Arts</t>
  </si>
  <si>
    <t>Maharaja sayajirao university of baroda, Faculty of fine Arts</t>
  </si>
  <si>
    <t>31-05-18 15:14:31</t>
  </si>
  <si>
    <t>Kamlesh Soparkar</t>
  </si>
  <si>
    <t>10 Mar 1968</t>
  </si>
  <si>
    <t>kamlesh_soparkar@rediffmail.com</t>
  </si>
  <si>
    <t>91 9870243355</t>
  </si>
  <si>
    <t>Sr. GM - SCM</t>
  </si>
  <si>
    <t>Bajaj Electricals Ltd.</t>
  </si>
  <si>
    <t>Welingkar Institute of Management Development &amp; Research</t>
  </si>
  <si>
    <t>23-05-17 20:33:48</t>
  </si>
  <si>
    <t>07-09-18 15:57:33</t>
  </si>
  <si>
    <t>RAJIV RANJAN</t>
  </si>
  <si>
    <t>09 Feb 1968</t>
  </si>
  <si>
    <t>rajivranjan926@gmail.com</t>
  </si>
  <si>
    <t>91 9321787790</t>
  </si>
  <si>
    <t>22 Yrs 2 Months</t>
  </si>
  <si>
    <t>Rs. 29.10 Lacs</t>
  </si>
  <si>
    <t>Associate  Vice  President  ( Head of Lubricants Business )</t>
  </si>
  <si>
    <t>CHEMTROLS   INDUSTRIES  LTD.</t>
  </si>
  <si>
    <t>L.N.MISHRA INSTT.PATNA</t>
  </si>
  <si>
    <t>16-01-17 14:32:01</t>
  </si>
  <si>
    <t>07-07-18 16:52:52</t>
  </si>
  <si>
    <t>MD ABDUL WAKIL</t>
  </si>
  <si>
    <t>mdwakil2@rediffmail.com</t>
  </si>
  <si>
    <t>91 8879839672</t>
  </si>
  <si>
    <t>Bangalore, Kochi, United Arab Emirates, Hyderabad, Kolkata, United States of America, Mumbai City, Nagpur, Guwahati</t>
  </si>
  <si>
    <t>AVIATION DEFENCE</t>
  </si>
  <si>
    <t>Indira Gandhi National Open University</t>
  </si>
  <si>
    <t>05-11-15 10:08:58</t>
  </si>
  <si>
    <t>24-05-18 23:07:56</t>
  </si>
  <si>
    <t>Shailaja Rai</t>
  </si>
  <si>
    <t>23 Jun 1994</t>
  </si>
  <si>
    <t>shailajarai2010@gmail.com</t>
  </si>
  <si>
    <t>91 8433950615</t>
  </si>
  <si>
    <t>Bangalore, Chennai, Noida, Vapi, Gurugram, Kolkata, Pune, Mumbai City, Delhi</t>
  </si>
  <si>
    <t>1 Yr 9 Months</t>
  </si>
  <si>
    <t>Engineer- Process</t>
  </si>
  <si>
    <t>Pidilite Industries Limited</t>
  </si>
  <si>
    <t>Sardar Vallabhbhai National Institute of Technology, Surat</t>
  </si>
  <si>
    <t>28-03-18 13:05:59</t>
  </si>
  <si>
    <t>16-04-18 18:48:36</t>
  </si>
  <si>
    <t>DEVANG SHAH</t>
  </si>
  <si>
    <t>08 Sep 1979</t>
  </si>
  <si>
    <t>devang08@yahoo.co.in</t>
  </si>
  <si>
    <t>91 9930288382</t>
  </si>
  <si>
    <t>20 Yrs 6 Months</t>
  </si>
  <si>
    <t>IL&amp;FS Transportation Networks Limited</t>
  </si>
  <si>
    <t>03-05-18 14:34:13</t>
  </si>
  <si>
    <t>28-05-18 14:47:05</t>
  </si>
  <si>
    <t>Rupesh Silimkar</t>
  </si>
  <si>
    <t>29 Jul 1985</t>
  </si>
  <si>
    <t>rupeshsilimkar1985@gmail.com</t>
  </si>
  <si>
    <t>91 8691868824</t>
  </si>
  <si>
    <t>process designer</t>
  </si>
  <si>
    <t>worley parsons sea inda pvt. ltd.</t>
  </si>
  <si>
    <t>CADSYS SIMULATION INDIA PVT. LTD.</t>
  </si>
  <si>
    <t>22-01-18 15:33:33</t>
  </si>
  <si>
    <t>17-04-18 14:56:23</t>
  </si>
  <si>
    <t xml:space="preserve">Sandeep Chaurasiya </t>
  </si>
  <si>
    <t>26 Jun 1992</t>
  </si>
  <si>
    <t>sandeepchaurasiya63@gmail.com</t>
  </si>
  <si>
    <t>91 9867143740</t>
  </si>
  <si>
    <t>4 Yrs 4 Months</t>
  </si>
  <si>
    <t>specialist</t>
  </si>
  <si>
    <t>Inventurus knowlege solution</t>
  </si>
  <si>
    <t>04-06-18 12:12:27</t>
  </si>
  <si>
    <t>13-08-18 12:59:58</t>
  </si>
  <si>
    <t>Hridesh Varma</t>
  </si>
  <si>
    <t>02 Jun 1987</t>
  </si>
  <si>
    <t>hridesh.varma@gmail.com</t>
  </si>
  <si>
    <t>91 9892531329</t>
  </si>
  <si>
    <t>10 Yrs 4 Months</t>
  </si>
  <si>
    <t>Rs. 14.45 Lacs</t>
  </si>
  <si>
    <t>Shapoorji Pallonji</t>
  </si>
  <si>
    <t>SIBM</t>
  </si>
  <si>
    <t>19-08-18 12:51:31</t>
  </si>
  <si>
    <t>20-08-18 18:03:03</t>
  </si>
  <si>
    <t>MANISH KAWADKAR</t>
  </si>
  <si>
    <t>25 Jul 1990</t>
  </si>
  <si>
    <t>manish.manish.kawadkar@gmail.com</t>
  </si>
  <si>
    <t>91 8879848016</t>
  </si>
  <si>
    <t>Bangalore, Noida, Hyderabad, Gurugram, Pune, Mumbai City, Delhi</t>
  </si>
  <si>
    <t>PROJECT ENGINEER- ELECTRICAL</t>
  </si>
  <si>
    <t>LAKSHMI NARYAN COLLEGE OF TECHNOLOGY AND SCIENCE</t>
  </si>
  <si>
    <t>29-01-18 23:55:29</t>
  </si>
  <si>
    <t>03-08-18 12:30:12</t>
  </si>
  <si>
    <t>Sunil Kumar Dawane</t>
  </si>
  <si>
    <t>dawane.sunil@outlook.com</t>
  </si>
  <si>
    <t>91 8425897744</t>
  </si>
  <si>
    <t>Credit Control &amp; Collections</t>
  </si>
  <si>
    <t>Cineyug Groups</t>
  </si>
  <si>
    <t>Welingkar Institutes of Business management</t>
  </si>
  <si>
    <t>26-08-18 15:29:20</t>
  </si>
  <si>
    <t>29-08-18 12:42:14</t>
  </si>
  <si>
    <t xml:space="preserve">Husain Shakir </t>
  </si>
  <si>
    <t>17 Jan 1985</t>
  </si>
  <si>
    <t>husainshakir23@gmail.com</t>
  </si>
  <si>
    <t>91 9930116435</t>
  </si>
  <si>
    <t>10 Yrs 2 Months</t>
  </si>
  <si>
    <t>Credit and Risk Analyst</t>
  </si>
  <si>
    <t>First Data India PVT LTD</t>
  </si>
  <si>
    <t>B. Com.	University of Mumbai</t>
  </si>
  <si>
    <t>17-08-18 20:11:57</t>
  </si>
  <si>
    <t>24-08-18 22:01:12</t>
  </si>
  <si>
    <t>Srinivas Pottabathini</t>
  </si>
  <si>
    <t>08 Jun 1991</t>
  </si>
  <si>
    <t>srinivasp91@gmail.com</t>
  </si>
  <si>
    <t>91 7738046651</t>
  </si>
  <si>
    <t>E clerx Services Pvt Ltd</t>
  </si>
  <si>
    <t>12-03-18 19:21:14</t>
  </si>
  <si>
    <t>01-04-18 23:57:18</t>
  </si>
  <si>
    <t xml:space="preserve"> nitin</t>
  </si>
  <si>
    <t>tnitin1976@gmail.com</t>
  </si>
  <si>
    <t>91 8898747575</t>
  </si>
  <si>
    <t xml:space="preserve">Consumer PR &amp; Publicity </t>
  </si>
  <si>
    <t xml:space="preserve">Network media solutions </t>
  </si>
  <si>
    <t xml:space="preserve">Mumbai University </t>
  </si>
  <si>
    <t>07-02-17 15:30:51</t>
  </si>
  <si>
    <t>08-05-18 11:36:55</t>
  </si>
  <si>
    <t>satish pantoji</t>
  </si>
  <si>
    <t>satish.pantoji@gmail.com</t>
  </si>
  <si>
    <t>91 7875555887</t>
  </si>
  <si>
    <t>Other Maharashtra, Hyderabad, Pune, Aurangabad, Mumbai City</t>
  </si>
  <si>
    <t>Rs. 6.45 Lacs</t>
  </si>
  <si>
    <t>ApI Production</t>
  </si>
  <si>
    <t>Kalinga university Raypur Chatisghar</t>
  </si>
  <si>
    <t>22-05-18 20:23:21</t>
  </si>
  <si>
    <t>23-06-18 21:01:57</t>
  </si>
  <si>
    <t xml:space="preserve">Kunalgiri Gosai </t>
  </si>
  <si>
    <t>08 Oct 1993</t>
  </si>
  <si>
    <t>gosaikunal@gmail.com</t>
  </si>
  <si>
    <t>91 9664343314</t>
  </si>
  <si>
    <t>3 Yrs 9 Months</t>
  </si>
  <si>
    <t>Narsee Monjee College of Commerce&amp;Economics.</t>
  </si>
  <si>
    <t>04-04-18 11:54:48</t>
  </si>
  <si>
    <t>30-05-18 18:49:04</t>
  </si>
  <si>
    <t>Umar Matin Khan</t>
  </si>
  <si>
    <t>sadafsalimkhan1990@gmail.com</t>
  </si>
  <si>
    <t>91 8879672244</t>
  </si>
  <si>
    <t>senior exceutive</t>
  </si>
  <si>
    <t>mersk shipping</t>
  </si>
  <si>
    <t>B.C.A</t>
  </si>
  <si>
    <t>ses college</t>
  </si>
  <si>
    <t>02-08-18 11:13:12</t>
  </si>
  <si>
    <t xml:space="preserve">PRAVIN PUNJARAM DEORE </t>
  </si>
  <si>
    <t>01 Jun 1983</t>
  </si>
  <si>
    <t>pravindeore.9@gmail.com</t>
  </si>
  <si>
    <t>91 9370267636</t>
  </si>
  <si>
    <t>Aurangabad, Mumbai City</t>
  </si>
  <si>
    <t>Sr.Quality Executive Engineer &amp; Q.A head</t>
  </si>
  <si>
    <t>Amitron Tubulars pvt.Ltd</t>
  </si>
  <si>
    <t>SNJBS COE CHANDWAD NASIK</t>
  </si>
  <si>
    <t>28-08-18 19:28:04</t>
  </si>
  <si>
    <t>01-09-18 21:09:43</t>
  </si>
  <si>
    <t xml:space="preserve">bilal </t>
  </si>
  <si>
    <t>08 Mar 1980</t>
  </si>
  <si>
    <t>bilaldadan08@gmail.com</t>
  </si>
  <si>
    <t>9867337628</t>
  </si>
  <si>
    <t>United Arab Emirates, Oman</t>
  </si>
  <si>
    <t>OUTLET MANAGER</t>
  </si>
  <si>
    <t>Front Office / Guest Relations</t>
  </si>
  <si>
    <t>HOT en SPICY, MUMBAI</t>
  </si>
  <si>
    <t>BOECKER FOOD SAFETY</t>
  </si>
  <si>
    <t>Anjuman-I-Islam High School</t>
  </si>
  <si>
    <t>07-08-18 13:33:32</t>
  </si>
  <si>
    <t>SANJEEV KULKARNI</t>
  </si>
  <si>
    <t>05 Apr 1966</t>
  </si>
  <si>
    <t>sanjeev.r.kulkarni1966@gmail.com</t>
  </si>
  <si>
    <t>91 8452875890</t>
  </si>
  <si>
    <t>Rs. 50.00 Lacs</t>
  </si>
  <si>
    <t>Quantity Surveyor</t>
  </si>
  <si>
    <t>Saudi Aramco</t>
  </si>
  <si>
    <t>Mangalore University</t>
  </si>
  <si>
    <t>11-05-17 19:16:10</t>
  </si>
  <si>
    <t>20-06-18 03:41:52</t>
  </si>
  <si>
    <t>shrawan vishwakarma</t>
  </si>
  <si>
    <t>30 Jul 1988</t>
  </si>
  <si>
    <t>shrawanv30@gmail.com</t>
  </si>
  <si>
    <t>91 8879908747</t>
  </si>
  <si>
    <t>Sr.Engg.</t>
  </si>
  <si>
    <t>Polycab Wire cables Ltd</t>
  </si>
  <si>
    <t>Hewett Polytechnic</t>
  </si>
  <si>
    <t>13-02-18 12:28:13</t>
  </si>
  <si>
    <t>11-04-18 18:48:55</t>
  </si>
  <si>
    <t>kapil jaiswal</t>
  </si>
  <si>
    <t>kap_jayaswal@rediffmail.com</t>
  </si>
  <si>
    <t>91 9674155413</t>
  </si>
  <si>
    <t>All India, Bangalore, Chennai, Noida, Hyderabad, Kolkata, Gurugram, Pune, Mumbai City, Delhi</t>
  </si>
  <si>
    <t>2 Yrs 4 Months</t>
  </si>
  <si>
    <t>Design Engineer Mechanical</t>
  </si>
  <si>
    <t>Development Consultants Private Limited</t>
  </si>
  <si>
    <t>NATIONAL POWER TRAINING INSTITUTE (E.R.)</t>
  </si>
  <si>
    <t>19-02-18 14:23:29</t>
  </si>
  <si>
    <t>30-04-18 14:43:34</t>
  </si>
  <si>
    <t>MONIKA PAL</t>
  </si>
  <si>
    <t>01 Jul 1993</t>
  </si>
  <si>
    <t>pal.monika93@gmail.com</t>
  </si>
  <si>
    <t>91 7589017731</t>
  </si>
  <si>
    <t>Baddi, Mohali, Patiala, Gurugram, Amritsar, Jalandhar, Ludhiana, Hoshiarpur, Shimla</t>
  </si>
  <si>
    <t>3 Yrs 1 Month</t>
  </si>
  <si>
    <t>Hardware Design Engineer</t>
  </si>
  <si>
    <t>Dr. B.R. Ambedkar National Institute of Technology</t>
  </si>
  <si>
    <t>27-08-18 19:15:47</t>
  </si>
  <si>
    <t>31-08-18 11:15:03</t>
  </si>
  <si>
    <t>Sumit Kumar</t>
  </si>
  <si>
    <t>01 May 1970</t>
  </si>
  <si>
    <t>1.sumit.kumar@gmail.com</t>
  </si>
  <si>
    <t>91 9892187934</t>
  </si>
  <si>
    <t>All India, Other Maharashtra, Thailand, United Arab Emirates, Singapore, Oman, Qatar, South Africa</t>
  </si>
  <si>
    <t>Consultant</t>
  </si>
  <si>
    <t>Tour / Travel Management</t>
  </si>
  <si>
    <t>Akbar Holidays Pvt. Ltd.</t>
  </si>
  <si>
    <t>Vocational Course</t>
  </si>
  <si>
    <t>Wings Institute of Management</t>
  </si>
  <si>
    <t>31-03-18 10:32:07</t>
  </si>
  <si>
    <t>30-08-18 11:05:15</t>
  </si>
  <si>
    <t>Dhaval Mehta</t>
  </si>
  <si>
    <t>07 Jul 1990</t>
  </si>
  <si>
    <t>dhavalpmehta790@gmail.com</t>
  </si>
  <si>
    <t>91 9769532592</t>
  </si>
  <si>
    <t>Manager - Legal Secretarial</t>
  </si>
  <si>
    <t>C.S</t>
  </si>
  <si>
    <t>Siddharth College of Law</t>
  </si>
  <si>
    <t>05-09-18 12:26:22</t>
  </si>
  <si>
    <t>Jijo Wilson</t>
  </si>
  <si>
    <t>21 Feb 1979</t>
  </si>
  <si>
    <t>jijokwilson@rediffmail.com</t>
  </si>
  <si>
    <t>91 9860253003</t>
  </si>
  <si>
    <t>Commercial Officer</t>
  </si>
  <si>
    <t>Lloyds Steels Industries Ltd</t>
  </si>
  <si>
    <t>M.G University</t>
  </si>
  <si>
    <t>18-04-17 13:55:29</t>
  </si>
  <si>
    <t>05-09-18 16:31:25</t>
  </si>
  <si>
    <t>Rohan Mankad</t>
  </si>
  <si>
    <t>29 May 1988</t>
  </si>
  <si>
    <t>rohanmankad29@gmail.com</t>
  </si>
  <si>
    <t>91 9870745164</t>
  </si>
  <si>
    <t>First data India Pvt Ltd</t>
  </si>
  <si>
    <t>24-04-18 21:38:08</t>
  </si>
  <si>
    <t>kedar Tilwe</t>
  </si>
  <si>
    <t>14 Nov 1983</t>
  </si>
  <si>
    <t>kedartilwe@hotmail.com</t>
  </si>
  <si>
    <t>91 9833730555</t>
  </si>
  <si>
    <t>SPECIALITY MEDICAL CONSULTANT PSYCHIATRY</t>
  </si>
  <si>
    <t>MCGM</t>
  </si>
  <si>
    <t>MD/MS</t>
  </si>
  <si>
    <t>Psychiatry</t>
  </si>
  <si>
    <t>d.y.patil medical college , k.j.somaiya medical college</t>
  </si>
  <si>
    <t>24-07-18 18:52:36</t>
  </si>
  <si>
    <t>26-07-18 19:22:07</t>
  </si>
  <si>
    <t>Arshad Jamal</t>
  </si>
  <si>
    <t>10 Oct 1989</t>
  </si>
  <si>
    <t>arshadhashmi9@gmail.com</t>
  </si>
  <si>
    <t>91 8286515786</t>
  </si>
  <si>
    <t>Civi Supervisor</t>
  </si>
  <si>
    <t>Alkifah contracting company pvt. ltd.</t>
  </si>
  <si>
    <t>KD INTER COLLEGE</t>
  </si>
  <si>
    <t>26-05-18 10:18:14</t>
  </si>
  <si>
    <t>06-07-18 12:58:58</t>
  </si>
  <si>
    <t>Suman Pal</t>
  </si>
  <si>
    <t>15 Mar 1981</t>
  </si>
  <si>
    <t>sumanloud@gmail.com</t>
  </si>
  <si>
    <t>91 9967730628</t>
  </si>
  <si>
    <t>Bangalore, Kolkata, Mumbai City, Delhi, Asansol</t>
  </si>
  <si>
    <t>Integrated Communication Specialist</t>
  </si>
  <si>
    <t>Media Planning / Buying</t>
  </si>
  <si>
    <t>Dentsu Aegis Network</t>
  </si>
  <si>
    <t>Delhi School of Communication</t>
  </si>
  <si>
    <t>17-04-18 16:06:28</t>
  </si>
  <si>
    <t>jibin kchacko</t>
  </si>
  <si>
    <t>06 Jun 1995</t>
  </si>
  <si>
    <t>jibinkchacko123@gmail.com</t>
  </si>
  <si>
    <t>91 9947407606</t>
  </si>
  <si>
    <t>Kollam</t>
  </si>
  <si>
    <t>govt.hss punnala</t>
  </si>
  <si>
    <t>09-01-18 19:36:18</t>
  </si>
  <si>
    <t>25-07-18 14:45:50</t>
  </si>
  <si>
    <t>R Ramya Mythili</t>
  </si>
  <si>
    <t>ramya.mythili219@gmail.com</t>
  </si>
  <si>
    <t>91 9533363412</t>
  </si>
  <si>
    <t>Karur Vysya Bank Ltd</t>
  </si>
  <si>
    <t>Institute of Public Enterprise</t>
  </si>
  <si>
    <t>07-12-17 16:53:31</t>
  </si>
  <si>
    <t>16-07-18 16:35:33</t>
  </si>
  <si>
    <t>MANISH RAI</t>
  </si>
  <si>
    <t>25 Jul 1980</t>
  </si>
  <si>
    <t>manish.rai.kumar@gmail.com</t>
  </si>
  <si>
    <t>91 7021962359</t>
  </si>
  <si>
    <t>Mumbai City, Ahmedabad</t>
  </si>
  <si>
    <t>Paul Merchants Ltd</t>
  </si>
  <si>
    <t>BirBahadurSinghPurvUn</t>
  </si>
  <si>
    <t>21-08-17 11:46:01</t>
  </si>
  <si>
    <t>21-06-18 11:18:18</t>
  </si>
  <si>
    <t>Austin Dsouza</t>
  </si>
  <si>
    <t>06 Jan 1983</t>
  </si>
  <si>
    <t>dsouzaaustin81@gmail.com</t>
  </si>
  <si>
    <t>91 9819524768</t>
  </si>
  <si>
    <t>Trainer - Investment Banking (Operations)</t>
  </si>
  <si>
    <t>Imarticus Learning Pvt Ltd</t>
  </si>
  <si>
    <t>Nl Dalmia institute</t>
  </si>
  <si>
    <t>24-06-18 15:17:37</t>
  </si>
  <si>
    <t>basim shad</t>
  </si>
  <si>
    <t>14 May 1993</t>
  </si>
  <si>
    <t>basimshad@gmail.com</t>
  </si>
  <si>
    <t>91 9947338371</t>
  </si>
  <si>
    <t>All India, Kozhikode, Mumbai City</t>
  </si>
  <si>
    <t>Mar athanasius college of engineering kothamangalam</t>
  </si>
  <si>
    <t>11-04-18 07:07:48</t>
  </si>
  <si>
    <t>31-07-18 15:08:16</t>
  </si>
  <si>
    <t>jyoti naphade</t>
  </si>
  <si>
    <t>03 Oct 1984</t>
  </si>
  <si>
    <t>nafdejyoti.2010@gmail.com</t>
  </si>
  <si>
    <t>91 8379049744</t>
  </si>
  <si>
    <t>Front office Coordinator</t>
  </si>
  <si>
    <t>Front Office / Receptionist</t>
  </si>
  <si>
    <t>IITiansPACE (Pace Jr. Science college, Borivali)</t>
  </si>
  <si>
    <t>24-08-18 18:25:26</t>
  </si>
  <si>
    <t>31-08-18 16:50:40</t>
  </si>
  <si>
    <t>BEBIN RAJ</t>
  </si>
  <si>
    <t>09 Apr 1991</t>
  </si>
  <si>
    <t>bebinraj91@gmail.com</t>
  </si>
  <si>
    <t>91 8870661353</t>
  </si>
  <si>
    <t>Bangalore, Chennai, Nagercoil, Thiruvanananthapuram, Thrissur, Mumbai City, Ahmedabad</t>
  </si>
  <si>
    <t>Civil Engineer</t>
  </si>
  <si>
    <t>Valecha Engineering Ltd</t>
  </si>
  <si>
    <t>Mahath amma institute of engineering &amp; tech</t>
  </si>
  <si>
    <t>02-04-18 12:04:04</t>
  </si>
  <si>
    <t>04-04-18 21:09:40</t>
  </si>
  <si>
    <t xml:space="preserve">Mohan Devendra </t>
  </si>
  <si>
    <t>25 Jun 1995</t>
  </si>
  <si>
    <t>bombaymohan795@gmail.com</t>
  </si>
  <si>
    <t>91 8286764888</t>
  </si>
  <si>
    <t>1 Yr 8 Months</t>
  </si>
  <si>
    <t>Media Associate Logger</t>
  </si>
  <si>
    <t>Sri Saraswathi Vidhyalaya</t>
  </si>
  <si>
    <t>06-06-18 19:18:12</t>
  </si>
  <si>
    <t>Mohd Akhtar Ali</t>
  </si>
  <si>
    <t>mohdakhtarali@gmail.com</t>
  </si>
  <si>
    <t>91 8878294492</t>
  </si>
  <si>
    <t>Zillion Infraprojects Pvt. Ltd.</t>
  </si>
  <si>
    <t>Rajkumar Goel Institute of Technology</t>
  </si>
  <si>
    <t>15-01-18 12:07:16</t>
  </si>
  <si>
    <t>16-03-18 14:11:46</t>
  </si>
  <si>
    <t>Aarthi M</t>
  </si>
  <si>
    <t>06 Jun 1989</t>
  </si>
  <si>
    <t>aarthiraji1989@gmail.com</t>
  </si>
  <si>
    <t>91 9920058680</t>
  </si>
  <si>
    <t>Sales Engineer</t>
  </si>
  <si>
    <t>Durag India Instrumentation Pvt Ltd</t>
  </si>
  <si>
    <t>SCAD College of Technology</t>
  </si>
  <si>
    <t>03-08-17 23:49:41</t>
  </si>
  <si>
    <t>20-04-18 13:18:40</t>
  </si>
  <si>
    <t xml:space="preserve">Saravanan </t>
  </si>
  <si>
    <t>saranapillai@gmail.com</t>
  </si>
  <si>
    <t>91 9920868412</t>
  </si>
  <si>
    <t>20 Yrs 5 Months</t>
  </si>
  <si>
    <t>Rs. 9.25 Lacs</t>
  </si>
  <si>
    <t>Purchase Manager</t>
  </si>
  <si>
    <t>Mark engineers</t>
  </si>
  <si>
    <t>Mavmm polytechnic</t>
  </si>
  <si>
    <t>09-04-18 00:11:37</t>
  </si>
  <si>
    <t>21-07-18 09:53:28</t>
  </si>
  <si>
    <t>Vijaykumar Pillai</t>
  </si>
  <si>
    <t>pillaigvk@hotmail.com</t>
  </si>
  <si>
    <t>91 9820315353</t>
  </si>
  <si>
    <t>Spectrum Financial Services</t>
  </si>
  <si>
    <t>Indian Institute of Management, Calcutta</t>
  </si>
  <si>
    <t>01-06-18 17:34:03</t>
  </si>
  <si>
    <t>06-09-18 17:52:36</t>
  </si>
  <si>
    <t>RaghavKumar Mishra</t>
  </si>
  <si>
    <t>01 Jan 1968</t>
  </si>
  <si>
    <t>raghu.1168@gmail.com</t>
  </si>
  <si>
    <t>91 9984473333</t>
  </si>
  <si>
    <t>Noida, Gurugram, Pune, Mumbai City, Ranchi, Delhi</t>
  </si>
  <si>
    <t>20 Yrs 2 Months</t>
  </si>
  <si>
    <t>HR Generlist</t>
  </si>
  <si>
    <t>Infrastructure Company</t>
  </si>
  <si>
    <t>Poona University Poona</t>
  </si>
  <si>
    <t>30-07-18 23:06:52</t>
  </si>
  <si>
    <t>06-09-18 23:45:25</t>
  </si>
  <si>
    <t>Saajan babu</t>
  </si>
  <si>
    <t>saajanpalakkottil@gmail.com</t>
  </si>
  <si>
    <t>91 9947051159</t>
  </si>
  <si>
    <t>Textile</t>
  </si>
  <si>
    <t>other</t>
  </si>
  <si>
    <t>02-03-17 12:17:46</t>
  </si>
  <si>
    <t>01-05-18 14:13:57</t>
  </si>
  <si>
    <t>Smita Jadhav</t>
  </si>
  <si>
    <t>01 Aug 1981</t>
  </si>
  <si>
    <t>smita.jadhav81@gmail.com</t>
  </si>
  <si>
    <t>91 9619313467</t>
  </si>
  <si>
    <t>SPOC (Single point of Contact</t>
  </si>
  <si>
    <t>Telecom Infrastructure Consultan  Services Pvt Ltd(TICS)</t>
  </si>
  <si>
    <t>DY Patil</t>
  </si>
  <si>
    <t>27-08-18 20:44:02</t>
  </si>
  <si>
    <t xml:space="preserve">MD MOBASHIR </t>
  </si>
  <si>
    <t>01 Mar 1992</t>
  </si>
  <si>
    <t>mobashiriqbal789@gmail.com</t>
  </si>
  <si>
    <t>91 8291405494</t>
  </si>
  <si>
    <t>Pune, Mumbai City, Bhopal</t>
  </si>
  <si>
    <t>Site superviser</t>
  </si>
  <si>
    <t>EVIO Engineering pvt ltd.</t>
  </si>
  <si>
    <t>BHOPAL INSTITUTE OF TECHNOLOGY</t>
  </si>
  <si>
    <t>12-07-18 15:25:20</t>
  </si>
  <si>
    <t>30-07-18 14:22:29</t>
  </si>
  <si>
    <t>HARENDRA KUMAR</t>
  </si>
  <si>
    <t>singhharendra234@gmail.com</t>
  </si>
  <si>
    <t>91 8368001493</t>
  </si>
  <si>
    <t>Quality  Engineer</t>
  </si>
  <si>
    <t>Qaca Pvt  Ltd</t>
  </si>
  <si>
    <t>DR. M.G.R.EDUCATIONAL &amp; RESEARCH INSTITUTE UNIVERSITY</t>
  </si>
  <si>
    <t>23-12-17 16:07:18</t>
  </si>
  <si>
    <t>24-07-18 07:32:47</t>
  </si>
  <si>
    <t>Vivek Surve</t>
  </si>
  <si>
    <t>22 May 1985</t>
  </si>
  <si>
    <t>vivek220585@gmail.com</t>
  </si>
  <si>
    <t>91 9029000757</t>
  </si>
  <si>
    <t>Deputy Manager II</t>
  </si>
  <si>
    <t>ICICI Bank Ltd</t>
  </si>
  <si>
    <t>04-07-18 16:19:12</t>
  </si>
  <si>
    <t>25-07-18 12:47:35</t>
  </si>
  <si>
    <t>RAVI NAMA</t>
  </si>
  <si>
    <t>18 Dec 1984</t>
  </si>
  <si>
    <t>ravi.nama9@yahoo.in</t>
  </si>
  <si>
    <t>91 9561194789</t>
  </si>
  <si>
    <t>Senior Relationship Manager</t>
  </si>
  <si>
    <t>Reliance Securities Ltd</t>
  </si>
  <si>
    <t>SOLAPUR University</t>
  </si>
  <si>
    <t>05-07-18 11:42:38</t>
  </si>
  <si>
    <t>15-08-18 17:34:05</t>
  </si>
  <si>
    <t>RANJITH CHATHOTH POYIL</t>
  </si>
  <si>
    <t>ranjithcp81@gmail.com</t>
  </si>
  <si>
    <t>91 9995289944</t>
  </si>
  <si>
    <t>Planning Engineer</t>
  </si>
  <si>
    <t>Nesma and Partners Contracting Company Ltd</t>
  </si>
  <si>
    <t>Kerala Government Polytechnic College Kozhikode</t>
  </si>
  <si>
    <t>12-03-18 12:43:29</t>
  </si>
  <si>
    <t>21-03-18 18:58:10</t>
  </si>
  <si>
    <t>Joyeeta Sengupta</t>
  </si>
  <si>
    <t>senguptajoyeeta@gmail.com</t>
  </si>
  <si>
    <t>91 9821710239</t>
  </si>
  <si>
    <t>Rs. 23.00 Lacs</t>
  </si>
  <si>
    <t>Not Specified</t>
  </si>
  <si>
    <t>UTV</t>
  </si>
  <si>
    <t>MithibaiCollegeofArts</t>
  </si>
  <si>
    <t>02-02-18 15:18:58</t>
  </si>
  <si>
    <t>26-03-18 15:06:11</t>
  </si>
  <si>
    <t>Saurabh Dwivedi</t>
  </si>
  <si>
    <t>16 Apr 1992</t>
  </si>
  <si>
    <t>saurabhveerbhadra@gmail.com</t>
  </si>
  <si>
    <t>91 8451060036</t>
  </si>
  <si>
    <t>Brimatec Solutions</t>
  </si>
  <si>
    <t>gyan ganga institute of technology and sciences</t>
  </si>
  <si>
    <t>31-07-18 23:22:53</t>
  </si>
  <si>
    <t>01-08-18 10:21:16</t>
  </si>
  <si>
    <t xml:space="preserve">Jerishima Philip Tuscano </t>
  </si>
  <si>
    <t>tuscanojer@gmail.com</t>
  </si>
  <si>
    <t>91 9096992456</t>
  </si>
  <si>
    <t>Christmas Island, Singapore, New Zealand, South America, Russia, Spain, Mauritius, Virgin Islands (UK), Virgin Islands (US), Mexico, Mumbai City, France, France (European Territory), Iceland, Denmark, Australia, Canada, United Kingdom, Netherlands, United States of America, Malaysia, Switzerland, Germany, Greenland</t>
  </si>
  <si>
    <t>HDFC bank ltd</t>
  </si>
  <si>
    <t>07-08-18 18:45:18</t>
  </si>
  <si>
    <t>25-08-18 11:19:14</t>
  </si>
  <si>
    <t>Basanta Mohapatra</t>
  </si>
  <si>
    <t>21 May 1977</t>
  </si>
  <si>
    <t>basantamohapatra77@gmail.com</t>
  </si>
  <si>
    <t>91 8596950738</t>
  </si>
  <si>
    <t>Nigeria, Kuwait, United Arab Emirates, Malaysia, Canada, Singapore, Mumbai City, Kazakhstan, Oman, Qatar, Morocco</t>
  </si>
  <si>
    <t>16 Yrs 6 Months</t>
  </si>
  <si>
    <t>Rs. 40.00 Lacs</t>
  </si>
  <si>
    <t>Sr. Inspection Engineer(SMP-Saudi Aramco)</t>
  </si>
  <si>
    <t>Al-Falak Electronic Equipment Co.Ltd., Saudi Arabia, KSA. (Approved Vendor of Saudi Aramco)</t>
  </si>
  <si>
    <t>AMIME</t>
  </si>
  <si>
    <t>06-09-18 10:29:50</t>
  </si>
  <si>
    <t>08-09-18 09:48:43</t>
  </si>
  <si>
    <t>NADEEM AHMAD</t>
  </si>
  <si>
    <t>06 Jul 1992</t>
  </si>
  <si>
    <t>nadeem.ahmad.993@gmail.com</t>
  </si>
  <si>
    <t>91 9971284224</t>
  </si>
  <si>
    <t>Other Rajasthan, Delhi</t>
  </si>
  <si>
    <t>Offshore engineering services client on CAIRN INDIA LTD.</t>
  </si>
  <si>
    <t>MAHARSHI DAYANAND UNIVERSITY</t>
  </si>
  <si>
    <t>27-01-18 12:51:33</t>
  </si>
  <si>
    <t>07-09-18 15:36:44</t>
  </si>
  <si>
    <t xml:space="preserve">Amrutkiran </t>
  </si>
  <si>
    <t>shivakiran1164@gmail.com</t>
  </si>
  <si>
    <t>91 8123357127</t>
  </si>
  <si>
    <t>Rs. 12.10 Lacs</t>
  </si>
  <si>
    <t>Admin</t>
  </si>
  <si>
    <t>Marlin</t>
  </si>
  <si>
    <t>Vtu</t>
  </si>
  <si>
    <t>08-03-18 12:37:38</t>
  </si>
  <si>
    <t>03-07-18 16:47:26</t>
  </si>
  <si>
    <t>Vinglic Rebello</t>
  </si>
  <si>
    <t>12 Feb 1976</t>
  </si>
  <si>
    <t>vinglic@yahoo.com</t>
  </si>
  <si>
    <t>91 8999347000</t>
  </si>
  <si>
    <t>SRVPOperations</t>
  </si>
  <si>
    <t>SommelierGuildUSA</t>
  </si>
  <si>
    <t>10-08-18 18:34:42</t>
  </si>
  <si>
    <t>11-08-18 19:13:04</t>
  </si>
  <si>
    <t xml:space="preserve">ARUN BEHERA </t>
  </si>
  <si>
    <t>15 May 1983</t>
  </si>
  <si>
    <t>arun.behera603@gmail.com</t>
  </si>
  <si>
    <t>91 7900013545</t>
  </si>
  <si>
    <t>Paradeep, Hyderabad, Mumbai City</t>
  </si>
  <si>
    <t>Site incharge</t>
  </si>
  <si>
    <t>OCS services (India) pvt. ltd.</t>
  </si>
  <si>
    <t>02-08-18 22:29:40</t>
  </si>
  <si>
    <t>15-08-18 07:53:27</t>
  </si>
  <si>
    <t>Viraj Sawant</t>
  </si>
  <si>
    <t>08 Nov 1984</t>
  </si>
  <si>
    <t>virajswnt@gmail.com</t>
  </si>
  <si>
    <t>91 9819804252</t>
  </si>
  <si>
    <t>Executive Sous Chef</t>
  </si>
  <si>
    <t>Dish Hospitality Pvt Ltd</t>
  </si>
  <si>
    <t>Rizvi College Of Hotel Management &amp; Catering Technology</t>
  </si>
  <si>
    <t>17-07-18 12:30:57</t>
  </si>
  <si>
    <t>30-07-18 14:41:34</t>
  </si>
  <si>
    <t>Gourisankar Pany</t>
  </si>
  <si>
    <t>11 Jan 1973</t>
  </si>
  <si>
    <t>gspany@gmail.com</t>
  </si>
  <si>
    <t>91 9867948286</t>
  </si>
  <si>
    <t>Sr. Manager export</t>
  </si>
  <si>
    <t>Saga Global</t>
  </si>
  <si>
    <t>IIFT Delhi</t>
  </si>
  <si>
    <t>04-01-18 15:23:31</t>
  </si>
  <si>
    <t>03-09-18 18:11:09</t>
  </si>
  <si>
    <t>HIMANSHU CHHABBI</t>
  </si>
  <si>
    <t>09 Jul 1966</t>
  </si>
  <si>
    <t>hlchhabbi0907@gmail.com</t>
  </si>
  <si>
    <t>91 8792000416</t>
  </si>
  <si>
    <t>Other Maharashtra, Dharwad, Pune, Mumbai City, Belgaum, Mysore</t>
  </si>
  <si>
    <t>General Manager (Project and maintenance)</t>
  </si>
  <si>
    <t>EPSILON CARBON PRIVATE LIMITED</t>
  </si>
  <si>
    <t>GOGTE INSTITUTE OF TECHNOLOGY</t>
  </si>
  <si>
    <t>21-05-18 11:11:01</t>
  </si>
  <si>
    <t>AKHILA R</t>
  </si>
  <si>
    <t>akhilarangan94@gmail.com</t>
  </si>
  <si>
    <t>91 9967920572</t>
  </si>
  <si>
    <t>Bangalore, Mumbai City, Delhi</t>
  </si>
  <si>
    <t>Tata Institute of Social Sciences</t>
  </si>
  <si>
    <t>22-05-17 11:12:21</t>
  </si>
  <si>
    <t>16-05-18 18:05:07</t>
  </si>
  <si>
    <t>Fouzia Bawani</t>
  </si>
  <si>
    <t>16 Dec 1975</t>
  </si>
  <si>
    <t>fouzia.bawani@yahoo.in</t>
  </si>
  <si>
    <t>91 9224604021</t>
  </si>
  <si>
    <t>General Manager - Sales &amp; Marketing</t>
  </si>
  <si>
    <t>Lalco Residency (JV with Kalpataru Estate )</t>
  </si>
  <si>
    <t>07-07-18 17:23:44</t>
  </si>
  <si>
    <t>Surbhi Jain</t>
  </si>
  <si>
    <t>02 Oct 1992</t>
  </si>
  <si>
    <t>jainsuru33@gmail.com</t>
  </si>
  <si>
    <t>91 9930698085</t>
  </si>
  <si>
    <t>Graphic Designer</t>
  </si>
  <si>
    <t>Social Pipal</t>
  </si>
  <si>
    <t>Graphics / Web designing</t>
  </si>
  <si>
    <t>keerti computer institute, arena animation</t>
  </si>
  <si>
    <t>15-06-18 03:08:45</t>
  </si>
  <si>
    <t>20-08-18 12:50:59</t>
  </si>
  <si>
    <t>Darshan Anavkar</t>
  </si>
  <si>
    <t>darsh.anavkar@gmail.com</t>
  </si>
  <si>
    <t>91 9930854929</t>
  </si>
  <si>
    <t>10 Yrs 3 Months</t>
  </si>
  <si>
    <t>Associate Manager - Scheduling &amp; Resource Planning</t>
  </si>
  <si>
    <t>Sutherland Global Services</t>
  </si>
  <si>
    <t>19-03-17 03:39:57</t>
  </si>
  <si>
    <t>20-03-18 16:16:40</t>
  </si>
  <si>
    <t>Amogh Gore</t>
  </si>
  <si>
    <t>12 Jan 1970</t>
  </si>
  <si>
    <t>goreamogh@rediffmail.com</t>
  </si>
  <si>
    <t>91 9820329412</t>
  </si>
  <si>
    <t>All India, Bangalore, Chennai, Noida, Hyderabad, Kolkata, Pune, Bangladesh, Mumbai City, Delhi</t>
  </si>
  <si>
    <t>Director &amp; Group CFO</t>
  </si>
  <si>
    <t>Confidential</t>
  </si>
  <si>
    <t>10-04-18 14:08:19</t>
  </si>
  <si>
    <t>samidha palkar</t>
  </si>
  <si>
    <t>01 Oct 1990</t>
  </si>
  <si>
    <t>palkarsamidha1@gmail.com</t>
  </si>
  <si>
    <t>91 9920155281</t>
  </si>
  <si>
    <t>Hr executive/HR Generalist/HR operations/Employee Engagement</t>
  </si>
  <si>
    <t>DES's NMITD</t>
  </si>
  <si>
    <t>02-08-18 12:50:30</t>
  </si>
  <si>
    <t>20-08-18 11:10:27</t>
  </si>
  <si>
    <t>Prabhat Kumar Sharma</t>
  </si>
  <si>
    <t>prabhat1972@gmail.com</t>
  </si>
  <si>
    <t>91 7509061564</t>
  </si>
  <si>
    <t>All India, Denmark, Thailand, Australia, Canada, Sweden, Mumbai City, Switzerland, New Zealand</t>
  </si>
  <si>
    <t>ZONAL HEAD</t>
  </si>
  <si>
    <t>Wind World India Ltd</t>
  </si>
  <si>
    <t>Energy</t>
  </si>
  <si>
    <t>IIT Delhi</t>
  </si>
  <si>
    <t>06-09-18 15:30:52</t>
  </si>
  <si>
    <t>07-09-18 10:13:43</t>
  </si>
  <si>
    <t>Kumar PV</t>
  </si>
  <si>
    <t>20 Sep 1959</t>
  </si>
  <si>
    <t>pvkumar123@gmail.com</t>
  </si>
  <si>
    <t>91 9920365109</t>
  </si>
  <si>
    <t>Regional Technical Service Manager</t>
  </si>
  <si>
    <t>Falken Tyre India Pvt. Ltd.</t>
  </si>
  <si>
    <t>UniversityofMadras</t>
  </si>
  <si>
    <t>21-10-17 10:58:29</t>
  </si>
  <si>
    <t>08-09-18 10:09:57</t>
  </si>
  <si>
    <t>siddharth shah</t>
  </si>
  <si>
    <t>07 Feb 1992</t>
  </si>
  <si>
    <t>siddharthjigneshshah@gmail.com</t>
  </si>
  <si>
    <t>91 9619839391</t>
  </si>
  <si>
    <t>2 Yrs 3 Months</t>
  </si>
  <si>
    <t>Project Manager Solar</t>
  </si>
  <si>
    <t>Bhageria De-Chem Ltd</t>
  </si>
  <si>
    <t>K.T.PATIL COLLEGE OF ENGG. &amp; TECH. OSMANABAD</t>
  </si>
  <si>
    <t>14-07-17 12:28:58</t>
  </si>
  <si>
    <t>12-07-18 14:55:31</t>
  </si>
  <si>
    <t>Arun Ramesh</t>
  </si>
  <si>
    <t>10 Feb 1984</t>
  </si>
  <si>
    <t>arunrameshm.84@gmail.com</t>
  </si>
  <si>
    <t>91 8898203282</t>
  </si>
  <si>
    <t>Rs. 5.75 Lacs</t>
  </si>
  <si>
    <t>Sr. 3D Visualizer</t>
  </si>
  <si>
    <t>Urban Studio</t>
  </si>
  <si>
    <t>BFA</t>
  </si>
  <si>
    <t>SSUS</t>
  </si>
  <si>
    <t>05-04-18 14:20:08</t>
  </si>
  <si>
    <t>09-04-18 15:39:11</t>
  </si>
  <si>
    <t>hemang sanghvi</t>
  </si>
  <si>
    <t>04 Jun 1984</t>
  </si>
  <si>
    <t>sanghvihemang@yahoo.com</t>
  </si>
  <si>
    <t>91 9082578085</t>
  </si>
  <si>
    <t>Mch plastic surgery</t>
  </si>
  <si>
    <t>General Surgery</t>
  </si>
  <si>
    <t>Maulana Azad Medical College, Delhi</t>
  </si>
  <si>
    <t>02-10-17 09:57:08</t>
  </si>
  <si>
    <t>20-06-18 14:25:37</t>
  </si>
  <si>
    <t>shashikant jadhav</t>
  </si>
  <si>
    <t>23 Nov 1980</t>
  </si>
  <si>
    <t>sashkle23@yahoo.co.in</t>
  </si>
  <si>
    <t>91 8452814223</t>
  </si>
  <si>
    <t>Kuwait, United Arab Emirates, Navi Mumbai, Bahrain, Mumbai City, Singapore, Oman, Qatar, Saudi Arabia</t>
  </si>
  <si>
    <t>ARADOUS CONTRACTING &amp; MAINTENANCE CO. W.L.L BAHRAIN</t>
  </si>
  <si>
    <t>KLE  SOCITYS COLLAGE OF ENGINEERING AND TECHNOLOGY BELGAUM</t>
  </si>
  <si>
    <t>19-08-18 16:28:53</t>
  </si>
  <si>
    <t>Nafish Ahmad</t>
  </si>
  <si>
    <t>nafahmad786@gmail.com</t>
  </si>
  <si>
    <t>91 7541905230</t>
  </si>
  <si>
    <t>Rs. 25.00 Lacs</t>
  </si>
  <si>
    <t>MEP Engineer</t>
  </si>
  <si>
    <t>SENBO ENGINEERING LIMITED.</t>
  </si>
  <si>
    <t>Mittal Institute of Technology</t>
  </si>
  <si>
    <t>24-03-17 21:10:28</t>
  </si>
  <si>
    <t>28-04-18 12:02:47</t>
  </si>
  <si>
    <t xml:space="preserve">KIRAN BHAT </t>
  </si>
  <si>
    <t>12 Mar 1979</t>
  </si>
  <si>
    <t>bhatk2003@yahoo.com</t>
  </si>
  <si>
    <t>91 9773165346</t>
  </si>
  <si>
    <t>15 Yrs 7 Months</t>
  </si>
  <si>
    <t>Rs. 7.80 Lacs</t>
  </si>
  <si>
    <t>Project Engg (Process</t>
  </si>
  <si>
    <t>Fab-Tech Works &amp; Constructions Pvt. Ltd</t>
  </si>
  <si>
    <t>N.I.I.M.T</t>
  </si>
  <si>
    <t>01-09-18 19:07:05</t>
  </si>
  <si>
    <t>02-09-18 15:30:52</t>
  </si>
  <si>
    <t>NIKHIL KALANE</t>
  </si>
  <si>
    <t>04 Aug 1992</t>
  </si>
  <si>
    <t>nikhilkalane.nk@gmail.com</t>
  </si>
  <si>
    <t>91 9766846822</t>
  </si>
  <si>
    <t>1 Yr 6 Months</t>
  </si>
  <si>
    <t>Business Analyst- Chemicals Practise</t>
  </si>
  <si>
    <t>Institute of Chemical Technology</t>
  </si>
  <si>
    <t>02-08-18 22:22:10</t>
  </si>
  <si>
    <t>07-09-18 03:37:42</t>
  </si>
  <si>
    <t>MOHAMMED SIRAJ P S</t>
  </si>
  <si>
    <t>27 Dec 1994</t>
  </si>
  <si>
    <t>siraj4ba@gmail.com</t>
  </si>
  <si>
    <t>91 8907005884</t>
  </si>
  <si>
    <t>TICKETING STAFF</t>
  </si>
  <si>
    <t>AKBAR TRAVELS OF INDIA PVT LTD</t>
  </si>
  <si>
    <t>IATA</t>
  </si>
  <si>
    <t>MIC ARTS AND SCIENCE COLLEGE</t>
  </si>
  <si>
    <t>16-11-17 13:38:53</t>
  </si>
  <si>
    <t>07-08-18 18:41:33</t>
  </si>
  <si>
    <t>amit  bankhele</t>
  </si>
  <si>
    <t>08 Jun 1988</t>
  </si>
  <si>
    <t>amit_bankhele@yahoo.com</t>
  </si>
  <si>
    <t>91 9821957619</t>
  </si>
  <si>
    <t>6 Yrs 6 Months</t>
  </si>
  <si>
    <t>MBA with more than 1 year experience in HR industry</t>
  </si>
  <si>
    <t>Welingkars Institute Mumbai</t>
  </si>
  <si>
    <t>19-06-18 01:00:49</t>
  </si>
  <si>
    <t xml:space="preserve"> Manoj Mohite</t>
  </si>
  <si>
    <t>16 Oct 1992</t>
  </si>
  <si>
    <t>16manojm@gmail.com</t>
  </si>
  <si>
    <t>91 9594425069</t>
  </si>
  <si>
    <t>Ramrao Adik Institute of Technology</t>
  </si>
  <si>
    <t>26-05-16 08:53:53</t>
  </si>
  <si>
    <t>03-09-18 20:12:29</t>
  </si>
  <si>
    <t xml:space="preserve">Jibinjacob </t>
  </si>
  <si>
    <t>jibin.jacob60@gmail.com</t>
  </si>
  <si>
    <t>91 9544893676</t>
  </si>
  <si>
    <t>Oil &amp; Gas Industry</t>
  </si>
  <si>
    <t>kochi</t>
  </si>
  <si>
    <t>29-03-17 12:39:29</t>
  </si>
  <si>
    <t>21-05-18 11:39:14</t>
  </si>
  <si>
    <t>sandip majumder</t>
  </si>
  <si>
    <t>08 Oct 1970</t>
  </si>
  <si>
    <t>sandeep_majumder05@rediffmail.com</t>
  </si>
  <si>
    <t>91 7506030636</t>
  </si>
  <si>
    <t>Nigeria, Tanzania, Noida, United Arab Emirates, Kolkata, Delhi</t>
  </si>
  <si>
    <t>Rs. 24.60 Lacs</t>
  </si>
  <si>
    <t>MANAGEMENT</t>
  </si>
  <si>
    <t>Arabian Construction Company</t>
  </si>
  <si>
    <t>west bengal technical board</t>
  </si>
  <si>
    <t>10-11-17 16:44:58</t>
  </si>
  <si>
    <t>29-04-18 11:22:33</t>
  </si>
  <si>
    <t>oscarina barretto</t>
  </si>
  <si>
    <t>oscarinabarretto@gmail.com</t>
  </si>
  <si>
    <t>07-08-18 12:37:22</t>
  </si>
  <si>
    <t>07-08-18 12:37:23</t>
  </si>
  <si>
    <t>Sunit Srivastava</t>
  </si>
  <si>
    <t>01 Nov 1964</t>
  </si>
  <si>
    <t>sunit70@rediffmail.com</t>
  </si>
  <si>
    <t>91 9987939363</t>
  </si>
  <si>
    <t>Rs. 21.60 Lacs</t>
  </si>
  <si>
    <t>Project Head Civil</t>
  </si>
  <si>
    <t>Monarch Universal</t>
  </si>
  <si>
    <t>Govt. Polytechnic Jabalpur (M.P)</t>
  </si>
  <si>
    <t>07-04-17 12:49:24</t>
  </si>
  <si>
    <t>30-05-18 18:16:31</t>
  </si>
  <si>
    <t>RAVINDRA PATIL</t>
  </si>
  <si>
    <t>12 Jun 1977</t>
  </si>
  <si>
    <t>ravindrapatil007@rediffmail.com</t>
  </si>
  <si>
    <t>91 9604898990</t>
  </si>
  <si>
    <t>Vapi, Bharuch, Mumbai City, Vadodara, Ankleshwar</t>
  </si>
  <si>
    <t>Rs. 8.25 Lacs</t>
  </si>
  <si>
    <t>Sr.Executive production</t>
  </si>
  <si>
    <t>HARMAN FINOCHEM LTD.</t>
  </si>
  <si>
    <t>VINAYAKA MISSION UNIVEESITY ,SALEM</t>
  </si>
  <si>
    <t>07-09-18 12:55:54</t>
  </si>
  <si>
    <t>nikhil deshmukh</t>
  </si>
  <si>
    <t>21 Nov 1986</t>
  </si>
  <si>
    <t>nikhil21deshmukh@gmail.com</t>
  </si>
  <si>
    <t>91 7984668958</t>
  </si>
  <si>
    <t>5 Yrs 6 Months</t>
  </si>
  <si>
    <t>Sr. Engineer Projects</t>
  </si>
  <si>
    <t>JNK Heaters India Pvt. Ltd.</t>
  </si>
  <si>
    <t>28-10-17 21:53:41</t>
  </si>
  <si>
    <t>06-07-18 10:23:55</t>
  </si>
  <si>
    <t>akanksha sharma</t>
  </si>
  <si>
    <t>04 Jan 1987</t>
  </si>
  <si>
    <t>singh.akanksha97@gmail.com</t>
  </si>
  <si>
    <t>91 7506699628</t>
  </si>
  <si>
    <t>Tmu unversity</t>
  </si>
  <si>
    <t>19-06-18 02:46:54</t>
  </si>
  <si>
    <t>10-07-18 11:49:45</t>
  </si>
  <si>
    <t>Rajesh Parab</t>
  </si>
  <si>
    <t>09 Dec 1988</t>
  </si>
  <si>
    <t>rajesh.parab@ymail.com</t>
  </si>
  <si>
    <t>91 9833681225</t>
  </si>
  <si>
    <t>8 Yrs 8 Months</t>
  </si>
  <si>
    <t>Rs. 9.75 Lacs</t>
  </si>
  <si>
    <t>Senior Analyst (Fund Accounting)</t>
  </si>
  <si>
    <t>BNY Mellon</t>
  </si>
  <si>
    <t>10-08-18 01:17:42</t>
  </si>
  <si>
    <t>11-08-18 16:44:51</t>
  </si>
  <si>
    <t>Piyush Solanki</t>
  </si>
  <si>
    <t>25 Dec 1994</t>
  </si>
  <si>
    <t>piyushsolanki25619@gmail.com</t>
  </si>
  <si>
    <t>91 7208726325</t>
  </si>
  <si>
    <t>Dr. D Y PATIL INSTITUTE OF TECHNOLOGY</t>
  </si>
  <si>
    <t>31-03-18 10:14:05</t>
  </si>
  <si>
    <t>09-04-18 10:09:13</t>
  </si>
  <si>
    <t>mangesh appa walke</t>
  </si>
  <si>
    <t>12 Mar 1988</t>
  </si>
  <si>
    <t>mangeshattest@gmail.com</t>
  </si>
  <si>
    <t>91 9167582869</t>
  </si>
  <si>
    <t>analyzer technician</t>
  </si>
  <si>
    <t>Arabian Technical Trading Est.</t>
  </si>
  <si>
    <t>b k v pathrud</t>
  </si>
  <si>
    <t>02-09-18 13:12:37</t>
  </si>
  <si>
    <t>Deepak Hire</t>
  </si>
  <si>
    <t>19 Oct 1985</t>
  </si>
  <si>
    <t>deepak.hire19@gmail.com</t>
  </si>
  <si>
    <t>91 9867892806</t>
  </si>
  <si>
    <t>Technical Sales and Service Engineer</t>
  </si>
  <si>
    <t>Beveling Machine Manufacturing Company</t>
  </si>
  <si>
    <t>Professional Engineering Technical Institute</t>
  </si>
  <si>
    <t>22-07-18 18:03:01</t>
  </si>
  <si>
    <t>03-09-18 14:44:29</t>
  </si>
  <si>
    <t>Prabhakaran Ramanathan</t>
  </si>
  <si>
    <t>01 Jan 1956</t>
  </si>
  <si>
    <t>prabhakaranf@rediffmail.com</t>
  </si>
  <si>
    <t>91 9342501165</t>
  </si>
  <si>
    <t>GENERAL MANAGER</t>
  </si>
  <si>
    <t>HYUNDAI DEALERSHIP</t>
  </si>
  <si>
    <t>Chennai Unversity</t>
  </si>
  <si>
    <t>20-07-18 18:56:03</t>
  </si>
  <si>
    <t>04-09-18 20:30:39</t>
  </si>
  <si>
    <t>V PARAMESWARAN NAMBI</t>
  </si>
  <si>
    <t>v.p.nambi53@gmail.com</t>
  </si>
  <si>
    <t>91 9769251484</t>
  </si>
  <si>
    <t>Rs. 22.70 Lacs</t>
  </si>
  <si>
    <t>Sr.Consultant-Instrumentation</t>
  </si>
  <si>
    <t>Aker Solutions</t>
  </si>
  <si>
    <t>07-04-17 07:26:43</t>
  </si>
  <si>
    <t>06-09-18 19:09:14</t>
  </si>
  <si>
    <t>Jeetendra Shriganesh</t>
  </si>
  <si>
    <t>09 Sep 1979</t>
  </si>
  <si>
    <t>jitushriganesh@yahoo.in</t>
  </si>
  <si>
    <t>91 9920911193</t>
  </si>
  <si>
    <t>Sr.Graphic Designer</t>
  </si>
  <si>
    <t>Prime Focus Technologies Pvt. Ltd.</t>
  </si>
  <si>
    <t>Arena Mutimedia, Borivali (west)</t>
  </si>
  <si>
    <t>01-08-18 15:58:19</t>
  </si>
  <si>
    <t>31-08-18 17:13:05</t>
  </si>
  <si>
    <t xml:space="preserve"> Rajesh S. Gurav</t>
  </si>
  <si>
    <t>28 Jun 1992</t>
  </si>
  <si>
    <t>guravrajesh92@gmail.com</t>
  </si>
  <si>
    <t>91 8976434291</t>
  </si>
  <si>
    <t>production</t>
  </si>
  <si>
    <t>24-06-18 17:33:40</t>
  </si>
  <si>
    <t>25-06-18 12:55:57</t>
  </si>
  <si>
    <t>SHAHNAWAZ ALAM</t>
  </si>
  <si>
    <t>08 Mar 1993</t>
  </si>
  <si>
    <t>salamnke1993@gmail.com</t>
  </si>
  <si>
    <t>91 9167717368</t>
  </si>
  <si>
    <t>2 Yrs 8 Months</t>
  </si>
  <si>
    <t>Execution Engineer</t>
  </si>
  <si>
    <t>Offshore Infrastructures Limited</t>
  </si>
  <si>
    <t>NIZAM INSTITUTE OF ENGINEERING &amp; TECHNOLOGY</t>
  </si>
  <si>
    <t>10-04-17 16:31:24</t>
  </si>
  <si>
    <t>25-08-18 14:26:45</t>
  </si>
  <si>
    <t>Saurav Srivastav</t>
  </si>
  <si>
    <t>25 Sep 1979</t>
  </si>
  <si>
    <t>sauravsrivastavt@gmail.com</t>
  </si>
  <si>
    <t>91 7506961299</t>
  </si>
  <si>
    <t>Assistant Vice President - Business</t>
  </si>
  <si>
    <t>Reliance Power Limited</t>
  </si>
  <si>
    <t>Tulane University, USA</t>
  </si>
  <si>
    <t>27-06-18 12:17:19</t>
  </si>
  <si>
    <t>04-09-18 14:43:49</t>
  </si>
  <si>
    <t>PRAKASH DANDER</t>
  </si>
  <si>
    <t>21 Jul 1982</t>
  </si>
  <si>
    <t>prakashis420@gmail.com</t>
  </si>
  <si>
    <t>91 8652011626</t>
  </si>
  <si>
    <t>Hyderabad</t>
  </si>
  <si>
    <t>12 Yrs 1 Month</t>
  </si>
  <si>
    <t>CONSTBLE</t>
  </si>
  <si>
    <t>CENTRAL ARMED POLICE FORCE</t>
  </si>
  <si>
    <t>Maths</t>
  </si>
  <si>
    <t>PERIOR UNIVERSITY KERELA</t>
  </si>
  <si>
    <t>19-07-18 10:11:49</t>
  </si>
  <si>
    <t>20-07-18 10:30:00</t>
  </si>
  <si>
    <t>DALVIR SINGH DESHWAL</t>
  </si>
  <si>
    <t>20 Jun 1965</t>
  </si>
  <si>
    <t>dalvirdeshwal@gmail.com</t>
  </si>
  <si>
    <t>91 9867102332</t>
  </si>
  <si>
    <t>Rs. 33.00 Lacs</t>
  </si>
  <si>
    <t>Head Training and Development</t>
  </si>
  <si>
    <t>FUTURE GENERALI INDIA INSURANCE COMPANY LIMITED</t>
  </si>
  <si>
    <t>Defence &amp; Strategic Studies</t>
  </si>
  <si>
    <t>Chennai University</t>
  </si>
  <si>
    <t>20-05-18 22:31:47</t>
  </si>
  <si>
    <t>18-07-18 20:52:32</t>
  </si>
  <si>
    <t>Netra Nemade</t>
  </si>
  <si>
    <t>netra.chopade@gmail.com</t>
  </si>
  <si>
    <t>91 9819882489</t>
  </si>
  <si>
    <t>14-07-18 23:54:27</t>
  </si>
  <si>
    <t>20-08-18 11:11:42</t>
  </si>
  <si>
    <t>Atul Nagle</t>
  </si>
  <si>
    <t>17 Jan 1980</t>
  </si>
  <si>
    <t>atul_nagle@rediffmail.com</t>
  </si>
  <si>
    <t>91 7709967361</t>
  </si>
  <si>
    <t>Fire and safety</t>
  </si>
  <si>
    <t>Multinational company</t>
  </si>
  <si>
    <t>Pragathi college nagpur</t>
  </si>
  <si>
    <t>13-06-18 12:30:11</t>
  </si>
  <si>
    <t>Jerin Joy</t>
  </si>
  <si>
    <t>jerinjoyp90@gmail.com</t>
  </si>
  <si>
    <t>91 9892958700</t>
  </si>
  <si>
    <t>Assigned Senior Engineer</t>
  </si>
  <si>
    <t>Toyo Engineering India Ltd</t>
  </si>
  <si>
    <t>25-04-17 12:20:07</t>
  </si>
  <si>
    <t>23-05-18 10:12:47</t>
  </si>
  <si>
    <t xml:space="preserve">manoj ghate </t>
  </si>
  <si>
    <t>04 Sep 1984</t>
  </si>
  <si>
    <t>manojghate85@gmail.com</t>
  </si>
  <si>
    <t>91 7021236950</t>
  </si>
  <si>
    <t>Nashik, Navi Mumbai, Bharuch, Pune, Aurangabad, Mumbai City, Jalgaon, Vadodara, Nagpur, Ahmedabad</t>
  </si>
  <si>
    <t>Senior Manager - Sales</t>
  </si>
  <si>
    <t>Savair Energy Limited</t>
  </si>
  <si>
    <t>20-08-18 17:37:46</t>
  </si>
  <si>
    <t>anilkumar bhosale</t>
  </si>
  <si>
    <t>11 Jun 1959</t>
  </si>
  <si>
    <t>anilkumar.bhosale@yahoo.com</t>
  </si>
  <si>
    <t>91 9867168657</t>
  </si>
  <si>
    <t>consultant gynaecologist and obstetrician</t>
  </si>
  <si>
    <t>Hon.in Municipal hospital +private practice in chembur ,mumbai</t>
  </si>
  <si>
    <t>Obstetrics &amp; Gynaecology</t>
  </si>
  <si>
    <t>Grand Medical college,mumbai,India</t>
  </si>
  <si>
    <t>30-05-18 10:02:12</t>
  </si>
  <si>
    <t>05-06-18 08:23:34</t>
  </si>
  <si>
    <t>Govind Raghunath</t>
  </si>
  <si>
    <t>20 Mar 1991</t>
  </si>
  <si>
    <t>govindgopu012@gmail.com</t>
  </si>
  <si>
    <t>91 8424824066</t>
  </si>
  <si>
    <t>2 Yrs 10 Months</t>
  </si>
  <si>
    <t>Solar Consultant</t>
  </si>
  <si>
    <t>Apt Engineering Enterprises</t>
  </si>
  <si>
    <t>MESCE KUTTIPPURAM</t>
  </si>
  <si>
    <t>30-04-18 15:49:33</t>
  </si>
  <si>
    <t>UMAKANT YADAV</t>
  </si>
  <si>
    <t>18 Dec 1978</t>
  </si>
  <si>
    <t>umayadraj2001@gmail.com</t>
  </si>
  <si>
    <t>91 9867001189</t>
  </si>
  <si>
    <t>Bangalore, Noida, Gurugram, Pune, Mumbai City, Delhi</t>
  </si>
  <si>
    <t>17 Yrs 2 Months</t>
  </si>
  <si>
    <t>ASST. MANAGER Q.C.</t>
  </si>
  <si>
    <t>LAXMI AIR CONTROL LTD.  MUMBAI.</t>
  </si>
  <si>
    <t>25-04-18 17:10:51</t>
  </si>
  <si>
    <t>23-08-18 15:19:00</t>
  </si>
  <si>
    <t xml:space="preserve">prakash </t>
  </si>
  <si>
    <t>15 Apr 1978</t>
  </si>
  <si>
    <t>prakash.bhattacharjee@gmail.com</t>
  </si>
  <si>
    <t>91 9819515478</t>
  </si>
  <si>
    <t>13 Yrs 8 Months</t>
  </si>
  <si>
    <t>Territory Manager</t>
  </si>
  <si>
    <t>reliance securities</t>
  </si>
  <si>
    <t>IBMS, Mumbai</t>
  </si>
  <si>
    <t>01-01-18 21:31:11</t>
  </si>
  <si>
    <t>30-06-18 11:59:44</t>
  </si>
  <si>
    <t>Abhi Kalla</t>
  </si>
  <si>
    <t>09 Feb 1989</t>
  </si>
  <si>
    <t>techabhi001@gmail.com</t>
  </si>
  <si>
    <t>91 9001962172</t>
  </si>
  <si>
    <t>Sales and Business Development Executive</t>
  </si>
  <si>
    <t>Nestle UAE LLC</t>
  </si>
  <si>
    <t>M.C.A</t>
  </si>
  <si>
    <t>Rajasthan Technical University, Kota</t>
  </si>
  <si>
    <t>27-08-18 20:31:33</t>
  </si>
  <si>
    <t>06-09-18 16:10:41</t>
  </si>
  <si>
    <t>JITENDRA KHANOLKAR</t>
  </si>
  <si>
    <t>04 Feb 1962</t>
  </si>
  <si>
    <t>jitencharu@gmail.com</t>
  </si>
  <si>
    <t>91 7506255217</t>
  </si>
  <si>
    <t>Chief Business Advisor</t>
  </si>
  <si>
    <t>Spectrum Network Marketing</t>
  </si>
  <si>
    <t>19-07-18 15:25:24</t>
  </si>
  <si>
    <t>16-08-18 11:07:24</t>
  </si>
  <si>
    <t>kaustubh dhoble</t>
  </si>
  <si>
    <t>23 Sep 1993</t>
  </si>
  <si>
    <t>kaustubh.dhoble9@gmail.com</t>
  </si>
  <si>
    <t>91 9821865483</t>
  </si>
  <si>
    <t>vijay sales</t>
  </si>
  <si>
    <t>svims</t>
  </si>
  <si>
    <t>02-06-18 13:45:47</t>
  </si>
  <si>
    <t>11-06-18 17:47:04</t>
  </si>
  <si>
    <t>Bibhuti Bhusan Brahma</t>
  </si>
  <si>
    <t>27 Feb 1991</t>
  </si>
  <si>
    <t>banty.redeate8@gmail.com</t>
  </si>
  <si>
    <t>91 9776539465</t>
  </si>
  <si>
    <t>QCEngineer</t>
  </si>
  <si>
    <t>Larsen&amp;Turbo ltd</t>
  </si>
  <si>
    <t>Satya sai clg of engg</t>
  </si>
  <si>
    <t>10-04-18 14:01:34</t>
  </si>
  <si>
    <t>29-04-18 17:10:02</t>
  </si>
  <si>
    <t>Rishi Upadhayay</t>
  </si>
  <si>
    <t>01 Feb 1984</t>
  </si>
  <si>
    <t>rishiranjan1980@yahoo.com</t>
  </si>
  <si>
    <t>91 9725402304</t>
  </si>
  <si>
    <t>9 Yrs 5 Months</t>
  </si>
  <si>
    <t>Work as Site Incharge</t>
  </si>
  <si>
    <t>M/s VSR Electrical &amp; Instrumentation  India Pvt.Ltd</t>
  </si>
  <si>
    <t>Smt.Radhika Tai Pandav College of Engineering</t>
  </si>
  <si>
    <t>20-11-17 15:37:04</t>
  </si>
  <si>
    <t>09-06-18 12:25:12</t>
  </si>
  <si>
    <t>RAMIZ KHOT</t>
  </si>
  <si>
    <t>20 Nov 1987</t>
  </si>
  <si>
    <t>ramiz.khot11@gmail.com</t>
  </si>
  <si>
    <t>91 8793170104</t>
  </si>
  <si>
    <t>production &amp; safety officer</t>
  </si>
  <si>
    <t>super ready steel co.pvt</t>
  </si>
  <si>
    <t>NIFE</t>
  </si>
  <si>
    <t>01-05-18 13:43:52</t>
  </si>
  <si>
    <t>23-08-18 16:30:30</t>
  </si>
  <si>
    <t>Swapnil Vishnu Bharskar</t>
  </si>
  <si>
    <t>dnyaneshwar.bharaskar@gmail.com</t>
  </si>
  <si>
    <t>91 9821493373</t>
  </si>
  <si>
    <t>Customer Service Executive</t>
  </si>
  <si>
    <t>Accelya</t>
  </si>
  <si>
    <t>29-08-18 11:49:12</t>
  </si>
  <si>
    <t>30-08-18 16:19:24</t>
  </si>
  <si>
    <t xml:space="preserve">RAM NARAIN </t>
  </si>
  <si>
    <t>27 Jun 1976</t>
  </si>
  <si>
    <t>rm_narain@rediffmail.com</t>
  </si>
  <si>
    <t>91 9140955195</t>
  </si>
  <si>
    <t>Security Loss Prevention Manager</t>
  </si>
  <si>
    <t>Detective Services</t>
  </si>
  <si>
    <t>Reliance Industry</t>
  </si>
  <si>
    <t>25-07-18 11:00:52</t>
  </si>
  <si>
    <t>06-09-18 15:00:43</t>
  </si>
  <si>
    <t>Devayani Raje</t>
  </si>
  <si>
    <t>18 May 1992</t>
  </si>
  <si>
    <t>dev1892@gmail.com</t>
  </si>
  <si>
    <t>91 7387154317</t>
  </si>
  <si>
    <t>Training Manager</t>
  </si>
  <si>
    <t>Technical / Process Training</t>
  </si>
  <si>
    <t>Reliance Jio Infocomm Ltd.</t>
  </si>
  <si>
    <t>Met's Institute of Management</t>
  </si>
  <si>
    <t>31-08-18 17:53:19</t>
  </si>
  <si>
    <t>03-09-18 15:17:56</t>
  </si>
  <si>
    <t>Viren dedhia</t>
  </si>
  <si>
    <t>dedhiaviren1986@gmail.com</t>
  </si>
  <si>
    <t>5 Yrs 8 Months</t>
  </si>
  <si>
    <t>Financial Analyst</t>
  </si>
  <si>
    <t>19-08-18 17:04:23</t>
  </si>
  <si>
    <t>20-08-18 13:46:27</t>
  </si>
  <si>
    <t>ramesh shetty</t>
  </si>
  <si>
    <t>rameshj.shetty@gmail.com</t>
  </si>
  <si>
    <t>91 9324653026</t>
  </si>
  <si>
    <t>Chief artificer</t>
  </si>
  <si>
    <t>The instituition of engineers, India</t>
  </si>
  <si>
    <t>19-02-18 21:13:08</t>
  </si>
  <si>
    <t>26-07-18 15:43:30</t>
  </si>
  <si>
    <t xml:space="preserve">avinash chaurasia </t>
  </si>
  <si>
    <t>25 Jan 1991</t>
  </si>
  <si>
    <t>avichaurasia73@gmail.com</t>
  </si>
  <si>
    <t>91 8692951835</t>
  </si>
  <si>
    <t>Kuwait, United Arab Emirates, Navi Mumbai, Thane, Singapore, Oman, Qatar</t>
  </si>
  <si>
    <t>estimation engineer</t>
  </si>
  <si>
    <t>vivid electromech pvt ltd</t>
  </si>
  <si>
    <t>maharaja agarsain institute of technology</t>
  </si>
  <si>
    <t>29-03-18 09:01:34</t>
  </si>
  <si>
    <t>11-08-18 07:50:35</t>
  </si>
  <si>
    <t>Neelesh kumar singh</t>
  </si>
  <si>
    <t>01 Jun 1995</t>
  </si>
  <si>
    <t>neeleshkumarsingh01051995@gmail.com</t>
  </si>
  <si>
    <t>91 8808278552</t>
  </si>
  <si>
    <t>kamla nehru institute of physical &amp; social sciences sultanpur</t>
  </si>
  <si>
    <t>07-09-18 10:26:53</t>
  </si>
  <si>
    <t>Zafar Ahmad Koltharkar</t>
  </si>
  <si>
    <t>17 Oct 1980</t>
  </si>
  <si>
    <t>zafar.koltharkar@yahoo.com</t>
  </si>
  <si>
    <t>91 8554075462</t>
  </si>
  <si>
    <t>Power plant Operator / Field operator / Maintenance Supervisor</t>
  </si>
  <si>
    <t>Utility Powertech Ltd., (at Ratnagiri Gas &amp; Power Pvt. Ltd.)</t>
  </si>
  <si>
    <t>02-09-18 09:36:20</t>
  </si>
  <si>
    <t>03-09-18 16:34:14</t>
  </si>
  <si>
    <t>sagar mishra</t>
  </si>
  <si>
    <t>03 Oct 1993</t>
  </si>
  <si>
    <t>sagar8mishra@gmail.com</t>
  </si>
  <si>
    <t>91 9168512363</t>
  </si>
  <si>
    <t>Mohali, Noida, Kolkata, Pune, Chandigarh, Mumbai City, Delhi, Ambala, Panipat, Ahmedabad</t>
  </si>
  <si>
    <t>Engineer - Technical</t>
  </si>
  <si>
    <t>Energy efficiency service limited</t>
  </si>
  <si>
    <t>swami parmanand engg. college,lalru ,sas nagar mohali. (pb).</t>
  </si>
  <si>
    <t>13-06-18 16:58:32</t>
  </si>
  <si>
    <t>30-07-18 14:35:20</t>
  </si>
  <si>
    <t>ARUN KUMAR RAVEESH</t>
  </si>
  <si>
    <t>14 Feb 1983</t>
  </si>
  <si>
    <t>aks.cet@gmail.com</t>
  </si>
  <si>
    <t>91 7799550005</t>
  </si>
  <si>
    <t>Rs. 26.00 Lacs</t>
  </si>
  <si>
    <t>Team Manager</t>
  </si>
  <si>
    <t>L&amp;T Infrastructure Finance Co. Ltd</t>
  </si>
  <si>
    <t>Xavier Labour Research Institute, Jamshedpur</t>
  </si>
  <si>
    <t>25-04-17 12:04:12</t>
  </si>
  <si>
    <t>10-07-18 12:26:23</t>
  </si>
  <si>
    <t>AbhinavDeep Saxena</t>
  </si>
  <si>
    <t>14 Oct 1986</t>
  </si>
  <si>
    <t>abhinavdeep86@gmail.com</t>
  </si>
  <si>
    <t>91 9975616354</t>
  </si>
  <si>
    <t>All India, Jamnagar, Vapi, Bhuj, Pune, Bharuch, Mumbai City, Vadodara, Ankleshwar, Ahmedabad</t>
  </si>
  <si>
    <t>Design Engineer</t>
  </si>
  <si>
    <t>Weatherford International LTD</t>
  </si>
  <si>
    <t>Birla Institute of Technology and Science, Pilani</t>
  </si>
  <si>
    <t>13-06-18 12:33:33</t>
  </si>
  <si>
    <t>14-06-18 12:20:23</t>
  </si>
  <si>
    <t>prahalad maharana</t>
  </si>
  <si>
    <t>12 Jan 1979</t>
  </si>
  <si>
    <t>debraj.interior@gmail.com</t>
  </si>
  <si>
    <t>91 8652601953</t>
  </si>
  <si>
    <t>debraj interior</t>
  </si>
  <si>
    <t>st francies institute of art &amp; design</t>
  </si>
  <si>
    <t>08-04-16 20:03:54</t>
  </si>
  <si>
    <t>09-03-18 13:20:29</t>
  </si>
  <si>
    <t>Vishakha Agrawal</t>
  </si>
  <si>
    <t>vishakha_95@yahoo.com</t>
  </si>
  <si>
    <t>91 7847996628</t>
  </si>
  <si>
    <t>Christ College  Bangalore</t>
  </si>
  <si>
    <t>25-08-18 10:32:27</t>
  </si>
  <si>
    <t>Md Nadeem Md Kamil</t>
  </si>
  <si>
    <t>23 Jun 1983</t>
  </si>
  <si>
    <t>nmohammadkamil@gmail.com</t>
  </si>
  <si>
    <t>91 9503734878</t>
  </si>
  <si>
    <t>Nashik, Other Maharashtra, Solapur, Ahmednagar, Aurangabad, Pune, Jalgaon, Mumbai City, Kolhapur, Nagpur</t>
  </si>
  <si>
    <t>6 Yrs 4 Months</t>
  </si>
  <si>
    <t>Production Executive</t>
  </si>
  <si>
    <t>Lupin Limited</t>
  </si>
  <si>
    <t>SSBTs College Of Engineering and Technology Jalgaon</t>
  </si>
  <si>
    <t>07-09-18 13:03:34</t>
  </si>
  <si>
    <t>20 Apr 1987</t>
  </si>
  <si>
    <t>bhavik13shah@gmail.com</t>
  </si>
  <si>
    <t>91 9022520265</t>
  </si>
  <si>
    <t>6 Yrs 11 Months</t>
  </si>
  <si>
    <t>Rs. 7.75 Lacs</t>
  </si>
  <si>
    <t>SS&amp;C Globeop Finanacial Services</t>
  </si>
  <si>
    <t>Atharva School of Business</t>
  </si>
  <si>
    <t>11-04-18 13:05:17</t>
  </si>
  <si>
    <t>07-07-18 19:55:01</t>
  </si>
  <si>
    <t>Biswaranjan Samal</t>
  </si>
  <si>
    <t>19 Dec 1990</t>
  </si>
  <si>
    <t>biswaranjan1912@gmail.com</t>
  </si>
  <si>
    <t>91 8169831687</t>
  </si>
  <si>
    <t>Gandhinagar, Bhubaneswar, Rourkela, Paradeep, Thane, Pune, Mumbai City, Jharsuguda, Nagpur, Ahmedabad</t>
  </si>
  <si>
    <t>Mechanical/structural fabrication</t>
  </si>
  <si>
    <t>Mpl</t>
  </si>
  <si>
    <t>Kalinga Institute of Mining Engineering &amp; Technology</t>
  </si>
  <si>
    <t>02-09-18 11:03:16</t>
  </si>
  <si>
    <t>03-09-18 10:48:45</t>
  </si>
  <si>
    <t>Rohit Gupta</t>
  </si>
  <si>
    <t>29 Dec 1987</t>
  </si>
  <si>
    <t>rohit782192@gmail.com</t>
  </si>
  <si>
    <t>91 8080290323</t>
  </si>
  <si>
    <t>Australia, New Zealand, All India, Bangalore, Mauritius, Chennai, Ireland, Hyderabad, Poland, Netherlands, Italy, Kolkata, Gurugram, United States of America, Malaysia, Pune, Thiruvanananthapuram, Mumbai City, Delhi, Brazil</t>
  </si>
  <si>
    <t>Senior Team Member</t>
  </si>
  <si>
    <t>JP Morgan Service India Private Limited</t>
  </si>
  <si>
    <t>7 weeks</t>
  </si>
  <si>
    <t>18-08-18 23:58:15</t>
  </si>
  <si>
    <t>pankaj singh</t>
  </si>
  <si>
    <t>01 Jan 1980</t>
  </si>
  <si>
    <t>pankajsingh2203@gmail.com</t>
  </si>
  <si>
    <t>9869940069</t>
  </si>
  <si>
    <t>Other Maharashtra, Mumbai City, Nagpur</t>
  </si>
  <si>
    <t>Manager security</t>
  </si>
  <si>
    <t>Public Administration</t>
  </si>
  <si>
    <t>13-08-18 15:44:40</t>
  </si>
  <si>
    <t>14-08-18 11:41:11</t>
  </si>
  <si>
    <t>vinay dubey</t>
  </si>
  <si>
    <t>01 Jun 1984</t>
  </si>
  <si>
    <t>dubeyvinay984@gmail.com</t>
  </si>
  <si>
    <t>91 9930176607</t>
  </si>
  <si>
    <t>Rs. 7.10 Lacs</t>
  </si>
  <si>
    <t>ASM</t>
  </si>
  <si>
    <t>Allahabad agricultural University</t>
  </si>
  <si>
    <t>21-06-18 14:23:50</t>
  </si>
  <si>
    <t>22-06-18 16:21:39</t>
  </si>
  <si>
    <t>PERWEZ ALAM</t>
  </si>
  <si>
    <t>12 Dec 1985</t>
  </si>
  <si>
    <t>perwez.jmi@gmail.com</t>
  </si>
  <si>
    <t>91 9199759893</t>
  </si>
  <si>
    <t>Mumbai City, Delhi, Other Haryana, Saudi Arabia</t>
  </si>
  <si>
    <t>13 Yrs 5 Months</t>
  </si>
  <si>
    <t>Rs. 20.25 Lacs</t>
  </si>
  <si>
    <t>HVAC Engineer</t>
  </si>
  <si>
    <t>SAMSUNG ENGINEERING COMPANY LTD</t>
  </si>
  <si>
    <t>06-09-18 11:45:48</t>
  </si>
  <si>
    <t>07-09-18 11:46:37</t>
  </si>
  <si>
    <t>Rohan Vijay Patil</t>
  </si>
  <si>
    <t>rohanpatil41191@gmail.com</t>
  </si>
  <si>
    <t>91 9220455411</t>
  </si>
  <si>
    <t>Rosary English School</t>
  </si>
  <si>
    <t>18-10-16 11:21:57</t>
  </si>
  <si>
    <t>08-05-18 09:15:58</t>
  </si>
  <si>
    <t xml:space="preserve">BHARAT </t>
  </si>
  <si>
    <t>15 Aug 1990</t>
  </si>
  <si>
    <t>bgshinde15@gmail.com</t>
  </si>
  <si>
    <t>91 8123032009</t>
  </si>
  <si>
    <t>0 Yr 10 Months</t>
  </si>
  <si>
    <t>Assistant professor</t>
  </si>
  <si>
    <t>thakur college of  engineering and technology</t>
  </si>
  <si>
    <t>Vishweshwaraiya Technological University</t>
  </si>
  <si>
    <t>03-05-18 15:38:42</t>
  </si>
  <si>
    <t>16-08-18 13:18:31</t>
  </si>
  <si>
    <t>Raja Banti</t>
  </si>
  <si>
    <t>10 Jul 1985</t>
  </si>
  <si>
    <t>rbipsraja@gmail.com</t>
  </si>
  <si>
    <t>91 9167553734</t>
  </si>
  <si>
    <t>Bangalore, Kolkata, Mumbai City</t>
  </si>
  <si>
    <t>8 Yrs 3 Months</t>
  </si>
  <si>
    <t>Associate Risk Analyst</t>
  </si>
  <si>
    <t>XL Dynamics India Pvt. Ltd</t>
  </si>
  <si>
    <t>Siddaganga Institute of Technology</t>
  </si>
  <si>
    <t>07-03-18 22:59:26</t>
  </si>
  <si>
    <t>10-05-18 15:17:31</t>
  </si>
  <si>
    <t xml:space="preserve">L.M.YADAVA </t>
  </si>
  <si>
    <t>01 Dec 1987</t>
  </si>
  <si>
    <t>rajyadava2727@gmail.com</t>
  </si>
  <si>
    <t>91 9768686907</t>
  </si>
  <si>
    <t>Sr. safety officer</t>
  </si>
  <si>
    <t>NINA Water Proofing System(Pidilite industries)</t>
  </si>
  <si>
    <t>The institution of civil engineering(india)</t>
  </si>
  <si>
    <t>09-08-18 16:43:48</t>
  </si>
  <si>
    <t>07-09-18 12:30:45</t>
  </si>
  <si>
    <t>kumar saurav</t>
  </si>
  <si>
    <t>12 Aug 1984</t>
  </si>
  <si>
    <t>ksaurav899@yahoo.com</t>
  </si>
  <si>
    <t>91 8169916265</t>
  </si>
  <si>
    <t>tele communication</t>
  </si>
  <si>
    <t>shiats allahabad</t>
  </si>
  <si>
    <t>29-04-17 11:07:41</t>
  </si>
  <si>
    <t>29-03-18 14:33:19</t>
  </si>
  <si>
    <t>BEEJAL TRIVEDI</t>
  </si>
  <si>
    <t>bijal_t123@yahoo.co.in</t>
  </si>
  <si>
    <t>91 9833660976</t>
  </si>
  <si>
    <t>Executive - Banking Operations</t>
  </si>
  <si>
    <t>ICICI Bank</t>
  </si>
  <si>
    <t>18-08-18 10:28:03</t>
  </si>
  <si>
    <t>22-08-18 19:38:26</t>
  </si>
  <si>
    <t>jitesh kumar mishra</t>
  </si>
  <si>
    <t>10 Mar 1992</t>
  </si>
  <si>
    <t>jiteshmishra048@gmail.com</t>
  </si>
  <si>
    <t>91 9999843163</t>
  </si>
  <si>
    <t>Australia, United Arab Emirates, Mumbai City, Surat, Vadodara, Delhi, New Zealand</t>
  </si>
  <si>
    <t>4 Yrs 1 Month</t>
  </si>
  <si>
    <t>panorama consulting and engineering</t>
  </si>
  <si>
    <t>roorkee engineering and management technology institute</t>
  </si>
  <si>
    <t>05-09-18 13:09:17</t>
  </si>
  <si>
    <t>Sandeep Ghogale</t>
  </si>
  <si>
    <t>25 Jun 1963</t>
  </si>
  <si>
    <t>sandeepghogale@rediffmail.com</t>
  </si>
  <si>
    <t>91 9969602607</t>
  </si>
  <si>
    <t>Manager (Coordination)</t>
  </si>
  <si>
    <t>Hindustan Organic Chemicals Ltd.</t>
  </si>
  <si>
    <t>29-12-17 21:44:26</t>
  </si>
  <si>
    <t>06-05-18 09:31:11</t>
  </si>
  <si>
    <t>lalsing rajput</t>
  </si>
  <si>
    <t>lnr1984@rediffmail.com</t>
  </si>
  <si>
    <t>91 9773733672</t>
  </si>
  <si>
    <t>10 Yrs 7 Months</t>
  </si>
  <si>
    <t>Sr.production officer</t>
  </si>
  <si>
    <t>watson pharma pvt ltd</t>
  </si>
  <si>
    <t>25-08-18 21:23:58</t>
  </si>
  <si>
    <t>05-09-18 06:44:34</t>
  </si>
  <si>
    <t>NITIN BIRLA</t>
  </si>
  <si>
    <t>13 May 1988</t>
  </si>
  <si>
    <t>birla.nitin23@gmail.com</t>
  </si>
  <si>
    <t>91 8291418445</t>
  </si>
  <si>
    <t>ECLERX SERVICES LTD</t>
  </si>
  <si>
    <t>Tilak maharashtra university</t>
  </si>
  <si>
    <t>30-08-18 23:50:29</t>
  </si>
  <si>
    <t>Priyanka Raman</t>
  </si>
  <si>
    <t>ramanpriyanka91@gmail.com</t>
  </si>
  <si>
    <t>91 9920672997</t>
  </si>
  <si>
    <t>Business development</t>
  </si>
  <si>
    <t>Welingkar Institute of Management Development</t>
  </si>
  <si>
    <t>2020</t>
  </si>
  <si>
    <t>26-04-18 14:50:28</t>
  </si>
  <si>
    <t>08-06-18 11:30:38</t>
  </si>
  <si>
    <t>Ashutosh Srivastava</t>
  </si>
  <si>
    <t>20 Jul 1983</t>
  </si>
  <si>
    <t>ashu.srivastava27@gmail.com</t>
  </si>
  <si>
    <t>91 9967422637</t>
  </si>
  <si>
    <t>All India, Dehradun, Gorakhpur, Lucknow, Mumbai City, Delhi</t>
  </si>
  <si>
    <t>SR. Engineer- Billing</t>
  </si>
  <si>
    <t>Raheja Universal Pvt. Ltd.</t>
  </si>
  <si>
    <t>02-09-18 11:19:00</t>
  </si>
  <si>
    <t>03-09-18 09:50:32</t>
  </si>
  <si>
    <t>Anoop Chandran</t>
  </si>
  <si>
    <t>27 Apr 1991</t>
  </si>
  <si>
    <t>anoopc503@gmail.com</t>
  </si>
  <si>
    <t>91 8157996202</t>
  </si>
  <si>
    <t>Kochi, Mumbai City</t>
  </si>
  <si>
    <t>Site Engineer Mechanical</t>
  </si>
  <si>
    <t>Ayoki Fabricon Pvt Ltd</t>
  </si>
  <si>
    <t>Cochin University of Science and Technology</t>
  </si>
  <si>
    <t>09-09-17 20:35:51</t>
  </si>
  <si>
    <t>21-06-18 15:10:25</t>
  </si>
  <si>
    <t>Siju John</t>
  </si>
  <si>
    <t>deepy.john@gmail.com</t>
  </si>
  <si>
    <t>91 8939206318</t>
  </si>
  <si>
    <t>All India, Bangalore, Pune, Mumbai City, Delhi, Saudi Arabia</t>
  </si>
  <si>
    <t>5 Yrs 7 Months</t>
  </si>
  <si>
    <t>Data Analyst</t>
  </si>
  <si>
    <t>Allied Health Services</t>
  </si>
  <si>
    <t>VIPS, Blore</t>
  </si>
  <si>
    <t>19-03-18 09:57:55</t>
  </si>
  <si>
    <t>31-05-18 16:38:38</t>
  </si>
  <si>
    <t>Zarine Merchant</t>
  </si>
  <si>
    <t>15 Jan 1974</t>
  </si>
  <si>
    <t>zarineimu@gmail.com</t>
  </si>
  <si>
    <t>91 8454921872</t>
  </si>
  <si>
    <t>Secretary</t>
  </si>
  <si>
    <t>Emars Events &amp; Shows Pvt Ltd</t>
  </si>
  <si>
    <t>Elphinstone</t>
  </si>
  <si>
    <t>07-07-18 20:13:23</t>
  </si>
  <si>
    <t>05-09-18 17:54:25</t>
  </si>
  <si>
    <t>Sanjay Shitap</t>
  </si>
  <si>
    <t>04 Jun 1975</t>
  </si>
  <si>
    <t>sgshitap75@gmail.com</t>
  </si>
  <si>
    <t>91 9823492106</t>
  </si>
  <si>
    <t>21 Yrs 4 Months</t>
  </si>
  <si>
    <t>Senior Surveyor</t>
  </si>
  <si>
    <t>ALFARA'A GROUP</t>
  </si>
  <si>
    <t xml:space="preserve">Vardan New English School </t>
  </si>
  <si>
    <t>01-06-18 11:41:52</t>
  </si>
  <si>
    <t>02-07-18 15:52:55</t>
  </si>
  <si>
    <t>Rwitik Mukherjee</t>
  </si>
  <si>
    <t>21 Nov 1996</t>
  </si>
  <si>
    <t>rwitikmkhrj@gmail.com</t>
  </si>
  <si>
    <t>91 7776048951</t>
  </si>
  <si>
    <t>Quality Management</t>
  </si>
  <si>
    <t>Bosch Ltd</t>
  </si>
  <si>
    <t>14-04-18 21:13:03</t>
  </si>
  <si>
    <t>11-06-18 10:50:55</t>
  </si>
  <si>
    <t>raees masoorker</t>
  </si>
  <si>
    <t>14 Nov 1970</t>
  </si>
  <si>
    <t>rmasoorker@yahoo.com</t>
  </si>
  <si>
    <t>91 9967411204</t>
  </si>
  <si>
    <t>Spain, Kuwait, Italy, Bahrain, Thane, Mumbai City, Oman, Saudi Arabia, Brunei Darussalam</t>
  </si>
  <si>
    <t>Process Designer</t>
  </si>
  <si>
    <t>TECNOCONSULT U.K. LTD</t>
  </si>
  <si>
    <t>M.H.SABOO SIDDIK POLYTECHNIC</t>
  </si>
  <si>
    <t>04-02-18 10:22:40</t>
  </si>
  <si>
    <t>08-09-18 09:20:17</t>
  </si>
  <si>
    <t>Bhushan Dhukte</t>
  </si>
  <si>
    <t>10 Dec 1988</t>
  </si>
  <si>
    <t>bhushandhukte@yahoo.in</t>
  </si>
  <si>
    <t>91 9673519519</t>
  </si>
  <si>
    <t>M/s. Global Composite &amp; Structural Limited</t>
  </si>
  <si>
    <t>Shree Ram polytechnic</t>
  </si>
  <si>
    <t>21-08-18 11:01:02</t>
  </si>
  <si>
    <t>07-09-18 15:49:38</t>
  </si>
  <si>
    <t>Sayed Arshad Ali</t>
  </si>
  <si>
    <t>aliarshadcsharp743@gmail.com</t>
  </si>
  <si>
    <t>91 8788330492</t>
  </si>
  <si>
    <t>FIREMAN</t>
  </si>
  <si>
    <t>V. L ASTRA ENGINEERS</t>
  </si>
  <si>
    <t>VIVA college</t>
  </si>
  <si>
    <t>10-05-18 17:31:16</t>
  </si>
  <si>
    <t>SUNIL BENIWAL</t>
  </si>
  <si>
    <t>02 Aug 1983</t>
  </si>
  <si>
    <t>skjatb@yahoo.com</t>
  </si>
  <si>
    <t>91 9987267072</t>
  </si>
  <si>
    <t>All India, Bangalore, Chennai, Noida, Hyderabad, Kolkata, Mumbai City, Delhi</t>
  </si>
  <si>
    <t>Rs. 12.25 Lacs</t>
  </si>
  <si>
    <t>Aegis Logistics Ltd</t>
  </si>
  <si>
    <t>SCDL , Pune</t>
  </si>
  <si>
    <t>09-08-18 09:14:33</t>
  </si>
  <si>
    <t>Jaya Banwale</t>
  </si>
  <si>
    <t>28 Aug 1985</t>
  </si>
  <si>
    <t>jayabanwale28@gmail.com</t>
  </si>
  <si>
    <t>91 9967284332</t>
  </si>
  <si>
    <t>Bangalore, Noida, Gurugram, Mumbai City, Delhi</t>
  </si>
  <si>
    <t>Operations Head</t>
  </si>
  <si>
    <t>Bflix Movies</t>
  </si>
  <si>
    <t>Radio and TV Journalsim</t>
  </si>
  <si>
    <t>BharatiyaVidya Bhawan College, Mumbai</t>
  </si>
  <si>
    <t>18-07-18 16:29:36</t>
  </si>
  <si>
    <t>27-08-18 15:48:07</t>
  </si>
  <si>
    <t xml:space="preserve">nikhil </t>
  </si>
  <si>
    <t>nikhil21vd@gmail.com</t>
  </si>
  <si>
    <t>91 8407901320</t>
  </si>
  <si>
    <t>All India, - Any -, Thane</t>
  </si>
  <si>
    <t>Sr. Engineer - Projects</t>
  </si>
  <si>
    <t>JNK Heaters India Pvt. ltd.</t>
  </si>
  <si>
    <t>SSBTS College of Engineering &amp;Technology</t>
  </si>
  <si>
    <t>28-12-17 17:12:27</t>
  </si>
  <si>
    <t>10-07-18 16:35:38</t>
  </si>
  <si>
    <t>AVNI NIHAR MATE</t>
  </si>
  <si>
    <t>truptib13@gmail.com</t>
  </si>
  <si>
    <t>91 9833496457</t>
  </si>
  <si>
    <t>Pre-Sales</t>
  </si>
  <si>
    <t>GE INDIA</t>
  </si>
  <si>
    <t>SWAMI VIVEKANANDA</t>
  </si>
  <si>
    <t>07-01-18 14:44:25</t>
  </si>
  <si>
    <t>04-09-18 16:49:39</t>
  </si>
  <si>
    <t>sanil kadam</t>
  </si>
  <si>
    <t>sanilkadam9@gmail.com</t>
  </si>
  <si>
    <t>91 9920977981</t>
  </si>
  <si>
    <t>Maya Academy of Advance Cinematic</t>
  </si>
  <si>
    <t>21-07-18 09:14:28</t>
  </si>
  <si>
    <t>Ajit Kumar</t>
  </si>
  <si>
    <t>12 Apr 1969</t>
  </si>
  <si>
    <t>ajitkumar6912@gmail.com</t>
  </si>
  <si>
    <t>91 7738689809</t>
  </si>
  <si>
    <t>Finance &amp; Adminstration</t>
  </si>
  <si>
    <t>Kendriya Vidyalaya Hebbal, Bangalore</t>
  </si>
  <si>
    <t>14-07-17 11:29:26</t>
  </si>
  <si>
    <t>16-08-18 09:46:28</t>
  </si>
  <si>
    <t>sushil chavan</t>
  </si>
  <si>
    <t>12 Apr 1972</t>
  </si>
  <si>
    <t>sushil.chavv@gmail.com</t>
  </si>
  <si>
    <t>91 9975359191</t>
  </si>
  <si>
    <t>Nigeria, Kuwait, United Arab Emirates, Mumbai City, Singapore, Kenya, Oman, Qatar, Saudi Arabia, Mozambique</t>
  </si>
  <si>
    <t>22 Yrs 11 Months</t>
  </si>
  <si>
    <t>Cospower Engineering Pvt. Ltd.</t>
  </si>
  <si>
    <t>Shivaji University, Maharasthra</t>
  </si>
  <si>
    <t>27-07-16 13:54:18</t>
  </si>
  <si>
    <t>26-06-18 17:21:20</t>
  </si>
  <si>
    <t xml:space="preserve">Ektaa Kumaran </t>
  </si>
  <si>
    <t>13 Sep 1988</t>
  </si>
  <si>
    <t>ektaa.kumaran@gmail.com</t>
  </si>
  <si>
    <t>91 9820530984</t>
  </si>
  <si>
    <t>Internship</t>
  </si>
  <si>
    <t>Times Now - Mumbai</t>
  </si>
  <si>
    <t>St Pauls, institute of communication education - Mumbai (Bandra)</t>
  </si>
  <si>
    <t>20-03-18 23:35:43</t>
  </si>
  <si>
    <t>10-05-18 14:33:26</t>
  </si>
  <si>
    <t>DALWIN T THOMAS</t>
  </si>
  <si>
    <t>dalwint007@gmail.com</t>
  </si>
  <si>
    <t>91 9895830307</t>
  </si>
  <si>
    <t>Mechanical Supervisor</t>
  </si>
  <si>
    <t>Technocrats</t>
  </si>
  <si>
    <t>Gandhi Polytechnic College</t>
  </si>
  <si>
    <t>13-05-17 19:29:53</t>
  </si>
  <si>
    <t>12-05-18 14:05:37</t>
  </si>
  <si>
    <t>umesh mhatre</t>
  </si>
  <si>
    <t>umesh.mhatre84@gmail.com</t>
  </si>
  <si>
    <t>91 8888055977</t>
  </si>
  <si>
    <t>Other Maharashtra, Navi Mumbai, Bahrain, Thane, Other Andaman-Nicobar</t>
  </si>
  <si>
    <t>Instrument officer</t>
  </si>
  <si>
    <t>Sandoz Ltd.</t>
  </si>
  <si>
    <t>18-08-18 09:15:37</t>
  </si>
  <si>
    <t>07-09-18 19:38:34</t>
  </si>
  <si>
    <t>rajanikant singh</t>
  </si>
  <si>
    <t>04 Jan 1981</t>
  </si>
  <si>
    <t>rajanikant482@gmail.com</t>
  </si>
  <si>
    <t>91 7030721390</t>
  </si>
  <si>
    <t>19-05-16 12:01:34</t>
  </si>
  <si>
    <t>30-04-18 13:26:40</t>
  </si>
  <si>
    <t xml:space="preserve">RajaniPitale </t>
  </si>
  <si>
    <t>rajanipitale.1992@gmail.com</t>
  </si>
  <si>
    <t>91 9167620880</t>
  </si>
  <si>
    <t>Manager Administration</t>
  </si>
  <si>
    <t>Tenova</t>
  </si>
  <si>
    <t>21 Yrs</t>
  </si>
  <si>
    <t>V G Vaze College of Ats &amp; Science</t>
  </si>
  <si>
    <t>01-07-18 17:53:58</t>
  </si>
  <si>
    <t>30-07-18 18:21:56</t>
  </si>
  <si>
    <t>sachin poojary</t>
  </si>
  <si>
    <t>05 Dec 1991</t>
  </si>
  <si>
    <t>poojarysachin2@gmail.com</t>
  </si>
  <si>
    <t>91 8898747505</t>
  </si>
  <si>
    <t>Roto  Artist</t>
  </si>
  <si>
    <t>Animation</t>
  </si>
  <si>
    <t>Keerti Animation</t>
  </si>
  <si>
    <t>11-06-18 23:03:34</t>
  </si>
  <si>
    <t>30-07-18 14:50:42</t>
  </si>
  <si>
    <t>Nadeem Sayyed</t>
  </si>
  <si>
    <t>18 Feb 1991</t>
  </si>
  <si>
    <t>sayyednadeem80@gmail.com</t>
  </si>
  <si>
    <t>91 9022060141</t>
  </si>
  <si>
    <t>Max life insurance</t>
  </si>
  <si>
    <t>01-09-18 20:38:16</t>
  </si>
  <si>
    <t xml:space="preserve">Amjad Aliraza Sayyed </t>
  </si>
  <si>
    <t>16 Feb 1976</t>
  </si>
  <si>
    <t>amjadalias@gmail.com</t>
  </si>
  <si>
    <t>91 9167106765</t>
  </si>
  <si>
    <t>All India, Kuwait, Mauritius, United Arab Emirates, Bahrain, Singapore, Oman, Qatar, Hong Kong, Saudi Arabia</t>
  </si>
  <si>
    <t>Rs. 26.25 Lacs</t>
  </si>
  <si>
    <t>Shift Duty Manager</t>
  </si>
  <si>
    <t>Saudi Global Ports Company</t>
  </si>
  <si>
    <t>21-02-18 14:45:00</t>
  </si>
  <si>
    <t>24-03-18 16:19:14</t>
  </si>
  <si>
    <t>Tarun Chhag</t>
  </si>
  <si>
    <t>23 Oct 1979</t>
  </si>
  <si>
    <t>tchhag@gmail.com</t>
  </si>
  <si>
    <t>91 9427621937</t>
  </si>
  <si>
    <t>All India, Mumbai City, Vadodara, Ahmedabad</t>
  </si>
  <si>
    <t>Rs. 28.65 Lacs</t>
  </si>
  <si>
    <t>Sr. Key Account Managerr - Gujarat &amp; Rajashthan</t>
  </si>
  <si>
    <t>3M India Limited</t>
  </si>
  <si>
    <t>Metallurgy</t>
  </si>
  <si>
    <t>Maharaja Sayajirao University</t>
  </si>
  <si>
    <t>01-09-18 12:28:35</t>
  </si>
  <si>
    <t>01-09-18 12:28:36</t>
  </si>
  <si>
    <t>sujit kumar</t>
  </si>
  <si>
    <t>06 Sep 1991</t>
  </si>
  <si>
    <t>sujitk23@gmail.com</t>
  </si>
  <si>
    <t>91 7506536916</t>
  </si>
  <si>
    <t>Sr.Executive</t>
  </si>
  <si>
    <t>BARC INDIA</t>
  </si>
  <si>
    <t>09-07-18 13:02:32</t>
  </si>
  <si>
    <t>06-08-18 15:37:57</t>
  </si>
  <si>
    <t>Anoop Varma</t>
  </si>
  <si>
    <t>26 May 1976</t>
  </si>
  <si>
    <t>anoop.ravi.varma@gmail.com</t>
  </si>
  <si>
    <t>91 9349088893</t>
  </si>
  <si>
    <t>All India, Bangalore, Kochi</t>
  </si>
  <si>
    <t>Regional Head</t>
  </si>
  <si>
    <t>27-05-18 13:33:56</t>
  </si>
  <si>
    <t>28-05-18 13:10:12</t>
  </si>
  <si>
    <t>santosh khadge</t>
  </si>
  <si>
    <t>01 Jun 1980</t>
  </si>
  <si>
    <t>santosh.khadge@gmail.com</t>
  </si>
  <si>
    <t>91 9870200765</t>
  </si>
  <si>
    <t>CREATIVE DIRECTOR | HEAD</t>
  </si>
  <si>
    <t>CONSCIOUS DREAMS</t>
  </si>
  <si>
    <t>KG MITTLE</t>
  </si>
  <si>
    <t>10-08-18 00:26:54</t>
  </si>
  <si>
    <t>13-08-18 23:30:44</t>
  </si>
  <si>
    <t xml:space="preserve">krishna </t>
  </si>
  <si>
    <t>10 Dec 1985</t>
  </si>
  <si>
    <t>krishnadige10@gmail.com</t>
  </si>
  <si>
    <t>91 9822645334</t>
  </si>
  <si>
    <t>Vapi, Navi Mumbai, Thane, Mumbai City</t>
  </si>
  <si>
    <t>Production officer in API Pharma</t>
  </si>
  <si>
    <t>Lupin Ltd.</t>
  </si>
  <si>
    <t>27-03-18 00:00:58</t>
  </si>
  <si>
    <t>12-08-18 10:45:19</t>
  </si>
  <si>
    <t>peeyush kumar yadav</t>
  </si>
  <si>
    <t>19 Mar 1992</t>
  </si>
  <si>
    <t>py44704@gmail.com</t>
  </si>
  <si>
    <t>91 8450975601</t>
  </si>
  <si>
    <t>bbdnitm lucknow</t>
  </si>
  <si>
    <t>15-06-17 11:19:37</t>
  </si>
  <si>
    <t>29-03-18 14:33:36</t>
  </si>
  <si>
    <t>Ashok Kumar</t>
  </si>
  <si>
    <t>12 Dec 1957</t>
  </si>
  <si>
    <t>ashokp_57@yahoo.co.in</t>
  </si>
  <si>
    <t>91 9619548998</t>
  </si>
  <si>
    <t>Kochi, Navi Mumbai, Mumbai City</t>
  </si>
  <si>
    <t>AGM Training</t>
  </si>
  <si>
    <t>SPS PVT LTD</t>
  </si>
  <si>
    <t>01-01-18 22:35:58</t>
  </si>
  <si>
    <t>03-09-18 19:10:37</t>
  </si>
  <si>
    <t>Kiran J Khandagale</t>
  </si>
  <si>
    <t>02 Jun 1980</t>
  </si>
  <si>
    <t>kiran.khandaagale@gmail.com</t>
  </si>
  <si>
    <t>91 8097046167</t>
  </si>
  <si>
    <t>Teller with bank</t>
  </si>
  <si>
    <t>banking</t>
  </si>
  <si>
    <t>13-08-18 18:37:14</t>
  </si>
  <si>
    <t>23-08-18 19:10:36</t>
  </si>
  <si>
    <t xml:space="preserve">Manojkumar </t>
  </si>
  <si>
    <t>cmanojkumar715@gmail.com</t>
  </si>
  <si>
    <t>91 8689913198</t>
  </si>
  <si>
    <t>Singnalman</t>
  </si>
  <si>
    <t>In-Store Promoter</t>
  </si>
  <si>
    <t>Paper / Wood</t>
  </si>
  <si>
    <t>Petronet LNG Ltd</t>
  </si>
  <si>
    <t>Manojkumar</t>
  </si>
  <si>
    <t>16-11-17 20:12:13</t>
  </si>
  <si>
    <t>29-07-18 10:38:22</t>
  </si>
  <si>
    <t>nagender rai</t>
  </si>
  <si>
    <t>nagenderrai@ymail.com</t>
  </si>
  <si>
    <t>91 9022587880</t>
  </si>
  <si>
    <t>Other Andhra Pradesh, Mumbai City</t>
  </si>
  <si>
    <t>manager</t>
  </si>
  <si>
    <t>Ispat Industries Ltd</t>
  </si>
  <si>
    <t>25-01-18 17:02:24</t>
  </si>
  <si>
    <t>28-07-18 10:39:11</t>
  </si>
  <si>
    <t>Rasik Gautam</t>
  </si>
  <si>
    <t>30 Sep 1992</t>
  </si>
  <si>
    <t>rsk199230@gmail.com</t>
  </si>
  <si>
    <t>91 8856871506</t>
  </si>
  <si>
    <t>Assistant Engineer Electrical</t>
  </si>
  <si>
    <t>CIDCO of Maharahtra Limited</t>
  </si>
  <si>
    <t>17-03-17 11:32:45</t>
  </si>
  <si>
    <t>15-05-18 20:25:48</t>
  </si>
  <si>
    <t>Anju Sabu</t>
  </si>
  <si>
    <t>26 Feb 1992</t>
  </si>
  <si>
    <t>meanjusabu@gmail.com</t>
  </si>
  <si>
    <t>91 9747242124</t>
  </si>
  <si>
    <t>1 Yr 1 Month</t>
  </si>
  <si>
    <t>Audit Assistant</t>
  </si>
  <si>
    <t>C A Regi Abhraham and co, Chartered Accountants.</t>
  </si>
  <si>
    <t>MACFAST</t>
  </si>
  <si>
    <t>19-06-18 12:35:56</t>
  </si>
  <si>
    <t>Hitesh Sharma</t>
  </si>
  <si>
    <t>28 Jun 1985</t>
  </si>
  <si>
    <t>hiteshcsharma@gmail.com</t>
  </si>
  <si>
    <t>91 9892413756</t>
  </si>
  <si>
    <t>Rs. 11.55 Lacs</t>
  </si>
  <si>
    <t>Assistant Manager R&amp;D Programme Management</t>
  </si>
  <si>
    <t>USV Limited</t>
  </si>
  <si>
    <t>NMIMS,Mumbai</t>
  </si>
  <si>
    <t>06-09-18 16:09:22</t>
  </si>
  <si>
    <t>07-09-18 11:43:45</t>
  </si>
  <si>
    <t>Muthuchandran Balasubramanian</t>
  </si>
  <si>
    <t>06 Dec 1992</t>
  </si>
  <si>
    <t>chandran.konar@gmail.com</t>
  </si>
  <si>
    <t>91 9967662592</t>
  </si>
  <si>
    <t>Bangalore, Navi Mumbai, Mumbai City</t>
  </si>
  <si>
    <t>SS&amp;C Globeop financial services</t>
  </si>
  <si>
    <t>Symbiosis center of distance learning</t>
  </si>
  <si>
    <t>16-05-18 22:30:19</t>
  </si>
  <si>
    <t>24-05-18 12:47:09</t>
  </si>
  <si>
    <t>Manish Kumar singh</t>
  </si>
  <si>
    <t>02 May 1980</t>
  </si>
  <si>
    <t>manish.mam194088@gmail.com</t>
  </si>
  <si>
    <t>91 9850160695</t>
  </si>
  <si>
    <t>Rs. 11.70 Lacs</t>
  </si>
  <si>
    <t>Property manager</t>
  </si>
  <si>
    <t>Jones Lang LaSalle</t>
  </si>
  <si>
    <t>JRN RAJASTHAN UNIVERSITY</t>
  </si>
  <si>
    <t>11-10-17 12:08:20</t>
  </si>
  <si>
    <t>25-06-18 19:21:30</t>
  </si>
  <si>
    <t>Parag Bagul</t>
  </si>
  <si>
    <t>17 Jan 1972</t>
  </si>
  <si>
    <t>paragb2000@gmail.com</t>
  </si>
  <si>
    <t>91 9004657683</t>
  </si>
  <si>
    <t xml:space="preserve"> Yogayatan Group</t>
  </si>
  <si>
    <t>Engg. Collage INS Shivaji</t>
  </si>
  <si>
    <t>27-01-18 15:52:50</t>
  </si>
  <si>
    <t>24-05-18 11:51:23</t>
  </si>
  <si>
    <t xml:space="preserve">Mohammed Gouse </t>
  </si>
  <si>
    <t>05 Aug 1995</t>
  </si>
  <si>
    <t>gousegouse804@gmail.com</t>
  </si>
  <si>
    <t>91 9008287155</t>
  </si>
  <si>
    <t>Bangalore, Mumbai City</t>
  </si>
  <si>
    <t>Rasiyat Advance Group of company</t>
  </si>
  <si>
    <t>05-04-18 08:50:34</t>
  </si>
  <si>
    <t>12-07-18 11:03:17</t>
  </si>
  <si>
    <t>Ankita Singh</t>
  </si>
  <si>
    <t>23 Dec 1994</t>
  </si>
  <si>
    <t>ankeetaa22@gmail.com</t>
  </si>
  <si>
    <t>91 8692832178</t>
  </si>
  <si>
    <t>17-03-18 14:53:15</t>
  </si>
  <si>
    <t>30-03-18 13:36:39</t>
  </si>
  <si>
    <t>puneet mahajan</t>
  </si>
  <si>
    <t>05 May 1968</t>
  </si>
  <si>
    <t>puneetmahajan@hotmail.com</t>
  </si>
  <si>
    <t>91 9833934840</t>
  </si>
  <si>
    <t>Hyderabad, Pune, Mumbai City, Chandigarh, Delhi</t>
  </si>
  <si>
    <t>Sayaji Hotels Ltd</t>
  </si>
  <si>
    <t>Institute of Hotel Management</t>
  </si>
  <si>
    <t>18-06-18 17:47:23</t>
  </si>
  <si>
    <t>smita roychoudhury</t>
  </si>
  <si>
    <t>21 Jan 1980</t>
  </si>
  <si>
    <t>smita.212@gmail.com</t>
  </si>
  <si>
    <t>91 9930907929</t>
  </si>
  <si>
    <t>tendering</t>
  </si>
  <si>
    <t>Voltamp Transformers Limited</t>
  </si>
  <si>
    <t>V.J.T.I MUMBAI</t>
  </si>
  <si>
    <t>27-07-18 21:03:18</t>
  </si>
  <si>
    <t>17-08-18 16:00:42</t>
  </si>
  <si>
    <t>Devi Thiruvalluar</t>
  </si>
  <si>
    <t>22 Nov 1996</t>
  </si>
  <si>
    <t>devithiru1996@gmail.com</t>
  </si>
  <si>
    <t>91 8693865361</t>
  </si>
  <si>
    <t>BMM advertising</t>
  </si>
  <si>
    <t>02-06-18 09:59:48</t>
  </si>
  <si>
    <t>06-08-18 17:15:00</t>
  </si>
  <si>
    <t xml:space="preserve">saurabh shingre </t>
  </si>
  <si>
    <t>07 Jun 1988</t>
  </si>
  <si>
    <t>saurabhshingre@gmail.com</t>
  </si>
  <si>
    <t>91 9987525260</t>
  </si>
  <si>
    <t>11 Yrs 3 Months</t>
  </si>
  <si>
    <t>Photographer,Cinematographer &amp; Editor</t>
  </si>
  <si>
    <t>Cinematography</t>
  </si>
  <si>
    <t>08-08-18 23:23:59</t>
  </si>
  <si>
    <t>18-08-18 16:52:52</t>
  </si>
  <si>
    <t>Abhinay Mishra</t>
  </si>
  <si>
    <t>01 Jan 1994</t>
  </si>
  <si>
    <t>abhinaymishra29@gmail.com</t>
  </si>
  <si>
    <t>91 7045831257</t>
  </si>
  <si>
    <t>Varanasi</t>
  </si>
  <si>
    <t>Supervisor Inventory</t>
  </si>
  <si>
    <t>Om telecom logistics Pvt ltd</t>
  </si>
  <si>
    <t>Hindi</t>
  </si>
  <si>
    <t>Mahatma Gandhi Kashi Vidhyapeeth</t>
  </si>
  <si>
    <t>22-08-18 17:28:12</t>
  </si>
  <si>
    <t>07-09-18 12:41:11</t>
  </si>
  <si>
    <t>shemil mariam mathew</t>
  </si>
  <si>
    <t>07 Oct 1994</t>
  </si>
  <si>
    <t>shemilmariam@gmail.com</t>
  </si>
  <si>
    <t>91 9747483770</t>
  </si>
  <si>
    <t>All India, Pathanamthitta</t>
  </si>
  <si>
    <t>26-10-17 13:36:18</t>
  </si>
  <si>
    <t>18-04-18 15:18:02</t>
  </si>
  <si>
    <t>Anil Papada</t>
  </si>
  <si>
    <t>19 Sep 1984</t>
  </si>
  <si>
    <t>anilspapada@gmail.com</t>
  </si>
  <si>
    <t>91 9594014323</t>
  </si>
  <si>
    <t>Australia, United Arab Emirates, Malaysia, Canada, Mumbai City, Qatar, Hong Kong, New Zealand</t>
  </si>
  <si>
    <t>Working as Internal Auditor at THCL</t>
  </si>
  <si>
    <t>tata housing development company ltd.</t>
  </si>
  <si>
    <t>Manonmaniam Sundaranar University</t>
  </si>
  <si>
    <t>02-07-18 12:06:15</t>
  </si>
  <si>
    <t>03-07-18 10:10:46</t>
  </si>
  <si>
    <t>Pradeep Raut</t>
  </si>
  <si>
    <t>08 May 1960</t>
  </si>
  <si>
    <t>pradeep.raut8@gmail.com</t>
  </si>
  <si>
    <t>91 9820530954</t>
  </si>
  <si>
    <t>Rs. 12.80 Lacs</t>
  </si>
  <si>
    <t>Business Development Head</t>
  </si>
  <si>
    <t>AYKYA TOOLS</t>
  </si>
  <si>
    <t>Datamatics Institute, Kolkata</t>
  </si>
  <si>
    <t>26-06-18 11:04:07</t>
  </si>
  <si>
    <t>11-08-18 15:43:34</t>
  </si>
  <si>
    <t>Sambhav Jain</t>
  </si>
  <si>
    <t>sambhav13.jain@gmail.com</t>
  </si>
  <si>
    <t>91 9868273353</t>
  </si>
  <si>
    <t>Deputy</t>
  </si>
  <si>
    <t>Reliance capital limited</t>
  </si>
  <si>
    <t>Foundation for Liberal and Management Education, Pune</t>
  </si>
  <si>
    <t>28-08-18 13:28:15</t>
  </si>
  <si>
    <t>29-08-18 14:53:19</t>
  </si>
  <si>
    <t>Mukhtar Borkar</t>
  </si>
  <si>
    <t>05 Oct 1989</t>
  </si>
  <si>
    <t>mukhtarborkar@gmail.com</t>
  </si>
  <si>
    <t>91 9768164695</t>
  </si>
  <si>
    <t>Process/Piping Draftsman</t>
  </si>
  <si>
    <t>Ingenero Technologies India pvt. ltd</t>
  </si>
  <si>
    <t>M.H. Saboo Siddik Government Polytechnic</t>
  </si>
  <si>
    <t>21-05-18 18:03:29</t>
  </si>
  <si>
    <t>05-07-18 19:02:47</t>
  </si>
  <si>
    <t>ASHISH PATHAK</t>
  </si>
  <si>
    <t>16 Jan 1967</t>
  </si>
  <si>
    <t>ashpushp94@gmail.com</t>
  </si>
  <si>
    <t>91 8424010547</t>
  </si>
  <si>
    <t>Indore, Mumbai City, Surat, Delhi, Ahmedabad</t>
  </si>
  <si>
    <t>23 Yrs 6 Months</t>
  </si>
  <si>
    <t xml:space="preserve">Dy GM </t>
  </si>
  <si>
    <t>Cement / Building Material</t>
  </si>
  <si>
    <t xml:space="preserve">Ultratech Cement </t>
  </si>
  <si>
    <t>Bundelkhand University</t>
  </si>
  <si>
    <t>07-01-17 15:35:48</t>
  </si>
  <si>
    <t>07-08-18 18:19:43</t>
  </si>
  <si>
    <t>Esha Sudhir Mehta</t>
  </si>
  <si>
    <t>13 Sep 1989</t>
  </si>
  <si>
    <t>eshasudhir@gmail.com</t>
  </si>
  <si>
    <t>91 9978969738</t>
  </si>
  <si>
    <t>L&amp;T Power Limited</t>
  </si>
  <si>
    <t>Maharaja Sayajirao University of Baroda</t>
  </si>
  <si>
    <t>18-08-18 12:59:37</t>
  </si>
  <si>
    <t>27-08-18 14:40:57</t>
  </si>
  <si>
    <t>rc dey sarkar</t>
  </si>
  <si>
    <t>01 Apr 1950</t>
  </si>
  <si>
    <t>rcdeysarkar@gmail.com</t>
  </si>
  <si>
    <t>91 9833497995</t>
  </si>
  <si>
    <t>GEOPHYSICAL SESMIC DATA QUALITY CONTROL</t>
  </si>
  <si>
    <t>NTPC Ltd</t>
  </si>
  <si>
    <t>13-10-17 23:08:41</t>
  </si>
  <si>
    <t>01-05-18 11:40:07</t>
  </si>
  <si>
    <t>Dhaval Rajput</t>
  </si>
  <si>
    <t>11 Aug 1992</t>
  </si>
  <si>
    <t>dhavalrajput02@gmail.com</t>
  </si>
  <si>
    <t>91 9833104608</t>
  </si>
  <si>
    <t>Bhuj, Navi Mumbai, Thane, Mumbai City</t>
  </si>
  <si>
    <t>Broadcast Engineer in RF &amp; Compression</t>
  </si>
  <si>
    <t>Planetcast Media Services Ltd.(Formerly Essel Shyam)</t>
  </si>
  <si>
    <t>Thakur College of Engineering &amp; Technology</t>
  </si>
  <si>
    <t>03-08-18 17:27:03</t>
  </si>
  <si>
    <t>09-08-18 19:31:23</t>
  </si>
  <si>
    <t xml:space="preserve">Nabila </t>
  </si>
  <si>
    <t>nabilahabibsara@gmail.com</t>
  </si>
  <si>
    <t>91 7506273325</t>
  </si>
  <si>
    <t>Customer Service Manager</t>
  </si>
  <si>
    <t>Kotak Mahindra Prime Limited</t>
  </si>
  <si>
    <t>23-04-18 09:08:43</t>
  </si>
  <si>
    <t>24-08-18 11:07:49</t>
  </si>
  <si>
    <t>subhash parmar</t>
  </si>
  <si>
    <t>19 Apr 1974</t>
  </si>
  <si>
    <t>subhashparmar74@yahoo.com</t>
  </si>
  <si>
    <t>91 9762508056</t>
  </si>
  <si>
    <t>Mumbai City, Delhi, Other Haryana</t>
  </si>
  <si>
    <t>Team leader</t>
  </si>
  <si>
    <t>Alphard Marine security Ltd</t>
  </si>
  <si>
    <t>Defance</t>
  </si>
  <si>
    <t>05-09-18 14:44:57</t>
  </si>
  <si>
    <t>Bipin Bhosle</t>
  </si>
  <si>
    <t>bhoslebipin@gmail.com</t>
  </si>
  <si>
    <t>91 9324771967</t>
  </si>
  <si>
    <t>Sales / Technical Manager</t>
  </si>
  <si>
    <t>Prime Technologies</t>
  </si>
  <si>
    <t>NCVT</t>
  </si>
  <si>
    <t>13-04-18 07:21:08</t>
  </si>
  <si>
    <t>05-09-18 11:09:50</t>
  </si>
  <si>
    <t>Upasana Agrawal</t>
  </si>
  <si>
    <t>upasanaagrawal03@gmail.com</t>
  </si>
  <si>
    <t>91 9619561921</t>
  </si>
  <si>
    <t>masters in hospital administration</t>
  </si>
  <si>
    <t>27-07-18 09:57:55</t>
  </si>
  <si>
    <t>Sayyed Abbas</t>
  </si>
  <si>
    <t>10 Aug 1983</t>
  </si>
  <si>
    <t>kazmichemical@gmail.com</t>
  </si>
  <si>
    <t>91 9821536974</t>
  </si>
  <si>
    <t>Gurugram, Mumbai City, Delhi</t>
  </si>
  <si>
    <t>Sr. Engineer - Design &amp; Proposal</t>
  </si>
  <si>
    <t>Polyplast Chemie Plants (I) Pvt. Ltd.</t>
  </si>
  <si>
    <t>26-06-18 23:20:36</t>
  </si>
  <si>
    <t>27-06-18 13:05:20</t>
  </si>
  <si>
    <t>galla ganesh</t>
  </si>
  <si>
    <t>15 Jun 1993</t>
  </si>
  <si>
    <t>gganesh424@gmail.com</t>
  </si>
  <si>
    <t>91 8692029076</t>
  </si>
  <si>
    <t>Bangalore, Rajahmundry, Chennai, Tirupati, Hyderabad, Vijayawada, Vishakhapatnam, Mumbai City, Warangal, Anantpur</t>
  </si>
  <si>
    <t>ff</t>
  </si>
  <si>
    <t>f</t>
  </si>
  <si>
    <t>asriet college</t>
  </si>
  <si>
    <t>22-04-18 13:45:52</t>
  </si>
  <si>
    <t>Vishal Shah</t>
  </si>
  <si>
    <t>vishalcshah2003@yahoo.com</t>
  </si>
  <si>
    <t>91 8980802870</t>
  </si>
  <si>
    <t>Rs. 25.30 Lacs</t>
  </si>
  <si>
    <t>Senior Manager Corporate EHS</t>
  </si>
  <si>
    <t>Adani Ports and SEZ</t>
  </si>
  <si>
    <t>Ecology and Environment</t>
  </si>
  <si>
    <t>Indian Institute of Ecology and Environment</t>
  </si>
  <si>
    <t>16-06-18 13:39:02</t>
  </si>
  <si>
    <t>30-08-18 17:06:19</t>
  </si>
  <si>
    <t>IYER RAMDAS</t>
  </si>
  <si>
    <t>07 Nov 1971</t>
  </si>
  <si>
    <t>ramdas_guruji@rediffmail.com</t>
  </si>
  <si>
    <t>91 9481652421</t>
  </si>
  <si>
    <t>24 Yrs 11 Months</t>
  </si>
  <si>
    <t>Faculty / Branch Banking</t>
  </si>
  <si>
    <t>Vijaya Bank</t>
  </si>
  <si>
    <t>25-07-18 21:29:47</t>
  </si>
  <si>
    <t>16-08-18 21:44:49</t>
  </si>
  <si>
    <t>rakesh kumar</t>
  </si>
  <si>
    <t>20 Jun 1973</t>
  </si>
  <si>
    <t>rakesh.spcl@gmail.com</t>
  </si>
  <si>
    <t>91 9167205001</t>
  </si>
  <si>
    <t>Lodha Group</t>
  </si>
  <si>
    <t>govt polytechnic saharsa, bihar</t>
  </si>
  <si>
    <t>10-11-17 16:27:23</t>
  </si>
  <si>
    <t>03-09-18 17:32:24</t>
  </si>
  <si>
    <t>Adheerth Pavithran</t>
  </si>
  <si>
    <t>adheerthpavithran@gmail.com</t>
  </si>
  <si>
    <t>91 9746207306</t>
  </si>
  <si>
    <t>Financial Services,</t>
  </si>
  <si>
    <t>31-05-17 20:00:41</t>
  </si>
  <si>
    <t>31-05-18 13:17:21</t>
  </si>
  <si>
    <t>Kiran Kurwade</t>
  </si>
  <si>
    <t>03 Dec 1971</t>
  </si>
  <si>
    <t>kirankurwade@gmail.com</t>
  </si>
  <si>
    <t>91 9987262363</t>
  </si>
  <si>
    <t>Dy. Director</t>
  </si>
  <si>
    <t>Pune Institute of Business Mgmt.</t>
  </si>
  <si>
    <t>15-04-18 20:42:46</t>
  </si>
  <si>
    <t>23-04-18 14:49:15</t>
  </si>
  <si>
    <t>Mario Henriques</t>
  </si>
  <si>
    <t>28 Nov 1972</t>
  </si>
  <si>
    <t>mariohenriques2811@gmail.com</t>
  </si>
  <si>
    <t>91 9664000381</t>
  </si>
  <si>
    <t>23 Yrs 4 Months</t>
  </si>
  <si>
    <t>Rs. 14.30 Lacs</t>
  </si>
  <si>
    <t>HSBC</t>
  </si>
  <si>
    <t>23-08-18 19:25:07</t>
  </si>
  <si>
    <t>31-08-18 11:53:42</t>
  </si>
  <si>
    <t>Durgaprasad Akant</t>
  </si>
  <si>
    <t>akantdn@rediff.com</t>
  </si>
  <si>
    <t>91 9819651334</t>
  </si>
  <si>
    <t>GM - Projects</t>
  </si>
  <si>
    <t>Fab-tech Works &amp; Construction Pvt.Ltd.</t>
  </si>
  <si>
    <t>Govt.Polytechnic, Nagpur</t>
  </si>
  <si>
    <t>27-08-18 12:25:19</t>
  </si>
  <si>
    <t>28-08-18 12:20:06</t>
  </si>
  <si>
    <t>Pragnesh Lodaya</t>
  </si>
  <si>
    <t>16 Mar 1979</t>
  </si>
  <si>
    <t>pragsl@gmail.com</t>
  </si>
  <si>
    <t>91 9820942456</t>
  </si>
  <si>
    <t>Australia, Canada, Singapore, New Zealand, All India, Bangalore, United Arab Emirates, United Kingdom, United States of America, Mumbai City, Switzerland</t>
  </si>
  <si>
    <t>Rs. 13.20 Lacs</t>
  </si>
  <si>
    <t>Manager Brand</t>
  </si>
  <si>
    <t>HCC</t>
  </si>
  <si>
    <t>EmpireInstituteofLearning</t>
  </si>
  <si>
    <t>31-08-18 10:06:16</t>
  </si>
  <si>
    <t>Vinod PATIL</t>
  </si>
  <si>
    <t>21 Jul 1979</t>
  </si>
  <si>
    <t>patilvinod3@gmail.com</t>
  </si>
  <si>
    <t>91 9833013649</t>
  </si>
  <si>
    <t>Officer</t>
  </si>
  <si>
    <t>Uni Abex Alloy Product Ltd</t>
  </si>
  <si>
    <t>Welingkar institute</t>
  </si>
  <si>
    <t>29-08-18 15:31:37</t>
  </si>
  <si>
    <t>05-09-18 12:25:04</t>
  </si>
  <si>
    <t>Sandesh  Chalke</t>
  </si>
  <si>
    <t>sandeshchalke1489@gmail.com</t>
  </si>
  <si>
    <t>91 9969530355</t>
  </si>
  <si>
    <t>All India, Thane, Mumbai City</t>
  </si>
  <si>
    <t>Rs. 8.20 Lacs</t>
  </si>
  <si>
    <t>Senior Process Associate</t>
  </si>
  <si>
    <t>Clariant India Private Limited</t>
  </si>
  <si>
    <t>27-08-18 03:28:35</t>
  </si>
  <si>
    <t>27-08-18 12:36:06</t>
  </si>
  <si>
    <t>ARUN NAIR</t>
  </si>
  <si>
    <t>08 Jun 1977</t>
  </si>
  <si>
    <t>arun_gnair@rediffmail.com</t>
  </si>
  <si>
    <t>91 9967034040</t>
  </si>
  <si>
    <t>Manager Sales Administration &amp; Proposals</t>
  </si>
  <si>
    <t>Transasia Bio Medicals Ltd</t>
  </si>
  <si>
    <t>07-09-17 23:24:52</t>
  </si>
  <si>
    <t>18-04-18 17:33:24</t>
  </si>
  <si>
    <t>Romit Panchal</t>
  </si>
  <si>
    <t>romitpanchal@gmail.com</t>
  </si>
  <si>
    <t>91 9820874768</t>
  </si>
  <si>
    <t>7 Yrs 1 Month</t>
  </si>
  <si>
    <t>Senior Test Analyst</t>
  </si>
  <si>
    <t>BNP Paribas</t>
  </si>
  <si>
    <t>Sardar Patel Institute of Technology</t>
  </si>
  <si>
    <t>10-08-18 23:06:19</t>
  </si>
  <si>
    <t>30-08-18 23:17:02</t>
  </si>
  <si>
    <t>Dhruv Sharma</t>
  </si>
  <si>
    <t>dhruv96us@gmail.com</t>
  </si>
  <si>
    <t>91 9457935480</t>
  </si>
  <si>
    <t>03-06-17 11:08:23</t>
  </si>
  <si>
    <t>12-07-18 19:09:16</t>
  </si>
  <si>
    <t>Private Profile</t>
  </si>
  <si>
    <t>22 Feb 1985</t>
  </si>
  <si>
    <t>Hidden</t>
  </si>
  <si>
    <t>[JobTitle Hidden]</t>
  </si>
  <si>
    <t>10-08-18 18:18:42</t>
  </si>
  <si>
    <t>31-08-18 10:42:49</t>
  </si>
  <si>
    <t>Achal Garg</t>
  </si>
  <si>
    <t>23 Nov 1992</t>
  </si>
  <si>
    <t>achalgarg_1992@yahoo.com</t>
  </si>
  <si>
    <t>91 9833251070</t>
  </si>
  <si>
    <t>Meerut, Other Uttar Pradesh, All India, Dehradun, Noida, Ghaziabad, Kanpur, Roorkee, Mumbai City, Delhi</t>
  </si>
  <si>
    <t>Structural Section - Keppel Offshore &amp; Marine Engineering Pvt. Ltd</t>
  </si>
  <si>
    <t>18-06-18 10:04:56</t>
  </si>
  <si>
    <t>19-06-18 10:25:35</t>
  </si>
  <si>
    <t>Harpreet Singh</t>
  </si>
  <si>
    <t>21 Jul 1980</t>
  </si>
  <si>
    <t>harpreet.anand2004@gmail.com</t>
  </si>
  <si>
    <t>91 7506655572</t>
  </si>
  <si>
    <t>INCRED FINANCE</t>
  </si>
  <si>
    <t>19-08-18 15:25:57</t>
  </si>
  <si>
    <t>06-09-18 11:16:07</t>
  </si>
  <si>
    <t>Sudipto Chattopadhyay</t>
  </si>
  <si>
    <t>28 Mar 1963</t>
  </si>
  <si>
    <t>sudchat@gmail.com</t>
  </si>
  <si>
    <t>91 9821184666</t>
  </si>
  <si>
    <t>Script / Screenplay</t>
  </si>
  <si>
    <t>Anjum Rizvi Productions</t>
  </si>
  <si>
    <t>FTII,Pune</t>
  </si>
  <si>
    <t>31-08-18 11:57:36</t>
  </si>
  <si>
    <t>31-08-18 11:58:21</t>
  </si>
  <si>
    <t>Prabodh KumarBhatnagar</t>
  </si>
  <si>
    <t>23 Oct 1954</t>
  </si>
  <si>
    <t>bhatnagarprabodhk@gmail.com</t>
  </si>
  <si>
    <t>91 9820556689</t>
  </si>
  <si>
    <t>GM Finance</t>
  </si>
  <si>
    <t>OWS Ltd.  (Left)</t>
  </si>
  <si>
    <t>Institute of Chartered Accounts of India</t>
  </si>
  <si>
    <t>30-08-18 10:36:42</t>
  </si>
  <si>
    <t>05-09-18 17:00:31</t>
  </si>
  <si>
    <t>Mohammad Asif Raza</t>
  </si>
  <si>
    <t>12 Dec 1990</t>
  </si>
  <si>
    <t>asifraza.arhwi@yahoo.com</t>
  </si>
  <si>
    <t>91 9661914358</t>
  </si>
  <si>
    <t>Iran, Kuwait, Iraq, Algeria, Italy, Bahrain, Oman, Qatar, Saudi Arabia, Russia</t>
  </si>
  <si>
    <t>Piping Qc inspector</t>
  </si>
  <si>
    <t>Hyundai Engineering &amp; construction</t>
  </si>
  <si>
    <t>JNTU Hyderabad</t>
  </si>
  <si>
    <t>12-02-18 12:15:37</t>
  </si>
  <si>
    <t>02-06-18 11:41:53</t>
  </si>
  <si>
    <t>Sumeet Dhawan</t>
  </si>
  <si>
    <t>sumeetdhawan011287@gmail.com</t>
  </si>
  <si>
    <t>91 9820420351</t>
  </si>
  <si>
    <t xml:space="preserve">Financial Analyst </t>
  </si>
  <si>
    <t>Deutche Bank</t>
  </si>
  <si>
    <t>Amity Business School</t>
  </si>
  <si>
    <t>16-08-18 14:58:21</t>
  </si>
  <si>
    <t>22-08-18 00:19:07</t>
  </si>
  <si>
    <t xml:space="preserve">ketan naik </t>
  </si>
  <si>
    <t>27 Apr 1993</t>
  </si>
  <si>
    <t>naikketan27@gmail.com</t>
  </si>
  <si>
    <t>91 9870714874</t>
  </si>
  <si>
    <t>fund accounting supporting team</t>
  </si>
  <si>
    <t>Bny Mellon</t>
  </si>
  <si>
    <t>04-09-18 14:52:20</t>
  </si>
  <si>
    <t>Shini Kuriakose</t>
  </si>
  <si>
    <t>mariavibin1989@gmail.com</t>
  </si>
  <si>
    <t>91 7025933388</t>
  </si>
  <si>
    <t>Emerson Process Management</t>
  </si>
  <si>
    <t>14-12-17 11:46:45</t>
  </si>
  <si>
    <t>30-04-18 13:04:21</t>
  </si>
  <si>
    <t>Manish Linge</t>
  </si>
  <si>
    <t>31 Jul 1973</t>
  </si>
  <si>
    <t>manish_linge@yahoo.com</t>
  </si>
  <si>
    <t>91 9892778034</t>
  </si>
  <si>
    <t>hi marks soln ltd Uganda</t>
  </si>
  <si>
    <t>KSBM</t>
  </si>
  <si>
    <t>28-08-18 14:05:05</t>
  </si>
  <si>
    <t>29-08-18 12:39:24</t>
  </si>
  <si>
    <t>Babasaheb Raut</t>
  </si>
  <si>
    <t>02 Aug 1992</t>
  </si>
  <si>
    <t>rbabasaheb.sou@gmail.com</t>
  </si>
  <si>
    <t>91 8888449664</t>
  </si>
  <si>
    <t>All India, Pune, Mumbai City, Ankleshwar, Ahmedabad</t>
  </si>
  <si>
    <t>Executive production</t>
  </si>
  <si>
    <t>D.Y.Patil college of engg.Kolhapur</t>
  </si>
  <si>
    <t>12-05-18 17:18:08</t>
  </si>
  <si>
    <t>12-06-18 12:23:52</t>
  </si>
  <si>
    <t>DHANANJAY NAKHATE</t>
  </si>
  <si>
    <t>11 Sep 1985</t>
  </si>
  <si>
    <t>nakhate.dhananjay@gmail.com</t>
  </si>
  <si>
    <t>91 9594865148</t>
  </si>
  <si>
    <t>Associate Manager- OTC/Operations</t>
  </si>
  <si>
    <t>GLOBEOP FINANCIAL SERVICES PVT LTD</t>
  </si>
  <si>
    <t>Sterling institute of management study</t>
  </si>
  <si>
    <t>22-03-18 10:54:56</t>
  </si>
  <si>
    <t>Nilesh Raut</t>
  </si>
  <si>
    <t>01 Mar 1977</t>
  </si>
  <si>
    <t>nmraut@gmail.com</t>
  </si>
  <si>
    <t>91 9820898580</t>
  </si>
  <si>
    <t>16 Yrs 8 Months</t>
  </si>
  <si>
    <t>Manager Operations - Brands &amp; Broadcast</t>
  </si>
  <si>
    <t>M/s iCastx Technologies Pvt Ltd</t>
  </si>
  <si>
    <t>18-12-17 12:57:17</t>
  </si>
  <si>
    <t>20-08-18 19:23:36</t>
  </si>
  <si>
    <t>Ashok Mishra</t>
  </si>
  <si>
    <t>01 Jan 1975</t>
  </si>
  <si>
    <t>ashkmshra@rediffmail.com</t>
  </si>
  <si>
    <t>91 7045082775</t>
  </si>
  <si>
    <t>qc</t>
  </si>
  <si>
    <t>techno process equpment</t>
  </si>
  <si>
    <t>industrial institute thane mumbai</t>
  </si>
  <si>
    <t>22-06-18 22:11:14</t>
  </si>
  <si>
    <t>30-07-18 16:14:45</t>
  </si>
  <si>
    <t>BHARGAV GOR</t>
  </si>
  <si>
    <t>dhavalg85@gmail.com</t>
  </si>
  <si>
    <t>91 9869924537</t>
  </si>
  <si>
    <t>Senior Technical Recruiter</t>
  </si>
  <si>
    <t>T-Cognition</t>
  </si>
  <si>
    <t>23-03-18 17:50:47</t>
  </si>
  <si>
    <t>27-08-18 19:33:54</t>
  </si>
  <si>
    <t>mayur Pawar</t>
  </si>
  <si>
    <t>16 Apr 1981</t>
  </si>
  <si>
    <t>mayur_bhy0002@yahoo.co.in</t>
  </si>
  <si>
    <t>91 9860296585</t>
  </si>
  <si>
    <t>Assistant manager</t>
  </si>
  <si>
    <t>17-08-18 23:28:54</t>
  </si>
  <si>
    <t>24-08-18 12:56:37</t>
  </si>
  <si>
    <t>Uday Potnis</t>
  </si>
  <si>
    <t>31 Jul 1953</t>
  </si>
  <si>
    <t>udaypotnis53@gmail.com</t>
  </si>
  <si>
    <t>91 9833965652</t>
  </si>
  <si>
    <t>Anand, Pune, Bharuch, Mumbai City, Vadodara, Ahmedabad</t>
  </si>
  <si>
    <t>TECHNICAL CONSULTANT</t>
  </si>
  <si>
    <t>TORQUE TECHNICS</t>
  </si>
  <si>
    <t>M.E.R.I.</t>
  </si>
  <si>
    <t>14-01-18 13:15:19</t>
  </si>
  <si>
    <t>07-09-18 21:00:29</t>
  </si>
  <si>
    <t>RAHUL VK</t>
  </si>
  <si>
    <t>17 Nov 1996</t>
  </si>
  <si>
    <t>raveendranrahul07@gmail.com</t>
  </si>
  <si>
    <t>91 8848935648</t>
  </si>
  <si>
    <t>IPT &amp; GPTC, Shoranur Kerala</t>
  </si>
  <si>
    <t>26-03-18 01:08:02</t>
  </si>
  <si>
    <t>kalpana koli</t>
  </si>
  <si>
    <t>05 Aug 1988</t>
  </si>
  <si>
    <t>khushi_heart90@yahoo.co.in</t>
  </si>
  <si>
    <t>91 9819991147</t>
  </si>
  <si>
    <t>Head of Tender Department</t>
  </si>
  <si>
    <t>Goldmine Advertising Ltd.</t>
  </si>
  <si>
    <t>05-04-18 16:13:13</t>
  </si>
  <si>
    <t>25-05-18 13:08:10</t>
  </si>
  <si>
    <t>TANMAY TUNGARE</t>
  </si>
  <si>
    <t>24 Mar 1967</t>
  </si>
  <si>
    <t>tungare_t@yahoo.co.in</t>
  </si>
  <si>
    <t>91 9920113939</t>
  </si>
  <si>
    <t>Head Of Operations &amp; Marketing</t>
  </si>
  <si>
    <t>OPM &amp; Dons Pvt Ltd (JooFr!)</t>
  </si>
  <si>
    <t>01-08-18 23:02:39</t>
  </si>
  <si>
    <t>Mayur sardesai</t>
  </si>
  <si>
    <t>mayursardesai@gmail.com</t>
  </si>
  <si>
    <t>91 9920568629</t>
  </si>
  <si>
    <t>Rs. 6.35 Lacs</t>
  </si>
  <si>
    <t>Sales Manager</t>
  </si>
  <si>
    <t>Logwin Air &amp; Ocean India Pvt Ltd</t>
  </si>
  <si>
    <t>11-05-18 12:14:30</t>
  </si>
  <si>
    <t>14-05-18 19:22:11</t>
  </si>
  <si>
    <t>Rodney Andrade</t>
  </si>
  <si>
    <t>andrade.rodney@gmail.com</t>
  </si>
  <si>
    <t>91 9820145517</t>
  </si>
  <si>
    <t>Global Span Holidays</t>
  </si>
  <si>
    <t>IITC</t>
  </si>
  <si>
    <t>24-07-18 08:31:47</t>
  </si>
  <si>
    <t>16-08-18 09:17:27</t>
  </si>
  <si>
    <t>Nikhil Chinchkar</t>
  </si>
  <si>
    <t>nikhil.kar15@gmail.com</t>
  </si>
  <si>
    <t>91 9664145723</t>
  </si>
  <si>
    <t>20-03-18 17:53:31</t>
  </si>
  <si>
    <t>27-03-18 19:57:20</t>
  </si>
  <si>
    <t xml:space="preserve">rupesh varsani </t>
  </si>
  <si>
    <t>27 Apr 1994</t>
  </si>
  <si>
    <t>rupeshvarsani23@gmail.com</t>
  </si>
  <si>
    <t>91 9833485399</t>
  </si>
  <si>
    <t>18-08-18 11:21:35</t>
  </si>
  <si>
    <t>01-09-18 00:03:35</t>
  </si>
  <si>
    <t>Suvika Videsh</t>
  </si>
  <si>
    <t>14 May 1983</t>
  </si>
  <si>
    <t>suvikavidesh@gmail.com</t>
  </si>
  <si>
    <t>91 9819257399</t>
  </si>
  <si>
    <t>Dy. Manager</t>
  </si>
  <si>
    <t xml:space="preserve">Chemtrols Industries Pvt. Ltd. </t>
  </si>
  <si>
    <t>A. C. Patil College of Engineering</t>
  </si>
  <si>
    <t>13-11-17 16:29:24</t>
  </si>
  <si>
    <t>07-09-18 10:26:18</t>
  </si>
  <si>
    <t>patson dsouza</t>
  </si>
  <si>
    <t>19 Aug 1988</t>
  </si>
  <si>
    <t>patsondsouza8@gmail.com</t>
  </si>
  <si>
    <t>91 8779504705</t>
  </si>
  <si>
    <t>Virgin Islands (UK), United Arab Emirates, United Kingdom</t>
  </si>
  <si>
    <t>Sale executive</t>
  </si>
  <si>
    <t>Axiom</t>
  </si>
  <si>
    <t>Mimt</t>
  </si>
  <si>
    <t>07-08-18 18:39:13</t>
  </si>
  <si>
    <t>Kanchan Bala Rai</t>
  </si>
  <si>
    <t>07 Oct 1992</t>
  </si>
  <si>
    <t>raikanchanbala@gmail.com</t>
  </si>
  <si>
    <t>91 8108748596</t>
  </si>
  <si>
    <t>Disha Institute of management and Technology, Raipur</t>
  </si>
  <si>
    <t>04-12-17 21:59:22</t>
  </si>
  <si>
    <t>09-04-18 14:49:14</t>
  </si>
  <si>
    <t>Ashwini Kumar Yadav</t>
  </si>
  <si>
    <t>15 Apr 1987</t>
  </si>
  <si>
    <t>aybablus1@gmail.com</t>
  </si>
  <si>
    <t>91 9167446426</t>
  </si>
  <si>
    <t>Rs. 4.70 Lacs</t>
  </si>
  <si>
    <t>Medical Representative</t>
  </si>
  <si>
    <t>31-07-18 18:18:57</t>
  </si>
  <si>
    <t>01-08-18 14:48:50</t>
  </si>
  <si>
    <t xml:space="preserve">karthi </t>
  </si>
  <si>
    <t>01 Sep 1989</t>
  </si>
  <si>
    <t>karthiarun.arun42@gmail.com</t>
  </si>
  <si>
    <t>91 8291261409</t>
  </si>
  <si>
    <t>Bangalore, Mumbai City, New Zealand</t>
  </si>
  <si>
    <t>6 Yrs 5 Months</t>
  </si>
  <si>
    <t>Site Inspectore</t>
  </si>
  <si>
    <t>AECOM work in Mumbai Metro.....</t>
  </si>
  <si>
    <t>VSA Group of Institution</t>
  </si>
  <si>
    <t>12-01-18 11:48:50</t>
  </si>
  <si>
    <t>15-06-18 12:11:16</t>
  </si>
  <si>
    <t xml:space="preserve">vaibhav patil </t>
  </si>
  <si>
    <t>patilvaibhav86@gmail.com</t>
  </si>
  <si>
    <t>91 8237257792</t>
  </si>
  <si>
    <t>Sr. Officer -HR</t>
  </si>
  <si>
    <t>Lupin ltd</t>
  </si>
  <si>
    <t>29-08-18 19:00:29</t>
  </si>
  <si>
    <t>06-09-18 21:38:33</t>
  </si>
  <si>
    <t>sandeep sanzgiry</t>
  </si>
  <si>
    <t>19 Feb 1964</t>
  </si>
  <si>
    <t>sandeepsanzgiry@yahoo.co.in</t>
  </si>
  <si>
    <t>91 9869381889</t>
  </si>
  <si>
    <t>Mumbai City, Vasco da Gama, Other Goa, Panaji</t>
  </si>
  <si>
    <t>Designer &amp; Turnkey Contractor</t>
  </si>
  <si>
    <t>Sandeep Sanzgiry &amp; Associates</t>
  </si>
  <si>
    <t>l.s. raheja college of architecture</t>
  </si>
  <si>
    <t>27-06-18 10:45:32</t>
  </si>
  <si>
    <t>16-08-18 16:11:38</t>
  </si>
  <si>
    <t>pinky pathak</t>
  </si>
  <si>
    <t>01 Jan 1992</t>
  </si>
  <si>
    <t>pinkypathak13@gmail.com</t>
  </si>
  <si>
    <t>91 8486672435</t>
  </si>
  <si>
    <t>All India, Bangalore, Navi Mumbai, Mumbai City, Guwahati</t>
  </si>
  <si>
    <t>YES Bank Ltd</t>
  </si>
  <si>
    <t>TEZPUR CENTRAL UNIVERSITY</t>
  </si>
  <si>
    <t>22-06-18 23:02:22</t>
  </si>
  <si>
    <t>05-07-18 22:24:52</t>
  </si>
  <si>
    <t xml:space="preserve">Yogesh </t>
  </si>
  <si>
    <t>yc.vfx27@gmail.com</t>
  </si>
  <si>
    <t>91 7045255719</t>
  </si>
  <si>
    <t>Animation vfx</t>
  </si>
  <si>
    <t>Clear cut studio</t>
  </si>
  <si>
    <t>Visual Arts</t>
  </si>
  <si>
    <t>Power mation acedmy</t>
  </si>
  <si>
    <t>12-06-18 16:44:18</t>
  </si>
  <si>
    <t>rashmirekha Kulkarni</t>
  </si>
  <si>
    <t>08 Oct 1987</t>
  </si>
  <si>
    <t>rashmirekha78@gmail.com</t>
  </si>
  <si>
    <t>91 7506259317</t>
  </si>
  <si>
    <t>HR Asst. Manager - Corporate L&amp;D Team</t>
  </si>
  <si>
    <t>Godrej &amp; Boyce</t>
  </si>
  <si>
    <t>04-12-17 17:07:33</t>
  </si>
  <si>
    <t>15-05-18 15:40:29</t>
  </si>
  <si>
    <t>pritam thakur</t>
  </si>
  <si>
    <t>15 Jan 1980</t>
  </si>
  <si>
    <t>pritamthakur59@yahoo.com</t>
  </si>
  <si>
    <t>91 9198042667</t>
  </si>
  <si>
    <t>16 Yrs 1 Month</t>
  </si>
  <si>
    <t>siteencharge</t>
  </si>
  <si>
    <t>atlascopco</t>
  </si>
  <si>
    <t>rajkyapoltacniccollage[DUMKA]</t>
  </si>
  <si>
    <t>17-08-17 05:25:08</t>
  </si>
  <si>
    <t>21-05-18 11:47:03</t>
  </si>
  <si>
    <t xml:space="preserve">zubair khan </t>
  </si>
  <si>
    <t>02 Oct 1990</t>
  </si>
  <si>
    <t>zubairkhan9702@gmail.com</t>
  </si>
  <si>
    <t>91 9653171889</t>
  </si>
  <si>
    <t>All India, Australia, United Kingdom, Canada, Mumbai City, Germany</t>
  </si>
  <si>
    <t>CredR</t>
  </si>
  <si>
    <t>N.I.O.S</t>
  </si>
  <si>
    <t>20-07-18 17:56:18</t>
  </si>
  <si>
    <t>14-08-18 18:56:20</t>
  </si>
  <si>
    <t>sandeep kondvilkar</t>
  </si>
  <si>
    <t>sandeep9338@yahoo.com</t>
  </si>
  <si>
    <t>91 9930372862</t>
  </si>
  <si>
    <t>Shaze Luxury Retail Pvt Ltd</t>
  </si>
  <si>
    <t>16-01-18 21:44:40</t>
  </si>
  <si>
    <t>06-09-18 15:58:28</t>
  </si>
  <si>
    <t xml:space="preserve"> jyoti narayan dube</t>
  </si>
  <si>
    <t>dubejnaone58@yahoo.co.in</t>
  </si>
  <si>
    <t>91 9167719889</t>
  </si>
  <si>
    <t>Eexecutive Chef</t>
  </si>
  <si>
    <t>EEFA HOTEL  BELGAUM</t>
  </si>
  <si>
    <t>U.P BOARD</t>
  </si>
  <si>
    <t>1978</t>
  </si>
  <si>
    <t>20-08-18 16:07:20</t>
  </si>
  <si>
    <t>03-09-18 19:33:59</t>
  </si>
  <si>
    <t>vinod sudhakar salkar</t>
  </si>
  <si>
    <t>salkarvinod04@gmail.com</t>
  </si>
  <si>
    <t>91 7738263661</t>
  </si>
  <si>
    <t>Rs. 6.10 Lacs</t>
  </si>
  <si>
    <t>civil steel tekla modular</t>
  </si>
  <si>
    <t>clique consultant pvt ltd</t>
  </si>
  <si>
    <t>Draughtsman	Gupte Academy of Technicians	Dadar</t>
  </si>
  <si>
    <t>06-12-17 14:52:42</t>
  </si>
  <si>
    <t>03-04-18 12:07:09</t>
  </si>
  <si>
    <t>SANTOSH BHORADE</t>
  </si>
  <si>
    <t>30 Sep 1965</t>
  </si>
  <si>
    <t>santoshbhorade@gmail.com</t>
  </si>
  <si>
    <t>91 9833514645</t>
  </si>
  <si>
    <t>Denmark, Australia, Norway, United States of America, Pune, Mumbai City, Switzerland, France, New Zealand, Russia</t>
  </si>
  <si>
    <t>Deputy General Manager Administration &amp; Security</t>
  </si>
  <si>
    <t>Panoramic Group of Cos.</t>
  </si>
  <si>
    <t>Equivalent to Graduation from Indian Navy</t>
  </si>
  <si>
    <t>02-08-18 14:55:39</t>
  </si>
  <si>
    <t>14-08-18 20:25:32</t>
  </si>
  <si>
    <t>Rohit Sardesai</t>
  </si>
  <si>
    <t>17 Jul 1983</t>
  </si>
  <si>
    <t>rohit.sardesaivfx@gmail.com</t>
  </si>
  <si>
    <t>91 9890664939</t>
  </si>
  <si>
    <t>Bangalore, Aurangabad, Pune, Mumbai City, Delhi</t>
  </si>
  <si>
    <t>VFX &amp; Animation Production Manager</t>
  </si>
  <si>
    <t>Toolbox Animation Studio</t>
  </si>
  <si>
    <t>The Australian National University</t>
  </si>
  <si>
    <t>30-07-18 15:09:19</t>
  </si>
  <si>
    <t>03-09-18 15:13:06</t>
  </si>
  <si>
    <t>Ramya A u</t>
  </si>
  <si>
    <t>remyadeependran@gmail.com</t>
  </si>
  <si>
    <t>91 9895181651</t>
  </si>
  <si>
    <t>Tutor</t>
  </si>
  <si>
    <t>Teacher / Tutor</t>
  </si>
  <si>
    <t>Pharmaceutical Industry</t>
  </si>
  <si>
    <t>Ernakulam</t>
  </si>
  <si>
    <t>12-06-17 15:55:12</t>
  </si>
  <si>
    <t>11-08-18 19:14:03</t>
  </si>
  <si>
    <t>Archana Chavan</t>
  </si>
  <si>
    <t>archananc20@yahoo.co.in</t>
  </si>
  <si>
    <t>91 9029806383</t>
  </si>
  <si>
    <t>Consultant - Customer Service (Voice)</t>
  </si>
  <si>
    <t>SONY DADC MANUFACTURING INDIA PVT. LTD</t>
  </si>
  <si>
    <t>17-07-18 11:32:40</t>
  </si>
  <si>
    <t>30-08-18 13:11:53</t>
  </si>
  <si>
    <t xml:space="preserve">imtiyaz </t>
  </si>
  <si>
    <t>29 Sep 1976</t>
  </si>
  <si>
    <t>am_imtiyaz@rediffmail.com</t>
  </si>
  <si>
    <t>91 9004869265</t>
  </si>
  <si>
    <t>General Manager Operation</t>
  </si>
  <si>
    <t>UNITED L.L.C</t>
  </si>
  <si>
    <t>Anjuman Islam - Mumbai</t>
  </si>
  <si>
    <t>12-04-18 16:15:49</t>
  </si>
  <si>
    <t>07-09-18 11:33:41</t>
  </si>
  <si>
    <t>MILIND KURI</t>
  </si>
  <si>
    <t>milindkuri555@gmail.com</t>
  </si>
  <si>
    <t>91 9820955337</t>
  </si>
  <si>
    <t>All India, Bangalore, Chennai, Hyderabad, Mumbai City, Germany, Vasco da Gama, Daman, Other Goa</t>
  </si>
  <si>
    <t>CREATIVE HEAD &amp; BUSINESS DEVELOPMENT</t>
  </si>
  <si>
    <t>Direction / Editing</t>
  </si>
  <si>
    <t>ESHAM STUDIOS</t>
  </si>
  <si>
    <t>BFA - APPLIED ART - PHOTOGRAPHY</t>
  </si>
  <si>
    <t>Goa College of Art, Panaji Goa</t>
  </si>
  <si>
    <t>02-02-18 13:01:13</t>
  </si>
  <si>
    <t>30-05-18 20:01:25</t>
  </si>
  <si>
    <t>Sudhakar Vishnupurikar</t>
  </si>
  <si>
    <t>30 Mar 1965</t>
  </si>
  <si>
    <t>svvishnupurikar@yahoo.co.in</t>
  </si>
  <si>
    <t>91 7588592039</t>
  </si>
  <si>
    <t>Rs. 27.00 Lacs</t>
  </si>
  <si>
    <t>General Manager- Civil</t>
  </si>
  <si>
    <t>Ion Exchange India Ltd,</t>
  </si>
  <si>
    <t>National Institute Of Engineering</t>
  </si>
  <si>
    <t>16-04-18 16:15:39</t>
  </si>
  <si>
    <t>17-05-18 16:04:52</t>
  </si>
  <si>
    <t>WAKHARE  VISHNU</t>
  </si>
  <si>
    <t>24 May 1992</t>
  </si>
  <si>
    <t>vwakhare76@gmail.com</t>
  </si>
  <si>
    <t>91 9975497636</t>
  </si>
  <si>
    <t>heat treatment &amp; quality engineer</t>
  </si>
  <si>
    <t>NRB Bearings Ltd</t>
  </si>
  <si>
    <t>college of engineering pune</t>
  </si>
  <si>
    <t>16-05-18 22:46:44</t>
  </si>
  <si>
    <t>12-08-18 19:48:50</t>
  </si>
  <si>
    <t>vandana saxena</t>
  </si>
  <si>
    <t>vandanabsaxena@gmail.com</t>
  </si>
  <si>
    <t>91 9969626653</t>
  </si>
  <si>
    <t>Officiating principal</t>
  </si>
  <si>
    <t>st mary's icse school</t>
  </si>
  <si>
    <t>IARI</t>
  </si>
  <si>
    <t>03-10-17 13:50:50</t>
  </si>
  <si>
    <t>27-08-18 16:12:50</t>
  </si>
  <si>
    <t>Ashish Chavan</t>
  </si>
  <si>
    <t>04 Feb 1988</t>
  </si>
  <si>
    <t>ashish04c@gmail.com</t>
  </si>
  <si>
    <t>91 9768035234</t>
  </si>
  <si>
    <t>Australia, Austria, American Samoa, United Kingdom, United States of America, Mumbai City, Germany, France, Greece, Argentina</t>
  </si>
  <si>
    <t>Brand Manager</t>
  </si>
  <si>
    <t>Travel Food Services Pvt Ltd.</t>
  </si>
  <si>
    <t>02-07-18 15:04:49</t>
  </si>
  <si>
    <t>22-08-18 10:46:52</t>
  </si>
  <si>
    <t>R B  Vishwakarma</t>
  </si>
  <si>
    <t>15 Aug 1980</t>
  </si>
  <si>
    <t>roopbvk@gmail.com</t>
  </si>
  <si>
    <t>91 8655506020</t>
  </si>
  <si>
    <t>Executive - Administration &amp; Office Work</t>
  </si>
  <si>
    <t>Leading Construction Company</t>
  </si>
  <si>
    <t xml:space="preserve">NIBM, </t>
  </si>
  <si>
    <t>29-08-18 19:33:33</t>
  </si>
  <si>
    <t>30-08-18 15:35:02</t>
  </si>
  <si>
    <t>SUJATA GIRIDHAR PARAB</t>
  </si>
  <si>
    <t>31 Aug 1973</t>
  </si>
  <si>
    <t>cssujataparab@gmail.com</t>
  </si>
  <si>
    <t>9969376091</t>
  </si>
  <si>
    <t>Shrenuj &amp; Company Ltd</t>
  </si>
  <si>
    <t>Institute of Company Secretaries of India</t>
  </si>
  <si>
    <t>17-06-17 12:21:21</t>
  </si>
  <si>
    <t>03-09-18 14:50:53</t>
  </si>
  <si>
    <t>Abdul Hameed M M</t>
  </si>
  <si>
    <t>10 Feb 1986</t>
  </si>
  <si>
    <t>abdulhamidmm@gmail.com</t>
  </si>
  <si>
    <t>91 9995210392</t>
  </si>
  <si>
    <t>All India, Mumbai City, Mangalore</t>
  </si>
  <si>
    <t>Petroleum Data Analyst (Geologist)</t>
  </si>
  <si>
    <t>Petrolink</t>
  </si>
  <si>
    <t>manglore university</t>
  </si>
  <si>
    <t>22-07-18 22:46:24</t>
  </si>
  <si>
    <t>20-08-18 14:44:37</t>
  </si>
  <si>
    <t>Amit Kumar Pandey</t>
  </si>
  <si>
    <t>06 Feb 1988</t>
  </si>
  <si>
    <t>amitpandey.gdc07@gmail.com</t>
  </si>
  <si>
    <t>91 7232998452</t>
  </si>
  <si>
    <t>Gorakhpur, Other Gujarat, Lucknow, Navi Mumbai, Surat, Delhi, Allahabad</t>
  </si>
  <si>
    <t>Store Officer</t>
  </si>
  <si>
    <t>Onshore Construction Company Pvt Ltd</t>
  </si>
  <si>
    <t>State Board of Technical Education, Bihar</t>
  </si>
  <si>
    <t>22-05-17 14:22:45</t>
  </si>
  <si>
    <t>04-08-18 12:21:46</t>
  </si>
  <si>
    <t>Aliasger Safri</t>
  </si>
  <si>
    <t>25 Sep 1974</t>
  </si>
  <si>
    <t>s.aliasger@yahoo.com</t>
  </si>
  <si>
    <t>91 9879795848</t>
  </si>
  <si>
    <t>Fatemi Grp</t>
  </si>
  <si>
    <t>04-08-18 11:36:44</t>
  </si>
  <si>
    <t>28-08-18 15:04:11</t>
  </si>
  <si>
    <t>Rajesh Mehta</t>
  </si>
  <si>
    <t>mehtarajul@yahoo.com</t>
  </si>
  <si>
    <t>91 9892873738</t>
  </si>
  <si>
    <t>Senior  Manager</t>
  </si>
  <si>
    <t>BERGGRUEN   HOLDINGS</t>
  </si>
  <si>
    <t>26-11-15 13:03:27</t>
  </si>
  <si>
    <t>10-05-18 17:10:06</t>
  </si>
  <si>
    <t>Umesh  Kumar</t>
  </si>
  <si>
    <t>05 Jan 1985</t>
  </si>
  <si>
    <t>umeshkumar.1985@yahoo.com</t>
  </si>
  <si>
    <t>91 9022272009</t>
  </si>
  <si>
    <t>Bangalore, Hyderabad, Kolkata, Mumbai City</t>
  </si>
  <si>
    <t>Sr Project Engineer</t>
  </si>
  <si>
    <t>Bansal Institute of Science &amp; Technology</t>
  </si>
  <si>
    <t>06-09-18 20:13:30</t>
  </si>
  <si>
    <t>Shweta gohil</t>
  </si>
  <si>
    <t>shwetgohil.046@gmail.com</t>
  </si>
  <si>
    <t>91 7506202119</t>
  </si>
  <si>
    <t>Rs. 8.15 Lacs</t>
  </si>
  <si>
    <t>Lab Technician</t>
  </si>
  <si>
    <t>Prime healthcare group</t>
  </si>
  <si>
    <t>Medical Laboratory Technologist</t>
  </si>
  <si>
    <t>09-08-18 15:56:56</t>
  </si>
  <si>
    <t>MEGHA PARAB</t>
  </si>
  <si>
    <t>megha_prb@yahoo.co.in</t>
  </si>
  <si>
    <t>91 9930002057</t>
  </si>
  <si>
    <t>11 Yrs 4 Months</t>
  </si>
  <si>
    <t>assistant manager</t>
  </si>
  <si>
    <t>23-06-18 19:50:38</t>
  </si>
  <si>
    <t>06-07-18 23:16:15</t>
  </si>
  <si>
    <t xml:space="preserve">Mahesh Shivaji Kolate. </t>
  </si>
  <si>
    <t>07 Aug 1986</t>
  </si>
  <si>
    <t>maheshkolate2010@gmail.com</t>
  </si>
  <si>
    <t>91 9730218353</t>
  </si>
  <si>
    <t>Nashik, Ratnagiri, Navi Mumbai, Thane, Satara, Pune, Aurangabad, Mumbai City</t>
  </si>
  <si>
    <t>sr.officer</t>
  </si>
  <si>
    <t>Rubicon Research</t>
  </si>
  <si>
    <t>sgrs college of pharmacy saswad.pune.</t>
  </si>
  <si>
    <t>13-08-18 00:43:22</t>
  </si>
  <si>
    <t>03-09-18 19:31:28</t>
  </si>
  <si>
    <t>Neha Arondekar</t>
  </si>
  <si>
    <t>nehaarondekar20@gmail.com</t>
  </si>
  <si>
    <t>91 7767053788</t>
  </si>
  <si>
    <t>Dr. Babasaheb Ambedkar technological university, lonere</t>
  </si>
  <si>
    <t>02-11-17 15:36:20</t>
  </si>
  <si>
    <t>17-03-18 17:17:32</t>
  </si>
  <si>
    <t>Vikram Singh</t>
  </si>
  <si>
    <t>20 Feb 1986</t>
  </si>
  <si>
    <t>singh.vikramsingh2010@gmail.com</t>
  </si>
  <si>
    <t>91 8454044130</t>
  </si>
  <si>
    <t>Ghaziabad, Thane</t>
  </si>
  <si>
    <t>8 Yrs 6 Months</t>
  </si>
  <si>
    <t>Senior Officer</t>
  </si>
  <si>
    <t>Capital First Ltd</t>
  </si>
  <si>
    <t>15-03-18 04:53:55</t>
  </si>
  <si>
    <t>06-06-18 03:13:14</t>
  </si>
  <si>
    <t>pramod sharma</t>
  </si>
  <si>
    <t>14 Dec 1971</t>
  </si>
  <si>
    <t>psharma126@gmail.com</t>
  </si>
  <si>
    <t>91 9413942046</t>
  </si>
  <si>
    <t>Kota, Navi Mumbai, Mumbai City, Allahabad</t>
  </si>
  <si>
    <t>Site Manager</t>
  </si>
  <si>
    <t>28-07-17 09:43:33</t>
  </si>
  <si>
    <t>13-04-18 10:35:21</t>
  </si>
  <si>
    <t>Puneet Thakkar</t>
  </si>
  <si>
    <t>11 Aug 1983</t>
  </si>
  <si>
    <t>puneetmthakkar@gmail.com</t>
  </si>
  <si>
    <t>91 9065999999</t>
  </si>
  <si>
    <t>Event Manager</t>
  </si>
  <si>
    <t>Big Fish Planners</t>
  </si>
  <si>
    <t>NBSSE, Delhi</t>
  </si>
  <si>
    <t>18-06-18 10:54:42</t>
  </si>
  <si>
    <t>18-06-18 16:35:40</t>
  </si>
  <si>
    <t>mohd azam</t>
  </si>
  <si>
    <t>01 Jan 1988</t>
  </si>
  <si>
    <t>azammohd1988@gmail.com</t>
  </si>
  <si>
    <t>91 9167237996</t>
  </si>
  <si>
    <t>All India, Noida, Kolkata, Bharuch, Pune, Mumbai City, Ankleshwar, Other Goa, Panaji, Ahmedabad</t>
  </si>
  <si>
    <t>IVP Ltd</t>
  </si>
  <si>
    <t>niec lko.</t>
  </si>
  <si>
    <t>09-01-18 22:00:45</t>
  </si>
  <si>
    <t>30-07-18 15:32:20</t>
  </si>
  <si>
    <t>Navinkumar shukla</t>
  </si>
  <si>
    <t>navinshukla80@gmail.com</t>
  </si>
  <si>
    <t>91 9819307171</t>
  </si>
  <si>
    <t>connect india financial inclusion pvt ltd.</t>
  </si>
  <si>
    <t>vinayaka mission university</t>
  </si>
  <si>
    <t>25-07-18 00:30:28</t>
  </si>
  <si>
    <t>07-08-18 16:41:15</t>
  </si>
  <si>
    <t>Mohammad Ashraf Khan</t>
  </si>
  <si>
    <t>khanashraf8271@gmail.com</t>
  </si>
  <si>
    <t>91 9162186494</t>
  </si>
  <si>
    <t>Store Incharge</t>
  </si>
  <si>
    <t>N.T.P.C Thermal Power Barh Bihar</t>
  </si>
  <si>
    <t>Bihar Board</t>
  </si>
  <si>
    <t>20-06-17 13:44:56</t>
  </si>
  <si>
    <t>31-07-18 19:41:16</t>
  </si>
  <si>
    <t>RAMKUMAR ramkumar</t>
  </si>
  <si>
    <t>mehmrkumar@gmail.com</t>
  </si>
  <si>
    <t>91 9790597309</t>
  </si>
  <si>
    <t>quality control</t>
  </si>
  <si>
    <t>Abdullah H. Al-Shuwayer Sons Co @ Saudi arabia</t>
  </si>
  <si>
    <t>mspvl polytechnic college</t>
  </si>
  <si>
    <t>05-10-15 18:14:22</t>
  </si>
  <si>
    <t>25-07-18 18:08:19</t>
  </si>
  <si>
    <t>Mitish Dewangan</t>
  </si>
  <si>
    <t>mitishdewangan1993@gmail.com</t>
  </si>
  <si>
    <t>91 8928330792</t>
  </si>
  <si>
    <t>Raipur, Navi Mumbai, Mumbai City, Bhillai</t>
  </si>
  <si>
    <t>Bharati Vidyapeeth Deemed University College of Engineering</t>
  </si>
  <si>
    <t>29-07-18 02:01:32</t>
  </si>
  <si>
    <t>Feroz H Digaria</t>
  </si>
  <si>
    <t>fdigaria@gmail.com</t>
  </si>
  <si>
    <t>91 9819409622</t>
  </si>
  <si>
    <t>HDFC Realty</t>
  </si>
  <si>
    <t>06-06-18 14:41:15</t>
  </si>
  <si>
    <t>07-06-18 12:06:34</t>
  </si>
  <si>
    <t>Vijay Mehta</t>
  </si>
  <si>
    <t>01 Sep 1966</t>
  </si>
  <si>
    <t>vijaymehta43@gmail.com</t>
  </si>
  <si>
    <t>91 7715085158</t>
  </si>
  <si>
    <t>Mumbai City, Patna</t>
  </si>
  <si>
    <t>City group</t>
  </si>
  <si>
    <t>C B SE</t>
  </si>
  <si>
    <t>06-01-16 09:50:31</t>
  </si>
  <si>
    <t>28-04-18 11:59:05</t>
  </si>
  <si>
    <t>suraj  kumar</t>
  </si>
  <si>
    <t>22 Jan 1980</t>
  </si>
  <si>
    <t>suraj58k@gmail.com</t>
  </si>
  <si>
    <t>91 7838826810</t>
  </si>
  <si>
    <t>Navi Mumbai, Other Uttar Pradesh</t>
  </si>
  <si>
    <t>G.L.BAJAJ INSTITUTE OF TECHNOLOGYAND MANAGEMENT GREATER NOIDA</t>
  </si>
  <si>
    <t>03-06-18 16:30:16</t>
  </si>
  <si>
    <t>Priti lahu chavan</t>
  </si>
  <si>
    <t>pritichavan9393@gmail.com</t>
  </si>
  <si>
    <t>91 9552189406</t>
  </si>
  <si>
    <t>All India, Navi Mumbai</t>
  </si>
  <si>
    <t>back office,data entry,accounting</t>
  </si>
  <si>
    <t>all</t>
  </si>
  <si>
    <t>03-07-17 17:30:50</t>
  </si>
  <si>
    <t>01-05-18 12:58:22</t>
  </si>
  <si>
    <t>garima srivatsava</t>
  </si>
  <si>
    <t>11 Jun 1989</t>
  </si>
  <si>
    <t>garimasrivastava3@gmail.com</t>
  </si>
  <si>
    <t>91 8291390082</t>
  </si>
  <si>
    <t>Noida, Ghaziabad, Gurugram, Pune, Mumbai City, Delhi</t>
  </si>
  <si>
    <t>Jaipuria Institute of Management,Lucknow</t>
  </si>
  <si>
    <t>03-06-18 10:34:29</t>
  </si>
  <si>
    <t>Ganpat Balkrushana Rane</t>
  </si>
  <si>
    <t>04 Mar 1994</t>
  </si>
  <si>
    <t>nitinrane786@gmail.com</t>
  </si>
  <si>
    <t>91 9757251655</t>
  </si>
  <si>
    <t>16-07-18 10:19:51</t>
  </si>
  <si>
    <t>NISHITH PATTANAYAK</t>
  </si>
  <si>
    <t>nishith_01@rediffmail.com</t>
  </si>
  <si>
    <t>91 9967643633</t>
  </si>
  <si>
    <t>Sourcing Manager</t>
  </si>
  <si>
    <t>Dorman Products Inc</t>
  </si>
  <si>
    <t>Ghanshyam Hemalata Institute of Technology &amp; Management</t>
  </si>
  <si>
    <t>23-06-17 18:28:16</t>
  </si>
  <si>
    <t>19-07-18 09:46:28</t>
  </si>
  <si>
    <t>deepak lad</t>
  </si>
  <si>
    <t>20 Oct 1985</t>
  </si>
  <si>
    <t>deepaklad20@gmail.com</t>
  </si>
  <si>
    <t>91 9004845420</t>
  </si>
  <si>
    <t>Nashik, United Arab Emirates, Navi Mumbai, Ratnagiri, Thane, Pune, Mumbai City, Finland, Egypt, France (European Territory)</t>
  </si>
  <si>
    <t>Sr. Executive Packaging Development</t>
  </si>
  <si>
    <t>Delicia Foods (Monginis Foods Pvt. Ltd.)</t>
  </si>
  <si>
    <t>14-06-18 09:44:07</t>
  </si>
  <si>
    <t>15-06-18 12:46:29</t>
  </si>
  <si>
    <t>Asif Punjani</t>
  </si>
  <si>
    <t>10 Apr 1984</t>
  </si>
  <si>
    <t>asifpunjani84@gmail.com</t>
  </si>
  <si>
    <t>91 9833731445</t>
  </si>
  <si>
    <t>11 Yrs 2 Months</t>
  </si>
  <si>
    <t>quality assurance</t>
  </si>
  <si>
    <t>ocwen financial solutions ltd</t>
  </si>
  <si>
    <t>13-07-18 20:48:08</t>
  </si>
  <si>
    <t>13-07-18 20:49:32</t>
  </si>
  <si>
    <t>Pratik badheka</t>
  </si>
  <si>
    <t>pratik.badheka@yahoo.com</t>
  </si>
  <si>
    <t>91 9594151537</t>
  </si>
  <si>
    <t>Finance Manager</t>
  </si>
  <si>
    <t>08-08-18 17:33:27</t>
  </si>
  <si>
    <t>Mihir Kumar</t>
  </si>
  <si>
    <t>03 Apr 1990</t>
  </si>
  <si>
    <t>devakar.mihir19@gmail.com</t>
  </si>
  <si>
    <t>91 9022366550</t>
  </si>
  <si>
    <t>Bangalore, Noida, Chennai, Mumbai City, Delhi, Panipat, Shimla</t>
  </si>
  <si>
    <t>Senior Engineer -Customer Support</t>
  </si>
  <si>
    <t>Printing / Packaging</t>
  </si>
  <si>
    <t>Canon India Pvt. Ltd.</t>
  </si>
  <si>
    <t>st. peter's engineering college,chennai</t>
  </si>
  <si>
    <t>03-03-18 13:25:07</t>
  </si>
  <si>
    <t>08-03-18 13:39:57</t>
  </si>
  <si>
    <t>Mohammad Moin Khan</t>
  </si>
  <si>
    <t>09 Apr 1989</t>
  </si>
  <si>
    <t>moinkhan0089@gmail.com</t>
  </si>
  <si>
    <t>91 7666781212</t>
  </si>
  <si>
    <t>All India, Lucknow, Mumbai City, Delhi</t>
  </si>
  <si>
    <t>26-06-18 17:08:15</t>
  </si>
  <si>
    <t>18-07-18 14:21:27</t>
  </si>
  <si>
    <t>Rakesh Nayak</t>
  </si>
  <si>
    <t>01 Oct 1983</t>
  </si>
  <si>
    <t>nayakrakesh23@gmail.com</t>
  </si>
  <si>
    <t>91 9867573947</t>
  </si>
  <si>
    <t>All India, Bangalore, Pune, Mumbai City, Hubli, Other Karnataka</t>
  </si>
  <si>
    <t>Heritage health Insurance TPA Pvt Ltd</t>
  </si>
  <si>
    <t>IBMR Business School</t>
  </si>
  <si>
    <t>16-08-18 00:20:10</t>
  </si>
  <si>
    <t>31-08-18 09:36:36</t>
  </si>
  <si>
    <t>Ravi Shetty</t>
  </si>
  <si>
    <t>shetty.ravishetty.ravi905@gmail.com</t>
  </si>
  <si>
    <t>91 9945379900</t>
  </si>
  <si>
    <t>inbound out bound operation handling over all manage</t>
  </si>
  <si>
    <t>Antony Waste Handling cell pvt ltd</t>
  </si>
  <si>
    <t>Na</t>
  </si>
  <si>
    <t>15-11-17 12:02:05</t>
  </si>
  <si>
    <t>22-03-18 10:41:09</t>
  </si>
  <si>
    <t>AMIT SAXENA</t>
  </si>
  <si>
    <t>11 Apr 1976</t>
  </si>
  <si>
    <t>amitsaxena185@yahoo.com</t>
  </si>
  <si>
    <t>91 9673131455</t>
  </si>
  <si>
    <t>Dehradun, Noida, Ghaziabad, Lucknow, Faridabad, Pune, Mumbai City, Delhi, Bhopal, Ahmedabad</t>
  </si>
  <si>
    <t>Manager-Contracts</t>
  </si>
  <si>
    <t>HDIL ,Bandra</t>
  </si>
  <si>
    <t>J.T. Mahajan College of Engg</t>
  </si>
  <si>
    <t>19-06-18 17:06:02</t>
  </si>
  <si>
    <t>20-06-18 09:54:25</t>
  </si>
  <si>
    <t>Ram Chandar Choyal</t>
  </si>
  <si>
    <t>ramchandrachoyal24@gmail.com</t>
  </si>
  <si>
    <t>91 8891969532</t>
  </si>
  <si>
    <t>Junior Executive - Human Resources  Timekeeper</t>
  </si>
  <si>
    <t>Leighton India Contractors Private Limited</t>
  </si>
  <si>
    <t>MDS University Ajmer Rajasthan</t>
  </si>
  <si>
    <t>30-06-17 09:17:13</t>
  </si>
  <si>
    <t>18-06-18 16:01:50</t>
  </si>
  <si>
    <t>Fatema Godhrawala</t>
  </si>
  <si>
    <t>23 Nov 1987</t>
  </si>
  <si>
    <t>fatemamecail@gmail.com</t>
  </si>
  <si>
    <t>91 9819349819</t>
  </si>
  <si>
    <t>Office Manager</t>
  </si>
  <si>
    <t>Broadway Malyan India Pvt. Ltd.</t>
  </si>
  <si>
    <t>Shri Chinai College Of Arts and Commerce</t>
  </si>
  <si>
    <t>25-05-18 12:08:32</t>
  </si>
  <si>
    <t>05-07-18 16:05:08</t>
  </si>
  <si>
    <t>Austin Benedict Dsouza</t>
  </si>
  <si>
    <t>austin_1983@rediffmail.com</t>
  </si>
  <si>
    <t>Rs. 17.05 Lacs</t>
  </si>
  <si>
    <t>Freelancer Investment banking and Capital market</t>
  </si>
  <si>
    <t>Abc</t>
  </si>
  <si>
    <t>26-05-18 17:09:16</t>
  </si>
  <si>
    <t>28-05-18 11:47:46</t>
  </si>
  <si>
    <t>Paresh Khairnar</t>
  </si>
  <si>
    <t>11 Sep 1994</t>
  </si>
  <si>
    <t>paresh4614516@gmail.com</t>
  </si>
  <si>
    <t>91 9769819979</t>
  </si>
  <si>
    <t>All India, Kolkata, Gurugram, Pune, Mumbai City, Delhi</t>
  </si>
  <si>
    <t>Sales and Service Department</t>
  </si>
  <si>
    <t>TRL Krosaki Refractories Ltd</t>
  </si>
  <si>
    <t>National Institute of Technology Rourkela</t>
  </si>
  <si>
    <t>21-05-18 15:22:27</t>
  </si>
  <si>
    <t>23-08-18 16:46:20</t>
  </si>
  <si>
    <t>Snehal Lad</t>
  </si>
  <si>
    <t>snehalpawaskar@gmail.com</t>
  </si>
  <si>
    <t>91 9664630586</t>
  </si>
  <si>
    <t>Import Export Documentation Executive</t>
  </si>
  <si>
    <t>Olivia Impex Pvt. Ltd.</t>
  </si>
  <si>
    <t>B.E.S. College of Commerce</t>
  </si>
  <si>
    <t>23-03-18 11:57:02</t>
  </si>
  <si>
    <t>31-08-18 11:41:36</t>
  </si>
  <si>
    <t xml:space="preserve">Raish </t>
  </si>
  <si>
    <t>mdraish884@gmail.com</t>
  </si>
  <si>
    <t>91 9699457126</t>
  </si>
  <si>
    <t>site engg</t>
  </si>
  <si>
    <t>j kumar infra project ltd. Mumbai metro project</t>
  </si>
  <si>
    <t>katwa</t>
  </si>
  <si>
    <t>22-06-18 12:36:27</t>
  </si>
  <si>
    <t>26-06-18 11:21:03</t>
  </si>
  <si>
    <t>HINGORAJA FARIDBHAI HASAMBHAI</t>
  </si>
  <si>
    <t>faridh1996@gmail.com</t>
  </si>
  <si>
    <t>91 9898551892</t>
  </si>
  <si>
    <t>ganpat university - mahesana</t>
  </si>
  <si>
    <t>29-07-17 14:15:33</t>
  </si>
  <si>
    <t>19-05-18 00:30:55</t>
  </si>
  <si>
    <t>Aviskha Gogoi</t>
  </si>
  <si>
    <t>aviskhagogoi@gmail.com</t>
  </si>
  <si>
    <t>91 7399106917</t>
  </si>
  <si>
    <t>All India, Mumbai City, Delhi, Guwahati</t>
  </si>
  <si>
    <t>News Producer</t>
  </si>
  <si>
    <t>Prime News</t>
  </si>
  <si>
    <t>05-08-18 00:09:57</t>
  </si>
  <si>
    <t>Ranjan Jaiswal</t>
  </si>
  <si>
    <t>01 Feb 1963</t>
  </si>
  <si>
    <t>ranjanprasadjaiswal@yahoo.com</t>
  </si>
  <si>
    <t>91 9819483676</t>
  </si>
  <si>
    <t>J.I.L.D. Pvt. Ltd.</t>
  </si>
  <si>
    <t>06-09-18 14:13:04</t>
  </si>
  <si>
    <t>N Sreekumar</t>
  </si>
  <si>
    <t>narayanapillaisreekumar@gmail.com</t>
  </si>
  <si>
    <t>91 8547608475</t>
  </si>
  <si>
    <t>22 Yrs 4 Months</t>
  </si>
  <si>
    <t>Marine electrical engineer</t>
  </si>
  <si>
    <t>Indian coast guard</t>
  </si>
  <si>
    <t>Rajestan vidya peeth</t>
  </si>
  <si>
    <t>06-03-18 14:32:06</t>
  </si>
  <si>
    <t>29-05-18 10:37:43</t>
  </si>
  <si>
    <t>Justinroy Yesukunju</t>
  </si>
  <si>
    <t>18 Aug 1984</t>
  </si>
  <si>
    <t>roypvr2003@yahoo.co.in</t>
  </si>
  <si>
    <t>91 9995793241</t>
  </si>
  <si>
    <t>Bangalore, Chennai, Kochi, United Arab Emirates, Thiruvanananthapuram, Singapore, Mumbai City, Germany, Saudi Arabia</t>
  </si>
  <si>
    <t>Site safety manager</t>
  </si>
  <si>
    <t>Granite international(affliated to GE)</t>
  </si>
  <si>
    <t>Scott Christian College</t>
  </si>
  <si>
    <t>19-07-18 13:49:31</t>
  </si>
  <si>
    <t>04-08-18 11:16:48</t>
  </si>
  <si>
    <t>Moshin Harlekar</t>
  </si>
  <si>
    <t>moshin008@gmail.com</t>
  </si>
  <si>
    <t>91 7738271598</t>
  </si>
  <si>
    <t>flydocs</t>
  </si>
  <si>
    <t>AEROSPACEIGNOU I.I.A.E.I.T</t>
  </si>
  <si>
    <t>28-01-18 14:13:25</t>
  </si>
  <si>
    <t>10-08-18 13:08:32</t>
  </si>
  <si>
    <t>Vipul patl</t>
  </si>
  <si>
    <t>vipulpatil07@gmail.com</t>
  </si>
  <si>
    <t>91 8652641962</t>
  </si>
  <si>
    <t>Msbte</t>
  </si>
  <si>
    <t>03-07-18 15:11:19</t>
  </si>
  <si>
    <t>06-07-18 16:04:01</t>
  </si>
  <si>
    <t>Knowlton D'Cruz</t>
  </si>
  <si>
    <t>09 May 1964</t>
  </si>
  <si>
    <t>knowlton.dcruz@gmail.com</t>
  </si>
  <si>
    <t>91 9823089564</t>
  </si>
  <si>
    <t>Bangalore, Indore, Hyderabad, Gurugram, Navi Mumbai, Thane, Pune, Mumbai City, Delhi, Vadodara</t>
  </si>
  <si>
    <t>Rs. 48.00 Lacs</t>
  </si>
  <si>
    <t>Executive Vice President Operations</t>
  </si>
  <si>
    <t>Eskay Elevators India Pvt Ltd</t>
  </si>
  <si>
    <t>Jamnalal Bajaj Institute of Management Studies, Mumbai</t>
  </si>
  <si>
    <t>22-07-18 17:02:44</t>
  </si>
  <si>
    <t>02-08-18 20:59:49</t>
  </si>
  <si>
    <t>YAGNESH  JHAVERI</t>
  </si>
  <si>
    <t>28 Feb 1951</t>
  </si>
  <si>
    <t>yagnesh.jhaveri28@gmail.com</t>
  </si>
  <si>
    <t>91 9920138013</t>
  </si>
  <si>
    <t>ADVISOR</t>
  </si>
  <si>
    <t>RAVIRAJ ENGINEERING CONSTRUCTION Co.</t>
  </si>
  <si>
    <t>South Gujarat University, Surat</t>
  </si>
  <si>
    <t>23-08-18 17:34:37</t>
  </si>
  <si>
    <t xml:space="preserve">Shashank Tyagi </t>
  </si>
  <si>
    <t>10 Jan 1992</t>
  </si>
  <si>
    <t>tyagishashank7@gmail.com</t>
  </si>
  <si>
    <t>91 9917587631</t>
  </si>
  <si>
    <t>script writing</t>
  </si>
  <si>
    <t>freelance</t>
  </si>
  <si>
    <t>Graphic Era University</t>
  </si>
  <si>
    <t>28-08-18 13:00:49</t>
  </si>
  <si>
    <t>30-08-18 14:14:09</t>
  </si>
  <si>
    <t>PREMKUMAR TRIPATHI</t>
  </si>
  <si>
    <t>10 Aug 1963</t>
  </si>
  <si>
    <t>tripathipa@gmail.com</t>
  </si>
  <si>
    <t>91 9930076226</t>
  </si>
  <si>
    <t>G. M. (PROJECTS)</t>
  </si>
  <si>
    <t>PRAVIN ELECTRICALS PVT. LTD.</t>
  </si>
  <si>
    <t>S.B.M. POLYTECHNIC</t>
  </si>
  <si>
    <t>04-05-18 13:04:29</t>
  </si>
  <si>
    <t>27-07-18 17:26:14</t>
  </si>
  <si>
    <t>wajid ali</t>
  </si>
  <si>
    <t>aliwajid91@gmail.com</t>
  </si>
  <si>
    <t>91 9321032733</t>
  </si>
  <si>
    <t>Rs. 8.35 Lacs</t>
  </si>
  <si>
    <t>technical manager</t>
  </si>
  <si>
    <t>rochem separation system</t>
  </si>
  <si>
    <t>Naval institute of aeronautic technology</t>
  </si>
  <si>
    <t>27-12-16 09:39:42</t>
  </si>
  <si>
    <t>05-09-18 16:47:46</t>
  </si>
  <si>
    <t>Sana Khan</t>
  </si>
  <si>
    <t>sana.hamid.khan@gmail.com</t>
  </si>
  <si>
    <t>91 7738445861</t>
  </si>
  <si>
    <t>Choreographer</t>
  </si>
  <si>
    <t>INDIAN FILM INDUSTRY</t>
  </si>
  <si>
    <t>NIRMALA MEMORIAL</t>
  </si>
  <si>
    <t>07-08-18 13:40:52</t>
  </si>
  <si>
    <t>10-08-18 23:12:04</t>
  </si>
  <si>
    <t>mohammad hussain</t>
  </si>
  <si>
    <t>09 Sep 1989</t>
  </si>
  <si>
    <t>mdshadabhussain7@gmail.com</t>
  </si>
  <si>
    <t>91 7738487457</t>
  </si>
  <si>
    <t>Bangalore, Australia, United Kingdom, Canada, United States of America, Mumbai City, New Zealand</t>
  </si>
  <si>
    <t>Auditor</t>
  </si>
  <si>
    <t>REVA INSTITUTE OF SCIENCE AND MANAGEMENT</t>
  </si>
  <si>
    <t>04-07-18 16:16:52</t>
  </si>
  <si>
    <t>16-08-18 20:04:11</t>
  </si>
  <si>
    <t>Shreevathsan Shanmughan</t>
  </si>
  <si>
    <t>01 Nov 1990</t>
  </si>
  <si>
    <t>shreevathsan01@gmail.com</t>
  </si>
  <si>
    <t>91 9920973604</t>
  </si>
  <si>
    <t>Netherlands, Navi Mumbai, Pune, Mumbai City</t>
  </si>
  <si>
    <t>Assistant manager-design and development</t>
  </si>
  <si>
    <t>30-11-17 19:49:38</t>
  </si>
  <si>
    <t>22-05-18 12:44:08</t>
  </si>
  <si>
    <t>ASHUTOSH BAGHEL</t>
  </si>
  <si>
    <t>26 Sep 1982</t>
  </si>
  <si>
    <t>baghelashutosh25@gmail.com</t>
  </si>
  <si>
    <t>91 8169084249</t>
  </si>
  <si>
    <t>ASSOCIATE CONSULTANT</t>
  </si>
  <si>
    <t>KDAH(Kokilaben Dhirubhai Ambani Hospital)</t>
  </si>
  <si>
    <t>Bombay Hospital Institute of Medical Sciences</t>
  </si>
  <si>
    <t>27-11-17 14:41:32</t>
  </si>
  <si>
    <t>04-05-18 11:43:51</t>
  </si>
  <si>
    <t>minal sarode</t>
  </si>
  <si>
    <t>16 Mar 1987</t>
  </si>
  <si>
    <t>minals41@gmail.com</t>
  </si>
  <si>
    <t>91 9890698926</t>
  </si>
  <si>
    <t>Sr.Visualiser</t>
  </si>
  <si>
    <t>Ascent advertising</t>
  </si>
  <si>
    <t>Gov. Chitrakala Mahavidyalaya</t>
  </si>
  <si>
    <t>30-08-18 11:58:16</t>
  </si>
  <si>
    <t>07-09-18 16:17:34</t>
  </si>
  <si>
    <t>nikhil sawashe</t>
  </si>
  <si>
    <t>17 Sep 1993</t>
  </si>
  <si>
    <t>nikhilsawashe125@gmail.com</t>
  </si>
  <si>
    <t>91 8286841266</t>
  </si>
  <si>
    <t>Production, planning  purchse &amp; control engineer</t>
  </si>
  <si>
    <t>Vipal enterprise Pvt ltd</t>
  </si>
  <si>
    <t>08-04-18 20:52:27</t>
  </si>
  <si>
    <t>Farah Dalvi</t>
  </si>
  <si>
    <t>28 Dec 1985</t>
  </si>
  <si>
    <t>farahdalvi786@gmail.com</t>
  </si>
  <si>
    <t>91 9588688783</t>
  </si>
  <si>
    <t>10 Yrs 10 Months</t>
  </si>
  <si>
    <t>Senior human resource executive</t>
  </si>
  <si>
    <t>Prime reach destination international</t>
  </si>
  <si>
    <t>14-07-17 00:10:06</t>
  </si>
  <si>
    <t>27-07-18 13:37:55</t>
  </si>
  <si>
    <t>vishnunath gouda</t>
  </si>
  <si>
    <t>19 Apr 1980</t>
  </si>
  <si>
    <t>tikky111tikky@rediffmail.com</t>
  </si>
  <si>
    <t>91 7567474210</t>
  </si>
  <si>
    <t>EHS SPECIALIST</t>
  </si>
  <si>
    <t>GENERAL ELECTRIC</t>
  </si>
  <si>
    <t>Berhampur University</t>
  </si>
  <si>
    <t>06-09-18 09:39:08</t>
  </si>
  <si>
    <t>07-09-18 15:30:14</t>
  </si>
  <si>
    <t>Arun Raj</t>
  </si>
  <si>
    <t>arunrajmba2013@gmail.com</t>
  </si>
  <si>
    <t>91 7506059859</t>
  </si>
  <si>
    <t>Mauritius, Bangalore, Chennai, United Kingdom, Canada, United States of America, Mumbai City, Switzerland, Delhi</t>
  </si>
  <si>
    <t>Export Import Bank of India</t>
  </si>
  <si>
    <t>Bharathidasan Institute of Management, Trichy</t>
  </si>
  <si>
    <t>29-03-18 23:46:17</t>
  </si>
  <si>
    <t>30-03-18 12:32:54</t>
  </si>
  <si>
    <t>Saraswathy Kolathu</t>
  </si>
  <si>
    <t>saraswathy.k@jacobs.com</t>
  </si>
  <si>
    <t>91 9819382974</t>
  </si>
  <si>
    <t>Medicine and Health Sciences</t>
  </si>
  <si>
    <t>Amrita Vishwa   VidyapeethamUniversity</t>
  </si>
  <si>
    <t>08-07-17 15:32:17</t>
  </si>
  <si>
    <t>04-07-18 20:52:46</t>
  </si>
  <si>
    <t>Umesh Kumar Das</t>
  </si>
  <si>
    <t>05 Aug 1964</t>
  </si>
  <si>
    <t>umeshdas.das@gmail.com</t>
  </si>
  <si>
    <t>91 8652614716</t>
  </si>
  <si>
    <t>Industrial Security, General Administration, Fire fighting, Safety, Transportation, Emergency handli</t>
  </si>
  <si>
    <t>Savita Oil Technologies Limited, Turbhe ( NaviMumbai )</t>
  </si>
  <si>
    <t>01-07-18 12:42:46</t>
  </si>
  <si>
    <t>09-07-18 19:01:35</t>
  </si>
  <si>
    <t>Saurabh  Suresh Mahajan</t>
  </si>
  <si>
    <t>08 Mar 1986</t>
  </si>
  <si>
    <t>ssmahajan82@gmail.com</t>
  </si>
  <si>
    <t>91 9930981108</t>
  </si>
  <si>
    <t>Kuwait, United Kingdom, Malaysia, United States of America, Mumbai City</t>
  </si>
  <si>
    <t>NDT Engineer</t>
  </si>
  <si>
    <t>Techcorr India Pvt. Ltd.</t>
  </si>
  <si>
    <t>Suvidya Institute of Technology</t>
  </si>
  <si>
    <t>07-08-17 23:21:06</t>
  </si>
  <si>
    <t>13-03-18 20:42:28</t>
  </si>
  <si>
    <t>Rahul Nair</t>
  </si>
  <si>
    <t>rahul1630nair@gmail.com</t>
  </si>
  <si>
    <t>91 7208874767</t>
  </si>
  <si>
    <t>Safety officer</t>
  </si>
  <si>
    <t>Nafs</t>
  </si>
  <si>
    <t>15-06-18 15:23:16</t>
  </si>
  <si>
    <t>Bedanta Bhuyan</t>
  </si>
  <si>
    <t>09 Jan 1990</t>
  </si>
  <si>
    <t>got2winbedu@gmail.com</t>
  </si>
  <si>
    <t>91 9833350152</t>
  </si>
  <si>
    <t>Gurugram, Thane</t>
  </si>
  <si>
    <t>INGENERO TECHNOLOGIES (I) PVT LTD</t>
  </si>
  <si>
    <t>BIRLA INSTITUTE OF TECHNOLOGY &amp; SCIENCE (BITS Pilani)</t>
  </si>
  <si>
    <t>27-03-18 10:08:11</t>
  </si>
  <si>
    <t>dipesh Kini</t>
  </si>
  <si>
    <t>03 Feb 1987</t>
  </si>
  <si>
    <t>dipeshkini4you@gmail.com</t>
  </si>
  <si>
    <t>91 9860646582</t>
  </si>
  <si>
    <t>Civil designer</t>
  </si>
  <si>
    <t>Tecnimont private limited</t>
  </si>
  <si>
    <t>shushilatai gavankar industrial training institute, vasai</t>
  </si>
  <si>
    <t>18-07-17 10:34:14</t>
  </si>
  <si>
    <t>14-03-18 16:40:16</t>
  </si>
  <si>
    <t>Surya Kant Jaiswal</t>
  </si>
  <si>
    <t>05 May 1986</t>
  </si>
  <si>
    <t>suryakant.candid@gmail.com</t>
  </si>
  <si>
    <t>91 7835917191</t>
  </si>
  <si>
    <t>All India, Mumbai City, Delhi</t>
  </si>
  <si>
    <t>Assistant Manager Digital Marketing</t>
  </si>
  <si>
    <t>Internet Marketing</t>
  </si>
  <si>
    <t>Select CITYWALK (Select Infrastructure Pvt. Ltd.)</t>
  </si>
  <si>
    <t>IMS</t>
  </si>
  <si>
    <t>15-08-18 23:55:23</t>
  </si>
  <si>
    <t>Deepak Singh</t>
  </si>
  <si>
    <t>02 Jul 1991</t>
  </si>
  <si>
    <t>deepak13shiats@gmail.com</t>
  </si>
  <si>
    <t>91 9156377517</t>
  </si>
  <si>
    <t>Hyderabad, Thane, Allahabad</t>
  </si>
  <si>
    <t>Sr. Quality Engg.</t>
  </si>
  <si>
    <t>Thakkarsons Roll Forming Pvt. Ltd.</t>
  </si>
  <si>
    <t>sam higginbottom institute of agriculture, technology &amp; science</t>
  </si>
  <si>
    <t>17-03-18 13:07:04</t>
  </si>
  <si>
    <t>10-05-18 13:47:07</t>
  </si>
  <si>
    <t>SAJID UMER  SAWANT</t>
  </si>
  <si>
    <t>ssajms1971@gmail.com</t>
  </si>
  <si>
    <t>91 8879908076</t>
  </si>
  <si>
    <t>DIRECTOR - Operations</t>
  </si>
  <si>
    <t>Rebiz ventures PVT. LTD</t>
  </si>
  <si>
    <t>University of Bombay</t>
  </si>
  <si>
    <t>22-05-18 12:37:22</t>
  </si>
  <si>
    <t>14-08-18 18:13:36</t>
  </si>
  <si>
    <t>Sindu john</t>
  </si>
  <si>
    <t>sindujiljan2001@gmail.com</t>
  </si>
  <si>
    <t>91 9892453433</t>
  </si>
  <si>
    <t>secondary  school teacher</t>
  </si>
  <si>
    <t>st. FRancis ICSE</t>
  </si>
  <si>
    <t>Biochemistry</t>
  </si>
  <si>
    <t>Bharathiar University Coimbatore</t>
  </si>
  <si>
    <t>29-03-18 17:25:27</t>
  </si>
  <si>
    <t>26-04-18 15:25:37</t>
  </si>
  <si>
    <t>Ajmal Shaikh</t>
  </si>
  <si>
    <t>ajmal4shkh@gmail.com</t>
  </si>
  <si>
    <t>91 7276756967</t>
  </si>
  <si>
    <t>Business center agent</t>
  </si>
  <si>
    <t>fAIRMONT hOTELS &amp; rESORTS</t>
  </si>
  <si>
    <t>12-11-16 10:57:36</t>
  </si>
  <si>
    <t>14-04-18 16:55:29</t>
  </si>
  <si>
    <t>deepak kumar</t>
  </si>
  <si>
    <t>15 Oct 1990</t>
  </si>
  <si>
    <t>dpk1990lnt@gmail.com</t>
  </si>
  <si>
    <t>91 6201046173</t>
  </si>
  <si>
    <t>Kuwait, Chennai, Mumbai City</t>
  </si>
  <si>
    <t>Hydraulic Piling Rig operator</t>
  </si>
  <si>
    <t>L&amp;T GeoStructure</t>
  </si>
  <si>
    <t>High school</t>
  </si>
  <si>
    <t>19-07-18 18:54:08</t>
  </si>
  <si>
    <t>02-09-18 10:18:39</t>
  </si>
  <si>
    <t>Vishnudas Pallichakkalayil</t>
  </si>
  <si>
    <t>das.vishnups@gmail.com</t>
  </si>
  <si>
    <t>91 9744012311</t>
  </si>
  <si>
    <t>Rs. 7.40 Lacs</t>
  </si>
  <si>
    <t>Marketing &amp; Communications</t>
  </si>
  <si>
    <t>Harrisons Malayalam Limited</t>
  </si>
  <si>
    <t>Kakkanad</t>
  </si>
  <si>
    <t>13-07-17 17:52:47</t>
  </si>
  <si>
    <t>27-03-18 13:36:08</t>
  </si>
  <si>
    <t>Sandipan Chowdhury</t>
  </si>
  <si>
    <t>10 Aug 1990</t>
  </si>
  <si>
    <t>chowdhurysandy0@gmail.com</t>
  </si>
  <si>
    <t>91 9831291143</t>
  </si>
  <si>
    <t>All India, Bangalore, Chennai, Hyderabad, Kolkata, Pune, Mumbai City, Chandigarh, Delhi</t>
  </si>
  <si>
    <t>Cimplified Controls Pvt Ltd</t>
  </si>
  <si>
    <t>West BengalUniversity and Technology</t>
  </si>
  <si>
    <t>24-08-18 10:22:59</t>
  </si>
  <si>
    <t>28-08-18 10:35:26</t>
  </si>
  <si>
    <t xml:space="preserve">deepanshu jain </t>
  </si>
  <si>
    <t>21 Mar 1996</t>
  </si>
  <si>
    <t>deepanshudlh@gmail.com</t>
  </si>
  <si>
    <t>91 9982889566</t>
  </si>
  <si>
    <t>Surat, Vadodara, Ahmedabad, Gandhinagar, Jaipur, Bangalore, Indore, Noida, Gurugram, Udaipur, Pune, Mumbai City, Delhi, Bhopal</t>
  </si>
  <si>
    <t>Area service incharge</t>
  </si>
  <si>
    <t>jaquar &amp; company pvt ltd</t>
  </si>
  <si>
    <t>career point university kota</t>
  </si>
  <si>
    <t>03-03-18 20:02:08</t>
  </si>
  <si>
    <t>16-05-18 21:47:40</t>
  </si>
  <si>
    <t xml:space="preserve">Shivangi Maheshwari </t>
  </si>
  <si>
    <t>12 Jun 1993</t>
  </si>
  <si>
    <t>shivimaheshwari786@gmail.com</t>
  </si>
  <si>
    <t>91 9140837703</t>
  </si>
  <si>
    <t>Varanasi, Bangalore, Navi Mumbai, Pune, Mumbai City</t>
  </si>
  <si>
    <t>Icai</t>
  </si>
  <si>
    <t>19-03-18 10:40:44</t>
  </si>
  <si>
    <t>28-03-18 16:46:16</t>
  </si>
  <si>
    <t>Zoheb Suvarnadurgakar</t>
  </si>
  <si>
    <t>21 Apr 1984</t>
  </si>
  <si>
    <t>zoheb3444@rediffmail.com</t>
  </si>
  <si>
    <t>91 7588861116</t>
  </si>
  <si>
    <t>All India, Kuwait, United Arab Emirates, Bahrain, Mumbai City, Oman, Qatar, Saudi Arabia</t>
  </si>
  <si>
    <t>Rs. 7.35 Lacs</t>
  </si>
  <si>
    <t>Piping Engineer</t>
  </si>
  <si>
    <t>AYTB</t>
  </si>
  <si>
    <t>Finolex Academy of Management and Technology</t>
  </si>
  <si>
    <t>02-09-18 23:05:34</t>
  </si>
  <si>
    <t>Jaymesh Godambe</t>
  </si>
  <si>
    <t>17 Apr 1982</t>
  </si>
  <si>
    <t>jay_godambe@yahoo.in</t>
  </si>
  <si>
    <t>91 9769353304</t>
  </si>
  <si>
    <t>Rs. 6.60 Lacs</t>
  </si>
  <si>
    <t>SR.  Executive Projects  Design</t>
  </si>
  <si>
    <t>Electromag Joest  Vibration  Pvt .  Ltd.</t>
  </si>
  <si>
    <t>Dnyaneshwar vidyapeeth</t>
  </si>
  <si>
    <t>01-05-18 08:49:28</t>
  </si>
  <si>
    <t>10-08-18 09:45:34</t>
  </si>
  <si>
    <t>Pradeep Nigam</t>
  </si>
  <si>
    <t>21 Jan 1977</t>
  </si>
  <si>
    <t>nigam_pradeep2001@yahoo.com</t>
  </si>
  <si>
    <t>91 9871114080</t>
  </si>
  <si>
    <t>New Horizon LlP</t>
  </si>
  <si>
    <t>Vision School of Management</t>
  </si>
  <si>
    <t>16-08-18 04:31:43</t>
  </si>
  <si>
    <t>MANOJ BATRA</t>
  </si>
  <si>
    <t>06 Apr 1972</t>
  </si>
  <si>
    <t>mbatra_19_72@yahoo.co.in</t>
  </si>
  <si>
    <t>91 8097392625</t>
  </si>
  <si>
    <t>Other Odisha, Bathinda, Mumbai City</t>
  </si>
  <si>
    <t>23 Yrs 1 Month</t>
  </si>
  <si>
    <t>Construction Manager- Mechanical</t>
  </si>
  <si>
    <t>Institution of Engineers, calcutta</t>
  </si>
  <si>
    <t>07-08-16 23:43:53</t>
  </si>
  <si>
    <t>20-03-18 10:30:45</t>
  </si>
  <si>
    <t>Jaina Reshamwala</t>
  </si>
  <si>
    <t>jaina_reshamwala@yahoo.com</t>
  </si>
  <si>
    <t>91 9376199500</t>
  </si>
  <si>
    <t>BUSINESS PARTNER</t>
  </si>
  <si>
    <t>ENTRUST ESTATES</t>
  </si>
  <si>
    <t>South Gujarat University</t>
  </si>
  <si>
    <t>26-03-18 17:01:46</t>
  </si>
  <si>
    <t>30-08-18 13:51:40</t>
  </si>
  <si>
    <t>Arbaz Ahmed Maaz Ahmed Farooqui</t>
  </si>
  <si>
    <t>farooquiarbaz1310@gmail.com</t>
  </si>
  <si>
    <t>91 8976812811</t>
  </si>
  <si>
    <t>1 Yr 7 Months</t>
  </si>
  <si>
    <t>Travel Consultant</t>
  </si>
  <si>
    <t>TCS</t>
  </si>
  <si>
    <t>17-08-17 12:34:23</t>
  </si>
  <si>
    <t>28-08-18 10:32:18</t>
  </si>
  <si>
    <t>Sakshi Aggarwal</t>
  </si>
  <si>
    <t>24 Mar 1990</t>
  </si>
  <si>
    <t>aggarwal342@gmail.com</t>
  </si>
  <si>
    <t>91 9819517406</t>
  </si>
  <si>
    <t>Bangalore, Noida, Mohali, Indore, Gurugram, Navi Mumbai, Pune, Mumbai City, Chandigarh, Delhi</t>
  </si>
  <si>
    <t>Business Analyst</t>
  </si>
  <si>
    <t>General Mills</t>
  </si>
  <si>
    <t>Seth Jai Parkash Mukund Lal Institute of Engineering &amp; Technology</t>
  </si>
  <si>
    <t>06-08-18 22:42:55</t>
  </si>
  <si>
    <t>07-08-18 16:56:46</t>
  </si>
  <si>
    <t>Mangesh Potdar</t>
  </si>
  <si>
    <t>mangeshpotdar18@rediffmail.com</t>
  </si>
  <si>
    <t>91 9819876561</t>
  </si>
  <si>
    <t>Executive Microbiologist</t>
  </si>
  <si>
    <t>Sandoz Private Limited</t>
  </si>
  <si>
    <t>Yashwantrao Chavan College of Science</t>
  </si>
  <si>
    <t>28-06-18 21:07:04</t>
  </si>
  <si>
    <t>29-06-18 12:18:56</t>
  </si>
  <si>
    <t>Yogesh Ashok Chavan</t>
  </si>
  <si>
    <t>22 Dec 1995</t>
  </si>
  <si>
    <t>ychavan272@gmail.com</t>
  </si>
  <si>
    <t>91 8104731705</t>
  </si>
  <si>
    <t>Jr. Trainee Engineer</t>
  </si>
  <si>
    <t>Swastik Technopack Pvt.Ltd</t>
  </si>
  <si>
    <t>CSMSS's Chh.Shahu College Of Engineering, Kanchanwadi, Aurangabad</t>
  </si>
  <si>
    <t>26-08-18 11:32:31</t>
  </si>
  <si>
    <t>Pritesh Patel</t>
  </si>
  <si>
    <t>28 Jul 1990</t>
  </si>
  <si>
    <t>pritesh66@yahoo.com</t>
  </si>
  <si>
    <t>91 9737043996</t>
  </si>
  <si>
    <t>All India, Anand, Pune, Bharuch, Mumbai City, Vadodara, Ankleshwar, Ahmedabad</t>
  </si>
  <si>
    <t>PROJECT PLANNING &amp; PRODUCTION PLANNING &amp; CONTROL</t>
  </si>
  <si>
    <t>Jyoti Ltd</t>
  </si>
  <si>
    <t>parul institute of engineering&amp;technology</t>
  </si>
  <si>
    <t>31-08-18 17:35:38</t>
  </si>
  <si>
    <t>01-09-18 12:22:47</t>
  </si>
  <si>
    <t>pankaj ranveer</t>
  </si>
  <si>
    <t>19 Jul 1990</t>
  </si>
  <si>
    <t>pankaj.ranveer86@gmail.com</t>
  </si>
  <si>
    <t>91 9766407401</t>
  </si>
  <si>
    <t>United Kingdom, Canada, United States of America, Navi Mumbai, Pune, Mumbai City, Singapore, New Zealand, Other Goa</t>
  </si>
  <si>
    <t>Technical assistant</t>
  </si>
  <si>
    <t>scorpio marine management (I) pvt. ltd.</t>
  </si>
  <si>
    <t>Fr. CRIT Vashi Navi Mumbai</t>
  </si>
  <si>
    <t>04-08-18 18:50:45</t>
  </si>
  <si>
    <t>06-08-18 10:48:56</t>
  </si>
  <si>
    <t>Pavan Ellur</t>
  </si>
  <si>
    <t>pavanellur09@gmail.com</t>
  </si>
  <si>
    <t>91 7710817404</t>
  </si>
  <si>
    <t>Product Executive</t>
  </si>
  <si>
    <t>Zuventus Healthcare Limited, Mumbai</t>
  </si>
  <si>
    <t>M.Pharm,MBA</t>
  </si>
  <si>
    <t>24-12-17 18:08:59</t>
  </si>
  <si>
    <t>09-07-18 19:05:20</t>
  </si>
  <si>
    <t>momin hamza</t>
  </si>
  <si>
    <t>09 Nov 1988</t>
  </si>
  <si>
    <t>hamzamomin1@gmail.com</t>
  </si>
  <si>
    <t>91 9890125937</t>
  </si>
  <si>
    <t>Civil draugthsman</t>
  </si>
  <si>
    <t>Technogem consultant pvt Ltd.</t>
  </si>
  <si>
    <t>Takiya Amani Shah</t>
  </si>
  <si>
    <t>03-05-18 16:28:34</t>
  </si>
  <si>
    <t>07-06-18 12:00:21</t>
  </si>
  <si>
    <t>Jamal Haqqani</t>
  </si>
  <si>
    <t>12 Apr 1983</t>
  </si>
  <si>
    <t>jamal.gce@gmail.com</t>
  </si>
  <si>
    <t>91 9631309188</t>
  </si>
  <si>
    <t>Kuwait, United Arab Emirates, Qatar</t>
  </si>
  <si>
    <t>Rs. 9.40 Lacs</t>
  </si>
  <si>
    <t>site engineer</t>
  </si>
  <si>
    <t>Albuianain group in Al jubail in KSA</t>
  </si>
  <si>
    <t>VTU</t>
  </si>
  <si>
    <t>17-07-18 16:43:36</t>
  </si>
  <si>
    <t>07-08-18 20:54:19</t>
  </si>
  <si>
    <t xml:space="preserve">zohaif shaikh </t>
  </si>
  <si>
    <t>04 Nov 1997</t>
  </si>
  <si>
    <t>zohaifshaikh77@gmail.com</t>
  </si>
  <si>
    <t>91 7219276494</t>
  </si>
  <si>
    <t>Petronet LNG Limited</t>
  </si>
  <si>
    <t>Government polytechnic ratnagiri</t>
  </si>
  <si>
    <t>09-08-18 10:42:56</t>
  </si>
  <si>
    <t>06-09-18 00:48:26</t>
  </si>
  <si>
    <t>Munu Singh</t>
  </si>
  <si>
    <t>20 Oct 1991</t>
  </si>
  <si>
    <t>munu.singh88@gmail.com</t>
  </si>
  <si>
    <t>91 8473885103</t>
  </si>
  <si>
    <t>Sr Engineer</t>
  </si>
  <si>
    <t>zillion infraprojects pvt ltd</t>
  </si>
  <si>
    <t>18-06-18 19:02:25</t>
  </si>
  <si>
    <t>28-08-18 11:20:01</t>
  </si>
  <si>
    <t>Ashish Prajapati</t>
  </si>
  <si>
    <t>14 Sep 1990</t>
  </si>
  <si>
    <t>ashish.nicmar@gmail.com</t>
  </si>
  <si>
    <t>91 9039940412</t>
  </si>
  <si>
    <t>Senior Engineer procurement</t>
  </si>
  <si>
    <t>Omkar Realtors and developers pvt ltd</t>
  </si>
  <si>
    <t>National Institute Of ConstructionManagement And Research</t>
  </si>
  <si>
    <t>18-07-17 14:38:21</t>
  </si>
  <si>
    <t>30-05-18 13:22:25</t>
  </si>
  <si>
    <t>Nirav Shah</t>
  </si>
  <si>
    <t>s.nirav.s@gmail.com</t>
  </si>
  <si>
    <t>91 9819707808</t>
  </si>
  <si>
    <t>Project Management, Rolling Stock</t>
  </si>
  <si>
    <t>Siemens ltd.</t>
  </si>
  <si>
    <t>07-08-18 17:29:46</t>
  </si>
  <si>
    <t>08-08-18 10:10:45</t>
  </si>
  <si>
    <t>Rohan Kadam</t>
  </si>
  <si>
    <t>31 May 1986</t>
  </si>
  <si>
    <t>rohanckadam@gmail.com</t>
  </si>
  <si>
    <t>91 9967077246</t>
  </si>
  <si>
    <t>Rs. 4.85 Lacs</t>
  </si>
  <si>
    <t>Senior Testing Engineer</t>
  </si>
  <si>
    <t>Emerson Network Power (I) Pvt. Ltd.</t>
  </si>
  <si>
    <t>05-07-16 12:16:49</t>
  </si>
  <si>
    <t>13-07-18 14:49:43</t>
  </si>
  <si>
    <t>NISHITH  PATTANAYAK</t>
  </si>
  <si>
    <t>21 Feb 1985</t>
  </si>
  <si>
    <t>pattanayakster@gmail.com</t>
  </si>
  <si>
    <t xml:space="preserve">Sourcing Manager </t>
  </si>
  <si>
    <t xml:space="preserve"> Dorman Products Inc (Forbes 32  US MNC), Thane </t>
  </si>
  <si>
    <t>Ghanshyam Hemalata Institute of Technology &amp; Management, Puri,</t>
  </si>
  <si>
    <t>16-07-16 15:25:25</t>
  </si>
  <si>
    <t>18-07-18 10:41:50</t>
  </si>
  <si>
    <t>Falaknaaz Shaikh</t>
  </si>
  <si>
    <t>21 Jul 1996</t>
  </si>
  <si>
    <t>falaknaazshaikh9@gmail.com</t>
  </si>
  <si>
    <t>91 9594312821</t>
  </si>
  <si>
    <t>AIKTC-School of Engineering &amp; Technology</t>
  </si>
  <si>
    <t>20-08-18 20:37:51</t>
  </si>
  <si>
    <t>23-08-18 19:33:08</t>
  </si>
  <si>
    <t>poonam harshe</t>
  </si>
  <si>
    <t>poonam.harshe@gmail.com</t>
  </si>
  <si>
    <t>91 9920763576</t>
  </si>
  <si>
    <t>Rs. 10.80 Lacs</t>
  </si>
  <si>
    <t>American Express</t>
  </si>
  <si>
    <t>mumbai unversity</t>
  </si>
  <si>
    <t>30-07-18 17:28:05</t>
  </si>
  <si>
    <t>06-08-18 18:34:38</t>
  </si>
  <si>
    <t xml:space="preserve">Chaitra </t>
  </si>
  <si>
    <t>11 May 1980</t>
  </si>
  <si>
    <t>chaitratikle@gmail.com</t>
  </si>
  <si>
    <t>91 9820247240</t>
  </si>
  <si>
    <t>Bangalore, Navi Mumbai</t>
  </si>
  <si>
    <t>Executive Assistant</t>
  </si>
  <si>
    <t>Ozone Eventures Pvt.Ltd.</t>
  </si>
  <si>
    <t>16-08-18 11:26:04</t>
  </si>
  <si>
    <t>04-09-18 10:04:16</t>
  </si>
  <si>
    <t>SHAIKH AWES AB MAJID</t>
  </si>
  <si>
    <t>shaikhawes33@yahoo.in</t>
  </si>
  <si>
    <t>91 7875842625</t>
  </si>
  <si>
    <t>Prime focus Technologies Ltd</t>
  </si>
  <si>
    <t>not mention</t>
  </si>
  <si>
    <t>16-08-17 09:47:48</t>
  </si>
  <si>
    <t>21-08-18 08:46:28</t>
  </si>
  <si>
    <t>jayavant hatkar</t>
  </si>
  <si>
    <t>22 Nov 1979</t>
  </si>
  <si>
    <t>jayawanthatkar@gmail.com</t>
  </si>
  <si>
    <t>91 8108282390</t>
  </si>
  <si>
    <t>18 Yrs 3 Months</t>
  </si>
  <si>
    <t>FIRE MEN AND HINDI ENGLISH  TYPIST</t>
  </si>
  <si>
    <t>Fire Prevention / Control</t>
  </si>
  <si>
    <t>ONGC URAN</t>
  </si>
  <si>
    <t>10 th</t>
  </si>
  <si>
    <t>NISA HYDERABAD, kolhapur  UNIVERSITY</t>
  </si>
  <si>
    <t>26-05-18 16:15:12</t>
  </si>
  <si>
    <t>12-08-18 19:26:34</t>
  </si>
  <si>
    <t xml:space="preserve">Ishani Das </t>
  </si>
  <si>
    <t>26 Aug 1992</t>
  </si>
  <si>
    <t>isid2608@gmail.com</t>
  </si>
  <si>
    <t>91 9650855398</t>
  </si>
  <si>
    <t>1 Yr 3 Months</t>
  </si>
  <si>
    <t>Junior Engineer - Product Support</t>
  </si>
  <si>
    <t>HCL Technologies Limited</t>
  </si>
  <si>
    <t>Inderprastha Engineering College</t>
  </si>
  <si>
    <t>01-09-18 12:57:25</t>
  </si>
  <si>
    <t>06-09-18 12:50:21</t>
  </si>
  <si>
    <t>Narendra Sahu</t>
  </si>
  <si>
    <t>sahunarendra2408@gmail.com</t>
  </si>
  <si>
    <t>91 9987709915</t>
  </si>
  <si>
    <t>Product Manager</t>
  </si>
  <si>
    <t>Larsen and Toubro Ltd</t>
  </si>
  <si>
    <t>Ajay Kumar Garg Engineering College</t>
  </si>
  <si>
    <t>20-07-17 13:31:50</t>
  </si>
  <si>
    <t>14-05-18 12:28:37</t>
  </si>
  <si>
    <t>devv malhotra</t>
  </si>
  <si>
    <t>devvmalhotra@yahoo.com</t>
  </si>
  <si>
    <t>91 9978990867</t>
  </si>
  <si>
    <t>sncc</t>
  </si>
  <si>
    <t>26-04-18 21:36:39</t>
  </si>
  <si>
    <t>Ravi Karan</t>
  </si>
  <si>
    <t>30 Jul 1990</t>
  </si>
  <si>
    <t>mikuravikaran@gmail.com</t>
  </si>
  <si>
    <t>91 9986019186</t>
  </si>
  <si>
    <t>All India, Bellary, Mumbai City</t>
  </si>
  <si>
    <t>JSW Steel Limited</t>
  </si>
  <si>
    <t>Manipal Institute of Technology</t>
  </si>
  <si>
    <t>26-08-18 11:54:48</t>
  </si>
  <si>
    <t>27-08-18 10:47:39</t>
  </si>
  <si>
    <t>Deepali Suryavanshi</t>
  </si>
  <si>
    <t>20 Apr 1993</t>
  </si>
  <si>
    <t>deepusuryavanshi20@gmail.com</t>
  </si>
  <si>
    <t>91 9096851410</t>
  </si>
  <si>
    <t>Bharati Vidyapeeth College of Engineering For Women</t>
  </si>
  <si>
    <t>19-05-18 20:48:17</t>
  </si>
  <si>
    <t>18-08-18 09:59:30</t>
  </si>
  <si>
    <t>jitender deo</t>
  </si>
  <si>
    <t>27 Aug 1970</t>
  </si>
  <si>
    <t>jitender.deo@gmail.com</t>
  </si>
  <si>
    <t>91 7091173104</t>
  </si>
  <si>
    <t>20 Year Exp in Construction Equipment Maintenance</t>
  </si>
  <si>
    <t>Apco infra pvt ltd</t>
  </si>
  <si>
    <t>07-11-17 12:52:13</t>
  </si>
  <si>
    <t>11-05-18 21:21:18</t>
  </si>
  <si>
    <t>Sonali  Parkar</t>
  </si>
  <si>
    <t>21 Jan 1988</t>
  </si>
  <si>
    <t>sonaliparkar@yahoo.com</t>
  </si>
  <si>
    <t>91 9920637070</t>
  </si>
  <si>
    <t>eClerx</t>
  </si>
  <si>
    <t>Pillai's Institute of Management Studies and Research</t>
  </si>
  <si>
    <t>21-08-18 23:34:41</t>
  </si>
  <si>
    <t>07-09-18 19:44:51</t>
  </si>
  <si>
    <t>ALOK KUMAR JHA</t>
  </si>
  <si>
    <t>alokjha1108@yahoo.com</t>
  </si>
  <si>
    <t>91 9479132049</t>
  </si>
  <si>
    <t>17 Yrs 4 Months</t>
  </si>
  <si>
    <t>Plant Head</t>
  </si>
  <si>
    <t>Indiana grating p limited</t>
  </si>
  <si>
    <t>AIT CHIKAMAGALUR ,KARNATKA</t>
  </si>
  <si>
    <t>15-04-18 08:46:42</t>
  </si>
  <si>
    <t>26-04-18 15:11:17</t>
  </si>
  <si>
    <t>Anushka Wadkar</t>
  </si>
  <si>
    <t>18 May 1987</t>
  </si>
  <si>
    <t>anushkawadkar@gmail.com</t>
  </si>
  <si>
    <t>91 9004486888</t>
  </si>
  <si>
    <t>Rs. 15.60 Lacs</t>
  </si>
  <si>
    <t>Sr Manager Marketing</t>
  </si>
  <si>
    <t>Pro Wrestling League &amp; Fashion Tv India</t>
  </si>
  <si>
    <t>M.M.K college of economics and Commerce</t>
  </si>
  <si>
    <t>27-05-18 15:16:09</t>
  </si>
  <si>
    <t>19-07-18 15:49:49</t>
  </si>
  <si>
    <t xml:space="preserve">Ansari Rehan Rehan </t>
  </si>
  <si>
    <t>11 Jul 1992</t>
  </si>
  <si>
    <t>ansarirehan34@gmail.com</t>
  </si>
  <si>
    <t>91 8898289889</t>
  </si>
  <si>
    <t>HSE Officer</t>
  </si>
  <si>
    <t>Arabian pipeline &amp; Services co.LTD</t>
  </si>
  <si>
    <t>Sikkim Mani pal University.</t>
  </si>
  <si>
    <t>17-07-18 16:13:48</t>
  </si>
  <si>
    <t>02-08-18 14:16:22</t>
  </si>
  <si>
    <t xml:space="preserve">Kumar </t>
  </si>
  <si>
    <t>26 Nov 1989</t>
  </si>
  <si>
    <t>ksanuvardhan@yahoo.com</t>
  </si>
  <si>
    <t>91 8879548910</t>
  </si>
  <si>
    <t>Sant Longowal Institute of Engineering and Technology</t>
  </si>
  <si>
    <t>25-08-18 13:53:18</t>
  </si>
  <si>
    <t>27-08-18 12:03:21</t>
  </si>
  <si>
    <t>Tanweer Aalam</t>
  </si>
  <si>
    <t>05 Dec 1992</t>
  </si>
  <si>
    <t>tanweera1992@gmail.com</t>
  </si>
  <si>
    <t>91 8578062531</t>
  </si>
  <si>
    <t>United Arab Emirates, Qatar, Saudi Arabia</t>
  </si>
  <si>
    <t>Plumbing Supervioser</t>
  </si>
  <si>
    <t>Rakan trading and contractring</t>
  </si>
  <si>
    <t>S J M COLLEGE</t>
  </si>
  <si>
    <t>09-03-18 15:14:48</t>
  </si>
  <si>
    <t>03-04-18 17:51:35</t>
  </si>
  <si>
    <t>Mohammad yasin  Haidery</t>
  </si>
  <si>
    <t>yasin.haidery@gmail.com</t>
  </si>
  <si>
    <t>91 8962253610</t>
  </si>
  <si>
    <t>Trainee Incharge</t>
  </si>
  <si>
    <t>Ahura Mazda Mfg. Co. Pvt. Ltd</t>
  </si>
  <si>
    <t>Indian Institute of Technology Bombay</t>
  </si>
  <si>
    <t>27-11-17 16:33:02</t>
  </si>
  <si>
    <t>06-09-18 15:47:14</t>
  </si>
  <si>
    <t>LIEUTENANT COMMANDER PANKAJ CHAVAN</t>
  </si>
  <si>
    <t>ppc_navy@yahoo.co.in</t>
  </si>
  <si>
    <t>91 9439289150</t>
  </si>
  <si>
    <t>Gandhinagar, Indore, Navi Mumbai, Pune, Mumbai City, Vadodara, Ahmedabad</t>
  </si>
  <si>
    <t>DEPUTY DIRECTOR AND CENTRE HEAD</t>
  </si>
  <si>
    <t>Confederation of Indian Industry</t>
  </si>
  <si>
    <t>National Institute of Technology</t>
  </si>
  <si>
    <t>20-06-18 16:46:24</t>
  </si>
  <si>
    <t>Sachin Ramdas Wani</t>
  </si>
  <si>
    <t>03 Mar 1979</t>
  </si>
  <si>
    <t>sachinwani1200@yahoo.co.in</t>
  </si>
  <si>
    <t>91 9665579667</t>
  </si>
  <si>
    <t>Nashik, Pune, Mumbai City</t>
  </si>
  <si>
    <t>Technical Manager</t>
  </si>
  <si>
    <t>I Marine Infratech (India) Pvt Ltd.</t>
  </si>
  <si>
    <t>02-05-18 18:07:24</t>
  </si>
  <si>
    <t>02-06-18 11:57:02</t>
  </si>
  <si>
    <t>Revender Mohan Kukreti</t>
  </si>
  <si>
    <t>12 May 1964</t>
  </si>
  <si>
    <t>rmkukreti@gmail.com</t>
  </si>
  <si>
    <t>91 7060392573</t>
  </si>
  <si>
    <t>Noida, Ghaziabad, Gurugram, Faridabad, Mumbai City, Chandigarh, Delhi</t>
  </si>
  <si>
    <t>Material Controller</t>
  </si>
  <si>
    <t>Govt Polytechnic bareilly u.p.</t>
  </si>
  <si>
    <t>14-07-18 11:53:59</t>
  </si>
  <si>
    <t>25-07-18 10:18:23</t>
  </si>
  <si>
    <t>Swapnil bore</t>
  </si>
  <si>
    <t>20 Jul 1985</t>
  </si>
  <si>
    <t>swapnilbore85@gmail.com</t>
  </si>
  <si>
    <t>91 9867935991</t>
  </si>
  <si>
    <t>Sardar Patel University</t>
  </si>
  <si>
    <t>24-07-17 08:47:23</t>
  </si>
  <si>
    <t>12-07-18 18:54:50</t>
  </si>
  <si>
    <t>RANJIT JENA</t>
  </si>
  <si>
    <t>rjranjitdelhi08@gmail.com</t>
  </si>
  <si>
    <t>91 9718153666</t>
  </si>
  <si>
    <t>INSTITUTE OF COST ACCOUNTANTS OF INDIA</t>
  </si>
  <si>
    <t>15-08-18 10:22:00</t>
  </si>
  <si>
    <t>16-08-18 14:00:32</t>
  </si>
  <si>
    <t xml:space="preserve">naveenraj </t>
  </si>
  <si>
    <t>trnavenraj@yahoo.com</t>
  </si>
  <si>
    <t>91 9820525146</t>
  </si>
  <si>
    <t>Rs. 10.75 Lacs</t>
  </si>
  <si>
    <t>Maager / Senior Inspection Engineer</t>
  </si>
  <si>
    <t>Chempro</t>
  </si>
  <si>
    <t>Board of Technical Education</t>
  </si>
  <si>
    <t>19-03-18 11:32:24</t>
  </si>
  <si>
    <t>19-03-18 11:33:09</t>
  </si>
  <si>
    <t>SONU KUMAR</t>
  </si>
  <si>
    <t>05 Oct 1994</t>
  </si>
  <si>
    <t>sonuaryasonu@gmail.com</t>
  </si>
  <si>
    <t>91 7982336977</t>
  </si>
  <si>
    <t>INDIAN MARITIME UNIVERSITY CHENNAI CAMPUS</t>
  </si>
  <si>
    <t>25-08-18 14:30:26</t>
  </si>
  <si>
    <t>30-08-18 16:42:29</t>
  </si>
  <si>
    <t>JOGENDRANATH SWAIN</t>
  </si>
  <si>
    <t>21 Mar 1965</t>
  </si>
  <si>
    <t>jnscpowtr@gmail.com</t>
  </si>
  <si>
    <t>91 9819496980</t>
  </si>
  <si>
    <t>Bhubaneswar, Cuttack, Paradeep, Puri, Pune, Mumbai City</t>
  </si>
  <si>
    <t>Supervisor / Field Officer</t>
  </si>
  <si>
    <t>M/s Sahbir Singh Judge Security Agency</t>
  </si>
  <si>
    <t>Indian Naval Ship Hamla,Marve Road, Malad(West),Mumbai-400 095</t>
  </si>
  <si>
    <t>03-08-18 07:05:58</t>
  </si>
  <si>
    <t>03-09-18 22:18:35</t>
  </si>
  <si>
    <t>mithun sarwade</t>
  </si>
  <si>
    <t>20 Jan 1980</t>
  </si>
  <si>
    <t>mithunsarwade2014@gmail.com</t>
  </si>
  <si>
    <t>91 9730226274</t>
  </si>
  <si>
    <t>ION EXCHANGE PROJECT &amp; ENGINEERING LTD</t>
  </si>
  <si>
    <t>Govt. College of Engineering</t>
  </si>
  <si>
    <t>06-03-17 07:48:42</t>
  </si>
  <si>
    <t>23-08-18 17:46:44</t>
  </si>
  <si>
    <t>Vijay Poptani</t>
  </si>
  <si>
    <t>14 Sep 1968</t>
  </si>
  <si>
    <t>vjpoptani1409@gmail.com</t>
  </si>
  <si>
    <t>91 9819727878</t>
  </si>
  <si>
    <t>14 Yrs 10 Months</t>
  </si>
  <si>
    <t>Asst. Manager</t>
  </si>
  <si>
    <t>Hyundai</t>
  </si>
  <si>
    <t>VES College of Arts, Science and Commerce</t>
  </si>
  <si>
    <t>23-03-18 22:18:52</t>
  </si>
  <si>
    <t>04-09-18 13:42:01</t>
  </si>
  <si>
    <t xml:space="preserve">archana yadav </t>
  </si>
  <si>
    <t>06 Dec 1991</t>
  </si>
  <si>
    <t>archanarkgec@gmail.com</t>
  </si>
  <si>
    <t>91 8639065120</t>
  </si>
  <si>
    <t>Noida, Mohali, Hyderabad, Gurugram, Jamshedpur, Ranchi, Chandigarh, Surat, Delhi, Ahmedabad</t>
  </si>
  <si>
    <t>National Institute of Technology, Warangal</t>
  </si>
  <si>
    <t>08-01-18 16:30:48</t>
  </si>
  <si>
    <t>30-07-18 12:08:22</t>
  </si>
  <si>
    <t>Pooja Bibave</t>
  </si>
  <si>
    <t>24 Jun 1994</t>
  </si>
  <si>
    <t>poojabibave24@gmail.com</t>
  </si>
  <si>
    <t>91 8424908494</t>
  </si>
  <si>
    <t>30-07-18 22:07:25</t>
  </si>
  <si>
    <t>30-07-18 22:08:16</t>
  </si>
  <si>
    <t>Miriam Joseph</t>
  </si>
  <si>
    <t>mjinwonderland@yahoo.co.uk</t>
  </si>
  <si>
    <t>91 9920285945</t>
  </si>
  <si>
    <t>Govt Engineering College, Trichur</t>
  </si>
  <si>
    <t>21-08-17 22:36:26</t>
  </si>
  <si>
    <t>14-05-18 15:27:30</t>
  </si>
  <si>
    <t>BharaLal Yadav</t>
  </si>
  <si>
    <t>bharat_176@yahoo.co.in</t>
  </si>
  <si>
    <t>91 8976994454</t>
  </si>
  <si>
    <t>Automobile Service Manager</t>
  </si>
  <si>
    <t>Bachu Diesel</t>
  </si>
  <si>
    <t>Uurvanchal Univercity</t>
  </si>
  <si>
    <t>03-01-18 21:20:16</t>
  </si>
  <si>
    <t>29-03-18 10:13:33</t>
  </si>
  <si>
    <t>MD  RIZWAN</t>
  </si>
  <si>
    <t>25 Feb 1995</t>
  </si>
  <si>
    <t>mdrizwan1675@gmail.com</t>
  </si>
  <si>
    <t>91 9771575206</t>
  </si>
  <si>
    <t>Kuwait, United Arab Emirates, Malaysia, Bahrain, Oman, Qatar</t>
  </si>
  <si>
    <t>NDT TECHNICIAN</t>
  </si>
  <si>
    <t>KNPC</t>
  </si>
  <si>
    <t>GAYA EVENING COLLEGE , GAYA</t>
  </si>
  <si>
    <t>07-05-18 18:24:01</t>
  </si>
  <si>
    <t>lincy monachan</t>
  </si>
  <si>
    <t>03 May 1995</t>
  </si>
  <si>
    <t>liminmonachan1616@gmail.com</t>
  </si>
  <si>
    <t>91 7907490929</t>
  </si>
  <si>
    <t>mar baselious christain college kuttikanam idukki kerala</t>
  </si>
  <si>
    <t>13-12-17 18:33:48</t>
  </si>
  <si>
    <t>04-09-18 14:31:11</t>
  </si>
  <si>
    <t>ANTHONY RUDOLPH</t>
  </si>
  <si>
    <t>30 Jun 1959</t>
  </si>
  <si>
    <t>cdraranthony@gmail.com</t>
  </si>
  <si>
    <t>91 9594310080</t>
  </si>
  <si>
    <t>Vishakhapatnam, Mumbai City</t>
  </si>
  <si>
    <t>Administrative Officer</t>
  </si>
  <si>
    <t>care hospital</t>
  </si>
  <si>
    <t>GLOBAL OPEN UNIVERSITY</t>
  </si>
  <si>
    <t>10-07-18 14:49:44</t>
  </si>
  <si>
    <t>10-07-18 21:49:26</t>
  </si>
  <si>
    <t>GHODKE MANGESH M</t>
  </si>
  <si>
    <t>13 May 1992</t>
  </si>
  <si>
    <t>mangeshghodke01@gmail.com</t>
  </si>
  <si>
    <t>91 9823585548</t>
  </si>
  <si>
    <t>Nashik, Aurangabad, Pune, Mumbai City, Vadodara</t>
  </si>
  <si>
    <t>Henkel Adhesives Technologies India Pvt Ltd.</t>
  </si>
  <si>
    <t>Advance Diploma In Industrial Safety</t>
  </si>
  <si>
    <t>Thane Belapur Industrial Association Rabale</t>
  </si>
  <si>
    <t>10-08-18 18:34:35</t>
  </si>
  <si>
    <t>26-08-18 12:18:02</t>
  </si>
  <si>
    <t>Sagar Bhaskar Aaraj</t>
  </si>
  <si>
    <t>04 Sep 1990</t>
  </si>
  <si>
    <t>sagar.aaraj090@gmail.com</t>
  </si>
  <si>
    <t>91 8692072200</t>
  </si>
  <si>
    <t>All India, Thane</t>
  </si>
  <si>
    <t>Lead</t>
  </si>
  <si>
    <t>Reservation / Ticketing</t>
  </si>
  <si>
    <t>11-04-18 19:42:24</t>
  </si>
  <si>
    <t>19-07-18 06:14:11</t>
  </si>
  <si>
    <t>umesh thakur</t>
  </si>
  <si>
    <t>05 Nov 1985</t>
  </si>
  <si>
    <t>umesht.511@gmail.com</t>
  </si>
  <si>
    <t>91 8655752110</t>
  </si>
  <si>
    <t>sr.quality control engineer</t>
  </si>
  <si>
    <t>Dembla valves ltd</t>
  </si>
  <si>
    <t>shreeram polytechnic Airoli</t>
  </si>
  <si>
    <t>02-08-18 21:46:26</t>
  </si>
  <si>
    <t>09-08-18 17:43:26</t>
  </si>
  <si>
    <t>PANKAJ THAKUR</t>
  </si>
  <si>
    <t>06 Aug 1970</t>
  </si>
  <si>
    <t>pkthakur1968@gmail.com</t>
  </si>
  <si>
    <t>91 9892307058</t>
  </si>
  <si>
    <t>INOX AIR PRODUCTS LTD.</t>
  </si>
  <si>
    <t>BUB</t>
  </si>
  <si>
    <t>10-10-17 14:23:04</t>
  </si>
  <si>
    <t>21-08-18 13:41:26</t>
  </si>
  <si>
    <t>Md Mumshad Alam</t>
  </si>
  <si>
    <t>02 Nov 1995</t>
  </si>
  <si>
    <t>mumshadalammd@gmail.com</t>
  </si>
  <si>
    <t>91 9903363373</t>
  </si>
  <si>
    <t>Pune, Mumbai City, Delhi</t>
  </si>
  <si>
    <t>Rotary dryer  ,  shell  vessel  Npd ( piping assembl)</t>
  </si>
  <si>
    <t>Kil  burn engineering private limited</t>
  </si>
  <si>
    <t>Calcutta institute of technology</t>
  </si>
  <si>
    <t>11-04-18 23:19:44</t>
  </si>
  <si>
    <t>18-08-18 14:53:57</t>
  </si>
  <si>
    <t xml:space="preserve">Purnachandra Panigrahy </t>
  </si>
  <si>
    <t>18 Jun 1986</t>
  </si>
  <si>
    <t>purna_pinku@yahoo.co.in</t>
  </si>
  <si>
    <t>91 9773409986</t>
  </si>
  <si>
    <t>Rs. 9.55 Lacs</t>
  </si>
  <si>
    <t>Senior Manager - Treasury Operation</t>
  </si>
  <si>
    <t>20-04-18 00:21:18</t>
  </si>
  <si>
    <t>20-04-18 12:39:09</t>
  </si>
  <si>
    <t>Gorakh Pawar</t>
  </si>
  <si>
    <t>10 Jun 1982</t>
  </si>
  <si>
    <t>gorakhpawar@gmail.com</t>
  </si>
  <si>
    <t>91 8788225722</t>
  </si>
  <si>
    <t>12 Yrs 8 Months</t>
  </si>
  <si>
    <t>Manager-HR &amp; Admin</t>
  </si>
  <si>
    <t>Flexible Abrasives Pvt. Ltd</t>
  </si>
  <si>
    <t>Dr. Babasaheb Ambedkar Marathwada University, Aurangabad, MH</t>
  </si>
  <si>
    <t>14-08-18 17:46:38</t>
  </si>
  <si>
    <t>20-08-18 09:25:26</t>
  </si>
  <si>
    <t>Sonalika das</t>
  </si>
  <si>
    <t>sonalikadas18@yahoo.com</t>
  </si>
  <si>
    <t>91 9769852341</t>
  </si>
  <si>
    <t>Gyan kendra</t>
  </si>
  <si>
    <t>05-07-18 22:51:59</t>
  </si>
  <si>
    <t>SHEIKH ISLAM</t>
  </si>
  <si>
    <t>01 Jan 1967</t>
  </si>
  <si>
    <t>sheikhaz2002@yahoo.com</t>
  </si>
  <si>
    <t>966 0501459372</t>
  </si>
  <si>
    <t>Mumbai City, Oman, Saudi Arabia</t>
  </si>
  <si>
    <t>Asset Integrity Engineer</t>
  </si>
  <si>
    <t>Sadara Chemical Company</t>
  </si>
  <si>
    <t>01-09-18 20:08:04</t>
  </si>
  <si>
    <t>02-09-18 22:55:46</t>
  </si>
  <si>
    <t>AJAZ Sahil</t>
  </si>
  <si>
    <t>08 Feb 1992</t>
  </si>
  <si>
    <t>ajaz.sahil320@gmail.com</t>
  </si>
  <si>
    <t>91 9852081797</t>
  </si>
  <si>
    <t>Bahrain, Oman, Qatar, Saudi Arabia</t>
  </si>
  <si>
    <t>Piping supervisor</t>
  </si>
  <si>
    <t>RaviRaj infra project pvt ltd</t>
  </si>
  <si>
    <t>26-10-17 12:46:56</t>
  </si>
  <si>
    <t>19-07-18 15:18:36</t>
  </si>
  <si>
    <t>chandreshwar dubey</t>
  </si>
  <si>
    <t>01 Nov 1984</t>
  </si>
  <si>
    <t>chandreshwardubey@gmail.com</t>
  </si>
  <si>
    <t>91 9969394157</t>
  </si>
  <si>
    <t>Rs. 6.40 Lacs</t>
  </si>
  <si>
    <t>PETTY OFFICER COMMUNICATION</t>
  </si>
  <si>
    <t>MKU</t>
  </si>
  <si>
    <t>03-08-17 20:27:18</t>
  </si>
  <si>
    <t>14-04-18 14:14:06</t>
  </si>
  <si>
    <t>Anil mishra</t>
  </si>
  <si>
    <t>24 Aug 1987</t>
  </si>
  <si>
    <t>anil.imsec@gmail.com</t>
  </si>
  <si>
    <t>91 9594019933</t>
  </si>
  <si>
    <t>All India, Bangalore, Noida, Hyderabad, Lucknow, Gurugram, Pune, Mumbai City, Delhi, Ahmedabad</t>
  </si>
  <si>
    <t>Rs. 9.05 Lacs</t>
  </si>
  <si>
    <t>Technical and Specification Manager</t>
  </si>
  <si>
    <t>Rockwool India Pvt Ltd</t>
  </si>
  <si>
    <t>11-08-18 17:24:32</t>
  </si>
  <si>
    <t>23-08-18 14:47:58</t>
  </si>
  <si>
    <t>Zahir H Sheriff, PMP</t>
  </si>
  <si>
    <t>19 Nov 1984</t>
  </si>
  <si>
    <t>zahirhussainsheriff@gmail.com</t>
  </si>
  <si>
    <t>91 9892178499</t>
  </si>
  <si>
    <t>All India, United Arab Emirates, Mumbai City</t>
  </si>
  <si>
    <t>Project Manager PMP</t>
  </si>
  <si>
    <t>Buzzworks Business Services Pvt Ltd</t>
  </si>
  <si>
    <t>United Business Institute, Brussels</t>
  </si>
  <si>
    <t>28-08-18 12:12:39</t>
  </si>
  <si>
    <t>07-09-18 12:26:36</t>
  </si>
  <si>
    <t>Pramod Hatkar</t>
  </si>
  <si>
    <t>hatkarpramod7@gmail.com</t>
  </si>
  <si>
    <t>91 7042291669</t>
  </si>
  <si>
    <t>Srilanka -Bangladesh-PakistanGraco India Pvt. Ltd. (Graco Inc</t>
  </si>
  <si>
    <t>Sardar Patel College of Engineering</t>
  </si>
  <si>
    <t>05-08-17 16:47:40</t>
  </si>
  <si>
    <t>30-07-18 20:27:27</t>
  </si>
  <si>
    <t>Abhiram Singhania</t>
  </si>
  <si>
    <t>13 Feb 1992</t>
  </si>
  <si>
    <t>abhi43ram@gmail.com</t>
  </si>
  <si>
    <t>91 7770938352</t>
  </si>
  <si>
    <t>Raipur, Thane, Bhillai</t>
  </si>
  <si>
    <t>NIT</t>
  </si>
  <si>
    <t>18-05-17 09:11:55</t>
  </si>
  <si>
    <t>12-05-18 08:36:25</t>
  </si>
  <si>
    <t>Sariful  Islam</t>
  </si>
  <si>
    <t>sarifulislam719@gmail.com</t>
  </si>
  <si>
    <t>91 8016195690</t>
  </si>
  <si>
    <t>Surveyor</t>
  </si>
  <si>
    <t>Shapoorji Pallonji &amp; Co. Ltd</t>
  </si>
  <si>
    <t>WBCHSE</t>
  </si>
  <si>
    <t>10-01-17 15:59:02</t>
  </si>
  <si>
    <t>02-04-18 15:09:56</t>
  </si>
  <si>
    <t>Mukesh Kumar</t>
  </si>
  <si>
    <t>mukesh_nkumar@hotmail.com</t>
  </si>
  <si>
    <t>91 9820131085</t>
  </si>
  <si>
    <t>9 Yrs 4 Months</t>
  </si>
  <si>
    <t>Location Manager</t>
  </si>
  <si>
    <t>Veer Kunwar Singh University</t>
  </si>
  <si>
    <t>06-08-17 07:26:08</t>
  </si>
  <si>
    <t>25-04-18 09:48:43</t>
  </si>
  <si>
    <t>nitin shinde</t>
  </si>
  <si>
    <t>31 Aug 1987</t>
  </si>
  <si>
    <t>shindenitinj@gmail.com</t>
  </si>
  <si>
    <t>91 8097948429</t>
  </si>
  <si>
    <t xml:space="preserve">Mechanical and Piping Draughtsman </t>
  </si>
  <si>
    <t xml:space="preserve">Technograph Engineering Pvt Ltd </t>
  </si>
  <si>
    <t>Suvidya Institue of Technology</t>
  </si>
  <si>
    <t>31-07-18 11:09:31</t>
  </si>
  <si>
    <t xml:space="preserve">MR. ANAND C. KALE </t>
  </si>
  <si>
    <t>27 Sep 1977</t>
  </si>
  <si>
    <t>kale.house@yahoo.com</t>
  </si>
  <si>
    <t>91 9819730459</t>
  </si>
  <si>
    <t>Rs. 26.70 Lacs</t>
  </si>
  <si>
    <t>Procurement Purchase -  D.G.M.</t>
  </si>
  <si>
    <t>Kalpataru Power Transmission Ltd</t>
  </si>
  <si>
    <t>21-05-18 16:00:39</t>
  </si>
  <si>
    <t>22-05-18 10:25:45</t>
  </si>
  <si>
    <t>ANSHU KUMAR</t>
  </si>
  <si>
    <t>12 Dec 1991</t>
  </si>
  <si>
    <t>anshu.4145@gmail.com</t>
  </si>
  <si>
    <t>91 7021231371</t>
  </si>
  <si>
    <t>- Any -, All India, Mumbai City</t>
  </si>
  <si>
    <t>Fishery survey of india</t>
  </si>
  <si>
    <t>Rds collegr</t>
  </si>
  <si>
    <t>14-08-18 09:39:15</t>
  </si>
  <si>
    <t>28-08-18 16:04:40</t>
  </si>
  <si>
    <t>Akhil P</t>
  </si>
  <si>
    <t>21 Apr 1991</t>
  </si>
  <si>
    <t>akhiltirur@gmail.com</t>
  </si>
  <si>
    <t>91 9746871912</t>
  </si>
  <si>
    <t>Instrument Engineer</t>
  </si>
  <si>
    <t>Pangulf</t>
  </si>
  <si>
    <t>SACET TRICHY</t>
  </si>
  <si>
    <t>26-03-17 11:12:01</t>
  </si>
  <si>
    <t>07-03-18 13:20:21</t>
  </si>
  <si>
    <t>sharad Randive</t>
  </si>
  <si>
    <t>02 Jan 1970</t>
  </si>
  <si>
    <t>sharad1randive@gmail.com</t>
  </si>
  <si>
    <t>91 9833021227</t>
  </si>
  <si>
    <t>Asst Manager safety</t>
  </si>
  <si>
    <t>Aditya construction Infrastructures &amp; Projects pvt ltd</t>
  </si>
  <si>
    <t>Dr Babasaheb Ambedkar  University Aurangbad</t>
  </si>
  <si>
    <t>02-04-18 20:11:20</t>
  </si>
  <si>
    <t xml:space="preserve">Neha Mishra </t>
  </si>
  <si>
    <t>22 Dec 1979</t>
  </si>
  <si>
    <t>nehapandey484@gmail.com</t>
  </si>
  <si>
    <t>91 9839639907</t>
  </si>
  <si>
    <t>Allahabad State University</t>
  </si>
  <si>
    <t>12-06-18 14:33:14</t>
  </si>
  <si>
    <t>Rajesh Heralgi</t>
  </si>
  <si>
    <t>rajesh_heralgi@hotmail.com</t>
  </si>
  <si>
    <t>91 9769209154</t>
  </si>
  <si>
    <t>Rs. 17.65 Lacs</t>
  </si>
  <si>
    <t>DEPUTY MANAGER-QUALITY ASSURANCE</t>
  </si>
  <si>
    <t>CROMPTON GREAVES LT</t>
  </si>
  <si>
    <t>PVG'S COET</t>
  </si>
  <si>
    <t>12-06-18 10:39:07</t>
  </si>
  <si>
    <t>13-06-18 10:44:37</t>
  </si>
  <si>
    <t>Vasant Varadkar</t>
  </si>
  <si>
    <t>07 Jun 1990</t>
  </si>
  <si>
    <t>vasant.varadkar@gmail.com</t>
  </si>
  <si>
    <t>91 9664841421</t>
  </si>
  <si>
    <t>Operations Executive</t>
  </si>
  <si>
    <t>Prime Focus Technology Ltd</t>
  </si>
  <si>
    <t>19-07-18 15:13:24</t>
  </si>
  <si>
    <t>26-07-18 15:41:03</t>
  </si>
  <si>
    <t>M DINESH BHAT</t>
  </si>
  <si>
    <t>22 Jul 1959</t>
  </si>
  <si>
    <t>d1535125@gmail.com</t>
  </si>
  <si>
    <t>91 7208361893</t>
  </si>
  <si>
    <t>Leo Motors</t>
  </si>
  <si>
    <t>SDM College</t>
  </si>
  <si>
    <t>1980</t>
  </si>
  <si>
    <t>08-05-18 13:51:22</t>
  </si>
  <si>
    <t>15-07-18 09:36:43</t>
  </si>
  <si>
    <t>Satya Ranjan Mohanty</t>
  </si>
  <si>
    <t>01 May 1978</t>
  </si>
  <si>
    <t>sm74183@gmail.com</t>
  </si>
  <si>
    <t>91 8493897490</t>
  </si>
  <si>
    <t>Jammu, All India, Mumbai City</t>
  </si>
  <si>
    <t>Afcons Infrastructure Limited</t>
  </si>
  <si>
    <t>29-08-18 10:03:47</t>
  </si>
  <si>
    <t>shaikh iqbal ahmed</t>
  </si>
  <si>
    <t>22 May 1968</t>
  </si>
  <si>
    <t>iqbalshaikh1968@gmail.com</t>
  </si>
  <si>
    <t>880 1708139502</t>
  </si>
  <si>
    <t>Additional General Manager</t>
  </si>
  <si>
    <t>Punj Lloyd Limited</t>
  </si>
  <si>
    <t>Father Agnels, Navi Mumbai</t>
  </si>
  <si>
    <t>02-05-18 15:44:33</t>
  </si>
  <si>
    <t>19-07-18 15:19:01</t>
  </si>
  <si>
    <t>Sujeet Mishra</t>
  </si>
  <si>
    <t>17 Dec 1988</t>
  </si>
  <si>
    <t>sujeetmishra648@gmail.com</t>
  </si>
  <si>
    <t>91 9594514955</t>
  </si>
  <si>
    <t>Mukand Engineers Ltd</t>
  </si>
  <si>
    <t>23-08-18 19:43:44</t>
  </si>
  <si>
    <t>06-09-18 16:07:32</t>
  </si>
  <si>
    <t>Atul Srivastava</t>
  </si>
  <si>
    <t>22 Mar 1963</t>
  </si>
  <si>
    <t>ks.atul@gmail.com</t>
  </si>
  <si>
    <t>91 7710067708</t>
  </si>
  <si>
    <t>Australia, Azerbaijan, Bahrain, Singapore, Oman, Qatar, All India, Kuwait, Malaysia, Mumbai City, Kazakhstan, Indonesia</t>
  </si>
  <si>
    <t>Vice President - HSE Engineering</t>
  </si>
  <si>
    <t>AMU-AIMA</t>
  </si>
  <si>
    <t>12-06-18 08:53:53</t>
  </si>
  <si>
    <t>Roshan Mazhar Khan</t>
  </si>
  <si>
    <t>05 Aug 1992</t>
  </si>
  <si>
    <t>roshank447@gmail.com</t>
  </si>
  <si>
    <t>91 8082026036</t>
  </si>
  <si>
    <t>Senior MIS-Executive</t>
  </si>
  <si>
    <t>Prime Teleservices PVT LTD)</t>
  </si>
  <si>
    <t>09-05-18 17:25:27</t>
  </si>
  <si>
    <t>10-05-18 11:20:56</t>
  </si>
  <si>
    <t>Nazma Shaikh</t>
  </si>
  <si>
    <t>09 Dec 1984</t>
  </si>
  <si>
    <t>shaikhnazma126@gmail.com</t>
  </si>
  <si>
    <t>91 9326762584</t>
  </si>
  <si>
    <t>AGM - Administration &amp; Office Work</t>
  </si>
  <si>
    <t>Celebi nas airport services pvt ltd</t>
  </si>
  <si>
    <t>University of mumbai</t>
  </si>
  <si>
    <t>03-09-18 21:34:38</t>
  </si>
  <si>
    <t>Mohammad Ashif</t>
  </si>
  <si>
    <t>14 Dec 1988</t>
  </si>
  <si>
    <t>mohammadashif88@gmail.com</t>
  </si>
  <si>
    <t>91 9762582747</t>
  </si>
  <si>
    <t>Other Gujarat, Navi Mumbai, Mumbai City, Surat, Ahmedabad</t>
  </si>
  <si>
    <t>HEAD PRODUCTION (VALVES SERVICES ON SHORE/INHOUSE/DOWNSTREAM / MFG/HYDRO TESTING VALVES)</t>
  </si>
  <si>
    <t>NITON VALVES INDUSTRIES PVT LTD MUMBAI INDIA</t>
  </si>
  <si>
    <t>MPCT</t>
  </si>
  <si>
    <t>14-08-18 14:12:46</t>
  </si>
  <si>
    <t>Ritesh Vengurlekar</t>
  </si>
  <si>
    <t>riteshvengurlekar1407@gmail.com</t>
  </si>
  <si>
    <t>91 9870418982</t>
  </si>
  <si>
    <t>Rs. 18.20 Lacs</t>
  </si>
  <si>
    <t>Senior Video Editor</t>
  </si>
  <si>
    <t>Madurai Univercity</t>
  </si>
  <si>
    <t>02-09-18 17:03:59</t>
  </si>
  <si>
    <t>06-09-18 06:19:08</t>
  </si>
  <si>
    <t>Harish Dasari</t>
  </si>
  <si>
    <t>25 Apr 1994</t>
  </si>
  <si>
    <t>harishd.iiitb@gmail.com</t>
  </si>
  <si>
    <t>91 9573316339</t>
  </si>
  <si>
    <t>- Any -, All India, Bangalore, Hyderabad</t>
  </si>
  <si>
    <t>Mahindra &amp; Mahindra Ltd</t>
  </si>
  <si>
    <t>RAJIV GANDHI UNIVERSITY OF KNOWLEDGE TECHNOLOGIES BASAR</t>
  </si>
  <si>
    <t>06-08-18 21:15:18</t>
  </si>
  <si>
    <t>07-08-18 11:32:13</t>
  </si>
  <si>
    <t>Parvinder Singh Mahajan</t>
  </si>
  <si>
    <t>10 Sep 1974</t>
  </si>
  <si>
    <t>parvindersinghmahajan@yahoo.com</t>
  </si>
  <si>
    <t>91 9910061712</t>
  </si>
  <si>
    <t>Rs. 19.50 Lacs</t>
  </si>
  <si>
    <t>Territory Manager Customer Care</t>
  </si>
  <si>
    <t>Thermo Fisher Scientific</t>
  </si>
  <si>
    <t>18-08-18 22:03:28</t>
  </si>
  <si>
    <t>03-09-18 15:37:29</t>
  </si>
  <si>
    <t>Archana N. Jadahv</t>
  </si>
  <si>
    <t>25 Nov 1972</t>
  </si>
  <si>
    <t>archanajadhav8@gmail.com</t>
  </si>
  <si>
    <t>91 9987524235</t>
  </si>
  <si>
    <t>Sr. Executive</t>
  </si>
  <si>
    <t>Reliance Infrastructure Ltd</t>
  </si>
  <si>
    <t>ITES</t>
  </si>
  <si>
    <t>14-07-18 15:44:39</t>
  </si>
  <si>
    <t>10-08-18 11:18:25</t>
  </si>
  <si>
    <t>Md Ijhar Asharaf</t>
  </si>
  <si>
    <t>05 Jan 1993</t>
  </si>
  <si>
    <t>ijharash93@gmail.com</t>
  </si>
  <si>
    <t>91 9955862452</t>
  </si>
  <si>
    <t>All India, Delhi</t>
  </si>
  <si>
    <t>Bharat  institute of technology meerut</t>
  </si>
  <si>
    <t>13-08-18 14:01:35</t>
  </si>
  <si>
    <t>Govind Shinde</t>
  </si>
  <si>
    <t>06 Aug 1971</t>
  </si>
  <si>
    <t>drshindegp@rediffmail.com</t>
  </si>
  <si>
    <t>91 9702439404</t>
  </si>
  <si>
    <t>Ahmednagar, Pune, Aurangabad, Mumbai City</t>
  </si>
  <si>
    <t>Associate Professor</t>
  </si>
  <si>
    <t>Bharati Vidyapeeth's Institute of Management Studies and Research, Navi Mumbai</t>
  </si>
  <si>
    <t>Swami Ramanand Teerth Marathwada University School of Comm</t>
  </si>
  <si>
    <t>18-07-18 09:41:41</t>
  </si>
  <si>
    <t>30-08-18 18:44:05</t>
  </si>
  <si>
    <t>ROMAULD  FRANCIS</t>
  </si>
  <si>
    <t>19 Jun 1975</t>
  </si>
  <si>
    <t>romyfrancis@yahoo.com</t>
  </si>
  <si>
    <t>91 9820326503</t>
  </si>
  <si>
    <t>19 Yrs 1 Month</t>
  </si>
  <si>
    <t>Associate Director 1</t>
  </si>
  <si>
    <t>IDFC Bank</t>
  </si>
  <si>
    <t>Burhani College of Commerce &amp; Arts</t>
  </si>
  <si>
    <t>20-08-18 18:25:35</t>
  </si>
  <si>
    <t>Ritesh Singh</t>
  </si>
  <si>
    <t>rs3134893@gmail.com</t>
  </si>
  <si>
    <t>91 8528010882</t>
  </si>
  <si>
    <t>G.N.C.T</t>
  </si>
  <si>
    <t>26-10-17 15:07:05</t>
  </si>
  <si>
    <t>12-07-18 15:35:29</t>
  </si>
  <si>
    <t>SAMAR SINGH</t>
  </si>
  <si>
    <t>02 Sep 1980</t>
  </si>
  <si>
    <t>singhsamar@gmail.com</t>
  </si>
  <si>
    <t>91 9324764101</t>
  </si>
  <si>
    <t>Nigeria, Pune, Mumbai City, Surat</t>
  </si>
  <si>
    <t>14 Yrs 7 Months</t>
  </si>
  <si>
    <t>Procurement Manager</t>
  </si>
  <si>
    <t>Sterling Oil Exploration &amp; Energy Production Co. Limited</t>
  </si>
  <si>
    <t>Institute of Engineering &amp; Technology, M.J.P. Rohilkhand University</t>
  </si>
  <si>
    <t>29-07-18 14:33:07</t>
  </si>
  <si>
    <t>16-08-18 02:01:41</t>
  </si>
  <si>
    <t>Nikita Gupta</t>
  </si>
  <si>
    <t>nikitadentist28@gmail.com</t>
  </si>
  <si>
    <t>91 7709376181</t>
  </si>
  <si>
    <t>BDS</t>
  </si>
  <si>
    <t>Bharati Vidyapeeth Dental College And Hospital ,Pune</t>
  </si>
  <si>
    <t>27-12-16 00:37:26</t>
  </si>
  <si>
    <t>24-05-18 12:31:54</t>
  </si>
  <si>
    <t>AMAR RATHOD</t>
  </si>
  <si>
    <t>14 Oct 1981</t>
  </si>
  <si>
    <t>rathodamar@gmail.com</t>
  </si>
  <si>
    <t>91 9892353697</t>
  </si>
  <si>
    <t>Project Coordinator</t>
  </si>
  <si>
    <t>Major Brands Pvt Ltd</t>
  </si>
  <si>
    <t>Diploma In Interior Designing</t>
  </si>
  <si>
    <t>St. Francis Institute of Art &amp; Design</t>
  </si>
  <si>
    <t>14-03-18 17:11:06</t>
  </si>
  <si>
    <t>04-08-18 10:32:44</t>
  </si>
  <si>
    <t>PANKAJ JHA</t>
  </si>
  <si>
    <t>pankaj2012ghy@gmail.com</t>
  </si>
  <si>
    <t>91 7507899653</t>
  </si>
  <si>
    <t>Noida, Gurugram, Faridabad, Shillong, Pune, Delhi, Patna, Guwahati</t>
  </si>
  <si>
    <t>HVAC</t>
  </si>
  <si>
    <t>HPS AIR SYSTEM PVT LTD</t>
  </si>
  <si>
    <t>SRI SATYA SAI INSTITUTE OF SCIENCE &amp; TECHNOLOGY</t>
  </si>
  <si>
    <t>20-08-18 15:12:19</t>
  </si>
  <si>
    <t>06-09-18 16:37:31</t>
  </si>
  <si>
    <t>SANDEEP  DUTTA</t>
  </si>
  <si>
    <t>26 Sep 1984</t>
  </si>
  <si>
    <t>sandeepd128@gmail.com</t>
  </si>
  <si>
    <t>91 9163922016</t>
  </si>
  <si>
    <t>Shobiz Experiential Communications Pvt.Ltd</t>
  </si>
  <si>
    <t>Private college</t>
  </si>
  <si>
    <t>09-10-17 12:52:07</t>
  </si>
  <si>
    <t>26-04-18 17:31:01</t>
  </si>
  <si>
    <t>Rimpa patro</t>
  </si>
  <si>
    <t>rimpa.patro95@gmail.com</t>
  </si>
  <si>
    <t>91 8356923775</t>
  </si>
  <si>
    <t>Tally ,billing  , sale , purchase entry</t>
  </si>
  <si>
    <t>Prime CONSULTANT</t>
  </si>
  <si>
    <t>23-03-18 11:08:17</t>
  </si>
  <si>
    <t>30-05-18 22:32:52</t>
  </si>
  <si>
    <t>Nilesh Pandey</t>
  </si>
  <si>
    <t>nileshgpandey@gmail.com</t>
  </si>
  <si>
    <t>91 8652654437</t>
  </si>
  <si>
    <t>12 Yrs 5 Months</t>
  </si>
  <si>
    <t>Executive Service Engineer</t>
  </si>
  <si>
    <t>Environnement sa India Pvt. Ltd.,Chemito Technology Pvt.Ltd.</t>
  </si>
  <si>
    <t>Maharashtra state board</t>
  </si>
  <si>
    <t>31-07-18 23:16:03</t>
  </si>
  <si>
    <t>25-08-18 07:29:51</t>
  </si>
  <si>
    <t>RAJESH SHARMA</t>
  </si>
  <si>
    <t>03 Mar 1982</t>
  </si>
  <si>
    <t>rajesh.303@rediffmail.com</t>
  </si>
  <si>
    <t>91 8451035108</t>
  </si>
  <si>
    <t>Rs. 7.90 Lacs</t>
  </si>
  <si>
    <t>Ion Exchange (India) Ltd</t>
  </si>
  <si>
    <t>water treatment</t>
  </si>
  <si>
    <t>DR. BATU LONERE</t>
  </si>
  <si>
    <t>03-08-17 18:45:29</t>
  </si>
  <si>
    <t>08-03-18 09:55:19</t>
  </si>
  <si>
    <t>Nikhil saxena</t>
  </si>
  <si>
    <t>saxenanikhil1987@gmail.com</t>
  </si>
  <si>
    <t>91 9873066862</t>
  </si>
  <si>
    <t>Finance and accounts accounts payables</t>
  </si>
  <si>
    <t>Quatrro</t>
  </si>
  <si>
    <t>Delhi university</t>
  </si>
  <si>
    <t>02-08-18 14:58:56</t>
  </si>
  <si>
    <t>07-09-18 12:02:21</t>
  </si>
  <si>
    <t>deepu joseph</t>
  </si>
  <si>
    <t>04 Jan 1980</t>
  </si>
  <si>
    <t>chefdeepu.joseph@gmail.com</t>
  </si>
  <si>
    <t>002 1271489610</t>
  </si>
  <si>
    <t>chef de partie</t>
  </si>
  <si>
    <t>panoramic group of hotel</t>
  </si>
  <si>
    <t>I I M S COHIN</t>
  </si>
  <si>
    <t>15-11-17 11:59:29</t>
  </si>
  <si>
    <t>13-08-18 15:36:30</t>
  </si>
  <si>
    <t>mohd irfan shaikh</t>
  </si>
  <si>
    <t>09 May 1987</t>
  </si>
  <si>
    <t>irfanshaikh9may@gmail.com</t>
  </si>
  <si>
    <t>91 9987875111</t>
  </si>
  <si>
    <t>Kuwait, Malaysia, Bahrain, Brunei Darussalam</t>
  </si>
  <si>
    <t>Deputy Manager ( Auto :Loan )</t>
  </si>
  <si>
    <t>21-07-18 00:16:53</t>
  </si>
  <si>
    <t>21-07-18 12:16:27</t>
  </si>
  <si>
    <t>Reshma Malik</t>
  </si>
  <si>
    <t>sparklingdiamondreshma@gmail.com</t>
  </si>
  <si>
    <t>91 8369117147</t>
  </si>
  <si>
    <t>20 Yrs 3 Months</t>
  </si>
  <si>
    <t>Rs. 51+ Lacs</t>
  </si>
  <si>
    <t>Owner</t>
  </si>
  <si>
    <t>Rubixhouse</t>
  </si>
  <si>
    <t>Ruparel College</t>
  </si>
  <si>
    <t>19-07-18 15:14:54</t>
  </si>
  <si>
    <t>17-08-18 16:53:27</t>
  </si>
  <si>
    <t>Prakash chandra</t>
  </si>
  <si>
    <t>15 Nov 1967</t>
  </si>
  <si>
    <t>prakashchandra197036@gmail.com</t>
  </si>
  <si>
    <t>91 7030192946</t>
  </si>
  <si>
    <t>Nashik, Other Maharashtra, Solapur, Pune, Mumbai City, Jalgaon</t>
  </si>
  <si>
    <t>Electrical Maintenance Engineer,Administrator,Inspection and overseer coordinator</t>
  </si>
  <si>
    <t>A22 Z Infra services</t>
  </si>
  <si>
    <t>Indian Institute of Industrial Engineering</t>
  </si>
  <si>
    <t>06-04-17 15:00:46</t>
  </si>
  <si>
    <t>22-07-18 11:04:27</t>
  </si>
  <si>
    <t>Rohan Mahadev Yelkar</t>
  </si>
  <si>
    <t>07 Dec 1982</t>
  </si>
  <si>
    <t>rohan07101982@gmail.com</t>
  </si>
  <si>
    <t>91 9869586901</t>
  </si>
  <si>
    <t>Australia, Canada, Botswana, Qatar, South Africa, Russia, Nashik, Solapur, United Kingdom, Navi Mumbai, Thane, Pune, Japan, Mumbai City, Germany</t>
  </si>
  <si>
    <t>11 Yrs 1 Month</t>
  </si>
  <si>
    <t>Manager Project and Planning</t>
  </si>
  <si>
    <t>CR Asia</t>
  </si>
  <si>
    <t xml:space="preserve">A.I.E.M. </t>
  </si>
  <si>
    <t>23-07-17 18:13:05</t>
  </si>
  <si>
    <t>28-03-18 11:34:40</t>
  </si>
  <si>
    <t>JATHIN DAS</t>
  </si>
  <si>
    <t>padmadaspillai@yahoo.com</t>
  </si>
  <si>
    <t>91 9995638498</t>
  </si>
  <si>
    <t>NATIONAL INSTITUTE OF TECHNOLOGY CALICUT</t>
  </si>
  <si>
    <t>03-10-17 15:42:50</t>
  </si>
  <si>
    <t>22-03-18 18:15:19</t>
  </si>
  <si>
    <t>GOPESHWAR VERMA</t>
  </si>
  <si>
    <t>27 Jul 1983</t>
  </si>
  <si>
    <t>gopeshwar.verma@ymail.com</t>
  </si>
  <si>
    <t>91 8108152127</t>
  </si>
  <si>
    <t>Bangalore, Noida, Raipur, Hyderabad, Gurugram, Pune, Mumbai City, Bhillai, Delhi, Bilaspur</t>
  </si>
  <si>
    <t>Rs. 9.80 Lacs</t>
  </si>
  <si>
    <t>Deputy Manager - mechanical maintenance</t>
  </si>
  <si>
    <t>JSW Steel Ltd</t>
  </si>
  <si>
    <t>N.I.T, Raipur</t>
  </si>
  <si>
    <t>17-07-18 13:23:11</t>
  </si>
  <si>
    <t>31-07-18 13:50:19</t>
  </si>
  <si>
    <t>Shikha Sharma</t>
  </si>
  <si>
    <t>aslpshikha22@gmail.com</t>
  </si>
  <si>
    <t>91 8619926261</t>
  </si>
  <si>
    <t>Consulting audiologist and speech language pathologist</t>
  </si>
  <si>
    <t>Amplifon India Pvt Ltd and Stephen school</t>
  </si>
  <si>
    <t>I.I.B.M</t>
  </si>
  <si>
    <t>05-04-18 12:14:59</t>
  </si>
  <si>
    <t>08-04-18 21:15:16</t>
  </si>
  <si>
    <t>SWAPNIL SHINDE</t>
  </si>
  <si>
    <t>21 Apr 1993</t>
  </si>
  <si>
    <t>swapnildshinde16@gmail.com</t>
  </si>
  <si>
    <t>91 7303058872</t>
  </si>
  <si>
    <t>Assistant Manager- Projects</t>
  </si>
  <si>
    <t>Larsen and Toubro Ltd.</t>
  </si>
  <si>
    <t>Veermata Jijabai TechnologicalInstitute</t>
  </si>
  <si>
    <t>02-09-18 19:00:59</t>
  </si>
  <si>
    <t xml:space="preserve">Jignasu Doshi </t>
  </si>
  <si>
    <t>02 Oct 1968</t>
  </si>
  <si>
    <t>jignasudoshi@gmail.com</t>
  </si>
  <si>
    <t>91 9619516997</t>
  </si>
  <si>
    <t>FREE LANCER</t>
  </si>
  <si>
    <t>Own practice</t>
  </si>
  <si>
    <t>icai</t>
  </si>
  <si>
    <t>19-08-18 08:54:49</t>
  </si>
  <si>
    <t>19-08-18 08:56:34</t>
  </si>
  <si>
    <t>pravesh kumar sharma</t>
  </si>
  <si>
    <t>27 Apr 1992</t>
  </si>
  <si>
    <t>praveshsharma.95@gmail.com</t>
  </si>
  <si>
    <t>91 6295975306</t>
  </si>
  <si>
    <t>Production Engineer and Member of R&amp;D team</t>
  </si>
  <si>
    <t>Firefly Led Products pvt. Ltd.</t>
  </si>
  <si>
    <t>BIST, Bhopal</t>
  </si>
  <si>
    <t>21-08-18 12:27:58</t>
  </si>
  <si>
    <t>Surendra Singh</t>
  </si>
  <si>
    <t>er.ssrajawat@gmail.com</t>
  </si>
  <si>
    <t>91 7666614141</t>
  </si>
  <si>
    <t>Safety Engineer</t>
  </si>
  <si>
    <t>Skyway Infra Project Pvt. Ltd</t>
  </si>
  <si>
    <t>Industrial Safety</t>
  </si>
  <si>
    <t>Central Labour Institute</t>
  </si>
  <si>
    <t>26-08-17 11:17:55</t>
  </si>
  <si>
    <t>31-05-18 10:56:54</t>
  </si>
  <si>
    <t>Sujit Bhoir</t>
  </si>
  <si>
    <t>bhoirsujit@hotmail.com</t>
  </si>
  <si>
    <t>91 7774956876</t>
  </si>
  <si>
    <t>quality control engineer - mechanical</t>
  </si>
  <si>
    <t>goma engineering pvt. ltd.</t>
  </si>
  <si>
    <t>Karnataka State open University</t>
  </si>
  <si>
    <t>17-08-18 23:45:42</t>
  </si>
  <si>
    <t>ANKIT SINGH</t>
  </si>
  <si>
    <t>ankit.jbs@gmail.com</t>
  </si>
  <si>
    <t>91 9869927043</t>
  </si>
  <si>
    <t>st.francis institute of management and research</t>
  </si>
  <si>
    <t>27-03-18 14:45:31</t>
  </si>
  <si>
    <t>27-06-18 17:18:38</t>
  </si>
  <si>
    <t>Dr Renu</t>
  </si>
  <si>
    <t>renut2509@gmail.com</t>
  </si>
  <si>
    <t>91 8424960047</t>
  </si>
  <si>
    <t>Medical Officer</t>
  </si>
  <si>
    <t>SKMCH  Muzaffarpur Bihar</t>
  </si>
  <si>
    <t>MBBS</t>
  </si>
  <si>
    <t>skmch muzaffarpur bihar</t>
  </si>
  <si>
    <t>26-08-17 11:38:10</t>
  </si>
  <si>
    <t>23-03-18 15:23:35</t>
  </si>
  <si>
    <t>Sameet Gunjal</t>
  </si>
  <si>
    <t>sameetgunjal@yahoo.co.in</t>
  </si>
  <si>
    <t>91 9819186635</t>
  </si>
  <si>
    <t>13 Yrs 10 Months</t>
  </si>
  <si>
    <t>Dy. General Manager - Project Management</t>
  </si>
  <si>
    <t>Tema India Limited</t>
  </si>
  <si>
    <t>Welingkar Institute of Management Developement &amp; Research</t>
  </si>
  <si>
    <t>27-05-18 16:04:48</t>
  </si>
  <si>
    <t>Anand Gilke</t>
  </si>
  <si>
    <t>anandgilke@rediffmail.com</t>
  </si>
  <si>
    <t>91 9920605665</t>
  </si>
  <si>
    <t>Sr. Manager Procurement</t>
  </si>
  <si>
    <t>O P Jindal Group</t>
  </si>
  <si>
    <t xml:space="preserve">S V Govt polytechnic BHOPAL </t>
  </si>
  <si>
    <t>03-04-18 11:42:06</t>
  </si>
  <si>
    <t>04-07-18 09:50:24</t>
  </si>
  <si>
    <t>Rizwana Shaikh</t>
  </si>
  <si>
    <t>26 Dec 1987</t>
  </si>
  <si>
    <t>rizwana.shk26@gmail.com</t>
  </si>
  <si>
    <t>91 8425932225</t>
  </si>
  <si>
    <t>Project Lead</t>
  </si>
  <si>
    <t>Frameworkz projects and management services Pvt Ltd</t>
  </si>
  <si>
    <t>Interior design</t>
  </si>
  <si>
    <t>SNDT women's University</t>
  </si>
  <si>
    <t>16-07-18 12:04:00</t>
  </si>
  <si>
    <t>12-08-18 17:29:06</t>
  </si>
  <si>
    <t>Nadeem Shafi</t>
  </si>
  <si>
    <t>nadeemshafi71@gmail.com</t>
  </si>
  <si>
    <t>91 9819796367</t>
  </si>
  <si>
    <t>Associate - Fund Accounting</t>
  </si>
  <si>
    <t>SS&amp;C Globeop Financial Services</t>
  </si>
  <si>
    <t>Xavier Institute of Management &amp; Entrepreneurship</t>
  </si>
  <si>
    <t>11-02-18 19:41:29</t>
  </si>
  <si>
    <t>02-04-18 10:08:20</t>
  </si>
  <si>
    <t>Rahul Prabhakar Yevale</t>
  </si>
  <si>
    <t>24 May 1983</t>
  </si>
  <si>
    <t>rahulyevale@rediffmail.com</t>
  </si>
  <si>
    <t>91 9324677798</t>
  </si>
  <si>
    <t>Electrical Engineer</t>
  </si>
  <si>
    <t>STATOMAT SPECIAL MACHINES (I) PVT. LTD</t>
  </si>
  <si>
    <t>J.R.N. Rajasthan Vidyapeeth University</t>
  </si>
  <si>
    <t>08-03-18 20:34:23</t>
  </si>
  <si>
    <t>07-07-18 21:07:52</t>
  </si>
  <si>
    <t xml:space="preserve">Smita Sawaratkar </t>
  </si>
  <si>
    <t>24 Aug 1989</t>
  </si>
  <si>
    <t>smi241989@gmail.com</t>
  </si>
  <si>
    <t>91 9619402057</t>
  </si>
  <si>
    <t>Associate Manager</t>
  </si>
  <si>
    <t>SSC globeop</t>
  </si>
  <si>
    <t>NES Ratnam college</t>
  </si>
  <si>
    <t>15-08-18 09:58:31</t>
  </si>
  <si>
    <t>JITENDRA DUSANE</t>
  </si>
  <si>
    <t>01 Jan 1981</t>
  </si>
  <si>
    <t>jitudusane@gmail.com</t>
  </si>
  <si>
    <t>91 9320980678</t>
  </si>
  <si>
    <t>Nashik, Indore, Other Madhya Pradesh, Anand, Pune, Bharuch, Mumbai City, Surat, Vadodara, Ankleshwar</t>
  </si>
  <si>
    <t>Asst Manager Technical</t>
  </si>
  <si>
    <t>Gammon India Ltd</t>
  </si>
  <si>
    <t>NIBM, Chennai</t>
  </si>
  <si>
    <t>21-12-17 10:58:40</t>
  </si>
  <si>
    <t>08-06-18 10:55:21</t>
  </si>
  <si>
    <t>PRABHJINDER SINGH</t>
  </si>
  <si>
    <t>singhprabhjinder@gmail.com</t>
  </si>
  <si>
    <t>91 7303641001</t>
  </si>
  <si>
    <t>Reliance Infrastructure Ltd. (ADAG)</t>
  </si>
  <si>
    <t>Masters in Business Law from National Law School of India University, Bangalore</t>
  </si>
  <si>
    <t>08-11-16 15:30:14</t>
  </si>
  <si>
    <t>24-08-18 14:48:25</t>
  </si>
  <si>
    <t>RIJO JOSEPH</t>
  </si>
  <si>
    <t>rijojosephpalakunnel@gmail.com</t>
  </si>
  <si>
    <t>91 8086056669</t>
  </si>
  <si>
    <t>Tourism</t>
  </si>
  <si>
    <t>AERO SPACE COLLEGE MUVATTUPUZHA</t>
  </si>
  <si>
    <t>27-04-18 13:57:37</t>
  </si>
  <si>
    <t>25-05-18 14:06:24</t>
  </si>
  <si>
    <t>Rohit Lanjekar</t>
  </si>
  <si>
    <t>26 Sep 1987</t>
  </si>
  <si>
    <t>rohit.lanjekar22@gmail.com</t>
  </si>
  <si>
    <t>91 9987173878</t>
  </si>
  <si>
    <t>Canada, Mumbai City</t>
  </si>
  <si>
    <t>A. K. Wealth Management Private Limited</t>
  </si>
  <si>
    <t>Viva Institute of Management Studies, Virar.</t>
  </si>
  <si>
    <t>01-07-18 21:09:07</t>
  </si>
  <si>
    <t>29-07-18 21:36:58</t>
  </si>
  <si>
    <t>viraf daruwala</t>
  </si>
  <si>
    <t>27 Sep 1972</t>
  </si>
  <si>
    <t>v_ndaruwala@yahoo.com</t>
  </si>
  <si>
    <t>91 8652099987</t>
  </si>
  <si>
    <t>21 Yrs 3 Months</t>
  </si>
  <si>
    <t>M/s Nitin Castings Ltd</t>
  </si>
  <si>
    <t>SHAH AND ANCHOR KUTCHHI POLYTECHNIC.</t>
  </si>
  <si>
    <t>10-01-18 19:05:20</t>
  </si>
  <si>
    <t>04-09-18 10:19:15</t>
  </si>
  <si>
    <t>Kishore Pattanayak</t>
  </si>
  <si>
    <t>kishorepattanayak3108@gmail.com</t>
  </si>
  <si>
    <t>91 8850460972</t>
  </si>
  <si>
    <t>Fabrication engineer</t>
  </si>
  <si>
    <t>Afcons infrastructure limited, Mumbai</t>
  </si>
  <si>
    <t>Biju Pattnaik University of Technology</t>
  </si>
  <si>
    <t>05-09-18 17:24:23</t>
  </si>
  <si>
    <t>07-09-18 16:54:06</t>
  </si>
  <si>
    <t>MOHD.MURSHID ALAM</t>
  </si>
  <si>
    <t>10 Feb 1985</t>
  </si>
  <si>
    <t>murshidalam14@gmail.com</t>
  </si>
  <si>
    <t>91 8291489697</t>
  </si>
  <si>
    <t>8 Yrs 5 Months</t>
  </si>
  <si>
    <t>Rs. 11.95 Lacs</t>
  </si>
  <si>
    <t xml:space="preserve">I &amp; C SUPERVISOR </t>
  </si>
  <si>
    <t xml:space="preserve">ARABIAN BEMCO CONTRACTING COMPANY.SAUDI ARABIA </t>
  </si>
  <si>
    <t xml:space="preserve">Rural polytechnic </t>
  </si>
  <si>
    <t>11-02-17 14:54:32</t>
  </si>
  <si>
    <t>09-04-18 17:52:56</t>
  </si>
  <si>
    <t>Siddharth Chaturvedi</t>
  </si>
  <si>
    <t>casiddharthchaturvedi@gmail.com</t>
  </si>
  <si>
    <t>968 93230922</t>
  </si>
  <si>
    <t>United Arab Emirates</t>
  </si>
  <si>
    <t>All India, United Arab Emirates, Kota, Mumbai City</t>
  </si>
  <si>
    <t>Manager - Business Performance Monitoring &amp; Profitability Analysis</t>
  </si>
  <si>
    <t>Bank Muscat</t>
  </si>
  <si>
    <t>The Institute of Chartered Accountants of India</t>
  </si>
  <si>
    <t>07-09-18 23:24:34</t>
  </si>
  <si>
    <t>Sagar narayan umbarkar</t>
  </si>
  <si>
    <t>06 Aug 1991</t>
  </si>
  <si>
    <t>sagarumbarkar99@gmail.com</t>
  </si>
  <si>
    <t>91 9029794473</t>
  </si>
  <si>
    <t>22-11-17 11:51:37</t>
  </si>
  <si>
    <t>05-04-18 10:47:08</t>
  </si>
  <si>
    <t>DIPALI KAVAR</t>
  </si>
  <si>
    <t>24 Jul 1988</t>
  </si>
  <si>
    <t>dipali.kavar2010@gmail.com</t>
  </si>
  <si>
    <t>91 7738387751</t>
  </si>
  <si>
    <t>5 Yrs 10 Months</t>
  </si>
  <si>
    <t>Senior Executive</t>
  </si>
  <si>
    <t>Dhirubhai ambani Reliance Life Science Center</t>
  </si>
  <si>
    <t>BIRLA COLAGAE , KALYAN</t>
  </si>
  <si>
    <t>30-04-18 00:24:00</t>
  </si>
  <si>
    <t>30-04-18 11:31:06</t>
  </si>
  <si>
    <t>Omprakash Upadhyay</t>
  </si>
  <si>
    <t>01 Jun 1974</t>
  </si>
  <si>
    <t>omprakash3429@gmail.com</t>
  </si>
  <si>
    <t>91 7021268478</t>
  </si>
  <si>
    <t>Rs. 10.85 Lacs</t>
  </si>
  <si>
    <t>Croda india company pvt ltd( Speciality  chemicals division)</t>
  </si>
  <si>
    <t>30-08-18 15:43:27</t>
  </si>
  <si>
    <t>03-09-18 23:03:14</t>
  </si>
  <si>
    <t>Prasad Shankarwar Male</t>
  </si>
  <si>
    <t>prasadshankarwar@gmail.com</t>
  </si>
  <si>
    <t>91 9892961903</t>
  </si>
  <si>
    <t>Rs. 19.30 Lacs</t>
  </si>
  <si>
    <t>HDFC Standard Life</t>
  </si>
  <si>
    <t>Jamnalal Bajaj Institute of Management Studies (JBIMS)</t>
  </si>
  <si>
    <t>15-03-18 19:43:29</t>
  </si>
  <si>
    <t>Shivam Yadav</t>
  </si>
  <si>
    <t>shivamyadavjhtc@gmail.com</t>
  </si>
  <si>
    <t>91 9760683669</t>
  </si>
  <si>
    <t>- Any -, All India, Australia, Canada, Mumbai City, Singapore, France (European Territory), New Zealand</t>
  </si>
  <si>
    <t>Senior Cabin Crew</t>
  </si>
  <si>
    <t>Cabin Crew</t>
  </si>
  <si>
    <t>PrivatAir</t>
  </si>
  <si>
    <t>Bachelor of tourism studies</t>
  </si>
  <si>
    <t>03-09-18 17:31:45</t>
  </si>
  <si>
    <t>03-09-18 19:00:53</t>
  </si>
  <si>
    <t>rajaneesh k v</t>
  </si>
  <si>
    <t>17 Apr 1980</t>
  </si>
  <si>
    <t>rajaneeshkv17@yahoo.com</t>
  </si>
  <si>
    <t>91 7560987867</t>
  </si>
  <si>
    <t>Rs. 9.95 Lacs</t>
  </si>
  <si>
    <t>Able seaman,Bosun</t>
  </si>
  <si>
    <t>Marine Deck Department</t>
  </si>
  <si>
    <t>BW shipping Pte ltd</t>
  </si>
  <si>
    <t>Indian Institute of Marine Technology</t>
  </si>
  <si>
    <t>13-08-18 18:31:07</t>
  </si>
  <si>
    <t>arya arun</t>
  </si>
  <si>
    <t>arya.anju1695@gmail.com</t>
  </si>
  <si>
    <t>91 8086238418</t>
  </si>
  <si>
    <t>All India, Mumbai City, Finland</t>
  </si>
  <si>
    <t>nehru college of engineering and research centre</t>
  </si>
  <si>
    <t>31-10-17 12:58:04</t>
  </si>
  <si>
    <t>07-09-18 13:23:58</t>
  </si>
  <si>
    <t>periaswamy ayothi</t>
  </si>
  <si>
    <t>apswamy38@gmail.com</t>
  </si>
  <si>
    <t>91 9892881228</t>
  </si>
  <si>
    <t>United Kingdom, Kolkata, Mumbai City, Singapore, Qatar</t>
  </si>
  <si>
    <t>15 Yrs 8 Months</t>
  </si>
  <si>
    <t>Head Chef</t>
  </si>
  <si>
    <t>Rana residency</t>
  </si>
  <si>
    <t>sghools</t>
  </si>
  <si>
    <t>23-08-18 17:41:20</t>
  </si>
  <si>
    <t>31-08-18 13:31:11</t>
  </si>
  <si>
    <t>santosh mondal</t>
  </si>
  <si>
    <t>skmondal2003@gmail.com</t>
  </si>
  <si>
    <t>91 7715071839</t>
  </si>
  <si>
    <t>South Korea, Mumbai City</t>
  </si>
  <si>
    <t>DANEM ENGG. WORKS W.L.L</t>
  </si>
  <si>
    <t xml:space="preserve">Jalpaiguri government engineering college. </t>
  </si>
  <si>
    <t>23-05-18 16:06:16</t>
  </si>
  <si>
    <t>10-08-18 11:58:36</t>
  </si>
  <si>
    <t xml:space="preserve">Jasleen Kaur Bindra </t>
  </si>
  <si>
    <t>04 Aug 1994</t>
  </si>
  <si>
    <t>jasleenbindra48@gmail.com</t>
  </si>
  <si>
    <t>91 9755330082</t>
  </si>
  <si>
    <t>Lawyer</t>
  </si>
  <si>
    <t>Corporate Legal Department</t>
  </si>
  <si>
    <t>Sanjay Rane and Associates</t>
  </si>
  <si>
    <t>University of Petroleum and Energy Studies</t>
  </si>
  <si>
    <t>14-09-17 14:51:44</t>
  </si>
  <si>
    <t>17-07-18 13:14:24</t>
  </si>
  <si>
    <t>Manojkumar ganapathy</t>
  </si>
  <si>
    <t>mnoj1591@gmail.com</t>
  </si>
  <si>
    <t>91 9920520832</t>
  </si>
  <si>
    <t>HSE officer</t>
  </si>
  <si>
    <t>AMC (KSA)</t>
  </si>
  <si>
    <t>25-08-18 15:49:23</t>
  </si>
  <si>
    <t>Subbrat jain</t>
  </si>
  <si>
    <t>07 Oct 1980</t>
  </si>
  <si>
    <t>subbratjain12@gmail.com</t>
  </si>
  <si>
    <t>91 7738016575</t>
  </si>
  <si>
    <t>Personal Banker</t>
  </si>
  <si>
    <t>Kotak Mahindra Bank LTD</t>
  </si>
  <si>
    <t>Allahabad Agriculture Institute</t>
  </si>
  <si>
    <t>27-08-18 09:34:46</t>
  </si>
  <si>
    <t>06-09-18 16:53:09</t>
  </si>
  <si>
    <t xml:space="preserve">Sona </t>
  </si>
  <si>
    <t>sona20selot@gmail.com</t>
  </si>
  <si>
    <t>91 8819022088</t>
  </si>
  <si>
    <t>Shri Shankaracharya Group of Institutions</t>
  </si>
  <si>
    <t>30-11-17 15:20:09</t>
  </si>
  <si>
    <t>09-05-18 17:02:45</t>
  </si>
  <si>
    <t>Deepak Bhanot</t>
  </si>
  <si>
    <t>15 Jun 1978</t>
  </si>
  <si>
    <t>d.bhanot693@yahoo.co.in</t>
  </si>
  <si>
    <t>91 9969737284</t>
  </si>
  <si>
    <t>Chief Marine engineer</t>
  </si>
  <si>
    <t>Polestar maritime</t>
  </si>
  <si>
    <t>Madurai kamraj university</t>
  </si>
  <si>
    <t>06-01-18 17:37:47</t>
  </si>
  <si>
    <t>09-08-18 16:08:24</t>
  </si>
  <si>
    <t>Vinay Parikh</t>
  </si>
  <si>
    <t>29 Aug 1964</t>
  </si>
  <si>
    <t>parikhvinay29@gmail.com</t>
  </si>
  <si>
    <t>91 9867412705</t>
  </si>
  <si>
    <t>Store Manager</t>
  </si>
  <si>
    <t>Hangout</t>
  </si>
  <si>
    <t>P.D. lions college</t>
  </si>
  <si>
    <t>24-08-18 21:20:25</t>
  </si>
  <si>
    <t>25-08-18 11:33:47</t>
  </si>
  <si>
    <t>ABDULKADER SHAIKH</t>
  </si>
  <si>
    <t>safety3225@hotmail.com</t>
  </si>
  <si>
    <t>91 9967258670</t>
  </si>
  <si>
    <t>Rs. 24.95 Lacs</t>
  </si>
  <si>
    <t>Rig Safety Training Coordinator</t>
  </si>
  <si>
    <t>RSTC</t>
  </si>
  <si>
    <t>INDUSTRIAL SAFETY AND ENVIRONMENT MANAGEMENT 1SO 14000/14001</t>
  </si>
  <si>
    <t>INDIAN INSTITUTE OF MANAGEMENT AND TECHNOLOGY</t>
  </si>
  <si>
    <t>03-07-18 11:51:15</t>
  </si>
  <si>
    <t>bharti parab</t>
  </si>
  <si>
    <t>parab.bharti@gmail.com</t>
  </si>
  <si>
    <t>91 9967114010</t>
  </si>
  <si>
    <t>Asst. Manege</t>
  </si>
  <si>
    <t>Mx Systems International Pvt Ltd</t>
  </si>
  <si>
    <t>shahji open university</t>
  </si>
  <si>
    <t>24-08-15 11:25:23</t>
  </si>
  <si>
    <t>07-09-18 10:33:54</t>
  </si>
  <si>
    <t>Mohammed Umar  Alam</t>
  </si>
  <si>
    <t>15 Oct 1976</t>
  </si>
  <si>
    <t>umaralam1976@gmail.com</t>
  </si>
  <si>
    <t>91 9987031754</t>
  </si>
  <si>
    <t>19 Yrs 2 Months</t>
  </si>
  <si>
    <t xml:space="preserve">General Manager </t>
  </si>
  <si>
    <t xml:space="preserve">LEIGHTON INDIA CONTRACTORS PVT. LTD </t>
  </si>
  <si>
    <t>EPBM IIM Kolkata</t>
  </si>
  <si>
    <t>09-08-18 15:25:51</t>
  </si>
  <si>
    <t>16-08-18 16:20:07</t>
  </si>
  <si>
    <t>Nimish Ambokar</t>
  </si>
  <si>
    <t>nimish.ambokar12@gmail.com</t>
  </si>
  <si>
    <t>91 9702347540</t>
  </si>
  <si>
    <t>All India, Hyderabad, Mumbai City</t>
  </si>
  <si>
    <t>Assistant Vice President</t>
  </si>
  <si>
    <t>STATE BANK OF INDIA</t>
  </si>
  <si>
    <t>IIM Shillong</t>
  </si>
  <si>
    <t>26-08-18 18:15:16</t>
  </si>
  <si>
    <t>Santosh Thorat</t>
  </si>
  <si>
    <t>18 Mar 1991</t>
  </si>
  <si>
    <t>santoshthorat345@gmail.com</t>
  </si>
  <si>
    <t>91 9049934433</t>
  </si>
  <si>
    <t>NIPER HYDERABAD</t>
  </si>
  <si>
    <t>11-08-18 18:55:30</t>
  </si>
  <si>
    <t>13-08-18 14:56:45</t>
  </si>
  <si>
    <t>Gauri Khamkar</t>
  </si>
  <si>
    <t>gaurikhamkar0594@yahoo.com</t>
  </si>
  <si>
    <t>91 7208374058</t>
  </si>
  <si>
    <t>30-05-18 12:09:15</t>
  </si>
  <si>
    <t>01-06-18 17:31:53</t>
  </si>
  <si>
    <t>Sourish Dutt</t>
  </si>
  <si>
    <t>ucc.sourish1390@gmail.com</t>
  </si>
  <si>
    <t>91 9769627338</t>
  </si>
  <si>
    <t>Information Technology</t>
  </si>
  <si>
    <t>Sinhgad Institute of Management</t>
  </si>
  <si>
    <t>04-05-18 13:09:16</t>
  </si>
  <si>
    <t>Dayal Bhongade</t>
  </si>
  <si>
    <t>03 Jun 1983</t>
  </si>
  <si>
    <t>dayal_bhongade@rediffmail.com</t>
  </si>
  <si>
    <t>91 8452846369</t>
  </si>
  <si>
    <t>Australia, Canada, Norway, Mumbai City</t>
  </si>
  <si>
    <t>Senior Structural Engineer</t>
  </si>
  <si>
    <t>Lauren Bharat Engineering</t>
  </si>
  <si>
    <t>MGM's college of engineering and technology</t>
  </si>
  <si>
    <t>29-08-18 11:52:39</t>
  </si>
  <si>
    <t>30-08-18 10:46:30</t>
  </si>
  <si>
    <t>Mahesh Kashinath Dupare</t>
  </si>
  <si>
    <t>28 Apr 1994</t>
  </si>
  <si>
    <t>maheshdupare436@gmail.com</t>
  </si>
  <si>
    <t>91 8411904994</t>
  </si>
  <si>
    <t>Executive- Finance &amp; Accounts</t>
  </si>
  <si>
    <t>Accupack Engineering Pvt. Ltd.</t>
  </si>
  <si>
    <t>Swayam Siddhi College of Management and Research</t>
  </si>
  <si>
    <t>04-05-18 14:16:04</t>
  </si>
  <si>
    <t>21-05-18 15:10:11</t>
  </si>
  <si>
    <t>ajish john</t>
  </si>
  <si>
    <t>07 Mar 1988</t>
  </si>
  <si>
    <t>ajishrjohn@gmail.com</t>
  </si>
  <si>
    <t>91 8369790784</t>
  </si>
  <si>
    <t>All India, Kuwait, Malaysia, Singapore, Mumbai City, Oman, Hong Kong, Qatar</t>
  </si>
  <si>
    <t>Radiographer</t>
  </si>
  <si>
    <t>Magnum diagnostic centre</t>
  </si>
  <si>
    <t>Radiology</t>
  </si>
  <si>
    <t>All india institute of paramedicals</t>
  </si>
  <si>
    <t>25-06-18 12:16:52</t>
  </si>
  <si>
    <t>03-09-18 23:10:46</t>
  </si>
  <si>
    <t>TUFAIL AHMED</t>
  </si>
  <si>
    <t>10 Jul 1990</t>
  </si>
  <si>
    <t>tufail253@gmail.com</t>
  </si>
  <si>
    <t>91 9029637179</t>
  </si>
  <si>
    <t>Tru-Fil Limited</t>
  </si>
  <si>
    <t>05-09-18 15:42:13</t>
  </si>
  <si>
    <t>06-09-18 16:03:10</t>
  </si>
  <si>
    <t>DEEPAK  RAUT</t>
  </si>
  <si>
    <t>01 May 1982</t>
  </si>
  <si>
    <t>deepakraut82@gmail.com</t>
  </si>
  <si>
    <t>91 9860089549</t>
  </si>
  <si>
    <t>Nashik, Navi Mumbai, Thane, Pune, Mumbai City, Nagpur</t>
  </si>
  <si>
    <t>HD FIRE PROTECT PVT. LTD.</t>
  </si>
  <si>
    <t>Datta Meghe college of Engineering</t>
  </si>
  <si>
    <t>06-10-17 05:56:10</t>
  </si>
  <si>
    <t>27-03-18 10:38:59</t>
  </si>
  <si>
    <t>Ranish S patel</t>
  </si>
  <si>
    <t>ranishpatel13@gmail.com</t>
  </si>
  <si>
    <t>91 9819174332</t>
  </si>
  <si>
    <t>Sr.interiordesign and project head</t>
  </si>
  <si>
    <t>R Pdesign &amp; Associates</t>
  </si>
  <si>
    <t>chetana college of commerce, arts &amp; economics</t>
  </si>
  <si>
    <t>26-03-18 11:18:29</t>
  </si>
  <si>
    <t>19-05-18 17:40:42</t>
  </si>
  <si>
    <t xml:space="preserve">suchita tewari </t>
  </si>
  <si>
    <t>30 Oct 1981</t>
  </si>
  <si>
    <t>suchita_dabola@yahoo.co.in</t>
  </si>
  <si>
    <t>91 9082805377</t>
  </si>
  <si>
    <t>Guest Relations Manager</t>
  </si>
  <si>
    <t>Taj Hotels Resorts and Palaces</t>
  </si>
  <si>
    <t>Cambridge University</t>
  </si>
  <si>
    <t>31-07-18 20:06:32</t>
  </si>
  <si>
    <t>31-07-18 20:07:03</t>
  </si>
  <si>
    <t>RAVI R SHARMA</t>
  </si>
  <si>
    <t>03 Jun 1980</t>
  </si>
  <si>
    <t>ravirsharma.15@gmail.com</t>
  </si>
  <si>
    <t>91 9969953057</t>
  </si>
  <si>
    <t>Assistant Manager Engineering</t>
  </si>
  <si>
    <t>DP World</t>
  </si>
  <si>
    <t>08-05-18 16:20:22</t>
  </si>
  <si>
    <t>07-09-18 10:06:08</t>
  </si>
  <si>
    <t>Ashish Pandey</t>
  </si>
  <si>
    <t>aashishaashish009@gmail.com</t>
  </si>
  <si>
    <t>91 8082407490</t>
  </si>
  <si>
    <t>Retail banking/Broking.</t>
  </si>
  <si>
    <t>HDFC BANK</t>
  </si>
  <si>
    <t>welingkar institute of management</t>
  </si>
  <si>
    <t>08-05-18 19:58:08</t>
  </si>
  <si>
    <t xml:space="preserve">Sneha Bharambe </t>
  </si>
  <si>
    <t>09 Feb 1991</t>
  </si>
  <si>
    <t>sneha.bharambe1991@gmail.com</t>
  </si>
  <si>
    <t>91 9167229696</t>
  </si>
  <si>
    <t>Operation Analyst</t>
  </si>
  <si>
    <t>Nucleus Commercial Finance</t>
  </si>
  <si>
    <t>28-08-18 21:17:12</t>
  </si>
  <si>
    <t>ERRAMILLI VENKATA CHALAM</t>
  </si>
  <si>
    <t>06 Aug 1972</t>
  </si>
  <si>
    <t>e_chalam@yahoo.co.in</t>
  </si>
  <si>
    <t>91 8169070263</t>
  </si>
  <si>
    <t>Rajahmundry, Vishakhapatnam</t>
  </si>
  <si>
    <t>SENIOR MANAGER(FABRICATION)</t>
  </si>
  <si>
    <t>STATE BOARD OF TECHNICAL EDUCATION-KARNATAKA</t>
  </si>
  <si>
    <t>05-09-18 07:15:27</t>
  </si>
  <si>
    <t>07-09-18 09:53:00</t>
  </si>
  <si>
    <t>Binoy Choubey</t>
  </si>
  <si>
    <t>binoychoubey@outlook.com</t>
  </si>
  <si>
    <t>91 9007885599</t>
  </si>
  <si>
    <t>Indiabulls Distribution Services Limited</t>
  </si>
  <si>
    <t>Tilka Manjhi Bagalpur University</t>
  </si>
  <si>
    <t>27-07-18 10:59:15</t>
  </si>
  <si>
    <t>paresh chaudhary</t>
  </si>
  <si>
    <t>18 Apr 1989</t>
  </si>
  <si>
    <t>pareshc2009@gmail.com</t>
  </si>
  <si>
    <t>91 8866135534</t>
  </si>
  <si>
    <t>Sr,Executive (Plant In-charge)</t>
  </si>
  <si>
    <t>lupin pharma</t>
  </si>
  <si>
    <t>shivjirao s. jondhale college of engg.</t>
  </si>
  <si>
    <t>12-04-18 22:05:42</t>
  </si>
  <si>
    <t>04-06-18 10:55:40</t>
  </si>
  <si>
    <t>Deepa Shahi</t>
  </si>
  <si>
    <t>25 May 1986</t>
  </si>
  <si>
    <t>deepa.thapa.25@gmail.com</t>
  </si>
  <si>
    <t>91 9049121331</t>
  </si>
  <si>
    <t>Executive Assistant/Admin/HR</t>
  </si>
  <si>
    <t>Secretary / PA / Steno</t>
  </si>
  <si>
    <t>Jalan Brothers Pvt. Ltd</t>
  </si>
  <si>
    <t>30-04-18 17:07:11</t>
  </si>
  <si>
    <t>17-05-18 15:28:24</t>
  </si>
  <si>
    <t>Pravitha Unnikrishnan</t>
  </si>
  <si>
    <t>pravithaunni2013@gmail.com</t>
  </si>
  <si>
    <t>91 8291418166</t>
  </si>
  <si>
    <t>Fashion and Apparel Design</t>
  </si>
  <si>
    <t>JD Institute of Fashion Technology</t>
  </si>
  <si>
    <t>10-11-17 19:25:45</t>
  </si>
  <si>
    <t>20-07-18 10:29:58</t>
  </si>
  <si>
    <t>Sarode Ajitshinha Ramkrishna</t>
  </si>
  <si>
    <t>23 May 1989</t>
  </si>
  <si>
    <t>ajitshinhasarode@gmail.com</t>
  </si>
  <si>
    <t>91 9029892944</t>
  </si>
  <si>
    <t>Mechanical Rotating Equipment Engineer</t>
  </si>
  <si>
    <t>GS Engineering &amp; Construction, Mumbai Pvt Ltd</t>
  </si>
  <si>
    <t>Sardar Patel College Of Engineering,Andheri</t>
  </si>
  <si>
    <t>12-09-17 20:30:02</t>
  </si>
  <si>
    <t>23-08-18 14:40:13</t>
  </si>
  <si>
    <t>MUTHUKUMAR K</t>
  </si>
  <si>
    <t>28 May 1978</t>
  </si>
  <si>
    <t>kmk285@yahoo.co.in</t>
  </si>
  <si>
    <t>91 8433925016</t>
  </si>
  <si>
    <t>Madurai, Kochi, Chennai, Other Tamil Nadu, Pune, Mumbai City, Coimbatore</t>
  </si>
  <si>
    <t>20 Yrs 8 Months</t>
  </si>
  <si>
    <t>CONSTRUCTION MANAGER</t>
  </si>
  <si>
    <t>Rajasthan vidapeeth university</t>
  </si>
  <si>
    <t>26-04-18 19:16:23</t>
  </si>
  <si>
    <t>23-08-18 17:01:13</t>
  </si>
  <si>
    <t xml:space="preserve">Dhruvesh patel </t>
  </si>
  <si>
    <t>04 Sep 1995</t>
  </si>
  <si>
    <t>dhruveshpatel0495@gmail.com</t>
  </si>
  <si>
    <t>91 8898346403</t>
  </si>
  <si>
    <t>trannie</t>
  </si>
  <si>
    <t>prime focus technology</t>
  </si>
  <si>
    <t>01-09-18 03:11:17</t>
  </si>
  <si>
    <t>Anagha Pawar</t>
  </si>
  <si>
    <t>30 Dec 1971</t>
  </si>
  <si>
    <t>anaghabpawar@gmail.com</t>
  </si>
  <si>
    <t>91 9920182731</t>
  </si>
  <si>
    <t>Principal Engineer</t>
  </si>
  <si>
    <t>Toyo Engineering India Pvt. Ltd</t>
  </si>
  <si>
    <t>Pravara Engineering College</t>
  </si>
  <si>
    <t>14-05-18 15:04:11</t>
  </si>
  <si>
    <t>21-05-18 14:54:20</t>
  </si>
  <si>
    <t>Sunil Prakash Chalke</t>
  </si>
  <si>
    <t>chalke.sunil31@gmail.com</t>
  </si>
  <si>
    <t>91 9820171163</t>
  </si>
  <si>
    <t>Formean mecncal</t>
  </si>
  <si>
    <t>Capacity</t>
  </si>
  <si>
    <t>Shivaji invarcity</t>
  </si>
  <si>
    <t>10-05-18 15:39:38</t>
  </si>
  <si>
    <t>21-08-18 10:14:48</t>
  </si>
  <si>
    <t xml:space="preserve">VIkas </t>
  </si>
  <si>
    <t>14 Mar 1983</t>
  </si>
  <si>
    <t>vicky_11211@rediff.com</t>
  </si>
  <si>
    <t>91 9049787783</t>
  </si>
  <si>
    <t>13 Yrs 4 Months</t>
  </si>
  <si>
    <t>Shift Engineer</t>
  </si>
  <si>
    <t>PVPIT</t>
  </si>
  <si>
    <t>06-09-18 09:25:39</t>
  </si>
  <si>
    <t>07-09-18 11:21:56</t>
  </si>
  <si>
    <t>MD ABUBAKER ANWAR</t>
  </si>
  <si>
    <t>22 Jun 1986</t>
  </si>
  <si>
    <t>anwer.gca@gmail.com</t>
  </si>
  <si>
    <t>91 9205765232</t>
  </si>
  <si>
    <t>Other Assam, Bhillai, Oman, Saudi Arabia</t>
  </si>
  <si>
    <t>STRUCTURAL ENGINEER</t>
  </si>
  <si>
    <t>AL ARRAB CONTRACTING COMPANY</t>
  </si>
  <si>
    <t>Baba Saheb Ambedkar Institute Of Technology &amp; Management (New Delhi)</t>
  </si>
  <si>
    <t>11-07-18 17:46:38</t>
  </si>
  <si>
    <t>SAYYED MOHAMMAD TARIQUE</t>
  </si>
  <si>
    <t>27 Dec 1992</t>
  </si>
  <si>
    <t>sayyed.tarique242@gmail.com</t>
  </si>
  <si>
    <t>91 9967554461</t>
  </si>
  <si>
    <t>QS &amp; Billing</t>
  </si>
  <si>
    <t>Capacite Infraprojects Ltd.</t>
  </si>
  <si>
    <t>M.H Saboo Siddik College of Engineering</t>
  </si>
  <si>
    <t>17-08-18 23:18:54</t>
  </si>
  <si>
    <t>18-08-18 10:38:11</t>
  </si>
  <si>
    <t>HARSHAL NIVRUTTI AMBEKAR</t>
  </si>
  <si>
    <t>12 Feb 1995</t>
  </si>
  <si>
    <t>ambekar.harshal95@gmail.com</t>
  </si>
  <si>
    <t>91 7066790046</t>
  </si>
  <si>
    <t>MSBTE</t>
  </si>
  <si>
    <t>13-08-18 14:04:23</t>
  </si>
  <si>
    <t>30-08-18 16:08:12</t>
  </si>
  <si>
    <t>Vipul Sodha</t>
  </si>
  <si>
    <t>25 Aug 1978</t>
  </si>
  <si>
    <t>vipul_sodha@rediffmail.com</t>
  </si>
  <si>
    <t>91 9820870252</t>
  </si>
  <si>
    <t>10 Yrs 8 Months</t>
  </si>
  <si>
    <t>Rs. 10.40 Lacs</t>
  </si>
  <si>
    <t>Process Supervisor</t>
  </si>
  <si>
    <t>Deutsche Bank</t>
  </si>
  <si>
    <t>21-08-18 08:27:15</t>
  </si>
  <si>
    <t>22-08-18 15:15:13</t>
  </si>
  <si>
    <t>Joiel Akilan</t>
  </si>
  <si>
    <t>joiel.akilan@gmail.com</t>
  </si>
  <si>
    <t>91 9820041624</t>
  </si>
  <si>
    <t>Executive Director &amp; Chief Representative</t>
  </si>
  <si>
    <t>BBVA</t>
  </si>
  <si>
    <t>Sydenham Institute of Management</t>
  </si>
  <si>
    <t>07-09-18 12:59:04</t>
  </si>
  <si>
    <t>07-09-18 12:59:05</t>
  </si>
  <si>
    <t>Banshidhar Bhatt</t>
  </si>
  <si>
    <t>bhatt@suditi.in</t>
  </si>
  <si>
    <t>91 9930462612</t>
  </si>
  <si>
    <t>HR Manager</t>
  </si>
  <si>
    <t>Suditi Industries Limited</t>
  </si>
  <si>
    <t>Mission Inter College Pithoragarh</t>
  </si>
  <si>
    <t>09-04-18 14:28:21</t>
  </si>
  <si>
    <t>07-09-18 16:53:05</t>
  </si>
  <si>
    <t>Prakash B Joshi</t>
  </si>
  <si>
    <t>11 Mar 1982</t>
  </si>
  <si>
    <t>pr.civilengineer@gmail.com</t>
  </si>
  <si>
    <t>91 9586152547</t>
  </si>
  <si>
    <t>Iran, Mauritius, United Arab Emirates, Bahrain, Mumbai City, Oman, Qatar, Hong Kong, South Africa, Indonesia</t>
  </si>
  <si>
    <t>Assistant QA Manager</t>
  </si>
  <si>
    <t>Leighton India Contractors Pvt Ltd.</t>
  </si>
  <si>
    <t>University of Pune</t>
  </si>
  <si>
    <t>27-03-18 11:52:01</t>
  </si>
  <si>
    <t>06-06-18 11:54:24</t>
  </si>
  <si>
    <t>mithilesh gupta</t>
  </si>
  <si>
    <t>mithilesh235@yahoo.in</t>
  </si>
  <si>
    <t>91 8898189832</t>
  </si>
  <si>
    <t>Rs. 3.80 Lacs</t>
  </si>
  <si>
    <t>fare auditor</t>
  </si>
  <si>
    <t>wns</t>
  </si>
  <si>
    <t>K.V. Pendharkar College</t>
  </si>
  <si>
    <t>16-03-18 22:19:22</t>
  </si>
  <si>
    <t>03-05-18 12:34:09</t>
  </si>
  <si>
    <t>Lokesh Pareek</t>
  </si>
  <si>
    <t>pareek.lokeshkumar@gmail.com</t>
  </si>
  <si>
    <t>91 8424955935</t>
  </si>
  <si>
    <t>Rs. 31.50 Lacs</t>
  </si>
  <si>
    <t>Assistant General Manager- IR &amp; Corporate Finance</t>
  </si>
  <si>
    <t>Genus Group</t>
  </si>
  <si>
    <t>International School of Management Excellence</t>
  </si>
  <si>
    <t>29-08-18 17:14:44</t>
  </si>
  <si>
    <t>Vinay Goyal</t>
  </si>
  <si>
    <t>vingoy23@yahoo.com</t>
  </si>
  <si>
    <t>91 9870985064</t>
  </si>
  <si>
    <t>All India, Jaipur, Mumbai City</t>
  </si>
  <si>
    <t>Sr Manager</t>
  </si>
  <si>
    <t>22-05-18 18:27:25</t>
  </si>
  <si>
    <t>22-05-18 18:59:09</t>
  </si>
  <si>
    <t xml:space="preserve">Anurag Yadav </t>
  </si>
  <si>
    <t>25 Nov 1992</t>
  </si>
  <si>
    <t>anuragyadav030@gmail.com</t>
  </si>
  <si>
    <t>91 7088442944</t>
  </si>
  <si>
    <t>0 Yr 4 Months</t>
  </si>
  <si>
    <t>Site engineer</t>
  </si>
  <si>
    <t>Praj hipurity System</t>
  </si>
  <si>
    <t>School of Mechanical EngineeringGalgotias University</t>
  </si>
  <si>
    <t>24-12-17 22:13:11</t>
  </si>
  <si>
    <t>08-03-18 14:50:42</t>
  </si>
  <si>
    <t>SWAPNIL R TIPNIS</t>
  </si>
  <si>
    <t>swapniltipnis@gmail.com</t>
  </si>
  <si>
    <t>91 7350388678</t>
  </si>
  <si>
    <t>SERVICE MANAGER</t>
  </si>
  <si>
    <t>M/s. WARPP ENGINEERS P. LTD</t>
  </si>
  <si>
    <t>Shri Datta Meghe Polytechnic</t>
  </si>
  <si>
    <t>18-09-17 12:33:26</t>
  </si>
  <si>
    <t>27-03-18 18:50:44</t>
  </si>
  <si>
    <t>Prakash MM</t>
  </si>
  <si>
    <t>19 Dec 1962</t>
  </si>
  <si>
    <t>prakash_murkalmath@yahoo.com</t>
  </si>
  <si>
    <t>91 8689979912</t>
  </si>
  <si>
    <t>General Manager O&amp;M</t>
  </si>
  <si>
    <t>Bhushan Steel Limited</t>
  </si>
  <si>
    <t>Govt Engg College</t>
  </si>
  <si>
    <t>19-06-18 18:18:08</t>
  </si>
  <si>
    <t>03-09-18 13:26:48</t>
  </si>
  <si>
    <t>Shweta  Singh</t>
  </si>
  <si>
    <t>19 Jul 1986</t>
  </si>
  <si>
    <t>shwetasingh1907@gmail.com</t>
  </si>
  <si>
    <t>91 9821415636</t>
  </si>
  <si>
    <t>Cabin crew</t>
  </si>
  <si>
    <t>Lufthansa (Privatair)</t>
  </si>
  <si>
    <t>18-07-18 12:03:46</t>
  </si>
  <si>
    <t>10-08-18 17:30:43</t>
  </si>
  <si>
    <t>Vikas Vijay mahendrakar</t>
  </si>
  <si>
    <t>vsmahendrakar007@gmail.com</t>
  </si>
  <si>
    <t>91 8425980401</t>
  </si>
  <si>
    <t>0 Yr 9 Months</t>
  </si>
  <si>
    <t>Fire safety supervisor</t>
  </si>
  <si>
    <t>Alvitech offshore</t>
  </si>
  <si>
    <t>Diploma in fire and safety</t>
  </si>
  <si>
    <t>NIFE AND TUV rheinland</t>
  </si>
  <si>
    <t>19-09-17 15:26:21</t>
  </si>
  <si>
    <t>22-05-18 13:27:55</t>
  </si>
  <si>
    <t>Sheetal Raj</t>
  </si>
  <si>
    <t>sheetallgawade@yahoo.com</t>
  </si>
  <si>
    <t>91 9987360002</t>
  </si>
  <si>
    <t>Cargo Sales Manager</t>
  </si>
  <si>
    <t>Allied Aviation</t>
  </si>
  <si>
    <t>11-05-17 09:58:14</t>
  </si>
  <si>
    <t>04-08-18 16:35:50</t>
  </si>
  <si>
    <t>Pranali Vardam</t>
  </si>
  <si>
    <t>19 Oct 1994</t>
  </si>
  <si>
    <t>pranali.vardam19@gmail.com</t>
  </si>
  <si>
    <t>91 9769314735</t>
  </si>
  <si>
    <t>Junior officer</t>
  </si>
  <si>
    <t>HDB FINANCIAL SERVICES Limited</t>
  </si>
  <si>
    <t>Asmita Girls College</t>
  </si>
  <si>
    <t>29-08-18 00:17:22</t>
  </si>
  <si>
    <t>Rhucha Sawant</t>
  </si>
  <si>
    <t>08 Dec 1996</t>
  </si>
  <si>
    <t>rsawant1996@gmail.com</t>
  </si>
  <si>
    <t>91 9004827100</t>
  </si>
  <si>
    <t>Vidyavardhini College of Engineering and Technology</t>
  </si>
  <si>
    <t>15-06-18 22:18:24</t>
  </si>
  <si>
    <t>23-08-18 16:00:30</t>
  </si>
  <si>
    <t xml:space="preserve">Shailendra Shukla </t>
  </si>
  <si>
    <t>12 Apr 1990</t>
  </si>
  <si>
    <t>shailendra.shukla52@yahoo.com</t>
  </si>
  <si>
    <t>91 9029102886</t>
  </si>
  <si>
    <t>Jamnagar, Other Gujarat, Vapi, Pune, Mumbai City, Valsad, Vadodara, Ankleshwar, Ahmedabad</t>
  </si>
  <si>
    <t>production Excutive</t>
  </si>
  <si>
    <t>lupin ltd</t>
  </si>
  <si>
    <t>ShivajiRao S.Jondhale College of       Engineering</t>
  </si>
  <si>
    <t>10-08-18 22:16:03</t>
  </si>
  <si>
    <t>MAHAJAN  DHIRAJ   PANDHARI</t>
  </si>
  <si>
    <t>29 Dec 1989</t>
  </si>
  <si>
    <t>dhirajmahajan29@gmail.com</t>
  </si>
  <si>
    <t>91 9867367002</t>
  </si>
  <si>
    <t>Navi Mumbai, Pune, Mumbai City, Surat, Vadodara, Ahmedabad</t>
  </si>
  <si>
    <t>Hitek Engineering &amp; Services</t>
  </si>
  <si>
    <t>Veer Narmad South Gujarat University</t>
  </si>
  <si>
    <t>14-08-18 23:51:32</t>
  </si>
  <si>
    <t>04-09-18 12:15:36</t>
  </si>
  <si>
    <t xml:space="preserve">Anish </t>
  </si>
  <si>
    <t>14 Sep 1988</t>
  </si>
  <si>
    <t>anishdhas14@gmail.com</t>
  </si>
  <si>
    <t>91 9920708960</t>
  </si>
  <si>
    <t>Lodha group</t>
  </si>
  <si>
    <t>Abhinav College of Engineering &amp;
Polytechnic</t>
  </si>
  <si>
    <t>13-08-18 17:22:27</t>
  </si>
  <si>
    <t>14-08-18 17:17:45</t>
  </si>
  <si>
    <t>saravanan palkuttisaravanan</t>
  </si>
  <si>
    <t>palkuttisaravanan@gmail.com</t>
  </si>
  <si>
    <t>91 7738934947</t>
  </si>
  <si>
    <t>commie 1</t>
  </si>
  <si>
    <t>princess cruise line</t>
  </si>
  <si>
    <t>oscar hotel management and catering</t>
  </si>
  <si>
    <t>14-04-17 15:05:15</t>
  </si>
  <si>
    <t>19-03-18 12:59:34</t>
  </si>
  <si>
    <t>Swetha Rotkar</t>
  </si>
  <si>
    <t>sadashiv.rotkar@gmail.com</t>
  </si>
  <si>
    <t>91 7559980032</t>
  </si>
  <si>
    <t>Nautical Science</t>
  </si>
  <si>
    <t>MANET Pune</t>
  </si>
  <si>
    <t>25-01-18 14:51:20</t>
  </si>
  <si>
    <t>15-03-18 23:48:51</t>
  </si>
  <si>
    <t>Khileshwar Ameta</t>
  </si>
  <si>
    <t>khileshwar.ameta@gmail.com</t>
  </si>
  <si>
    <t>91 9167344114</t>
  </si>
  <si>
    <t>Yard Management</t>
  </si>
  <si>
    <t>Srei equipment finance Ltd</t>
  </si>
  <si>
    <t>Automobile</t>
  </si>
  <si>
    <t>Arya College of Engg</t>
  </si>
  <si>
    <t>21-07-18 17:42:16</t>
  </si>
  <si>
    <t>Mayur Kadam</t>
  </si>
  <si>
    <t>mayur_civil2004@yahoo.co.in</t>
  </si>
  <si>
    <t>91 9833721766</t>
  </si>
  <si>
    <t>Senior Civil/Structural Engineer</t>
  </si>
  <si>
    <t>Shaw Rolta Ltd</t>
  </si>
  <si>
    <t>06-09-18 23:04:43</t>
  </si>
  <si>
    <t>07-09-18 11:14:34</t>
  </si>
  <si>
    <t>Kanan Kadam</t>
  </si>
  <si>
    <t>29 Jun 1975</t>
  </si>
  <si>
    <t>kanan.kadam0426@gmail.com</t>
  </si>
  <si>
    <t>91 9833289123</t>
  </si>
  <si>
    <t>LUPIN PHARMA PVT LTD</t>
  </si>
  <si>
    <t>S.N.D.T Womens University</t>
  </si>
  <si>
    <t>03-04-18 21:50:28</t>
  </si>
  <si>
    <t>05-09-18 10:12:32</t>
  </si>
  <si>
    <t>ARKAPRABHA MUKHERJEE MUKHERJEE</t>
  </si>
  <si>
    <t>03 May 1979</t>
  </si>
  <si>
    <t>arkaprabha.mukherjee@icloud.com</t>
  </si>
  <si>
    <t>91 7710009629</t>
  </si>
  <si>
    <t>Rs. 23.40 Lacs</t>
  </si>
  <si>
    <t>Maccaferri Environmental Solutions Pvt. Ltd</t>
  </si>
  <si>
    <t>West  Bengal  Board  of  Secondary  Education</t>
  </si>
  <si>
    <t>09-03-18 15:34:57</t>
  </si>
  <si>
    <t>01-05-18 16:19:11</t>
  </si>
  <si>
    <t>vinod fulzele</t>
  </si>
  <si>
    <t>vinodfulzele@gmail.com</t>
  </si>
  <si>
    <t>91 7506483121</t>
  </si>
  <si>
    <t>Gurugram, Mumbai City</t>
  </si>
  <si>
    <t>Simplex infrastructures limited</t>
  </si>
  <si>
    <t>Headway University</t>
  </si>
  <si>
    <t>24-07-18 11:26:14</t>
  </si>
  <si>
    <t>23-08-18 18:26:52</t>
  </si>
  <si>
    <t>Akshyay Kumar</t>
  </si>
  <si>
    <t>akshyay420@gmail.com</t>
  </si>
  <si>
    <t>91 9853522335</t>
  </si>
  <si>
    <t>All India, Chennai, Kolkata, Mumbai City</t>
  </si>
  <si>
    <t>Jr Engineer</t>
  </si>
  <si>
    <t>aum sai institute of tech education</t>
  </si>
  <si>
    <t>30-03-18 06:10:23</t>
  </si>
  <si>
    <t>17-08-18 16:20:37</t>
  </si>
  <si>
    <t>vijay kumar</t>
  </si>
  <si>
    <t>ranvijay000000@gmail.com</t>
  </si>
  <si>
    <t>91 7718219817</t>
  </si>
  <si>
    <t>Bengal College of engineering &amp; technology</t>
  </si>
  <si>
    <t>25-02-18 10:31:52</t>
  </si>
  <si>
    <t>22-08-18 19:39:39</t>
  </si>
  <si>
    <t>Suhas Pawar</t>
  </si>
  <si>
    <t>18 Jul 1989</t>
  </si>
  <si>
    <t>sampawar48@gmail.com</t>
  </si>
  <si>
    <t>91 9604212423</t>
  </si>
  <si>
    <t>Sr. research Associate</t>
  </si>
  <si>
    <t>Macleods Pharma Ltd</t>
  </si>
  <si>
    <t>Regulatory Affairs</t>
  </si>
  <si>
    <t>Institute of Pharmaceutical Management</t>
  </si>
  <si>
    <t>30-08-18 18:24:04</t>
  </si>
  <si>
    <t>05-09-18 23:29:19</t>
  </si>
  <si>
    <t>HIREN VALA</t>
  </si>
  <si>
    <t>11 Apr 1992</t>
  </si>
  <si>
    <t>cs.hirenvala@gmail.com</t>
  </si>
  <si>
    <t>91 7208457843</t>
  </si>
  <si>
    <t>Mumbai City, Surat, Vadodara, Ahmedabad</t>
  </si>
  <si>
    <t xml:space="preserve">Assistant company secretary </t>
  </si>
  <si>
    <t xml:space="preserve">Prime urban development India limited </t>
  </si>
  <si>
    <t>27-06-18 11:03:20</t>
  </si>
  <si>
    <t>Kamal  K Tiwari</t>
  </si>
  <si>
    <t>02 Nov 1969</t>
  </si>
  <si>
    <t>kkt2nov@gmail.com</t>
  </si>
  <si>
    <t>91 9082321454</t>
  </si>
  <si>
    <t>Varanasi, Lucknow, Mumbai City</t>
  </si>
  <si>
    <t>Security In Charge</t>
  </si>
  <si>
    <t>Police</t>
  </si>
  <si>
    <t>05-07-18 20:29:25</t>
  </si>
  <si>
    <t>29-07-18 19:13:31</t>
  </si>
  <si>
    <t xml:space="preserve">ASHUTOSH </t>
  </si>
  <si>
    <t>06 Nov 1990</t>
  </si>
  <si>
    <t>ashutosh.kumar6880@gmail.com</t>
  </si>
  <si>
    <t>91 9721392546</t>
  </si>
  <si>
    <t>Nashik, Faizabad, Other Madhya Pradesh, Gurugram, Delhi</t>
  </si>
  <si>
    <t>BTER JODHPUR University</t>
  </si>
  <si>
    <t>21-06-18 15:04:21</t>
  </si>
  <si>
    <t>24-08-18 11:14:20</t>
  </si>
  <si>
    <t>Balaram Nayak</t>
  </si>
  <si>
    <t>14 Jun 1994</t>
  </si>
  <si>
    <t>balaramnayak157@gmail.com</t>
  </si>
  <si>
    <t>91 9778893997</t>
  </si>
  <si>
    <t>All India, Other Odisha, Mumbai City, Delhi</t>
  </si>
  <si>
    <t>Project and Operation Engineer</t>
  </si>
  <si>
    <t>Hamon Research Cottrell India Pvt Ltd</t>
  </si>
  <si>
    <t>BIJUPATNAIK UNIVERSITY OF TECHNOLOGY AND ENGINEERING</t>
  </si>
  <si>
    <t>02-09-18 20:42:12</t>
  </si>
  <si>
    <t>H B Naukudkar</t>
  </si>
  <si>
    <t>hbnaukudkar@gmail.com</t>
  </si>
  <si>
    <t>91 9370718441</t>
  </si>
  <si>
    <t>independent director</t>
  </si>
  <si>
    <t>Sterling Strips LTD</t>
  </si>
  <si>
    <t>KIT,S College of engineering Kolhapur</t>
  </si>
  <si>
    <t>07-04-18 20:09:35</t>
  </si>
  <si>
    <t>29-08-18 16:47:56</t>
  </si>
  <si>
    <t>Mary Gupta</t>
  </si>
  <si>
    <t>g_mary4u@rediffmail.com</t>
  </si>
  <si>
    <t>91 9322027767</t>
  </si>
  <si>
    <t>Manager operations</t>
  </si>
  <si>
    <t>Axis Bank Limited</t>
  </si>
  <si>
    <t>06-09-18 21:22:14</t>
  </si>
  <si>
    <t>07-09-18 14:43:08</t>
  </si>
  <si>
    <t>AMIT PARAB</t>
  </si>
  <si>
    <t>amitparab70@gmail.com</t>
  </si>
  <si>
    <t>91 9820451145</t>
  </si>
  <si>
    <t>22 Yrs 7 Months</t>
  </si>
  <si>
    <t>DUTY MANAGER</t>
  </si>
  <si>
    <t>cambata aviation pvt ltd</t>
  </si>
  <si>
    <t>K.J.SOMAIYA COLLEGE OF ARTS AND COMMERCE</t>
  </si>
  <si>
    <t>15-05-17 14:30:26</t>
  </si>
  <si>
    <t>26-05-18 13:03:08</t>
  </si>
  <si>
    <t>Avinash kamble</t>
  </si>
  <si>
    <t>reenarane8121977@gmail.com</t>
  </si>
  <si>
    <t>91 8888421050</t>
  </si>
  <si>
    <t>Engineering</t>
  </si>
  <si>
    <t>27-09-17 09:27:43</t>
  </si>
  <si>
    <t>18-03-18 11:22:59</t>
  </si>
  <si>
    <t>SANTHOSH GUJARAN</t>
  </si>
  <si>
    <t>23 Mar 1978</t>
  </si>
  <si>
    <t>sanshyam2004@yahoo.co.in</t>
  </si>
  <si>
    <t>91 9819379779</t>
  </si>
  <si>
    <t>Sr. Manager - Finance &amp; Accounts</t>
  </si>
  <si>
    <t>Anand Engineers Pvt. Ltd</t>
  </si>
  <si>
    <t>25-04-18 16:10:39</t>
  </si>
  <si>
    <t>26-04-18 13:01:02</t>
  </si>
  <si>
    <t>Jyotsna Waghela</t>
  </si>
  <si>
    <t>14 Sep 1994</t>
  </si>
  <si>
    <t>jyotsna.waghela14@gmail.com</t>
  </si>
  <si>
    <t>91 9029294006</t>
  </si>
  <si>
    <t>VPM.RZ.SHAH COLLEGE</t>
  </si>
  <si>
    <t>12-05-18 09:30:59</t>
  </si>
  <si>
    <t>11-07-18 23:17:14</t>
  </si>
  <si>
    <t>MAHESH S NAIK</t>
  </si>
  <si>
    <t>mahenaik70@gmail.com</t>
  </si>
  <si>
    <t>91 9867787675</t>
  </si>
  <si>
    <t>Consolidated Gulf Company (CGC), Qatar, doha</t>
  </si>
  <si>
    <t>Consolidated Gulf Company (CGC)</t>
  </si>
  <si>
    <t>Board of Maharashtra</t>
  </si>
  <si>
    <t>28-05-18 20:15:49</t>
  </si>
  <si>
    <t>31-08-18 23:42:13</t>
  </si>
  <si>
    <t>Akash boga</t>
  </si>
  <si>
    <t>23 May 1990</t>
  </si>
  <si>
    <t>akashboga23@gmail.com</t>
  </si>
  <si>
    <t>91 9860618348</t>
  </si>
  <si>
    <t>Hyderabad, Pune, Mumbai City</t>
  </si>
  <si>
    <t>SARDAR PATEL COLLEGE OF ENGINEERING MUMBAI</t>
  </si>
  <si>
    <t>24-07-18 16:49:37</t>
  </si>
  <si>
    <t>09-08-18 14:38:26</t>
  </si>
  <si>
    <t>MILIND R. HARKULKAR</t>
  </si>
  <si>
    <t>24 Dec 1984</t>
  </si>
  <si>
    <t>rmilind24@yahoo.co.in</t>
  </si>
  <si>
    <t>91 9664265773</t>
  </si>
  <si>
    <t>Kailasa Speciality Cuisine Pvt Ltd</t>
  </si>
  <si>
    <t>Ealing Hammersmith and West London College</t>
  </si>
  <si>
    <t>09-04-18 14:52:04</t>
  </si>
  <si>
    <t>10-04-18 17:58:29</t>
  </si>
  <si>
    <t>Abrar Moinuddin Khaje</t>
  </si>
  <si>
    <t>28 Jun 1987</t>
  </si>
  <si>
    <t>khajeabrar@gmail.com</t>
  </si>
  <si>
    <t>91 9404563211</t>
  </si>
  <si>
    <t>Officer Cargo operations</t>
  </si>
  <si>
    <t>Indigo Airlines</t>
  </si>
  <si>
    <t>03-07-18 14:19:23</t>
  </si>
  <si>
    <t>29-08-18 15:06:47</t>
  </si>
  <si>
    <t>Akhilesh Gupta</t>
  </si>
  <si>
    <t>11 Nov 1989</t>
  </si>
  <si>
    <t>guptaakhilesh1989@gmail.com</t>
  </si>
  <si>
    <t>91 8898522053</t>
  </si>
  <si>
    <t>Vetios Capital market Services Ltd</t>
  </si>
  <si>
    <t>14-06-18 21:30:04</t>
  </si>
  <si>
    <t>17-08-18 18:55:15</t>
  </si>
  <si>
    <t>Raju Vadher</t>
  </si>
  <si>
    <t>24 Jul 1977</t>
  </si>
  <si>
    <t>raju.vadher4388@gmail.com</t>
  </si>
  <si>
    <t>91 9967545896</t>
  </si>
  <si>
    <t>Ahmednagar, Pune, Mumbai City, Surat</t>
  </si>
  <si>
    <t>Diamond production manager (Factory Manager)</t>
  </si>
  <si>
    <t>Privet manufacturing firm at DHISAR (EAST)&gt;</t>
  </si>
  <si>
    <t>Owen experince</t>
  </si>
  <si>
    <t>24-08-18 14:25:19</t>
  </si>
  <si>
    <t>30-08-18 21:52:47</t>
  </si>
  <si>
    <t>BINAY JHA</t>
  </si>
  <si>
    <t>binayaries@yahoo.com</t>
  </si>
  <si>
    <t>91 9405033107</t>
  </si>
  <si>
    <t>MARINE ENGINEER SECURITY SUPERVISOR</t>
  </si>
  <si>
    <t>MARINE TECHNOLOGY</t>
  </si>
  <si>
    <t>23-03-18 14:22:20</t>
  </si>
  <si>
    <t>Rakesh PATIL</t>
  </si>
  <si>
    <t>04 Mar 1983</t>
  </si>
  <si>
    <t>rsatyameva7@gmail.com</t>
  </si>
  <si>
    <t>91 9320667857</t>
  </si>
  <si>
    <t>Bangalore, Chennai, Sri Lanka, Virgin Islands (UK), United Kingdom, Hyderabad, Suriname, Pune, Mumbai City, South Africa, Iceland</t>
  </si>
  <si>
    <t>Estimator/Business development Manager</t>
  </si>
  <si>
    <t>Southern Africa Shipyard  Durban South Africa</t>
  </si>
  <si>
    <t>GARDEN REACH SHIPBUILDER LTD KOLKATA</t>
  </si>
  <si>
    <t>03-07-18 18:27:30</t>
  </si>
  <si>
    <t>07-09-18 15:34:22</t>
  </si>
  <si>
    <t>Prashant Raut</t>
  </si>
  <si>
    <t>prashant.b.raut2@gmail.com</t>
  </si>
  <si>
    <t>91 8828115161</t>
  </si>
  <si>
    <t>Manager civil</t>
  </si>
  <si>
    <t>Reliance industries</t>
  </si>
  <si>
    <t>K. D. K. College of Engineering</t>
  </si>
  <si>
    <t>30-10-17 15:10:28</t>
  </si>
  <si>
    <t>20-03-18 11:50:59</t>
  </si>
  <si>
    <t>KLSK Subbarao</t>
  </si>
  <si>
    <t>subbarao116.ks@gmail.com</t>
  </si>
  <si>
    <t>91 9699184629</t>
  </si>
  <si>
    <t>17 Yrs 7 Months</t>
  </si>
  <si>
    <t>Rs. 7.05 Lacs</t>
  </si>
  <si>
    <t>HOD of Quality</t>
  </si>
  <si>
    <t>Mpower  Infratech India pvt Ltd</t>
  </si>
  <si>
    <t>SBIT AP</t>
  </si>
  <si>
    <t>25-08-18 08:12:11</t>
  </si>
  <si>
    <t>27-08-18 11:00:25</t>
  </si>
  <si>
    <t>Anjali sharma</t>
  </si>
  <si>
    <t>anjali.sharma3@gmail.com</t>
  </si>
  <si>
    <t>91 9820171332</t>
  </si>
  <si>
    <t>Creative Producer</t>
  </si>
  <si>
    <t>Blooming India Pvt Ltd</t>
  </si>
  <si>
    <t>Apeejay Institute of Mass Communication</t>
  </si>
  <si>
    <t>14-06-18 13:45:12</t>
  </si>
  <si>
    <t>22-07-18 15:13:06</t>
  </si>
  <si>
    <t xml:space="preserve">Brijesh D'Costa </t>
  </si>
  <si>
    <t>28 Nov 1989</t>
  </si>
  <si>
    <t>brijesh.dcosta@yahoo.co.in</t>
  </si>
  <si>
    <t>91 9970111406</t>
  </si>
  <si>
    <t>Rs. 4.95 Lacs</t>
  </si>
  <si>
    <t>MultiBank &amp; Replines (Payment Support)</t>
  </si>
  <si>
    <t>JP Morgan Chase</t>
  </si>
  <si>
    <t>St. Francis Institute Of Management and Research</t>
  </si>
  <si>
    <t>15-08-18 12:51:42</t>
  </si>
  <si>
    <t>19-08-18 17:17:04</t>
  </si>
  <si>
    <t>Sameer Khan</t>
  </si>
  <si>
    <t>skhan1743@gmail.com</t>
  </si>
  <si>
    <t>91 9664598880</t>
  </si>
  <si>
    <t>The institution of civil engineers (India)</t>
  </si>
  <si>
    <t>16-08-18 10:32:19</t>
  </si>
  <si>
    <t>Namrata Uttekar</t>
  </si>
  <si>
    <t>29 May 1992</t>
  </si>
  <si>
    <t>namrata.uttekar@gmail.com</t>
  </si>
  <si>
    <t>91 9987266337</t>
  </si>
  <si>
    <t>Kelkar College of Commerce</t>
  </si>
  <si>
    <t>16-11-17 11:48:36</t>
  </si>
  <si>
    <t>19-03-18 10:35:16</t>
  </si>
  <si>
    <t>Komal Suryavanshi</t>
  </si>
  <si>
    <t>21 Jun 1993</t>
  </si>
  <si>
    <t>suryavanshi.komal53@gmail.com</t>
  </si>
  <si>
    <t>91 9757302674</t>
  </si>
  <si>
    <t>J P Moragan Chase</t>
  </si>
  <si>
    <t>27-09-17 00:00:53</t>
  </si>
  <si>
    <t>17-08-18 15:52:53</t>
  </si>
  <si>
    <t xml:space="preserve">Purushottam </t>
  </si>
  <si>
    <t>02 Jun 1974</t>
  </si>
  <si>
    <t>purushottam.bawa@yahoo.com</t>
  </si>
  <si>
    <t>91 8433516070</t>
  </si>
  <si>
    <t>Civil  forema</t>
  </si>
  <si>
    <t>Aarav Buildcons</t>
  </si>
  <si>
    <t>Puna university</t>
  </si>
  <si>
    <t>31-07-18 16:40:07</t>
  </si>
  <si>
    <t>16-08-18 15:01:30</t>
  </si>
  <si>
    <t xml:space="preserve">Anita </t>
  </si>
  <si>
    <t>28 Jun 1983</t>
  </si>
  <si>
    <t>anita.nair.b@gmail.com</t>
  </si>
  <si>
    <t>91 9820724280</t>
  </si>
  <si>
    <t>Kochi, Palakkad, Thrissur</t>
  </si>
  <si>
    <t>Rs. 19.00 Lacs</t>
  </si>
  <si>
    <t>SBI Life Insurance Company Limited</t>
  </si>
  <si>
    <t>JankiDevi Bajaj Institute of Management Studies</t>
  </si>
  <si>
    <t>17-07-18 14:28:26</t>
  </si>
  <si>
    <t>03-09-18 18:43:15</t>
  </si>
  <si>
    <t>santosh  kamble</t>
  </si>
  <si>
    <t>san.k668@gmail.com</t>
  </si>
  <si>
    <t>91 9702599253</t>
  </si>
  <si>
    <t>Senior engineer production planning and quality control</t>
  </si>
  <si>
    <t>FPG ENGINEERING PVT LTD</t>
  </si>
  <si>
    <t>02-02-18 17:18:47</t>
  </si>
  <si>
    <t>02-08-18 16:48:39</t>
  </si>
  <si>
    <t>shailesh ashutosh</t>
  </si>
  <si>
    <t>ashutosh119240@rediffmail.com</t>
  </si>
  <si>
    <t>91 9757438369</t>
  </si>
  <si>
    <t>21 Yrs 2 Months</t>
  </si>
  <si>
    <t>MASTER CHIEF ELECTRICAL ARTIFICER RADIO II</t>
  </si>
  <si>
    <t>AMIE</t>
  </si>
  <si>
    <t>03-10-17 18:21:05</t>
  </si>
  <si>
    <t>31-08-18 20:59:01</t>
  </si>
  <si>
    <t>SOWMEN DEBNATH</t>
  </si>
  <si>
    <t>sowmen.debnath@gmail.com</t>
  </si>
  <si>
    <t>91 9331104466</t>
  </si>
  <si>
    <t>Powai Labs Technology Pvt. Ltd</t>
  </si>
  <si>
    <t>B.P.U.T</t>
  </si>
  <si>
    <t>25-05-17 02:38:35</t>
  </si>
  <si>
    <t>04-09-18 13:02:39</t>
  </si>
  <si>
    <t>Shrikant Pandey</t>
  </si>
  <si>
    <t>19 Sep 1987</t>
  </si>
  <si>
    <t>replytome.job@gmail.com</t>
  </si>
  <si>
    <t>91 9820815622</t>
  </si>
  <si>
    <t>Joint Manager - Marketing</t>
  </si>
  <si>
    <t>Pearl Polymers Ltd</t>
  </si>
  <si>
    <t>Institute of Business Managment &amp; research  IBS</t>
  </si>
  <si>
    <t>26-05-18 15:57:38</t>
  </si>
  <si>
    <t>14-06-18 15:54:35</t>
  </si>
  <si>
    <t>Rochvel Barretto</t>
  </si>
  <si>
    <t>02 Dec 1991</t>
  </si>
  <si>
    <t>rochvelbarretto@yahoo.in</t>
  </si>
  <si>
    <t>91 9819915485</t>
  </si>
  <si>
    <t>All India, Mumbai City, Vasco da Gama, Other Goa, Panaji</t>
  </si>
  <si>
    <t>Marine engineering training institute</t>
  </si>
  <si>
    <t>03-12-17 21:23:27</t>
  </si>
  <si>
    <t>12-06-18 17:18:56</t>
  </si>
  <si>
    <t>JYOTI SWARUP</t>
  </si>
  <si>
    <t>26 Jan 1983</t>
  </si>
  <si>
    <t>jyoti.patnaik@gmail.com</t>
  </si>
  <si>
    <t>91 9819853901</t>
  </si>
  <si>
    <t>Bangalore, Hyderabad, Gurugram, Kolkata, Mumbai City, Delhi</t>
  </si>
  <si>
    <t>Sales</t>
  </si>
  <si>
    <t>Xavier Institute of Management</t>
  </si>
  <si>
    <t>10-07-18 14:53:14</t>
  </si>
  <si>
    <t>07-08-18 17:45:44</t>
  </si>
  <si>
    <t>Akhilesh  kumar</t>
  </si>
  <si>
    <t>13 Apr 1984</t>
  </si>
  <si>
    <t>wishak1984@gmail.com</t>
  </si>
  <si>
    <t>91 9771477824</t>
  </si>
  <si>
    <t xml:space="preserve">ESSAR Projects I ltd  </t>
  </si>
  <si>
    <t>Patna University</t>
  </si>
  <si>
    <t>04-09-18 19:04:46</t>
  </si>
  <si>
    <t>05-09-18 11:45:10</t>
  </si>
  <si>
    <t>Bhavin Goradia</t>
  </si>
  <si>
    <t>bhavinkgoradia@gmail.com</t>
  </si>
  <si>
    <t>91 9820866440</t>
  </si>
  <si>
    <t>Sunjewels pvt ltd</t>
  </si>
  <si>
    <t>Lala lajpatrai institute of commerce</t>
  </si>
  <si>
    <t>12-06-18 12:33:42</t>
  </si>
  <si>
    <t>SIDDHARTH KAMAT</t>
  </si>
  <si>
    <t>19 Dec 1987</t>
  </si>
  <si>
    <t>siddharthdileepkamat@yahoo.co.in</t>
  </si>
  <si>
    <t>91 9833648247</t>
  </si>
  <si>
    <t>MET COLLEGE</t>
  </si>
  <si>
    <t>05-09-18 23:03:43</t>
  </si>
  <si>
    <t>PRASAD KHADAKBAN</t>
  </si>
  <si>
    <t>14 May 1988</t>
  </si>
  <si>
    <t>prasad.90@outlook.com</t>
  </si>
  <si>
    <t>91 8980920439</t>
  </si>
  <si>
    <t>United Arab Emirates, Thane, Pune</t>
  </si>
  <si>
    <t>civil draughtsman</t>
  </si>
  <si>
    <t>J.kumar Infrastructure Ltd</t>
  </si>
  <si>
    <t>INDUSTRIAL ENGINEERING INSTITUTE</t>
  </si>
  <si>
    <t>23-04-18 15:04:08</t>
  </si>
  <si>
    <t>Fazlur rahman</t>
  </si>
  <si>
    <t>rahman.ee.bm@gmail.com</t>
  </si>
  <si>
    <t>91 9833366244</t>
  </si>
  <si>
    <t>Shapoorji pallonji and company limited</t>
  </si>
  <si>
    <t>G.H.RAISONI Institute of Engineering &amp; Management</t>
  </si>
  <si>
    <t>13-07-18 21:07:39</t>
  </si>
  <si>
    <t>16-07-18 12:40:00</t>
  </si>
  <si>
    <t>Deepti Kaulgud</t>
  </si>
  <si>
    <t>11 Oct 1983</t>
  </si>
  <si>
    <t>deepti_naik83@yahoo.co.in</t>
  </si>
  <si>
    <t>91 9930250109</t>
  </si>
  <si>
    <t>Senior Project Engineer</t>
  </si>
  <si>
    <t>METSO AUTOMATION INDIA PVT. LTD</t>
  </si>
  <si>
    <t>Indian Institute of Management, Lucknow</t>
  </si>
  <si>
    <t>27-08-18 16:31:08</t>
  </si>
  <si>
    <t>AKIL SAIFUDDIN NALWALA</t>
  </si>
  <si>
    <t>akilsn81@gmail.com</t>
  </si>
  <si>
    <t>91 9819897806</t>
  </si>
  <si>
    <t>United Arab Emirates, Mumbai City, Oman, Qatar, New Zealand</t>
  </si>
  <si>
    <t>Rs. 3.85 Lacs</t>
  </si>
  <si>
    <t>Dynamic Construction Co</t>
  </si>
  <si>
    <t>NIFE &amp; SMU</t>
  </si>
  <si>
    <t>10-01-18 11:55:20</t>
  </si>
  <si>
    <t>17-07-18 14:56:17</t>
  </si>
  <si>
    <t>Ikpa Michael Terumbur</t>
  </si>
  <si>
    <t>ikpamichaelt@gmail.com</t>
  </si>
  <si>
    <t>23 0902416116</t>
  </si>
  <si>
    <t>Technical Supervisor and Field operational Senior Officer</t>
  </si>
  <si>
    <t>Avilee Engineers Limited, Chris Afaor Street Ukpo district Makurdi</t>
  </si>
  <si>
    <t>Fidei Polytechnic Gboko</t>
  </si>
  <si>
    <t>08-05-18 20:35:08</t>
  </si>
  <si>
    <t>01-09-18 12:23:11</t>
  </si>
  <si>
    <t>Vinod Patil</t>
  </si>
  <si>
    <t>06 Jul 1987</t>
  </si>
  <si>
    <t>vinodpatil6@gmail.com</t>
  </si>
  <si>
    <t>91 9167942087</t>
  </si>
  <si>
    <t>8 Yrs 4 Months</t>
  </si>
  <si>
    <t>Govertment College Of Engg Karad,Maharashtra</t>
  </si>
  <si>
    <t>28-11-17 17:42:11</t>
  </si>
  <si>
    <t>10-05-18 10:48:19</t>
  </si>
  <si>
    <t>diksha verma</t>
  </si>
  <si>
    <t>01 Feb 1979</t>
  </si>
  <si>
    <t>diksha.verma@gmail.com</t>
  </si>
  <si>
    <t>91 9819031577</t>
  </si>
  <si>
    <t>Rs. 18.50 Lacs</t>
  </si>
  <si>
    <t>AVP/MBA with excellent team handling experience of 14ears especially in New and Used Car Loan,.</t>
  </si>
  <si>
    <t>YES Bank Limited</t>
  </si>
  <si>
    <t>N.L.Damia Institute of Management Studies &amp; Research Mumbai University</t>
  </si>
  <si>
    <t>07-09-18 11:31:58</t>
  </si>
  <si>
    <t>Sunil More</t>
  </si>
  <si>
    <t>08 Nov 1970</t>
  </si>
  <si>
    <t>more.sunil87975@gmail.com</t>
  </si>
  <si>
    <t>91 9560747744</t>
  </si>
  <si>
    <t>AVP - Manufacturing operations &amp; supply chain</t>
  </si>
  <si>
    <t>JCB INDIA LIMITED</t>
  </si>
  <si>
    <t>XLRI Jamshedpur</t>
  </si>
  <si>
    <t>07-04-18 12:56:24</t>
  </si>
  <si>
    <t xml:space="preserve">Syaam </t>
  </si>
  <si>
    <t>syaam.maax@gmail.com</t>
  </si>
  <si>
    <t>91 9867588192</t>
  </si>
  <si>
    <t>graphics designers</t>
  </si>
  <si>
    <t>Annamalai University, Chennai</t>
  </si>
  <si>
    <t>09-08-18 22:02:06</t>
  </si>
  <si>
    <t>BIKASH SINHA</t>
  </si>
  <si>
    <t>15 Dec 1958</t>
  </si>
  <si>
    <t>bikashsinha1958@yahoo.com</t>
  </si>
  <si>
    <t>91 9433463215</t>
  </si>
  <si>
    <t>Rs. 33.10 Lacs</t>
  </si>
  <si>
    <t>chief field manager</t>
  </si>
  <si>
    <t>birla institute of technology calcutta</t>
  </si>
  <si>
    <t>19-07-18 15:50:37</t>
  </si>
  <si>
    <t>Rajesh Ramulu Bandamedi</t>
  </si>
  <si>
    <t>rajeshbandamidi55@gmail.com</t>
  </si>
  <si>
    <t>91 9768853563</t>
  </si>
  <si>
    <t>Kirti M. Dongursee College, Dadar (W)</t>
  </si>
  <si>
    <t>02-08-18 15:17:24</t>
  </si>
  <si>
    <t>06-09-18 20:15:26</t>
  </si>
  <si>
    <t>VINOD MALIYEKAL</t>
  </si>
  <si>
    <t>10 Mar 1982</t>
  </si>
  <si>
    <t>maliyekal@gmail.com</t>
  </si>
  <si>
    <t>91 9930199052</t>
  </si>
  <si>
    <t>Manager - Marketing &amp; Administration</t>
  </si>
  <si>
    <t>GAC India</t>
  </si>
  <si>
    <t>Indian Institute of Management, Indore</t>
  </si>
  <si>
    <t>25-01-18 14:49:09</t>
  </si>
  <si>
    <t>23-08-18 15:57:29</t>
  </si>
  <si>
    <t>KAMLESH MAHESHLAL BHATIA</t>
  </si>
  <si>
    <t>14 Apr 1986</t>
  </si>
  <si>
    <t>bhatiakamlesh.2009@gmail.com</t>
  </si>
  <si>
    <t>91 9323125682</t>
  </si>
  <si>
    <t>Just Lifestyle Pvt Ltd</t>
  </si>
  <si>
    <t>Welinkar Institute of Management Mumbai</t>
  </si>
  <si>
    <t>01-05-18 22:02:40</t>
  </si>
  <si>
    <t>06-09-18 13:49:35</t>
  </si>
  <si>
    <t>KV Varghese</t>
  </si>
  <si>
    <t>bristo.varghese2@gmail.com</t>
  </si>
  <si>
    <t>91 9970017557</t>
  </si>
  <si>
    <t>Head - Business Development MV Drives</t>
  </si>
  <si>
    <t>Siemens Ltd., Kalwa Works</t>
  </si>
  <si>
    <t>Sanjivini Education SocietyCollege of Engineering,Kopargaon</t>
  </si>
  <si>
    <t>03-05-18 23:43:27</t>
  </si>
  <si>
    <t>23-08-18 19:53:46</t>
  </si>
  <si>
    <t>BIJAY KUMAR SAHOO</t>
  </si>
  <si>
    <t>06 Nov 1971</t>
  </si>
  <si>
    <t>sahooji36@yahoo.com</t>
  </si>
  <si>
    <t>91 9673335885</t>
  </si>
  <si>
    <t>Indore, Kolkata, Pune, Mumbai City</t>
  </si>
  <si>
    <t>MANAGER STORES &amp;  PURCHASE</t>
  </si>
  <si>
    <t>shirpur Power pvt ltd 2X150MW Thermal Power Plant. (A subsidiary of Sintex Power Ltd)</t>
  </si>
  <si>
    <t>13-01-18 14:25:46</t>
  </si>
  <si>
    <t>11-07-18 10:38:23</t>
  </si>
  <si>
    <t>Rajendra Thakre</t>
  </si>
  <si>
    <t>16 Jun 1985</t>
  </si>
  <si>
    <t>thakrerajendra20@gmail.com</t>
  </si>
  <si>
    <t>91 9028813157</t>
  </si>
  <si>
    <t>Mumbai City, Nagpur</t>
  </si>
  <si>
    <t>Purchase Engineer</t>
  </si>
  <si>
    <t>Maxima  Boiler Pvt Ltd Navi Mumbai</t>
  </si>
  <si>
    <t>Gyan Ganga Institute of Technology &amp; Science Jabalpur (Madhya Prades )</t>
  </si>
  <si>
    <t>24-04-18 12:40:32</t>
  </si>
  <si>
    <t>10-08-18 14:44:31</t>
  </si>
  <si>
    <t>Mohan Hudke</t>
  </si>
  <si>
    <t>mohanhudke1983@gmail.com</t>
  </si>
  <si>
    <t>91 9833243861</t>
  </si>
  <si>
    <t>service advisor</t>
  </si>
  <si>
    <t>now in toyota</t>
  </si>
  <si>
    <t>maharastra bord</t>
  </si>
  <si>
    <t>05-02-18 08:49:34</t>
  </si>
  <si>
    <t>20-08-18 11:04:00</t>
  </si>
  <si>
    <t>CHINMOY KAR</t>
  </si>
  <si>
    <t>13 Jul 1974</t>
  </si>
  <si>
    <t>chinmoykar74@gmail.com</t>
  </si>
  <si>
    <t>91 7044627659</t>
  </si>
  <si>
    <t>Siliguri, Bangalore, Hyderabad, Other Andhra Pradesh, Kolkata, Mumbai City, Delhi, Other West Bengal, Daman</t>
  </si>
  <si>
    <t>STORE &amp; PROCUREMENT</t>
  </si>
  <si>
    <t>DBM Geotechnics &amp; Construction Pvt Ltd</t>
  </si>
  <si>
    <t>25-01-18 23:57:41</t>
  </si>
  <si>
    <t>09-08-18 14:25:21</t>
  </si>
  <si>
    <t>C V RAMACHANDRAN</t>
  </si>
  <si>
    <t>cv_ramn@yahoo.com</t>
  </si>
  <si>
    <t>91 9987182474</t>
  </si>
  <si>
    <t>DGM - Sales and Marketing</t>
  </si>
  <si>
    <t>STELMEC LTD</t>
  </si>
  <si>
    <t>02-04-18 16:18:31</t>
  </si>
  <si>
    <t>09-04-18 15:57:50</t>
  </si>
  <si>
    <t>rajdeep deb</t>
  </si>
  <si>
    <t>ross.deep42@gmil.com</t>
  </si>
  <si>
    <t>91 9088663613</t>
  </si>
  <si>
    <t>03-11-17 21:32:14</t>
  </si>
  <si>
    <t>28-06-18 14:36:25</t>
  </si>
  <si>
    <t>MOHAMMAD ZAYEEMUDDIN</t>
  </si>
  <si>
    <t>10 Jan 1994</t>
  </si>
  <si>
    <t>zayeemuddin3@gmail.com</t>
  </si>
  <si>
    <t>91 7488222171</t>
  </si>
  <si>
    <t>VAIBHAV CINECRAFT</t>
  </si>
  <si>
    <t>EDITING</t>
  </si>
  <si>
    <t>Film and Television Institute of India, Pune</t>
  </si>
  <si>
    <t>04-09-18 23:27:28</t>
  </si>
  <si>
    <t>Girish Kulkarni</t>
  </si>
  <si>
    <t>girish2811@gmail.com</t>
  </si>
  <si>
    <t>91 9967710537</t>
  </si>
  <si>
    <t>Rs. 12.95 Lacs</t>
  </si>
  <si>
    <t>Sr. Procurement Engineer</t>
  </si>
  <si>
    <t>Petron Engineering Construction Ltd</t>
  </si>
  <si>
    <t>Dnyaneshwar Vidyapeeth</t>
  </si>
  <si>
    <t>25-04-18 11:55:47</t>
  </si>
  <si>
    <t>03-07-18 10:30:20</t>
  </si>
  <si>
    <t>Lakshay Sethi</t>
  </si>
  <si>
    <t>11 Apr 1994</t>
  </si>
  <si>
    <t>lakshay.sethi1994@gmail.com</t>
  </si>
  <si>
    <t>91 9899113380</t>
  </si>
  <si>
    <t>All India, Bangalore, Chennai, Noida, Hyderabad, Gurugram, Pune, Mumbai City, Delhi</t>
  </si>
  <si>
    <t>IBS Mumbai</t>
  </si>
  <si>
    <t>01-09-18 01:40:54</t>
  </si>
  <si>
    <t>01-09-18 10:24:58</t>
  </si>
  <si>
    <t>PRAVIN N. KALE</t>
  </si>
  <si>
    <t>09 Dec 1969</t>
  </si>
  <si>
    <t>pravinkale_2001@yahoo.com</t>
  </si>
  <si>
    <t>91 9869434769</t>
  </si>
  <si>
    <t>Head Service</t>
  </si>
  <si>
    <t>Newtronic Lifecare equipment pvt ltd .</t>
  </si>
  <si>
    <t>11-05-18 22:42:23</t>
  </si>
  <si>
    <t>06-08-18 10:56:22</t>
  </si>
  <si>
    <t>R Krishna Kumar</t>
  </si>
  <si>
    <t>11 Mar 1980</t>
  </si>
  <si>
    <t>rkrishnakumar113@gmail.com</t>
  </si>
  <si>
    <t>91 9790840208</t>
  </si>
  <si>
    <t>Manager- Marketing</t>
  </si>
  <si>
    <t>Arun Excello Group of Companies</t>
  </si>
  <si>
    <t>16-05-18 14:42:31</t>
  </si>
  <si>
    <t>14-06-18 11:44:51</t>
  </si>
  <si>
    <t>Shn Tanu</t>
  </si>
  <si>
    <t>shantanuwrites@gmail.com</t>
  </si>
  <si>
    <t>91 8085772779</t>
  </si>
  <si>
    <t>Founder, Writer, Director</t>
  </si>
  <si>
    <t>Wander Wonder</t>
  </si>
  <si>
    <t>Journalism / Mass Communication</t>
  </si>
  <si>
    <t>New School University</t>
  </si>
  <si>
    <t>17-08-18 08:59:30</t>
  </si>
  <si>
    <t>Sanjay Malode</t>
  </si>
  <si>
    <t>01 Jun 1972</t>
  </si>
  <si>
    <t>mld_snjy@yahoo.com</t>
  </si>
  <si>
    <t>91 9167760861</t>
  </si>
  <si>
    <t>Sr.Manager-Services</t>
  </si>
  <si>
    <t>Aditya Vidyut Appliances Ltd.</t>
  </si>
  <si>
    <t>K.K.Wagh College, Pune University</t>
  </si>
  <si>
    <t>13-02-18 13:18:02</t>
  </si>
  <si>
    <t>31-05-18 11:07:18</t>
  </si>
  <si>
    <t xml:space="preserve">Neitu Shuklaa </t>
  </si>
  <si>
    <t>neitushuklaa369@gmail.com</t>
  </si>
  <si>
    <t>91 8097219598</t>
  </si>
  <si>
    <t>Denmark, Australia, United Kingdom, Bahamas, Canada, Malaysia, Thane, Japan, Mumbai City, France</t>
  </si>
  <si>
    <t>7 Yrs 7 Months</t>
  </si>
  <si>
    <t>Infonovia</t>
  </si>
  <si>
    <t>Welingkar education</t>
  </si>
  <si>
    <t>07-09-18 12:53:32</t>
  </si>
  <si>
    <t>07-09-18 17:16:52</t>
  </si>
  <si>
    <t>Lakshman Gattu</t>
  </si>
  <si>
    <t>lakshman_gattu@yahoo.com</t>
  </si>
  <si>
    <t>91 9669319111</t>
  </si>
  <si>
    <t>9 Yrs 11 Months</t>
  </si>
  <si>
    <t>Maanager-Process</t>
  </si>
  <si>
    <t>Bharat Oman Refineries Limited</t>
  </si>
  <si>
    <t>23-07-18 13:25:07</t>
  </si>
  <si>
    <t>28-08-18 16:00:26</t>
  </si>
  <si>
    <t>pawan kumar</t>
  </si>
  <si>
    <t>15 Feb 1989</t>
  </si>
  <si>
    <t>pawan.kumar15289@gmail.com</t>
  </si>
  <si>
    <t>91 9665611991</t>
  </si>
  <si>
    <t>Safety Officer</t>
  </si>
  <si>
    <t>DG Diploma in industrial safety</t>
  </si>
  <si>
    <t>periyar maniamai university</t>
  </si>
  <si>
    <t>29-07-18 12:45:25</t>
  </si>
  <si>
    <t>sugriv kumar vishwakarma</t>
  </si>
  <si>
    <t>vishwakarmasugriv@gmail.com</t>
  </si>
  <si>
    <t>91 7462800416</t>
  </si>
  <si>
    <t>Delhi</t>
  </si>
  <si>
    <t>S I T M LUCKNOW</t>
  </si>
  <si>
    <t>05-07-18 11:19:57</t>
  </si>
  <si>
    <t>07-07-18 11:20:59</t>
  </si>
  <si>
    <t>Sweety konnouth</t>
  </si>
  <si>
    <t>sweety.konnouth82@gmail.com</t>
  </si>
  <si>
    <t>9820262766</t>
  </si>
  <si>
    <t>Ddrc srl</t>
  </si>
  <si>
    <t>10-02-18 20:43:11</t>
  </si>
  <si>
    <t>30-05-18 15:27:53</t>
  </si>
  <si>
    <t>UMAKANT AGLAVE</t>
  </si>
  <si>
    <t>accord.umakant@gmail.com</t>
  </si>
  <si>
    <t>91 9960053880</t>
  </si>
  <si>
    <t>Latur, Mumbai City</t>
  </si>
  <si>
    <t>M/S. Pratibha Construction Pvt. Ltd</t>
  </si>
  <si>
    <t>ITI Surveyor</t>
  </si>
  <si>
    <t>Government Industrial Traning Institute</t>
  </si>
  <si>
    <t>10-08-18 10:23:25</t>
  </si>
  <si>
    <t xml:space="preserve">vihang morje </t>
  </si>
  <si>
    <t>27 Dec 1984</t>
  </si>
  <si>
    <t>djvihangm@gmail.com</t>
  </si>
  <si>
    <t>91 7507748060</t>
  </si>
  <si>
    <t>3d designer</t>
  </si>
  <si>
    <t>kaushal creaion</t>
  </si>
  <si>
    <t>keerti animation institute</t>
  </si>
  <si>
    <t>26-03-18 14:36:42</t>
  </si>
  <si>
    <t>27-03-18 21:06:11</t>
  </si>
  <si>
    <t>shubham nikam</t>
  </si>
  <si>
    <t>shubham.nikam@gmail.com</t>
  </si>
  <si>
    <t>91 9819220397</t>
  </si>
  <si>
    <t>HR college of Commerce and Economics</t>
  </si>
  <si>
    <t>28-05-18 04:15:07</t>
  </si>
  <si>
    <t>31-05-18 18:52:11</t>
  </si>
  <si>
    <t>Hemang Shah</t>
  </si>
  <si>
    <t>28 Nov 1988</t>
  </si>
  <si>
    <t>shahhm281188@gmail.com</t>
  </si>
  <si>
    <t>91 8767041533</t>
  </si>
  <si>
    <t>Prep Artist</t>
  </si>
  <si>
    <t>Double Negative India Pvt Ltd</t>
  </si>
  <si>
    <t>30-03-18 15:47:23</t>
  </si>
  <si>
    <t>01-05-18 12:13:17</t>
  </si>
  <si>
    <t>akhilesh sivasankaran</t>
  </si>
  <si>
    <t>07 Feb 1991</t>
  </si>
  <si>
    <t>sakhilesh38@gmail.com</t>
  </si>
  <si>
    <t>91 9946687300</t>
  </si>
  <si>
    <t>Kochi, Chennai, Bellary, Kullu, Belgaum, Delhi, Coimbatore, Guwahati, Shimla</t>
  </si>
  <si>
    <t>Documentation &amp; marketing</t>
  </si>
  <si>
    <t>MSA shipping</t>
  </si>
  <si>
    <t>indiam institute of logistics</t>
  </si>
  <si>
    <t>16-03-18 16:52:23</t>
  </si>
  <si>
    <t>06-07-18 16:56:31</t>
  </si>
  <si>
    <t>15 Nov 1972</t>
  </si>
  <si>
    <t>santoshsawant.co@gmail.com</t>
  </si>
  <si>
    <t>91 9702307470</t>
  </si>
  <si>
    <t>Sr. Infrastructure Maneger</t>
  </si>
  <si>
    <t>PC Point</t>
  </si>
  <si>
    <t>17-01-18 09:06:44</t>
  </si>
  <si>
    <t>07-09-18 15:36:41</t>
  </si>
  <si>
    <t>Albert Dsouza</t>
  </si>
  <si>
    <t>10 Sep 1978</t>
  </si>
  <si>
    <t>abbydsouza78@gmail.com</t>
  </si>
  <si>
    <t>91 9820115086</t>
  </si>
  <si>
    <t>All India, United Arab Emirates, United States of America, Mumbai City, Oman</t>
  </si>
  <si>
    <t>Rs. 14.15 Lacs</t>
  </si>
  <si>
    <t>Kindcare Services</t>
  </si>
  <si>
    <t>09-08-18 20:57:43</t>
  </si>
  <si>
    <t>06-09-18 15:25:02</t>
  </si>
  <si>
    <t xml:space="preserve">Anil Kumar Purayath </t>
  </si>
  <si>
    <t>30 Jan 1977</t>
  </si>
  <si>
    <t>anilpurayath@yahoo.com</t>
  </si>
  <si>
    <t>91 9987115481</t>
  </si>
  <si>
    <t>Rs. 28.00 Lacs</t>
  </si>
  <si>
    <t>Project manager</t>
  </si>
  <si>
    <t>M/s Special Technical Services LLC</t>
  </si>
  <si>
    <t>State Board of Technical Education</t>
  </si>
  <si>
    <t>07-06-18 11:12:24</t>
  </si>
  <si>
    <t>02-08-18 16:29:30</t>
  </si>
  <si>
    <t>Neha kadyan</t>
  </si>
  <si>
    <t>13 Sep 1995</t>
  </si>
  <si>
    <t>nehakadyan.kn@gmail.com</t>
  </si>
  <si>
    <t>91 7020393053</t>
  </si>
  <si>
    <t>Galaxy global group of institutions</t>
  </si>
  <si>
    <t>Universal Business School</t>
  </si>
  <si>
    <t>11-05-18 18:27:33</t>
  </si>
  <si>
    <t>Milind Patil</t>
  </si>
  <si>
    <t>vineet.milind@hotmail.com</t>
  </si>
  <si>
    <t>91 9890008464</t>
  </si>
  <si>
    <t>Nashik, Navi Mumbai, Ahmednagar, Thane, Pune, Aurangabad, Mumbai City, Jalgaon, Vadodara, Nagpur, Ahmedabad</t>
  </si>
  <si>
    <t>Senior Manager- Marketing</t>
  </si>
  <si>
    <t>Chhabi Electrical Pvt. Ltd</t>
  </si>
  <si>
    <t>07-08-18 11:04:40</t>
  </si>
  <si>
    <t>14-08-18 06:47:56</t>
  </si>
  <si>
    <t>Raakesh P Rajoli</t>
  </si>
  <si>
    <t>21 Nov 1980</t>
  </si>
  <si>
    <t>raakeshprajoli@gmail.com</t>
  </si>
  <si>
    <t>91 7506991148</t>
  </si>
  <si>
    <t>Pinnacle Infotech</t>
  </si>
  <si>
    <t>Modern College</t>
  </si>
  <si>
    <t>04-07-18 18:16:03</t>
  </si>
  <si>
    <t>05-09-18 20:27:16</t>
  </si>
  <si>
    <t>Pranita kakade</t>
  </si>
  <si>
    <t>28 Jul 1994</t>
  </si>
  <si>
    <t>pskakade2807@gmail.com</t>
  </si>
  <si>
    <t>91 7770047896</t>
  </si>
  <si>
    <t>TKCP, Warananagar</t>
  </si>
  <si>
    <t>04-06-18 16:45:20</t>
  </si>
  <si>
    <t>07-09-18 14:45:55</t>
  </si>
  <si>
    <t>Rahul Sharma</t>
  </si>
  <si>
    <t>23 Oct 1985</t>
  </si>
  <si>
    <t>rahrom2007@gmail.com</t>
  </si>
  <si>
    <t>91 9967487913</t>
  </si>
  <si>
    <t>Indian Management Institute</t>
  </si>
  <si>
    <t>07-07-18 14:17:43</t>
  </si>
  <si>
    <t>30-07-18 14:53:58</t>
  </si>
  <si>
    <t>Jaspreet Kaur Bajwa</t>
  </si>
  <si>
    <t>21 Jan 1991</t>
  </si>
  <si>
    <t>jazzbajwa01@gmail.com</t>
  </si>
  <si>
    <t>91 9819894224</t>
  </si>
  <si>
    <t>Edelweiss Asset Reconstruction Company Ltd</t>
  </si>
  <si>
    <t>07-06-18 15:37:57</t>
  </si>
  <si>
    <t>14-06-18 17:23:42</t>
  </si>
  <si>
    <t>Tausif Kureshi</t>
  </si>
  <si>
    <t>20 Mar 1990</t>
  </si>
  <si>
    <t>tausifkureshi2@gmail.com</t>
  </si>
  <si>
    <t>91 8793527273</t>
  </si>
  <si>
    <t>Computer operator, Accountant, sales , Cashier</t>
  </si>
  <si>
    <t>Ghanim &amp; Yousuf Trading Co.</t>
  </si>
  <si>
    <t>21-07-18 11:43:14</t>
  </si>
  <si>
    <t>Vishal Aherrao</t>
  </si>
  <si>
    <t>03 Feb 1982</t>
  </si>
  <si>
    <t>aherrao.vishal@gmail.com</t>
  </si>
  <si>
    <t>91 9975229276</t>
  </si>
  <si>
    <t>Nashik, Other Gujarat, Vapi, Pune, Mumbai City, Vadodara, Valsad, Ankleshwar, Ahmedabad</t>
  </si>
  <si>
    <t>11 Yrs 9 Months</t>
  </si>
  <si>
    <t>Assistant  Project  Manager</t>
  </si>
  <si>
    <t>Aarti Drugs Ltd</t>
  </si>
  <si>
    <t>23-07-18 21:20:02</t>
  </si>
  <si>
    <t>24-07-18 09:35:50</t>
  </si>
  <si>
    <t>MITHUN GAJRE</t>
  </si>
  <si>
    <t>gajremithun@gmail.com</t>
  </si>
  <si>
    <t>91 9819965613</t>
  </si>
  <si>
    <t>NDT Technician</t>
  </si>
  <si>
    <t>CAPACITE STRUCTURAL LTD.</t>
  </si>
  <si>
    <t>ELLIM UNIVERSITY</t>
  </si>
  <si>
    <t>11-02-18 10:18:49</t>
  </si>
  <si>
    <t>03-09-18 14:47:25</t>
  </si>
  <si>
    <t>Cecil jayakar</t>
  </si>
  <si>
    <t>cjayakar41@gmail.com</t>
  </si>
  <si>
    <t>91 9769656211</t>
  </si>
  <si>
    <t>Welding foreman supervisor</t>
  </si>
  <si>
    <t>Oil and Natural Gas Corporation Ltd</t>
  </si>
  <si>
    <t>Adavani oelikon welding institute  mumbai</t>
  </si>
  <si>
    <t>18-02-18 09:35:51</t>
  </si>
  <si>
    <t>06-08-18 21:58:05</t>
  </si>
  <si>
    <t>Sunny Potdar</t>
  </si>
  <si>
    <t>24 Jul 1984</t>
  </si>
  <si>
    <t>sunny.potdar@hotmail.com</t>
  </si>
  <si>
    <t>91 9130018299</t>
  </si>
  <si>
    <t>Rs. 9.90 Lacs</t>
  </si>
  <si>
    <t>Assistant Manager, Financial Planning &amp; Analysis</t>
  </si>
  <si>
    <t>Prime Group</t>
  </si>
  <si>
    <t>Heriot-Watt University</t>
  </si>
  <si>
    <t>21-05-18 10:06:07</t>
  </si>
  <si>
    <t>22-05-18 12:07:37</t>
  </si>
  <si>
    <t>Reena  Rane</t>
  </si>
  <si>
    <t>ranereena@ymail.com</t>
  </si>
  <si>
    <t>91 9833403423</t>
  </si>
  <si>
    <t>14 Yrs 3 Months</t>
  </si>
  <si>
    <t>Chemistry Teacher</t>
  </si>
  <si>
    <t>Hasanat High School</t>
  </si>
  <si>
    <t>03-08-18 10:54:40</t>
  </si>
  <si>
    <t>30-08-18 15:04:14</t>
  </si>
  <si>
    <t>Sanjay Menon</t>
  </si>
  <si>
    <t>sanjay.menon3010@gmail.com</t>
  </si>
  <si>
    <t>91 9819189461</t>
  </si>
  <si>
    <t>ASSISTANT FRONT OFFICE MANAGER</t>
  </si>
  <si>
    <t>RAVIZ CENTERPOINT HOTEL</t>
  </si>
  <si>
    <t>Oriental School of Hotel Management</t>
  </si>
  <si>
    <t>02-11-17 15:53:59</t>
  </si>
  <si>
    <t>23-06-18 16:40:27</t>
  </si>
  <si>
    <t>ujjwala Welekar</t>
  </si>
  <si>
    <t>29 Sep 1986</t>
  </si>
  <si>
    <t>ulingayat4@gmail.com</t>
  </si>
  <si>
    <t>91 9769138595</t>
  </si>
  <si>
    <t>Manager- Recrutment and Development</t>
  </si>
  <si>
    <t>Welinkar Institute</t>
  </si>
  <si>
    <t>05-06-18 18:15:48</t>
  </si>
  <si>
    <t>Reshma Nagdevani</t>
  </si>
  <si>
    <t>rreshmanagdevani@gmail.com</t>
  </si>
  <si>
    <t>91 7276667037</t>
  </si>
  <si>
    <t>11-07-18 18:34:14</t>
  </si>
  <si>
    <t>12-07-18 11:40:38</t>
  </si>
  <si>
    <t>Ajay Prakash Patil</t>
  </si>
  <si>
    <t>27 Dec 1986</t>
  </si>
  <si>
    <t>patil.ajay1685@gmail.com</t>
  </si>
  <si>
    <t>91 9890342582</t>
  </si>
  <si>
    <t>Sr.Production Officer</t>
  </si>
  <si>
    <t>Dr.B.A.Marathwada University</t>
  </si>
  <si>
    <t>09-08-18 21:18:37</t>
  </si>
  <si>
    <t>22-08-18 13:36:24</t>
  </si>
  <si>
    <t>Rishi Agarwal</t>
  </si>
  <si>
    <t>01 Feb 1989</t>
  </si>
  <si>
    <t>rishiagarwal0102@gmail.com</t>
  </si>
  <si>
    <t>91 9099421856</t>
  </si>
  <si>
    <t>All India, Bharuch, Mumbai City, Surat</t>
  </si>
  <si>
    <t>Rs. 9.70 Lacs</t>
  </si>
  <si>
    <t>Manager QA/QC Civil</t>
  </si>
  <si>
    <t>TUV India Private Limited</t>
  </si>
  <si>
    <t>Manipal Institute Of Technology</t>
  </si>
  <si>
    <t>11-06-18 16:13:11</t>
  </si>
  <si>
    <t>25-06-18 15:13:23</t>
  </si>
  <si>
    <t>Prachi  Thokale</t>
  </si>
  <si>
    <t>pthokale12@gmail.com</t>
  </si>
  <si>
    <t>91 9619462160</t>
  </si>
  <si>
    <t>28-07-18 12:02:40</t>
  </si>
  <si>
    <t>NARINDER PAL SINGH</t>
  </si>
  <si>
    <t>npsingh.ovl@gmail.com</t>
  </si>
  <si>
    <t>91 9969228800</t>
  </si>
  <si>
    <t>GROUP  GENERAL MANAGER(HR)</t>
  </si>
  <si>
    <t>Oil and Natural Gas Corporation Limited</t>
  </si>
  <si>
    <t>RUSSIAN LANGUAGE</t>
  </si>
  <si>
    <t>Jawaharlal Nehru University</t>
  </si>
  <si>
    <t>24-11-17 21:09:00</t>
  </si>
  <si>
    <t>22-06-18 04:25:04</t>
  </si>
  <si>
    <t>RANJAN UPADHYAYA</t>
  </si>
  <si>
    <t>09 Jun 1972</t>
  </si>
  <si>
    <t>ranjanupadhyaya60@gmail.com</t>
  </si>
  <si>
    <t>91 9414424380</t>
  </si>
  <si>
    <t>17 Yrs 11 Months</t>
  </si>
  <si>
    <t>Associate Professor, Marketing,</t>
  </si>
  <si>
    <t>PtJLNIBM</t>
  </si>
  <si>
    <t>23-04-18 15:26:21</t>
  </si>
  <si>
    <t>10-07-18 12:40:01</t>
  </si>
  <si>
    <t>Deepak H Patil</t>
  </si>
  <si>
    <t>21 Sep 1981</t>
  </si>
  <si>
    <t>patildeepak1981@gmail.com</t>
  </si>
  <si>
    <t>91 9967659712</t>
  </si>
  <si>
    <t>Air Product ltd.</t>
  </si>
  <si>
    <t>05-07-18 19:54:12</t>
  </si>
  <si>
    <t>25-08-18 18:03:01</t>
  </si>
  <si>
    <t>Aadil khan</t>
  </si>
  <si>
    <t>aadilshahabuddin1990@gmail.com</t>
  </si>
  <si>
    <t>91 8087209284</t>
  </si>
  <si>
    <t>Rs. 5.65 Lacs</t>
  </si>
  <si>
    <t>AIC Infrastructures pvt ltd.</t>
  </si>
  <si>
    <t>Mount faran polytechnic</t>
  </si>
  <si>
    <t>24-10-17 13:33:26</t>
  </si>
  <si>
    <t>14-03-18 10:43:18</t>
  </si>
  <si>
    <t>bhoomi Joshi</t>
  </si>
  <si>
    <t>20 Nov 1982</t>
  </si>
  <si>
    <t>bhoomi2010@gmail.com</t>
  </si>
  <si>
    <t>91 9769222544</t>
  </si>
  <si>
    <t>Tender engineer &amp; technical assistant</t>
  </si>
  <si>
    <t>Crescent Construction Co.</t>
  </si>
  <si>
    <t>M.S. University</t>
  </si>
  <si>
    <t>01-07-18 12:18:29</t>
  </si>
  <si>
    <t>27-08-18 17:00:00</t>
  </si>
  <si>
    <t>SURENDRA SINGH</t>
  </si>
  <si>
    <t>18 Apr 1962</t>
  </si>
  <si>
    <t>surendra196218@gmail.com</t>
  </si>
  <si>
    <t>91 9969933839</t>
  </si>
  <si>
    <t>Naval Institute of Education &amp; Training Technology</t>
  </si>
  <si>
    <t>28-08-18 16:54:40</t>
  </si>
  <si>
    <t xml:space="preserve">Sachin </t>
  </si>
  <si>
    <t>sachinfire1977@gmail.com</t>
  </si>
  <si>
    <t>91 8879769293</t>
  </si>
  <si>
    <t>SafetyManager</t>
  </si>
  <si>
    <t>Fire safety and hazard management</t>
  </si>
  <si>
    <t>Shobit university</t>
  </si>
  <si>
    <t>25-03-18 18:49:44</t>
  </si>
  <si>
    <t>13-08-18 17:15:35</t>
  </si>
  <si>
    <t>Arindam Banerjee</t>
  </si>
  <si>
    <t>11 Feb 1985</t>
  </si>
  <si>
    <t>arindam.banerjee545@gmail.com</t>
  </si>
  <si>
    <t>91 9775407173</t>
  </si>
  <si>
    <t>All India, Bangalore, Siliguri, Kolkata, Pune, Guwahati</t>
  </si>
  <si>
    <t>Operations Manager, Center Head</t>
  </si>
  <si>
    <t>Intelenet Global Services</t>
  </si>
  <si>
    <t>North Bengal University</t>
  </si>
  <si>
    <t>11-08-18 10:24:39</t>
  </si>
  <si>
    <t>06-09-18 14:56:54</t>
  </si>
  <si>
    <t>Jinto. M. Thomas</t>
  </si>
  <si>
    <t>26 Oct 1991</t>
  </si>
  <si>
    <t>jintothomas026@gmail.com</t>
  </si>
  <si>
    <t>91 7045654943</t>
  </si>
  <si>
    <t>NDT Technologies</t>
  </si>
  <si>
    <t>Karpagam University</t>
  </si>
  <si>
    <t>24-03-18 20:44:28</t>
  </si>
  <si>
    <t>26-03-18 10:51:52</t>
  </si>
  <si>
    <t>Vijay Ghoderao</t>
  </si>
  <si>
    <t>vijayghoderao@yahoo.com</t>
  </si>
  <si>
    <t>91 9930265068</t>
  </si>
  <si>
    <t>Sr. Commercial executive (Operations)</t>
  </si>
  <si>
    <t>UTC Fire &amp; Security India Ltd</t>
  </si>
  <si>
    <t>Sikkim Manipal Education</t>
  </si>
  <si>
    <t>07-02-18 22:31:05</t>
  </si>
  <si>
    <t>04-05-18 12:12:43</t>
  </si>
  <si>
    <t>Anil Kumar Roy</t>
  </si>
  <si>
    <t>30 Oct 1956</t>
  </si>
  <si>
    <t>anilkumarroy56@yahoo.in</t>
  </si>
  <si>
    <t>91 7506774571</t>
  </si>
  <si>
    <t>Additional General Manager - Projects</t>
  </si>
  <si>
    <t>Sunil HiTech Engineers Limited, Mumbai</t>
  </si>
  <si>
    <t>National Institute of Technology (REC), Warangal, Andhra Pradesh.</t>
  </si>
  <si>
    <t>08-08-18 23:07:29</t>
  </si>
  <si>
    <t>Parshuram Gond</t>
  </si>
  <si>
    <t>12 May 1989</t>
  </si>
  <si>
    <t>parshuramgond@gmail.com</t>
  </si>
  <si>
    <t>91 8874517016</t>
  </si>
  <si>
    <t>Field technician</t>
  </si>
  <si>
    <t>Shahiba InfoTech</t>
  </si>
  <si>
    <t>Dev Raj</t>
  </si>
  <si>
    <t>30-08-18 13:36:20</t>
  </si>
  <si>
    <t>03-09-18 17:13:05</t>
  </si>
  <si>
    <t>VYSAKH Tv</t>
  </si>
  <si>
    <t>03 Nov 1993</t>
  </si>
  <si>
    <t>vysakhtv@gmail.com</t>
  </si>
  <si>
    <t>91 9619916476</t>
  </si>
  <si>
    <t>Calicut University</t>
  </si>
  <si>
    <t>06-05-18 08:31:24</t>
  </si>
  <si>
    <t>15-06-18 16:53:59</t>
  </si>
  <si>
    <t>Manoj Pawar</t>
  </si>
  <si>
    <t>17 Jun 1983</t>
  </si>
  <si>
    <t>manoj.pawar009@gmail.com</t>
  </si>
  <si>
    <t>91 9819763105</t>
  </si>
  <si>
    <t>Nashik, Mumbai City</t>
  </si>
  <si>
    <t>Manager Projects</t>
  </si>
  <si>
    <t>Concept Engineers</t>
  </si>
  <si>
    <t>Fr. Agnel Polytechnic - Vashi</t>
  </si>
  <si>
    <t>26-08-18 23:29:15</t>
  </si>
  <si>
    <t>27-08-18 12:05:30</t>
  </si>
  <si>
    <t>Purushotham Sai</t>
  </si>
  <si>
    <t>26 Jan 1956</t>
  </si>
  <si>
    <t>purushothamsai@rediffmail.com</t>
  </si>
  <si>
    <t>91 9819112851</t>
  </si>
  <si>
    <t>B-EIA and P-SIA Assessment consulatncy</t>
  </si>
  <si>
    <t>CONFECT India</t>
  </si>
  <si>
    <t>05-12-17 20:03:50</t>
  </si>
  <si>
    <t>28-08-18 16:29:22</t>
  </si>
  <si>
    <t>Sk Mohammed Illiyas</t>
  </si>
  <si>
    <t>iliyaz.hmd@gmail.com</t>
  </si>
  <si>
    <t>91 9970725433</t>
  </si>
  <si>
    <t>Resident Engineer</t>
  </si>
  <si>
    <t>Gannon Dunkerley &amp; Company Ltd</t>
  </si>
  <si>
    <t>State council of technical  education, odisha</t>
  </si>
  <si>
    <t>02-11-17 18:00:14</t>
  </si>
  <si>
    <t>24-05-18 17:34:58</t>
  </si>
  <si>
    <t>DIPAK SAWANT</t>
  </si>
  <si>
    <t>28 Jul 1976</t>
  </si>
  <si>
    <t>dipaksawant555@gmail.com</t>
  </si>
  <si>
    <t>91 9833256052</t>
  </si>
  <si>
    <t>ACCOUNTING</t>
  </si>
  <si>
    <t>Radiance Properties India Pvt. Ltd</t>
  </si>
  <si>
    <t>MUMBAI</t>
  </si>
  <si>
    <t>31-05-18 12:15:57</t>
  </si>
  <si>
    <t>01-09-18 11:56:22</t>
  </si>
  <si>
    <t>HARESHKUMAR PANDYA</t>
  </si>
  <si>
    <t>hareshkumar.pandya@schneider-electric.com</t>
  </si>
  <si>
    <t>91 9702912252</t>
  </si>
  <si>
    <t>Jamnagar, United Arab Emirates, Mumbai City, Vadodara, Qatar, Ahmedabad</t>
  </si>
  <si>
    <t>Assistant Manager Project Commercial</t>
  </si>
  <si>
    <t>Schneider Electric India Pvt.Ltd.</t>
  </si>
  <si>
    <t>Indian Mearchant Chamber.</t>
  </si>
  <si>
    <t>12-01-18 10:57:21</t>
  </si>
  <si>
    <t>27-06-18 10:22:37</t>
  </si>
  <si>
    <t>Gurudas Kamble</t>
  </si>
  <si>
    <t>01 Jun 1987</t>
  </si>
  <si>
    <t>gurudaskamble38@gmail.com</t>
  </si>
  <si>
    <t>91 9664677478</t>
  </si>
  <si>
    <t>Jamnagar, Vapi, Pune, Mumbai City, Surat, Vadodara, Valsad, Daman, Other Daman-Diu, Ankleshwar</t>
  </si>
  <si>
    <t>LUPIN LIMITED</t>
  </si>
  <si>
    <t>mumbai university</t>
  </si>
  <si>
    <t>13-08-18 07:05:00</t>
  </si>
  <si>
    <t>priyanka Naik</t>
  </si>
  <si>
    <t>01 May 1990</t>
  </si>
  <si>
    <t>priyankanaik33@gmail.com</t>
  </si>
  <si>
    <t>91 8286283353</t>
  </si>
  <si>
    <t xml:space="preserve">Associate </t>
  </si>
  <si>
    <t>State Street Syntel Private Limited</t>
  </si>
  <si>
    <t>Itm School of Management</t>
  </si>
  <si>
    <t>26-08-18 18:36:13</t>
  </si>
  <si>
    <t>28-08-18 11:53:45</t>
  </si>
  <si>
    <t xml:space="preserve">Sourabh shrivas </t>
  </si>
  <si>
    <t>07 Jul 1984</t>
  </si>
  <si>
    <t>souravshrivas@gmail.com</t>
  </si>
  <si>
    <t>91 8087796835</t>
  </si>
  <si>
    <t>- Any -, Ujjain, Mumbai City</t>
  </si>
  <si>
    <t>Posco maharastra steels pvt.ltd</t>
  </si>
  <si>
    <t>Radharaman engineering college
R.G.P.V</t>
  </si>
  <si>
    <t>26-08-18 17:36:00</t>
  </si>
  <si>
    <t>07-09-18 11:11:24</t>
  </si>
  <si>
    <t>nikhil rawal</t>
  </si>
  <si>
    <t>nikhilr495@gmail.com</t>
  </si>
  <si>
    <t>91 9820064338</t>
  </si>
  <si>
    <t>RBL  BANK SR ASO</t>
  </si>
  <si>
    <t>03-09-18 13:22:09</t>
  </si>
  <si>
    <t>PRAKASH CHAUDHARI</t>
  </si>
  <si>
    <t>30 Aug 1964</t>
  </si>
  <si>
    <t>micromho@gmail.com</t>
  </si>
  <si>
    <t>91 9769508359</t>
  </si>
  <si>
    <t>Additional Executive Engineer</t>
  </si>
  <si>
    <t>Maharashtra State Electricity Transmission Co. Ltd.</t>
  </si>
  <si>
    <t>Government Engineering College, Aurangabad</t>
  </si>
  <si>
    <t>15-04-18 20:16:45</t>
  </si>
  <si>
    <t>23-08-18 18:13:56</t>
  </si>
  <si>
    <t>P. P. Srees</t>
  </si>
  <si>
    <t>ppsrees@hotmail.com</t>
  </si>
  <si>
    <t>91 9967012025</t>
  </si>
  <si>
    <t>Basf India Limited</t>
  </si>
  <si>
    <t>19-01-16 12:25:48</t>
  </si>
  <si>
    <t>31-08-18 16:52:39</t>
  </si>
  <si>
    <t>deepak mahale</t>
  </si>
  <si>
    <t>mahaledeepak77@gmail.com</t>
  </si>
  <si>
    <t>91 9041905895</t>
  </si>
  <si>
    <t>SALES</t>
  </si>
  <si>
    <t>SARVPPRATHAM DEVELOPERS PVT.LTD.</t>
  </si>
  <si>
    <t>Mumbai Univercity</t>
  </si>
  <si>
    <t>16-05-18 16:54:17</t>
  </si>
  <si>
    <t>17-05-18 13:45:16</t>
  </si>
  <si>
    <t>Shaunak Bhawalkar</t>
  </si>
  <si>
    <t>27 May 1988</t>
  </si>
  <si>
    <t>shaunak2705@gmail.com</t>
  </si>
  <si>
    <t>91 9022918258</t>
  </si>
  <si>
    <t>NY VFXWAALA</t>
  </si>
  <si>
    <t>28-03-18 00:39:15</t>
  </si>
  <si>
    <t>29-03-18 18:20:57</t>
  </si>
  <si>
    <t xml:space="preserve">CA Divya Jain </t>
  </si>
  <si>
    <t>06 Feb 1993</t>
  </si>
  <si>
    <t>dvjn77.dj@gmail.com</t>
  </si>
  <si>
    <t>91 9414162322</t>
  </si>
  <si>
    <t>23-03-18 15:41:55</t>
  </si>
  <si>
    <t>25-03-18 20:23:05</t>
  </si>
  <si>
    <t>Ashok Purohit</t>
  </si>
  <si>
    <t>07 Jul 1966</t>
  </si>
  <si>
    <t>ashok.grengg@gmail.com</t>
  </si>
  <si>
    <t>91 7045120090</t>
  </si>
  <si>
    <t>Project Incharge</t>
  </si>
  <si>
    <t>Artson</t>
  </si>
  <si>
    <t>K. H. Kabbur Institute of Engineering, Dharwad</t>
  </si>
  <si>
    <t>26-03-18 12:42:14</t>
  </si>
  <si>
    <t>10-04-18 12:20:04</t>
  </si>
  <si>
    <t xml:space="preserve">JITENDRA DALAI </t>
  </si>
  <si>
    <t>06 Apr 1988</t>
  </si>
  <si>
    <t>jpdalai1988@gmail.com</t>
  </si>
  <si>
    <t>91 9757010727</t>
  </si>
  <si>
    <t>Subject Matter Expert</t>
  </si>
  <si>
    <t>Sutherland global services</t>
  </si>
  <si>
    <t>05-09-18 15:29:50</t>
  </si>
  <si>
    <t xml:space="preserve">Divya </t>
  </si>
  <si>
    <t>30 Nov 1992</t>
  </si>
  <si>
    <t>diudhanji92@gmail.com</t>
  </si>
  <si>
    <t>91 9860326402</t>
  </si>
  <si>
    <t>Godrej &amp; Boyce Mfg. Co. Ltd</t>
  </si>
  <si>
    <t>Konkan Gyanpeeth Engineering College</t>
  </si>
  <si>
    <t>07-09-18 16:14:59</t>
  </si>
  <si>
    <t>swati amberkar</t>
  </si>
  <si>
    <t>08 Sep 1982</t>
  </si>
  <si>
    <t>naikswati08@gmail.com</t>
  </si>
  <si>
    <t>91 9833407278</t>
  </si>
  <si>
    <t>ASSOCIATE MANAGER CUSTOMER SERVICE</t>
  </si>
  <si>
    <t>INDUIND BANK LTD</t>
  </si>
  <si>
    <t>CLASS     MUMBAI UNIVERSITY</t>
  </si>
  <si>
    <t>23-08-18 19:30:21</t>
  </si>
  <si>
    <t>TOHID ARAB</t>
  </si>
  <si>
    <t>tohidarab13@gmail.com</t>
  </si>
  <si>
    <t>91 9922099684</t>
  </si>
  <si>
    <t>Production Engineer</t>
  </si>
  <si>
    <t>Hawa valves india pvt.Ltd</t>
  </si>
  <si>
    <t>DKTE Textile &amp; Engg.Institute  Ichalkaranji</t>
  </si>
  <si>
    <t>11-08-18 20:41:03</t>
  </si>
  <si>
    <t>05-09-18 23:06:35</t>
  </si>
  <si>
    <t>Vipin tripathi</t>
  </si>
  <si>
    <t>vipintripathi04@gmail.com</t>
  </si>
  <si>
    <t>91 9322820345</t>
  </si>
  <si>
    <t>Noida, Ghaziabad, Thane, Faridabad, Delhi</t>
  </si>
  <si>
    <t>Maintenance &amp; producation</t>
  </si>
  <si>
    <t>Thakkar group</t>
  </si>
  <si>
    <t>Govt polytechnic Jhansi</t>
  </si>
  <si>
    <t>05-09-18 23:54:06</t>
  </si>
  <si>
    <t>07-09-18 16:59:44</t>
  </si>
  <si>
    <t>Ajay Kumar Maravi</t>
  </si>
  <si>
    <t>ajaykmaravi93@gmail.com</t>
  </si>
  <si>
    <t>91 8692016769</t>
  </si>
  <si>
    <t>13-07-18 23:02:27</t>
  </si>
  <si>
    <t>Mary John</t>
  </si>
  <si>
    <t>27 Aug 1986</t>
  </si>
  <si>
    <t>siji2mary@gmail.com</t>
  </si>
  <si>
    <t>91 9920890013</t>
  </si>
  <si>
    <t>04-07-17 17:30:11</t>
  </si>
  <si>
    <t>22-03-18 12:50:15</t>
  </si>
  <si>
    <t>swapil dhokare</t>
  </si>
  <si>
    <t>15 Jan 1995</t>
  </si>
  <si>
    <t>swapnildhokare@gmail.com</t>
  </si>
  <si>
    <t>91 7039863450</t>
  </si>
  <si>
    <t>Navi Mumbai, Pune, Mumbai City, Kolhapur</t>
  </si>
  <si>
    <t>BPS Trainee</t>
  </si>
  <si>
    <t>14-02-17 17:09:47</t>
  </si>
  <si>
    <t>28-06-18 18:20:12</t>
  </si>
  <si>
    <t>Vinit D Kulkarni</t>
  </si>
  <si>
    <t>vinitk69@gmail.com</t>
  </si>
  <si>
    <t>91 7710067767</t>
  </si>
  <si>
    <t>Principal. ENGINEER</t>
  </si>
  <si>
    <t>TECHINT ENGINEERING AND CONSTRUCTION</t>
  </si>
  <si>
    <t>20-08-18 20:25:13</t>
  </si>
  <si>
    <t>RAMKRISHNA PATIL</t>
  </si>
  <si>
    <t>07 Apr 1980</t>
  </si>
  <si>
    <t>rspatil07@yahoo.com</t>
  </si>
  <si>
    <t>91 9967038748</t>
  </si>
  <si>
    <t>Rs. 30.95 Lacs</t>
  </si>
  <si>
    <t>General  Manager -  Engineering &amp; Projects</t>
  </si>
  <si>
    <t>Bharat Serums and vacccince</t>
  </si>
  <si>
    <t>ITMS</t>
  </si>
  <si>
    <t>22-03-18 21:56:39</t>
  </si>
  <si>
    <t>06-08-18 16:18:29</t>
  </si>
  <si>
    <t>Jayram Raut</t>
  </si>
  <si>
    <t>01 Jun 1973</t>
  </si>
  <si>
    <t>jp_raut@rediffmail.com</t>
  </si>
  <si>
    <t>91 9967733438</t>
  </si>
  <si>
    <t>Rs. 16.30 Lacs</t>
  </si>
  <si>
    <t>AGM (QA/QC, Planning)</t>
  </si>
  <si>
    <t>Ducon technologies</t>
  </si>
  <si>
    <t>02-08-18 12:08:51</t>
  </si>
  <si>
    <t>07-08-18 17:49:58</t>
  </si>
  <si>
    <t xml:space="preserve">Amit </t>
  </si>
  <si>
    <t>21 May 1995</t>
  </si>
  <si>
    <t>amitpatil215@gmail.com</t>
  </si>
  <si>
    <t>91 8424870470</t>
  </si>
  <si>
    <t>Times of India Group</t>
  </si>
  <si>
    <t>Maharashtra State Board</t>
  </si>
  <si>
    <t>21-07-18 01:43:30</t>
  </si>
  <si>
    <t>08-09-18 03:18:51</t>
  </si>
  <si>
    <t>sarika kuchik</t>
  </si>
  <si>
    <t>sarikakuchik25@gmail.com</t>
  </si>
  <si>
    <t>91 8793490980</t>
  </si>
  <si>
    <t>abhinav institute of manegment,thane</t>
  </si>
  <si>
    <t>19-04-18 21:22:35</t>
  </si>
  <si>
    <t>trilok singh bisht</t>
  </si>
  <si>
    <t>tsbisht5@gmail.com</t>
  </si>
  <si>
    <t>91 9833752185</t>
  </si>
  <si>
    <t>Safety Manager</t>
  </si>
  <si>
    <t>Anukool India Pvt Ltd</t>
  </si>
  <si>
    <t xml:space="preserve">Defense Training center  </t>
  </si>
  <si>
    <t>22-06-18 09:20:23</t>
  </si>
  <si>
    <t>28-07-18 12:48:42</t>
  </si>
  <si>
    <t>Vivek Dattatray Muley</t>
  </si>
  <si>
    <t>31 Mar 1967</t>
  </si>
  <si>
    <t>vivek.muley67@gmail.com</t>
  </si>
  <si>
    <t>91 9920018118</t>
  </si>
  <si>
    <t>All India, Bangalore, Hyderabad, Kolkata, Mumbai City, Delhi</t>
  </si>
  <si>
    <t>Pratibha Industries Ltd</t>
  </si>
  <si>
    <t>YCCE</t>
  </si>
  <si>
    <t>19-01-18 08:49:57</t>
  </si>
  <si>
    <t>13-07-18 11:42:11</t>
  </si>
  <si>
    <t xml:space="preserve">SHIVAKUMARA j </t>
  </si>
  <si>
    <t>26 Aug 1991</t>
  </si>
  <si>
    <t>shivujgundasamudra@gmail.com</t>
  </si>
  <si>
    <t>91 9740631162</t>
  </si>
  <si>
    <t>Bangalore, Noida, Chennai, Hyderabad, Kolkata, Pune, Mumbai City, Delhi</t>
  </si>
  <si>
    <t>Piping Designer</t>
  </si>
  <si>
    <t>Toyo Engineering</t>
  </si>
  <si>
    <t>24-07-18 15:04:31</t>
  </si>
  <si>
    <t>25-07-18 11:57:57</t>
  </si>
  <si>
    <t>ajoob chandran</t>
  </si>
  <si>
    <t>05 Nov 1991</t>
  </si>
  <si>
    <t>chandranajoob@gmail.com</t>
  </si>
  <si>
    <t>91 9821194171</t>
  </si>
  <si>
    <t>Bangalore, Chennai, Other Kerala, Aurangabad, Pune, Mumbai City, Delhi</t>
  </si>
  <si>
    <t>Production, quality.</t>
  </si>
  <si>
    <t>Suryadipta projects Pvt ltd</t>
  </si>
  <si>
    <t>saraswati college of engineering</t>
  </si>
  <si>
    <t>23-08-18 16:49:54</t>
  </si>
  <si>
    <t>28-08-18 15:33:06</t>
  </si>
  <si>
    <t>Junaid alam</t>
  </si>
  <si>
    <t>12 Apr 1996</t>
  </si>
  <si>
    <t>junaidalam.7899@gmail.com</t>
  </si>
  <si>
    <t>91 7021652290</t>
  </si>
  <si>
    <t>Reena Mehta college</t>
  </si>
  <si>
    <t>02-07-18 02:39:50</t>
  </si>
  <si>
    <t>02-07-18 02:40:48</t>
  </si>
  <si>
    <t>NANDKUMAR PATIL</t>
  </si>
  <si>
    <t>06 May 1968</t>
  </si>
  <si>
    <t>pnandkumar06@gmail.com</t>
  </si>
  <si>
    <t>91 7738145770</t>
  </si>
  <si>
    <t>Regional Business Manager</t>
  </si>
  <si>
    <t>Sayre Therapeutics Pvt. Ltd</t>
  </si>
  <si>
    <t>12-08-18 12:14:26</t>
  </si>
  <si>
    <t>20-08-18 17:01:55</t>
  </si>
  <si>
    <t>Meenakshi Pal</t>
  </si>
  <si>
    <t>14 Jul 1991</t>
  </si>
  <si>
    <t>meenakshipal14791@gmail.com</t>
  </si>
  <si>
    <t>91 8108077302</t>
  </si>
  <si>
    <t>ITM Nav Munbai</t>
  </si>
  <si>
    <t>07-05-18 22:09:08</t>
  </si>
  <si>
    <t xml:space="preserve">Dhwani </t>
  </si>
  <si>
    <t>04 Dec 1993</t>
  </si>
  <si>
    <t>nvdhwani@gmail.com</t>
  </si>
  <si>
    <t>91 9444146400</t>
  </si>
  <si>
    <t>Application Feild Scientist</t>
  </si>
  <si>
    <t>Medispec India Ltd</t>
  </si>
  <si>
    <t>Amrita Vishwa Vidyapeetham</t>
  </si>
  <si>
    <t>26-03-18 14:57:45</t>
  </si>
  <si>
    <t>09-07-18 16:58:46</t>
  </si>
  <si>
    <t xml:space="preserve">Nitesh Mishra </t>
  </si>
  <si>
    <t>30 Mar 1989</t>
  </si>
  <si>
    <t>nitesh.mishra.3003@gmail.com</t>
  </si>
  <si>
    <t>91 8087297926</t>
  </si>
  <si>
    <t>Sulzer India Ltd</t>
  </si>
  <si>
    <t>31-03-18 10:39:02</t>
  </si>
  <si>
    <t>pratiksha Desai</t>
  </si>
  <si>
    <t>28 Feb 1979</t>
  </si>
  <si>
    <t>pvdesai.30@gmail.com</t>
  </si>
  <si>
    <t>91 9987074102</t>
  </si>
  <si>
    <t>billing engg.</t>
  </si>
  <si>
    <t>brandmakerr interior solutions pvt. ltd</t>
  </si>
  <si>
    <t>Govt plytechinic of kherwadi, Bandra</t>
  </si>
  <si>
    <t>27-08-18 18:31:52</t>
  </si>
  <si>
    <t>Adwaitya Prasad singh</t>
  </si>
  <si>
    <t>adwaityaprasad@gmail.com</t>
  </si>
  <si>
    <t>91 9937794614</t>
  </si>
  <si>
    <t>Indus college of engineering</t>
  </si>
  <si>
    <t>21-11-17 13:23:20</t>
  </si>
  <si>
    <t>05-04-18 17:37:50</t>
  </si>
  <si>
    <t>Kaizad Sanjana</t>
  </si>
  <si>
    <t>02 Jan 1980</t>
  </si>
  <si>
    <t>kaizad.sanjana@gmail.com</t>
  </si>
  <si>
    <t>91 9820527772</t>
  </si>
  <si>
    <t>Bangalore, Chennai, Noida, Hyderabad, Gurugram, Kolkata, Pune, Mumbai City, Delhi</t>
  </si>
  <si>
    <t>Head Marketing &amp; Loyalty Programme</t>
  </si>
  <si>
    <t>Landmark Group</t>
  </si>
  <si>
    <t>L.N. Wellingkar Institute of Management Development and Research</t>
  </si>
  <si>
    <t>28-06-18 16:44:10</t>
  </si>
  <si>
    <t>29-06-18 18:17:53</t>
  </si>
  <si>
    <t>parnika awasthi</t>
  </si>
  <si>
    <t>awasthi.parnika@gmail.com</t>
  </si>
  <si>
    <t>91 9004852630</t>
  </si>
  <si>
    <t>Noida, Mumbai City</t>
  </si>
  <si>
    <t>Quality Analyst</t>
  </si>
  <si>
    <t>CMA CGM</t>
  </si>
  <si>
    <t>SRM UNIVERSITY, CHENNAI</t>
  </si>
  <si>
    <t>10-03-17 10:14:04</t>
  </si>
  <si>
    <t>11-07-18 16:55:22</t>
  </si>
  <si>
    <t>MAHTAB AHMAD</t>
  </si>
  <si>
    <t>18 Jun 1992</t>
  </si>
  <si>
    <t>smahtab092@gmail.com</t>
  </si>
  <si>
    <t>91 9696959504</t>
  </si>
  <si>
    <t>B.B.D.N.I.T.M</t>
  </si>
  <si>
    <t>21-07-18 16:35:31</t>
  </si>
  <si>
    <t>28-08-18 12:35:18</t>
  </si>
  <si>
    <t>animesh dey</t>
  </si>
  <si>
    <t>19 Aug 1981</t>
  </si>
  <si>
    <t>animesh.936@gmail.com</t>
  </si>
  <si>
    <t>91 7987507660</t>
  </si>
  <si>
    <t>Sr. Manager MEP Purchase</t>
  </si>
  <si>
    <t>Runwal</t>
  </si>
  <si>
    <t>Asansol Engineering College</t>
  </si>
  <si>
    <t>05-09-18 23:30:23</t>
  </si>
  <si>
    <t>07-09-18 17:28:33</t>
  </si>
  <si>
    <t>Ashit Roy Choudhary</t>
  </si>
  <si>
    <t>25 Apr 1984</t>
  </si>
  <si>
    <t>a.roychoudhary@gmail.com</t>
  </si>
  <si>
    <t>91 9967822074</t>
  </si>
  <si>
    <t>Rs. 5.35 Lacs</t>
  </si>
  <si>
    <t>Ball Beverage Packaging (India) Pvt. Ltd.</t>
  </si>
  <si>
    <t>Mumbai Univrisity</t>
  </si>
  <si>
    <t>28-05-17 18:13:09</t>
  </si>
  <si>
    <t>16-08-18 14:34:01</t>
  </si>
  <si>
    <t>Nishkam Sharma</t>
  </si>
  <si>
    <t>05 Oct 1973</t>
  </si>
  <si>
    <t>sharma_nishkam@yahoo.co.in</t>
  </si>
  <si>
    <t>91 9702200642</t>
  </si>
  <si>
    <t>Rs. 21.15 Lacs</t>
  </si>
  <si>
    <t>Senior Vice President</t>
  </si>
  <si>
    <t>Coastal Marine Construction and Engineering Ltd</t>
  </si>
  <si>
    <t>IIM Lucknow</t>
  </si>
  <si>
    <t>01-07-18 04:55:04</t>
  </si>
  <si>
    <t>20-08-18 15:55:50</t>
  </si>
  <si>
    <t>Dipak Varade</t>
  </si>
  <si>
    <t>08 Jun 1987</t>
  </si>
  <si>
    <t>varaded@gmail.com</t>
  </si>
  <si>
    <t>91 9273971291</t>
  </si>
  <si>
    <t>Sr. Officer in Production</t>
  </si>
  <si>
    <t>P.O.Nahata collage Bhusawal</t>
  </si>
  <si>
    <t>28-03-18 17:21:43</t>
  </si>
  <si>
    <t>22-08-18 21:55:30</t>
  </si>
  <si>
    <t>RITESH KUMAR    JHA</t>
  </si>
  <si>
    <t>27 Oct 1987</t>
  </si>
  <si>
    <t>rjha271087@gmail.com</t>
  </si>
  <si>
    <t>91 9867352501</t>
  </si>
  <si>
    <t>Wipro bps</t>
  </si>
  <si>
    <t xml:space="preserve"> Welingkar College. </t>
  </si>
  <si>
    <t>08-08-18 18:04:30</t>
  </si>
  <si>
    <t>20-08-18 16:01:14</t>
  </si>
  <si>
    <t>Rashmitha Nair</t>
  </si>
  <si>
    <t>05 Sep 1996</t>
  </si>
  <si>
    <t>rashmithanair5@gmail.com</t>
  </si>
  <si>
    <t>91 9699444250</t>
  </si>
  <si>
    <t>Singapore, Qatar, South America, Vatican City, Russia, Mauritius, Spain, Kuwait, Thailand, Kochi, Mexico, North Korea, Turkey, Finland, France, France (European Territory), Hong Kong, Hungary, Indonesia, Cyprus, Bulgaria, Czech Republic, Australia, Austria, Bahrain, Saudi Arabia, Luxembourg, United Arab Emirates, United Kingdom, Netherlands, Poland, Italy, Malaysia, United States of America, Maldives, Sweden, Germany, Switzerland, Belgium</t>
  </si>
  <si>
    <t>Vidyalankar Institute Of Technology</t>
  </si>
  <si>
    <t>26-06-18 14:16:43</t>
  </si>
  <si>
    <t>himmat viras</t>
  </si>
  <si>
    <t>13 Dec 1984</t>
  </si>
  <si>
    <t>himmat.viras84@gmail.com</t>
  </si>
  <si>
    <t>91 9892056259</t>
  </si>
  <si>
    <t>Kalpataru Limited</t>
  </si>
  <si>
    <t>saboo siddhiq college</t>
  </si>
  <si>
    <t>25-08-18 17:10:15</t>
  </si>
  <si>
    <t>27-08-18 10:48:14</t>
  </si>
  <si>
    <t>Vishwas  Prabhu</t>
  </si>
  <si>
    <t>emailvishwas@gmail.com</t>
  </si>
  <si>
    <t>91 9987263797</t>
  </si>
  <si>
    <t>Technogroup</t>
  </si>
  <si>
    <t>20-11-17 12:19:04</t>
  </si>
  <si>
    <t>20-07-18 12:57:30</t>
  </si>
  <si>
    <t>Vinayak parkar</t>
  </si>
  <si>
    <t>26 Oct 1979</t>
  </si>
  <si>
    <t>vinayakparkar37@gmail.com</t>
  </si>
  <si>
    <t>91 7977706162</t>
  </si>
  <si>
    <t>Cameraperson</t>
  </si>
  <si>
    <t>NDTV LTD</t>
  </si>
  <si>
    <t>Y.B.chohan</t>
  </si>
  <si>
    <t>31-08-18 12:22:08</t>
  </si>
  <si>
    <t>Nilesh Shejawal</t>
  </si>
  <si>
    <t>31 Mar 1984</t>
  </si>
  <si>
    <t>shejawal.nilesh@gmail.com</t>
  </si>
  <si>
    <t>91 9867478836</t>
  </si>
  <si>
    <t>Transrail Lighting Limited</t>
  </si>
  <si>
    <t>Mumbai  University , Rajaram  Shinde  college of  engineering</t>
  </si>
  <si>
    <t>19-08-18 17:58:47</t>
  </si>
  <si>
    <t>04-09-18 17:12:58</t>
  </si>
  <si>
    <t>Krishna Mohan  Prajapati</t>
  </si>
  <si>
    <t>11 May 1987</t>
  </si>
  <si>
    <t>krishnamhn917@gmail.com</t>
  </si>
  <si>
    <t>91 8884440761</t>
  </si>
  <si>
    <t>Norway, Pune, Mumbai City, Other Karnataka</t>
  </si>
  <si>
    <t>Electrical Site Engineer</t>
  </si>
  <si>
    <t>Changwoon Construction India Pvt.Ltd</t>
  </si>
  <si>
    <t>Board of Technical Education U.P. Lucknow</t>
  </si>
  <si>
    <t>07-05-17 02:01:51</t>
  </si>
  <si>
    <t>28-05-18 10:19:00</t>
  </si>
  <si>
    <t>Rushali Sunil Shingre</t>
  </si>
  <si>
    <t>17 Sep 1996</t>
  </si>
  <si>
    <t>rushali.shingre@gmail.com</t>
  </si>
  <si>
    <t>91 8655467646</t>
  </si>
  <si>
    <t>Public Relation</t>
  </si>
  <si>
    <t>BACHELOR IN MASS MEDIA</t>
  </si>
  <si>
    <t>BIRLA INSTITUTE OF MANAGEMENT STUDIES</t>
  </si>
  <si>
    <t>05-01-18 19:40:56</t>
  </si>
  <si>
    <t>30-08-18 18:32:16</t>
  </si>
  <si>
    <t>Sachin Aware</t>
  </si>
  <si>
    <t>sachin.aware2707@gmail.com</t>
  </si>
  <si>
    <t>91 9594819150</t>
  </si>
  <si>
    <t>Sr. Design &amp; Project Engineer</t>
  </si>
  <si>
    <t>Bombay Chemical Equipments</t>
  </si>
  <si>
    <t>Landmark Forum Graduate</t>
  </si>
  <si>
    <t>Landmark Forum</t>
  </si>
  <si>
    <t>16-04-18 18:45:46</t>
  </si>
  <si>
    <t>28-06-18 17:32:09</t>
  </si>
  <si>
    <t>Niyati  Desai</t>
  </si>
  <si>
    <t>12 Aug 1989</t>
  </si>
  <si>
    <t>niyati.majithia@gmail.com</t>
  </si>
  <si>
    <t>91 9819966773</t>
  </si>
  <si>
    <t>Senior HR Executive</t>
  </si>
  <si>
    <t>Future Group</t>
  </si>
  <si>
    <t>03-07-18 21:33:19</t>
  </si>
  <si>
    <t>04-07-18 17:56:06</t>
  </si>
  <si>
    <t>william buarh</t>
  </si>
  <si>
    <t>williambuarh5@gmail.com</t>
  </si>
  <si>
    <t>91 9769722648</t>
  </si>
  <si>
    <t>restaurant general manager</t>
  </si>
  <si>
    <t>desi dhaba restaurant and bar</t>
  </si>
  <si>
    <t>ST. XAVIR'S COLLEGE</t>
  </si>
  <si>
    <t>20-08-18 19:22:35</t>
  </si>
  <si>
    <t>21-08-18 12:27:03</t>
  </si>
  <si>
    <t>MD PERWAIZ ALAM RIZVEE</t>
  </si>
  <si>
    <t>06 Dec 1988</t>
  </si>
  <si>
    <t>mparizvee@gmail.com</t>
  </si>
  <si>
    <t>91 8436165855</t>
  </si>
  <si>
    <t>Siliguri, Bangalore, Kolkata, Mumbai City, Other West Bengal, Ahmedabad</t>
  </si>
  <si>
    <t>QCE Mechanical</t>
  </si>
  <si>
    <t>Aira Euro Automation Pvt Ltd</t>
  </si>
  <si>
    <t>DR SUDHIR CHANDRA SUR DEGREE ENGINEERING COLLEGE</t>
  </si>
  <si>
    <t>25-06-18 12:04:07</t>
  </si>
  <si>
    <t>IRFAN AHMAD ANSARI</t>
  </si>
  <si>
    <t>02 Apr 1992</t>
  </si>
  <si>
    <t>erirfan01@gmail.com</t>
  </si>
  <si>
    <t>91 9699087625</t>
  </si>
  <si>
    <t>- Any -, Other Jharkhand</t>
  </si>
  <si>
    <t>Pearl GTL Shell</t>
  </si>
  <si>
    <t>Brilliant Group of Technical Institution (J.N.T.U)</t>
  </si>
  <si>
    <t>19-04-18 11:53:36</t>
  </si>
  <si>
    <t xml:space="preserve">Amit Srivastav </t>
  </si>
  <si>
    <t>07 Mar 1986</t>
  </si>
  <si>
    <t>amitsrivastav786@gmail.com</t>
  </si>
  <si>
    <t>91 7770073036</t>
  </si>
  <si>
    <t>CEO &amp; Managing Director</t>
  </si>
  <si>
    <t>D.D.U.Gorakhpur University</t>
  </si>
  <si>
    <t>02-09-18 23:56:32</t>
  </si>
  <si>
    <t>07-09-18 19:50:03</t>
  </si>
  <si>
    <t>vikas gupta</t>
  </si>
  <si>
    <t>12 Mar 1985</t>
  </si>
  <si>
    <t>vikasgupta1203@rediffmail.com</t>
  </si>
  <si>
    <t>91 8369645085</t>
  </si>
  <si>
    <t>Sr Engineer (Offshore Operations)</t>
  </si>
  <si>
    <t>Hindustan College of Science &amp; Technology</t>
  </si>
  <si>
    <t>28-08-18 11:37:52</t>
  </si>
  <si>
    <t>01-09-18 10:15:23</t>
  </si>
  <si>
    <t>Vivek Sanghani</t>
  </si>
  <si>
    <t>22 Aug 1992</t>
  </si>
  <si>
    <t>viveksanghani92@gmail.com</t>
  </si>
  <si>
    <t>91 9920577398</t>
  </si>
  <si>
    <t>THE INSTITUTE OF CHARATERED ACCOUNTANT OF INDIA</t>
  </si>
  <si>
    <t>17-01-18 17:51:51</t>
  </si>
  <si>
    <t>15-03-18 21:33:38</t>
  </si>
  <si>
    <t>Sunil Nagar</t>
  </si>
  <si>
    <t>10 Nov 1993</t>
  </si>
  <si>
    <t>suniln3193@gmail.com</t>
  </si>
  <si>
    <t>91 9509331771</t>
  </si>
  <si>
    <t>28-05-18 10:32:14</t>
  </si>
  <si>
    <t>18-06-18 15:59:23</t>
  </si>
  <si>
    <t xml:space="preserve">anam zahidi </t>
  </si>
  <si>
    <t>15 Nov 1991</t>
  </si>
  <si>
    <t>anam.zahidi29@gmail.com</t>
  </si>
  <si>
    <t>91 9792734241</t>
  </si>
  <si>
    <t>Lucknow, Navi Mumbai, Mumbai City, Other West Bengal</t>
  </si>
  <si>
    <t>creative Head</t>
  </si>
  <si>
    <t>purple canvas creation</t>
  </si>
  <si>
    <t>mcrp</t>
  </si>
  <si>
    <t>11-04-18 00:40:23</t>
  </si>
  <si>
    <t>06-07-18 13:43:02</t>
  </si>
  <si>
    <t>VIVEK KADKOL</t>
  </si>
  <si>
    <t>19 Oct 1967</t>
  </si>
  <si>
    <t>vrkadkol@yahoo.co.in</t>
  </si>
  <si>
    <t>91 9967679676</t>
  </si>
  <si>
    <t>Assistant Manager - Accounts</t>
  </si>
  <si>
    <t>Unichem Laboratories Limited</t>
  </si>
  <si>
    <t>09-10-17 15:53:02</t>
  </si>
  <si>
    <t>21-08-18 07:49:28</t>
  </si>
  <si>
    <t xml:space="preserve">Sanjay kumar Srivastava </t>
  </si>
  <si>
    <t>16 May 1969</t>
  </si>
  <si>
    <t>sanjay.byy@gmail.com</t>
  </si>
  <si>
    <t>91 7977224320</t>
  </si>
  <si>
    <t>Aircraft Technician</t>
  </si>
  <si>
    <t>Indian Navy (Retired)</t>
  </si>
  <si>
    <t>Osmania University</t>
  </si>
  <si>
    <t>06-05-18 20:17:26</t>
  </si>
  <si>
    <t>31-08-18 18:20:49</t>
  </si>
  <si>
    <t>dadibattini narayana</t>
  </si>
  <si>
    <t>01 Jul 1955</t>
  </si>
  <si>
    <t>dnarayana18@gmail.com</t>
  </si>
  <si>
    <t>91 9930907352</t>
  </si>
  <si>
    <t>Prime Legem</t>
  </si>
  <si>
    <t>The Board of Intermediate Education</t>
  </si>
  <si>
    <t>19-06-18 17:15:59</t>
  </si>
  <si>
    <t>ABHISHEK KUMAR</t>
  </si>
  <si>
    <t>abhis.mech3@gmail.com</t>
  </si>
  <si>
    <t>91 9525728160</t>
  </si>
  <si>
    <t>Jamnagar, Mumbai City</t>
  </si>
  <si>
    <t>Rimt polytechnic  college</t>
  </si>
  <si>
    <t>12-11-15 02:00:25</t>
  </si>
  <si>
    <t>27-06-18 17:39:04</t>
  </si>
  <si>
    <t>Dattprasad raghunath lad</t>
  </si>
  <si>
    <t>08 Sep 1998</t>
  </si>
  <si>
    <t>laddattprasad@gmail.com</t>
  </si>
  <si>
    <t>91 7021823658</t>
  </si>
  <si>
    <t>Mcvc</t>
  </si>
  <si>
    <t>Fr.agnel college bandstand bandra west</t>
  </si>
  <si>
    <t>01-07-18 12:48:39</t>
  </si>
  <si>
    <t>DEVENDER RAWAT</t>
  </si>
  <si>
    <t>06 Jul 1973</t>
  </si>
  <si>
    <t>devender176@yahoo.co.in</t>
  </si>
  <si>
    <t>91 8108595540</t>
  </si>
  <si>
    <t>Rs. 12.40 Lacs</t>
  </si>
  <si>
    <t>DIVER</t>
  </si>
  <si>
    <t>04-09-18 14:07:39</t>
  </si>
  <si>
    <t>07-09-18 11:17:08</t>
  </si>
  <si>
    <t>Anumeha Verma</t>
  </si>
  <si>
    <t>anumeha1407@gmail.com</t>
  </si>
  <si>
    <t>91 9920442795</t>
  </si>
  <si>
    <t>Learning and Development Manager</t>
  </si>
  <si>
    <t>23-05-18 12:55:43</t>
  </si>
  <si>
    <t xml:space="preserve">Pratik Singh </t>
  </si>
  <si>
    <t>05 Apr 1990</t>
  </si>
  <si>
    <t>pratiksingh90@gmail.com</t>
  </si>
  <si>
    <t>91 8456978399</t>
  </si>
  <si>
    <t>Rs. 14.10 Lacs</t>
  </si>
  <si>
    <t>L &amp;  T Realty</t>
  </si>
  <si>
    <t>15-03-18 16:56:41</t>
  </si>
  <si>
    <t>23-05-18 13:19:16</t>
  </si>
  <si>
    <t>Dr Gyanendra Pandey</t>
  </si>
  <si>
    <t>10 Aug 1962</t>
  </si>
  <si>
    <t>gk_pandey@rediffmail.com</t>
  </si>
  <si>
    <t>91 9650501378</t>
  </si>
  <si>
    <t>Sr Genaral Manager &amp; Head Corporate HSE</t>
  </si>
  <si>
    <t>Lanco Infratech Limited</t>
  </si>
  <si>
    <t>21-08-18 17:39:07</t>
  </si>
  <si>
    <t>Mihir Mehta</t>
  </si>
  <si>
    <t>mihirmehta1995@gmail.com</t>
  </si>
  <si>
    <t>91 9820212204</t>
  </si>
  <si>
    <t>Thakur College of Engineering and Technology</t>
  </si>
  <si>
    <t>13-04-18 17:05:43</t>
  </si>
  <si>
    <t>Rupeshri Phatnaik</t>
  </si>
  <si>
    <t>rupeshri_phatnaik@rediffmail.com</t>
  </si>
  <si>
    <t>91 9664564926</t>
  </si>
  <si>
    <t>Concorde Design Pvt. Ltd</t>
  </si>
  <si>
    <t>Academy of Applied Art</t>
  </si>
  <si>
    <t>10-04-18 10:45:06</t>
  </si>
  <si>
    <t>12-04-18 14:41:58</t>
  </si>
  <si>
    <t>Vivek chavan</t>
  </si>
  <si>
    <t>vachavan9204@gmail.com</t>
  </si>
  <si>
    <t>91 8879078334</t>
  </si>
  <si>
    <t>Other Maharashtra, Pune, Satara, Mumbai City</t>
  </si>
  <si>
    <t>Govt.College of Engg.karad</t>
  </si>
  <si>
    <t>23-07-18 11:22:36</t>
  </si>
  <si>
    <t>13-08-18 11:47:02</t>
  </si>
  <si>
    <t>Satish Hatwar T</t>
  </si>
  <si>
    <t>02 Mar 1975</t>
  </si>
  <si>
    <t>hatwarts@gmail.com</t>
  </si>
  <si>
    <t>91 9819199136</t>
  </si>
  <si>
    <t>18 Yrs 9 Months</t>
  </si>
  <si>
    <t>Rs. 24.90 Lacs</t>
  </si>
  <si>
    <t>CORPORATE BANKING OPERATIONS</t>
  </si>
  <si>
    <t>Nagarjuna University</t>
  </si>
  <si>
    <t>22-12-17 18:40:06</t>
  </si>
  <si>
    <t>01-05-18 13:19:31</t>
  </si>
  <si>
    <t>kiran yadav</t>
  </si>
  <si>
    <t>kvyadav01@gmail.com</t>
  </si>
  <si>
    <t>91 8879921112</t>
  </si>
  <si>
    <t>VKL SEASONING INDIA PVT LTD</t>
  </si>
  <si>
    <t>05-06-18 11:05:50</t>
  </si>
  <si>
    <t>09-07-18 16:35:17</t>
  </si>
  <si>
    <t>Jairam Jagiasi</t>
  </si>
  <si>
    <t>jjagiasi@gmail.com</t>
  </si>
  <si>
    <t>91 9820662166</t>
  </si>
  <si>
    <t>Professor &amp; Head Orthopaedics</t>
  </si>
  <si>
    <t>TNMC</t>
  </si>
  <si>
    <t>21-03-18 06:26:43</t>
  </si>
  <si>
    <t>22-03-18 09:55:41</t>
  </si>
  <si>
    <t xml:space="preserve">Rahul Kumar </t>
  </si>
  <si>
    <t>16 Jun 1994</t>
  </si>
  <si>
    <t>rahulsinghbseb@gmail.com</t>
  </si>
  <si>
    <t>91 8094070310</t>
  </si>
  <si>
    <t>Mauritius, Australia, Canada, Navi Mumbai, Thane, Pune, Singapore, Mumbai City, New Zealand, South Africa</t>
  </si>
  <si>
    <t>Rajasthan institute of engineering &amp; technology</t>
  </si>
  <si>
    <t>20-08-18 17:44:18</t>
  </si>
  <si>
    <t>28-08-18 22:15:10</t>
  </si>
  <si>
    <t>PRASHANT ASHOK NAIR</t>
  </si>
  <si>
    <t>nairprashanth06@gmail.com</t>
  </si>
  <si>
    <t>91 8655830272</t>
  </si>
  <si>
    <t>mcc</t>
  </si>
  <si>
    <t>26-05-18 13:30:29</t>
  </si>
  <si>
    <t>16-06-18 13:51:33</t>
  </si>
  <si>
    <t>vinay patil</t>
  </si>
  <si>
    <t>25 Jul 1987</t>
  </si>
  <si>
    <t>vvp257@gmail.com</t>
  </si>
  <si>
    <t>91 9527648037</t>
  </si>
  <si>
    <t>All India, Kuwait, United Arab Emirates, United Kingdom, Malaysia, Canada, Mumbai City, Singapore, Oman, Saudi Arabia, Argentina</t>
  </si>
  <si>
    <t>Quality assurance Engineer</t>
  </si>
  <si>
    <t>Gala precision engineering Pvt ltd</t>
  </si>
  <si>
    <t>MIT Pune University</t>
  </si>
  <si>
    <t>05-07-18 08:18:18</t>
  </si>
  <si>
    <t>05-07-18 09:08:44</t>
  </si>
  <si>
    <t>Adway  Daki</t>
  </si>
  <si>
    <t>adwaydaki@yahoo.co.in</t>
  </si>
  <si>
    <t>91 9869698416</t>
  </si>
  <si>
    <t>Drilling Fluid Engineer</t>
  </si>
  <si>
    <t>Newpark Drilling Fluids</t>
  </si>
  <si>
    <t>Marine Engineering Training Institute</t>
  </si>
  <si>
    <t>13-04-16 11:25:28</t>
  </si>
  <si>
    <t>01-05-18 16:35:40</t>
  </si>
  <si>
    <t xml:space="preserve">Arun Vishnumurtthi Devadiga </t>
  </si>
  <si>
    <t>29 May 1991</t>
  </si>
  <si>
    <t>arun.devadiga11@yahoo.com</t>
  </si>
  <si>
    <t>91 7738873020</t>
  </si>
  <si>
    <t>MECHANICAL PROJECT ENGINEER</t>
  </si>
  <si>
    <t>Freight Wings Pvt. Ltd.</t>
  </si>
  <si>
    <t>Konkan Gyanpeeth College of Engg</t>
  </si>
  <si>
    <t>31-03-18 16:45:15</t>
  </si>
  <si>
    <t>kamala pal</t>
  </si>
  <si>
    <t>kamalapalmumbai@gmail.com</t>
  </si>
  <si>
    <t>91 9867492746</t>
  </si>
  <si>
    <t>Denial and Day AR Audit</t>
  </si>
  <si>
    <t>Ecw</t>
  </si>
  <si>
    <t>13-04-18 19:10:36</t>
  </si>
  <si>
    <t>23-04-18 15:28:13</t>
  </si>
  <si>
    <t>Kunal N Kale</t>
  </si>
  <si>
    <t>kunal29983@gmail.com</t>
  </si>
  <si>
    <t>91 9167962983</t>
  </si>
  <si>
    <t>Assistant Instrumentation Manager</t>
  </si>
  <si>
    <t>Sunshield Chemical, Solvay Chemical groups</t>
  </si>
  <si>
    <t xml:space="preserve">Konkan Gyanpeeth College of Engineering, Mumbai University </t>
  </si>
  <si>
    <t>28-04-16 15:38:30</t>
  </si>
  <si>
    <t>07-08-18 11:42:59</t>
  </si>
  <si>
    <t>Deep Shah</t>
  </si>
  <si>
    <t>25 Jan 1996</t>
  </si>
  <si>
    <t>shahdeep251@gmail.com</t>
  </si>
  <si>
    <t>91 8347529435</t>
  </si>
  <si>
    <t>Consultant - Accounting</t>
  </si>
  <si>
    <t>Grant Thornton</t>
  </si>
  <si>
    <t>25-08-18 16:27:24</t>
  </si>
  <si>
    <t>Vedavati Poojari</t>
  </si>
  <si>
    <t>22 Feb 1983</t>
  </si>
  <si>
    <t>vedvati2002@yahoo.co.in</t>
  </si>
  <si>
    <t>91 9699322423</t>
  </si>
  <si>
    <t>MULUND COLLEGE OF COMMERCE</t>
  </si>
  <si>
    <t>22-06-18 17:53:23</t>
  </si>
  <si>
    <t>23-06-18 12:41:12</t>
  </si>
  <si>
    <t>ALOK ANAND</t>
  </si>
  <si>
    <t>19 Feb 1972</t>
  </si>
  <si>
    <t>alokanand1972@gmail.com</t>
  </si>
  <si>
    <t>91 7893572330</t>
  </si>
  <si>
    <t>Rs. 29.00 Lacs</t>
  </si>
  <si>
    <t>M/s Toyo Engineering India Private Limited</t>
  </si>
  <si>
    <t>Maharashtra College of Engineering, Marathwada University</t>
  </si>
  <si>
    <t>28-09-15 19:55:47</t>
  </si>
  <si>
    <t>06-08-18 10:44:22</t>
  </si>
  <si>
    <t>MD Kashif raza</t>
  </si>
  <si>
    <t>1992kashifkhan@gmail.com</t>
  </si>
  <si>
    <t>91 9696699670</t>
  </si>
  <si>
    <t>Surat, Panaji, Ahmedabad, Allahabad, All India, Gorakhpur, Rajkot, Kanpur, Lucknow, Gurugram, Pune, Mumbai City, Delhi</t>
  </si>
  <si>
    <t>Land surveyor</t>
  </si>
  <si>
    <t>IIC TECHNOLOGY HAYDRABAD</t>
  </si>
  <si>
    <t>Deen Dayal Upadhyay University Gorakhpur</t>
  </si>
  <si>
    <t>07-09-18 21:37:19</t>
  </si>
  <si>
    <t>07-09-18 23:04:37</t>
  </si>
  <si>
    <t>Makarand Adke</t>
  </si>
  <si>
    <t>makarand.adke@rediffmail.com</t>
  </si>
  <si>
    <t>91 8879371081</t>
  </si>
  <si>
    <t>21 Yrs 9 Months</t>
  </si>
  <si>
    <t>Reliance Retail Ltd</t>
  </si>
  <si>
    <t>05-04-18 16:34:17</t>
  </si>
  <si>
    <t>06-04-18 11:27:25</t>
  </si>
  <si>
    <t>ANUJA   DESHMUKH</t>
  </si>
  <si>
    <t>23 Aug 1980</t>
  </si>
  <si>
    <t>anujadeshmukh80@gmail.com</t>
  </si>
  <si>
    <t>91 9930950920</t>
  </si>
  <si>
    <t>Deputy manager</t>
  </si>
  <si>
    <t>DHFL</t>
  </si>
  <si>
    <t>Symbiosis,</t>
  </si>
  <si>
    <t>23-06-18 14:59:34</t>
  </si>
  <si>
    <t>23-08-18 15:14:56</t>
  </si>
  <si>
    <t>Sushmita Shinde</t>
  </si>
  <si>
    <t>20 Oct 1995</t>
  </si>
  <si>
    <t>sshmtaa@gmail.com</t>
  </si>
  <si>
    <t>91 9619442576</t>
  </si>
  <si>
    <t>All India, Bangalore</t>
  </si>
  <si>
    <t>SRM Institute of Science and Technology</t>
  </si>
  <si>
    <t>14-07-18 08:43:48</t>
  </si>
  <si>
    <t>Trupti Dalvi</t>
  </si>
  <si>
    <t>tpatil45@gmail.com</t>
  </si>
  <si>
    <t>91 8879536654</t>
  </si>
  <si>
    <t>Fire Alarm  Design &amp; Estimation Engineer</t>
  </si>
  <si>
    <t>Nitin Fire Protection Industries Limited</t>
  </si>
  <si>
    <t>Thakur college</t>
  </si>
  <si>
    <t>31-07-18 15:08:28</t>
  </si>
  <si>
    <t>28-08-18 10:20:34</t>
  </si>
  <si>
    <t>Rajesh Gupta</t>
  </si>
  <si>
    <t>03 Jul 1970</t>
  </si>
  <si>
    <t>rajesh_pd_gupta@hotmail.com</t>
  </si>
  <si>
    <t>91 8655237115</t>
  </si>
  <si>
    <t>Service Manager</t>
  </si>
  <si>
    <t>Metso Automation India Privet Limited / Valmet Automation Privet Limited</t>
  </si>
  <si>
    <t>Urjanchal</t>
  </si>
  <si>
    <t>23-08-18 22:56:28</t>
  </si>
  <si>
    <t>24-08-18 10:10:19</t>
  </si>
  <si>
    <t>Er Harshad Bhosale</t>
  </si>
  <si>
    <t>harshad.bhosale25@gmail.com</t>
  </si>
  <si>
    <t>91 9867925054</t>
  </si>
  <si>
    <t>Sr. Asst. Engineer</t>
  </si>
  <si>
    <t>TOYO ENGINEERING INDIA PLT LTD</t>
  </si>
  <si>
    <t>19-03-18 23:12:06</t>
  </si>
  <si>
    <t>20-08-18 21:28:26</t>
  </si>
  <si>
    <t>AKSHAY SAWANT</t>
  </si>
  <si>
    <t>17 Apr 1993</t>
  </si>
  <si>
    <t>akshay.sawant174@gmail.com</t>
  </si>
  <si>
    <t>91 8452982756</t>
  </si>
  <si>
    <t>Erection &amp; Service Engineer</t>
  </si>
  <si>
    <t>MUKAND LTD</t>
  </si>
  <si>
    <t>AMIE, IEI (India)</t>
  </si>
  <si>
    <t>20-08-18 19:50:07</t>
  </si>
  <si>
    <t>Abhay Bhosle</t>
  </si>
  <si>
    <t>29 Mar 1977</t>
  </si>
  <si>
    <t>abhaybhosle9@gmail.com</t>
  </si>
  <si>
    <t>91 8433933217</t>
  </si>
  <si>
    <t>Branch Manager</t>
  </si>
  <si>
    <t>Brinks India Pvt Ltd</t>
  </si>
  <si>
    <t>.B.S. Purvanchal University</t>
  </si>
  <si>
    <t>14-08-18 14:46:39</t>
  </si>
  <si>
    <t>19-08-18 16:41:43</t>
  </si>
  <si>
    <t>George Dcosta</t>
  </si>
  <si>
    <t>georgedcosta57@gmail.com</t>
  </si>
  <si>
    <t>91 7506454227</t>
  </si>
  <si>
    <t>Brand manager</t>
  </si>
  <si>
    <t>Oman marketing</t>
  </si>
  <si>
    <t>Govinda Dasa college, suratkal, karnataka</t>
  </si>
  <si>
    <t>23-06-18 19:06:08</t>
  </si>
  <si>
    <t>28-08-18 13:00:42</t>
  </si>
  <si>
    <t>Tanaji Kadam</t>
  </si>
  <si>
    <t>01 Jul 1990</t>
  </si>
  <si>
    <t>tanaji08ch@yahoo.com</t>
  </si>
  <si>
    <t>91 9096442140</t>
  </si>
  <si>
    <t>Other Maharashtra, Hyderabad, Pune</t>
  </si>
  <si>
    <t>assistant chemical engineer</t>
  </si>
  <si>
    <t>Flamingo Pharmaceuticals Limited</t>
  </si>
  <si>
    <t>vtu belgaum</t>
  </si>
  <si>
    <t>28-06-18 19:32:17</t>
  </si>
  <si>
    <t>31-08-18 19:47:41</t>
  </si>
  <si>
    <t>Sachin  Pai</t>
  </si>
  <si>
    <t>06 Sep 1974</t>
  </si>
  <si>
    <t>sachinp123@gmail.com</t>
  </si>
  <si>
    <t>91 9870346910</t>
  </si>
  <si>
    <t>Rs. 9.15 Lacs</t>
  </si>
  <si>
    <t>Visualiser</t>
  </si>
  <si>
    <t>Individucal Freelancer</t>
  </si>
  <si>
    <t>Mumbai,</t>
  </si>
  <si>
    <t>30-08-18 19:30:44</t>
  </si>
  <si>
    <t>nagenderrai1976@gmail.com</t>
  </si>
  <si>
    <t>All India, Patna</t>
  </si>
  <si>
    <t>Deck officer</t>
  </si>
  <si>
    <t>Dnv gl</t>
  </si>
  <si>
    <t>Ignou</t>
  </si>
  <si>
    <t>22-04-18 09:58:46</t>
  </si>
  <si>
    <t>pawar vishwas</t>
  </si>
  <si>
    <t>pawarvish@yahoo.co.in</t>
  </si>
  <si>
    <t>91 9892368378</t>
  </si>
  <si>
    <t>Lead Construction Engineer</t>
  </si>
  <si>
    <t>M/s.Ahluwalia Contracts India Ltd.Muimbai</t>
  </si>
  <si>
    <t>K.B.P COLLEGE OF ENGINEERING ,SATARA</t>
  </si>
  <si>
    <t>13-06-18 13:42:13</t>
  </si>
  <si>
    <t>23-08-18 11:20:35</t>
  </si>
  <si>
    <t>Rabitha Vinod</t>
  </si>
  <si>
    <t>rabithavinodnair@gmail.com</t>
  </si>
  <si>
    <t>91 9869450296</t>
  </si>
  <si>
    <t>Baba Atomic Research centre</t>
  </si>
  <si>
    <t>08-06-18 08:09:53</t>
  </si>
  <si>
    <t>09-06-18 11:00:03</t>
  </si>
  <si>
    <t>Deepak shukla</t>
  </si>
  <si>
    <t>shukladeepak426@gmail.com</t>
  </si>
  <si>
    <t>91 8097400080</t>
  </si>
  <si>
    <t>Maharashtra state board of secandarg and higher secandary education ,pune</t>
  </si>
  <si>
    <t>13-12-17 18:36:12</t>
  </si>
  <si>
    <t>15-05-18 07:52:04</t>
  </si>
  <si>
    <t>Harshad Javeri</t>
  </si>
  <si>
    <t>harshadjaveri@gmail.com</t>
  </si>
  <si>
    <t>91 9819009885</t>
  </si>
  <si>
    <t>Australia, Ireland, Netherlands, Navi Mumbai, Canada, Thane, Mumbai City, Germany, France, New Zealand</t>
  </si>
  <si>
    <t>Rs. 13.55 Lacs</t>
  </si>
  <si>
    <t>M.D. College Parel Mumbai</t>
  </si>
  <si>
    <t>25-08-18 12:13:23</t>
  </si>
  <si>
    <t>27-08-18 11:43:33</t>
  </si>
  <si>
    <t>Sandeep Bhoite</t>
  </si>
  <si>
    <t>05 Jun 1983</t>
  </si>
  <si>
    <t>snbhoite@yahoo.co.in</t>
  </si>
  <si>
    <t>91 8652894646</t>
  </si>
  <si>
    <t>Sr. Fire Fighting  Draughtsman</t>
  </si>
  <si>
    <t>Unisafe Fire Protection Specialists.</t>
  </si>
  <si>
    <t>Diploma in Piping Design &amp; Drafting from Suvidya Institute of Technology.</t>
  </si>
  <si>
    <t>09-02-16 13:10:35</t>
  </si>
  <si>
    <t>09-07-18 15:40:53</t>
  </si>
  <si>
    <t>Dileep mishra</t>
  </si>
  <si>
    <t>03 Jan 1986</t>
  </si>
  <si>
    <t>dileepmishra016@gmail.com</t>
  </si>
  <si>
    <t>91 8850624530</t>
  </si>
  <si>
    <t>Civil engineering</t>
  </si>
  <si>
    <t>Capacit'e infra project ltd</t>
  </si>
  <si>
    <t>Dr.Ram manohar lohiya avadh univercity Faizabad</t>
  </si>
  <si>
    <t>12-08-18 11:48:43</t>
  </si>
  <si>
    <t>13-08-18 12:54:07</t>
  </si>
  <si>
    <t>Laxmibhooshan Mishra</t>
  </si>
  <si>
    <t>17 Jun 1977</t>
  </si>
  <si>
    <t>mishy.lbm@gmail.com</t>
  </si>
  <si>
    <t>971 563571796</t>
  </si>
  <si>
    <t>United Arab Emirates, Mumbai City, Ahmedabad</t>
  </si>
  <si>
    <t>Sr. Project Manager</t>
  </si>
  <si>
    <t>VESIT</t>
  </si>
  <si>
    <t>30-06-18 19:39:05</t>
  </si>
  <si>
    <t>04-09-18 22:41:41</t>
  </si>
  <si>
    <t>Satish Kumar</t>
  </si>
  <si>
    <t>satishbabuudapudi@lupin.com</t>
  </si>
  <si>
    <t>91 9930928653</t>
  </si>
  <si>
    <t>M/s. Lupin Pharmaceuticals ltd.Corporate
Office</t>
  </si>
  <si>
    <t>J.T.M College of Engineering</t>
  </si>
  <si>
    <t>23-08-18 17:29:12</t>
  </si>
  <si>
    <t>25-08-18 09:39:33</t>
  </si>
  <si>
    <t>Sonali Agarwal</t>
  </si>
  <si>
    <t>sonaliagarwaljune@gmail.com</t>
  </si>
  <si>
    <t>91 9404951534</t>
  </si>
  <si>
    <t>Deputy Manager-Contracts and Materials</t>
  </si>
  <si>
    <t>SPJIMR Mumbai</t>
  </si>
  <si>
    <t>05-04-18 14:26:00</t>
  </si>
  <si>
    <t>31-05-18 13:38:30</t>
  </si>
  <si>
    <t>Muktesh Singh</t>
  </si>
  <si>
    <t>26 Jun 1985</t>
  </si>
  <si>
    <t>mukteshsingh85@gmail.com</t>
  </si>
  <si>
    <t>91 7498587846</t>
  </si>
  <si>
    <t>Sr.Manager-Marketing &amp; Events</t>
  </si>
  <si>
    <t>Gitanjali Gems Ltd</t>
  </si>
  <si>
    <t>United Institute of Management</t>
  </si>
  <si>
    <t>23-03-18 10:52:27</t>
  </si>
  <si>
    <t>23-04-18 11:59:50</t>
  </si>
  <si>
    <t>Vinod Balan  Thekil</t>
  </si>
  <si>
    <t>05 Mar 1980</t>
  </si>
  <si>
    <t>vinodthekil80@gmail.com</t>
  </si>
  <si>
    <t>91 9930615141</t>
  </si>
  <si>
    <t>Kochi</t>
  </si>
  <si>
    <t>Unit Head</t>
  </si>
  <si>
    <t xml:space="preserve"> Q  Cinemas </t>
  </si>
  <si>
    <t>Kerala University</t>
  </si>
  <si>
    <t>14-05-18 15:49:58</t>
  </si>
  <si>
    <t>15-05-18 12:55:25</t>
  </si>
  <si>
    <t>Shailesh jondhale</t>
  </si>
  <si>
    <t>shaileshjondhale352@gmail.com</t>
  </si>
  <si>
    <t>91 7977709592</t>
  </si>
  <si>
    <t>Executive</t>
  </si>
  <si>
    <t>Prfs</t>
  </si>
  <si>
    <t>27-04-18 16:02:14</t>
  </si>
  <si>
    <t>30-05-18 09:12:16</t>
  </si>
  <si>
    <t>Kishor patil</t>
  </si>
  <si>
    <t>02 Aug 1986</t>
  </si>
  <si>
    <t>kishor_patil02@yahoo.co.in</t>
  </si>
  <si>
    <t>91 9892675010</t>
  </si>
  <si>
    <t>Associate - Back Office Processing</t>
  </si>
  <si>
    <t>Mulund Collage of Commerce, Mumbai</t>
  </si>
  <si>
    <t>23-06-18 20:38:55</t>
  </si>
  <si>
    <t>Rupesh Shellar</t>
  </si>
  <si>
    <t>shellar.rupesh@gmail.com</t>
  </si>
  <si>
    <t>91 8976164758</t>
  </si>
  <si>
    <t>Sr. Graphic Designer</t>
  </si>
  <si>
    <t>Prime Focus World</t>
  </si>
  <si>
    <t>04-04-18 14:42:11</t>
  </si>
  <si>
    <t>05-04-18 19:05:56</t>
  </si>
  <si>
    <t>Swapnil Chavan</t>
  </si>
  <si>
    <t>swapnilc597@gmail.com</t>
  </si>
  <si>
    <t>91 7304951695</t>
  </si>
  <si>
    <t>Shivaji University Maharasthra</t>
  </si>
  <si>
    <t>19-12-17 08:11:42</t>
  </si>
  <si>
    <t>02-07-18 16:48:05</t>
  </si>
  <si>
    <t>Vedprakash Tiwari</t>
  </si>
  <si>
    <t>02 Jul 1987</t>
  </si>
  <si>
    <t>vedprakashtiwari89@yahoo.in</t>
  </si>
  <si>
    <t>91 9067399881</t>
  </si>
  <si>
    <t>Indore, Jabalpur, Other Madhya Pradesh, Pune, Bhopal</t>
  </si>
  <si>
    <t>Senior Engineer Maintenance</t>
  </si>
  <si>
    <t>Tema India Ltd</t>
  </si>
  <si>
    <t>RKDF Institute of Science and Technology,Bhopal</t>
  </si>
  <si>
    <t>15-04-18 15:32:34</t>
  </si>
  <si>
    <t>02-05-18 16:09:47</t>
  </si>
  <si>
    <t>Sandipta Jadhav</t>
  </si>
  <si>
    <t>09 May 1982</t>
  </si>
  <si>
    <t>sandipta1982@gmail.com</t>
  </si>
  <si>
    <t>91 9004678283</t>
  </si>
  <si>
    <t>All India, Australia, Hyderabad, Kolkata, Mumbai City, Delhi, Belgium</t>
  </si>
  <si>
    <t>30-08-18 17:41:09</t>
  </si>
  <si>
    <t>Sirmad Hasan</t>
  </si>
  <si>
    <t>05 May 1991</t>
  </si>
  <si>
    <t>sirmadh@gmail.com</t>
  </si>
  <si>
    <t>91 7045781118</t>
  </si>
  <si>
    <t>Hicare Services Pvt. Ltd</t>
  </si>
  <si>
    <t>K. J. Somaiya Institute ofManagement Studies &amp; Research</t>
  </si>
  <si>
    <t>04-09-18 11:03:34</t>
  </si>
  <si>
    <t>Ashish Shukla</t>
  </si>
  <si>
    <t>07 Oct 1986</t>
  </si>
  <si>
    <t>ashishdoon2005@gmail.com</t>
  </si>
  <si>
    <t>91 8016099349</t>
  </si>
  <si>
    <t>Mumbai City, Asansol</t>
  </si>
  <si>
    <t>Drilling Engineer</t>
  </si>
  <si>
    <t>Schlumberger</t>
  </si>
  <si>
    <t>University of Petroleum &amp; Energy Studies</t>
  </si>
  <si>
    <t>06-04-17 14:21:56</t>
  </si>
  <si>
    <t>13-03-18 15:45:37</t>
  </si>
  <si>
    <t>Nikhil  Nanivdekar</t>
  </si>
  <si>
    <t>14 Jan 1980</t>
  </si>
  <si>
    <t>nikhil1401@yahoo.com</t>
  </si>
  <si>
    <t>91 7718831017</t>
  </si>
  <si>
    <t>Singapore</t>
  </si>
  <si>
    <t>Senior Piping Engineer</t>
  </si>
  <si>
    <t>Aibel Pte Ltd</t>
  </si>
  <si>
    <t>09-05-18 09:05:12</t>
  </si>
  <si>
    <t>29-08-18 14:46:16</t>
  </si>
  <si>
    <t>Paul Galbano</t>
  </si>
  <si>
    <t>paulgalbano02@gmail.com</t>
  </si>
  <si>
    <t>92 9082127589</t>
  </si>
  <si>
    <t>Manager - Sales and Marketing</t>
  </si>
  <si>
    <t>Galaxy Aviation</t>
  </si>
  <si>
    <t>17-08-18 05:41:52</t>
  </si>
  <si>
    <t>04-09-18 05:40:40</t>
  </si>
  <si>
    <t>Ajay Vora</t>
  </si>
  <si>
    <t>ajayinmombasa@yahoo.com</t>
  </si>
  <si>
    <t>233 506296390</t>
  </si>
  <si>
    <t>Finance Controller</t>
  </si>
  <si>
    <t>MARRIOTT HOTEL-GHANA AND KFC CHAIN OF RESTAURANT</t>
  </si>
  <si>
    <t>02-09-18 18:07:55</t>
  </si>
  <si>
    <t>Mahak D Kulora</t>
  </si>
  <si>
    <t>22 Dec 1994</t>
  </si>
  <si>
    <t>mahakkulora1994@gmail.com</t>
  </si>
  <si>
    <t>0 9867046011</t>
  </si>
  <si>
    <t>EA to Chairman</t>
  </si>
  <si>
    <t>NISA GLOBAL</t>
  </si>
  <si>
    <t>07-03-18 22:26:34</t>
  </si>
  <si>
    <t>14-08-18 18:35:22</t>
  </si>
  <si>
    <t>Akshay Sawant</t>
  </si>
  <si>
    <t>assawant@mukand.com</t>
  </si>
  <si>
    <t>Erection and Services</t>
  </si>
  <si>
    <t>IEI India</t>
  </si>
  <si>
    <t>04-02-18 21:46:50</t>
  </si>
  <si>
    <t>30-04-18 18:54:30</t>
  </si>
  <si>
    <t>Baidyanath Show</t>
  </si>
  <si>
    <t>17 Aug 1985</t>
  </si>
  <si>
    <t>baidyanathshow2010@gmail.com</t>
  </si>
  <si>
    <t>91 9082656339</t>
  </si>
  <si>
    <t>Bangalore, Noida, Bokaro, Vishakhapatnam, Kolkata, Gurugram, Mumbai City, Delhi</t>
  </si>
  <si>
    <t>ELMATICS ENGINEERS PVT. LTD.</t>
  </si>
  <si>
    <t>Aryabhatta instittute of engineering &amp; management</t>
  </si>
  <si>
    <t>25-06-18 15:29:28</t>
  </si>
  <si>
    <t>26-06-18 12:40:02</t>
  </si>
  <si>
    <t>Manoj kumar  Sharma</t>
  </si>
  <si>
    <t>manoj_aol@yahoo.com</t>
  </si>
  <si>
    <t>91 9819612604</t>
  </si>
  <si>
    <t>Rs. 15.45 Lacs</t>
  </si>
  <si>
    <t xml:space="preserve"> Head Of Project Procurement Department</t>
  </si>
  <si>
    <t>Avenue Super Mart Ltd.</t>
  </si>
  <si>
    <t>RaviShankar University,</t>
  </si>
  <si>
    <t>18-01-18 16:31:01</t>
  </si>
  <si>
    <t>09-04-18 14:33:37</t>
  </si>
  <si>
    <t>Prasant Sahoo</t>
  </si>
  <si>
    <t>05 Jul 1977</t>
  </si>
  <si>
    <t>prasantsahoo20@yahoo.com</t>
  </si>
  <si>
    <t>91 9702006450</t>
  </si>
  <si>
    <t>Bhubaneswar, All India</t>
  </si>
  <si>
    <t>East India incharge</t>
  </si>
  <si>
    <t>EMCO</t>
  </si>
  <si>
    <t>AIME</t>
  </si>
  <si>
    <t>30-06-18 16:42:06</t>
  </si>
  <si>
    <t>04-09-18 15:05:42</t>
  </si>
  <si>
    <t>Dilip Talesha</t>
  </si>
  <si>
    <t>14 Jan 1989</t>
  </si>
  <si>
    <t>rahulkumavat20@gmail.com</t>
  </si>
  <si>
    <t>91 9004675847</t>
  </si>
  <si>
    <t>Singapore, South Africa, Ahmedabad, Bangalore, Jaipur, Mauritius, Vapi, Malaysia, Pune, Mumbai City</t>
  </si>
  <si>
    <t>Axis Securities Ltd</t>
  </si>
  <si>
    <t>durgadevi saraf institute of management studies</t>
  </si>
  <si>
    <t>29-07-18 10:44:39</t>
  </si>
  <si>
    <t>07-08-18 18:11:20</t>
  </si>
  <si>
    <t>Hiren Shah</t>
  </si>
  <si>
    <t>10 Dec 1968</t>
  </si>
  <si>
    <t>sjhiren@gmail.com</t>
  </si>
  <si>
    <t>91 7359402512</t>
  </si>
  <si>
    <t>All India, Bangalore, Australia, United Arab Emirates, Canada, Mumbai City, Delhi, Ahmedabad</t>
  </si>
  <si>
    <t>Rs. 19.20 Lacs</t>
  </si>
  <si>
    <t>ASSISTANT GENERAL MANAGER - SCM &amp; PURCHASE</t>
  </si>
  <si>
    <t>ARCHON ENGICON LTD.</t>
  </si>
  <si>
    <t>SYMBIOSIS</t>
  </si>
  <si>
    <t>22-08-18 16:50:12</t>
  </si>
  <si>
    <t>22-08-18 16:58:31</t>
  </si>
  <si>
    <t>CA Mohammad Talib</t>
  </si>
  <si>
    <t>25 Jun 1992</t>
  </si>
  <si>
    <t>cakhantalib@gmail.com</t>
  </si>
  <si>
    <t>91 8621874121</t>
  </si>
  <si>
    <t>chartered Accountant</t>
  </si>
  <si>
    <t>none</t>
  </si>
  <si>
    <t>18-05-18 16:29:24</t>
  </si>
  <si>
    <t>03-06-18 14:25:00</t>
  </si>
  <si>
    <t>tharun paul</t>
  </si>
  <si>
    <t>15 Sep 1987</t>
  </si>
  <si>
    <t>tharunpaul@gmail.com</t>
  </si>
  <si>
    <t>91 9833426431</t>
  </si>
  <si>
    <t>Mumbai City, Coimbatore</t>
  </si>
  <si>
    <t>Rs. 6.75 Lacs</t>
  </si>
  <si>
    <t>EFFICIENT ENGINEER @ CONSULTANT TO UNILEVER</t>
  </si>
  <si>
    <t>NTTF TRAINING  CENTRE</t>
  </si>
  <si>
    <t>06-01-18 09:33:35</t>
  </si>
  <si>
    <t>23-04-18 10:56:17</t>
  </si>
  <si>
    <t>Lakhmi Chand</t>
  </si>
  <si>
    <t>02 Nov 1977</t>
  </si>
  <si>
    <t>lakhmiaryan@gmail.com</t>
  </si>
  <si>
    <t>91 7226016698</t>
  </si>
  <si>
    <t>20 Yrs 1 Month</t>
  </si>
  <si>
    <t>Security executive</t>
  </si>
  <si>
    <t>RGSS (Ril)</t>
  </si>
  <si>
    <t>12-11-17 10:13:10</t>
  </si>
  <si>
    <t>25-07-18 10:43:09</t>
  </si>
  <si>
    <t>Deepesh Totla</t>
  </si>
  <si>
    <t>deepeshtotla123@gmail.com</t>
  </si>
  <si>
    <t>91 9673258240</t>
  </si>
  <si>
    <t>All India, Lucknow, Mumbai City</t>
  </si>
  <si>
    <t>Indus Towers Limited</t>
  </si>
  <si>
    <t>IIM Indore</t>
  </si>
  <si>
    <t>30-08-18 14:50:56</t>
  </si>
  <si>
    <t>Anirban Jana</t>
  </si>
  <si>
    <t>08 Apr 1978</t>
  </si>
  <si>
    <t>j.anirban78@gmail.com</t>
  </si>
  <si>
    <t>91 8291895839</t>
  </si>
  <si>
    <t>Kolkata</t>
  </si>
  <si>
    <t>19 Yrs 9 Months</t>
  </si>
  <si>
    <t>Sr. Manager (Services and Spares )</t>
  </si>
  <si>
    <t>MX Systems International Pvt. Ltd.</t>
  </si>
  <si>
    <t>Karnataka Open University</t>
  </si>
  <si>
    <t>01-09-18 17:25:14</t>
  </si>
  <si>
    <t>Vikrant Sonawala</t>
  </si>
  <si>
    <t>vikrantsonawala@gmail.com</t>
  </si>
  <si>
    <t>91 9969136495</t>
  </si>
  <si>
    <t>Regional Operational Manager</t>
  </si>
  <si>
    <t>Edubridge Learning Pvt Ltd</t>
  </si>
  <si>
    <t>Rizvi College of Arts Science &amp; Commerce</t>
  </si>
  <si>
    <t>18-07-18 11:15:54</t>
  </si>
  <si>
    <t>07-09-18 10:38:37</t>
  </si>
  <si>
    <t>FARHAN MUNSHI</t>
  </si>
  <si>
    <t>munshi.farhan@gmail.com</t>
  </si>
  <si>
    <t>91 9987030715</t>
  </si>
  <si>
    <t>15 Yrs 2 Months</t>
  </si>
  <si>
    <t>Area Service Manager</t>
  </si>
  <si>
    <t>Toyota Kirloskar Motors Ltd</t>
  </si>
  <si>
    <t>M. H. Saboo Siddik College of Engineering</t>
  </si>
  <si>
    <t>26-12-17 21:28:11</t>
  </si>
  <si>
    <t>25-08-18 14:01:17</t>
  </si>
  <si>
    <t xml:space="preserve">Noman Shaikh </t>
  </si>
  <si>
    <t>30 Jun 1982</t>
  </si>
  <si>
    <t>mdnoman4u@gmail.com</t>
  </si>
  <si>
    <t>91 9867449434</t>
  </si>
  <si>
    <t>Rs. 13.80 Lacs</t>
  </si>
  <si>
    <t>Actuarial Manager</t>
  </si>
  <si>
    <t>Acturial Science</t>
  </si>
  <si>
    <t>K. A. Pandit Consultants &amp; Actuaries</t>
  </si>
  <si>
    <t>28-06-18 14:10:30</t>
  </si>
  <si>
    <t>05-09-18 18:42:03</t>
  </si>
  <si>
    <t>Amreen Babwani</t>
  </si>
  <si>
    <t>amreen_babwani@yahoo.com</t>
  </si>
  <si>
    <t>91 9819212464</t>
  </si>
  <si>
    <t>Senior Travel Executive</t>
  </si>
  <si>
    <t>Ramee Groups of Hotel</t>
  </si>
  <si>
    <t>Vivek College of Commerce</t>
  </si>
  <si>
    <t>12-07-18 03:32:56</t>
  </si>
  <si>
    <t>12-07-18 16:01:13</t>
  </si>
  <si>
    <t>Kalpesh Darji</t>
  </si>
  <si>
    <t>05 Jul 1978</t>
  </si>
  <si>
    <t>darjik2@gmail.com</t>
  </si>
  <si>
    <t>91 9987708273</t>
  </si>
  <si>
    <t>Area manager</t>
  </si>
  <si>
    <t>12-07-18 09:33:09</t>
  </si>
  <si>
    <t>04-08-18 12:32:34</t>
  </si>
  <si>
    <t xml:space="preserve">Vinayak Bhardwaj </t>
  </si>
  <si>
    <t>17 Feb 1990</t>
  </si>
  <si>
    <t>vinayak.bhardwaj78@gmail.com</t>
  </si>
  <si>
    <t>91 8080728060</t>
  </si>
  <si>
    <t>Ss&amp;c Globeop</t>
  </si>
  <si>
    <t>Atharva Institute of Management Studies</t>
  </si>
  <si>
    <t>10-05-18 14:52:28</t>
  </si>
  <si>
    <t>04-09-18 14:28:53</t>
  </si>
  <si>
    <t>NATASHA SHETE</t>
  </si>
  <si>
    <t>19 Dec 1979</t>
  </si>
  <si>
    <t>natasha.shete@gmail.com</t>
  </si>
  <si>
    <t>91 9920161756</t>
  </si>
  <si>
    <t>Consultant City Manager</t>
  </si>
  <si>
    <t>DHFL Pramerica Life Insurance Co. Ltd ( Behtar India Campaign)</t>
  </si>
  <si>
    <t>09-03-18 11:58:13</t>
  </si>
  <si>
    <t xml:space="preserve">Sudarshan </t>
  </si>
  <si>
    <t>10 Jun 1968</t>
  </si>
  <si>
    <t>boddulas1968@gmail.com</t>
  </si>
  <si>
    <t>91 9664527721</t>
  </si>
  <si>
    <t>Office Boy</t>
  </si>
  <si>
    <t>prime turs and travel</t>
  </si>
  <si>
    <t>ok</t>
  </si>
  <si>
    <t>panjab</t>
  </si>
  <si>
    <t>26-02-18 17:51:04</t>
  </si>
  <si>
    <t>30-08-18 16:15:17</t>
  </si>
  <si>
    <t>dnyaneshwar Choudhari</t>
  </si>
  <si>
    <t>dnyanesh54@gmail.com</t>
  </si>
  <si>
    <t>91 9819192982</t>
  </si>
  <si>
    <t>CURRENTLY WORKING WITH FIREPRO SYSTEM PVT LTD.	RELIANCE DAICEC (BKC) SAMSUNG PRIMARY CONTRACTOR</t>
  </si>
  <si>
    <t>FIREPRO SYSTEM PVT LTD by PANASONIC</t>
  </si>
  <si>
    <t>National institute Fire Safety Engineering</t>
  </si>
  <si>
    <t>24-01-18 16:09:17</t>
  </si>
  <si>
    <t>04-08-18 13:33:44</t>
  </si>
  <si>
    <t xml:space="preserve">Deepak guru poojari </t>
  </si>
  <si>
    <t>18 Oct 1984</t>
  </si>
  <si>
    <t>poojari.deepak84@gmail.com</t>
  </si>
  <si>
    <t>91 9833289201</t>
  </si>
  <si>
    <t>Religare Finvest Limited</t>
  </si>
  <si>
    <t>Institite of technology manegment study</t>
  </si>
  <si>
    <t>14-08-18 22:15:38</t>
  </si>
  <si>
    <t>06-09-18 18:25:00</t>
  </si>
  <si>
    <t>Firoz khan</t>
  </si>
  <si>
    <t>firoz.khan@dostirealty.com</t>
  </si>
  <si>
    <t>Asst.Manager Health &amp; Safety Dept.</t>
  </si>
  <si>
    <t>Dosti realty</t>
  </si>
  <si>
    <t>Fire &amp; Safety Or IOSH</t>
  </si>
  <si>
    <t>British Council</t>
  </si>
  <si>
    <t>08-01-18 14:47:21</t>
  </si>
  <si>
    <t>31-05-18 19:44:04</t>
  </si>
  <si>
    <t>Rishikesh Yadav</t>
  </si>
  <si>
    <t>15 Mar 1991</t>
  </si>
  <si>
    <t>rishikane@yahoo.co.in</t>
  </si>
  <si>
    <t>91 9867787189</t>
  </si>
  <si>
    <t>Sr. Associate</t>
  </si>
  <si>
    <t>SSNC GlobeOP Pvt Ltd</t>
  </si>
  <si>
    <t>UWSB</t>
  </si>
  <si>
    <t>27-08-18 21:52:45</t>
  </si>
  <si>
    <t>01-09-18 11:38:05</t>
  </si>
  <si>
    <t>suresh subedi</t>
  </si>
  <si>
    <t>sureshsubedi72@yahoo.com</t>
  </si>
  <si>
    <t>966 0570867934</t>
  </si>
  <si>
    <t>Virgin Islands (UK), United Arab Emirates, Virgin Islands (US), Canada, Swaziland, Sweden, Mumbai City</t>
  </si>
  <si>
    <t>sous chef</t>
  </si>
  <si>
    <t>sunset beach resort marina and spa</t>
  </si>
  <si>
    <t>M.P.Inter Collage Gorakhpur</t>
  </si>
  <si>
    <t>02-04-18 12:45:14</t>
  </si>
  <si>
    <t>28-06-18 05:52:46</t>
  </si>
  <si>
    <t>SAURABH MISHRA</t>
  </si>
  <si>
    <t>mishrasaurabhca@gmail.com</t>
  </si>
  <si>
    <t>91 9415844155</t>
  </si>
  <si>
    <t>Sr. Finance Manager</t>
  </si>
  <si>
    <t>OHM Group (OHM Exports)</t>
  </si>
  <si>
    <t>13-03-18 10:23:10</t>
  </si>
  <si>
    <t>Pranav Ved</t>
  </si>
  <si>
    <t>02 Aug 1984</t>
  </si>
  <si>
    <t>pranavved@gmail.com</t>
  </si>
  <si>
    <t>91 9699555050</t>
  </si>
  <si>
    <t>Head Coach</t>
  </si>
  <si>
    <t>Mahesh Bhpati Tennis Acedamy</t>
  </si>
  <si>
    <t>NSNIS</t>
  </si>
  <si>
    <t>25-08-18 05:20:11</t>
  </si>
  <si>
    <t>27-08-18 14:59:28</t>
  </si>
  <si>
    <t>ASWATHY SRIJITH</t>
  </si>
  <si>
    <t>16 Nov 1991</t>
  </si>
  <si>
    <t>aswathysrijith@gmail.com</t>
  </si>
  <si>
    <t>91 8139046700</t>
  </si>
  <si>
    <t>Thrissur, Mumbai City</t>
  </si>
  <si>
    <t>Sree Narayana Guru Institute Of Science And Technology ,N.Paravur</t>
  </si>
  <si>
    <t>10-08-18 12:20:45</t>
  </si>
  <si>
    <t>10-08-18 23:57:06</t>
  </si>
  <si>
    <t xml:space="preserve">Siraj </t>
  </si>
  <si>
    <t>22 Jan 1990</t>
  </si>
  <si>
    <t>skkhanseraj31@gmail.com</t>
  </si>
  <si>
    <t>91 9619954111</t>
  </si>
  <si>
    <t>- Any -, Canada</t>
  </si>
  <si>
    <t>Alwefag</t>
  </si>
  <si>
    <t>Sices</t>
  </si>
  <si>
    <t>14-06-18 22:19:15</t>
  </si>
  <si>
    <t>Sagar Bangera</t>
  </si>
  <si>
    <t>01 Oct 1991</t>
  </si>
  <si>
    <t>sbangera004@gmail.com</t>
  </si>
  <si>
    <t>91 9930306362</t>
  </si>
  <si>
    <t>Sneior asscociate</t>
  </si>
  <si>
    <t>Willis</t>
  </si>
  <si>
    <t>14-08-18 14:04:29</t>
  </si>
  <si>
    <t xml:space="preserve">rambabu </t>
  </si>
  <si>
    <t>02 Apr 1990</t>
  </si>
  <si>
    <t>er.rambabu@lntecc.com</t>
  </si>
  <si>
    <t>91 8921694637</t>
  </si>
  <si>
    <t>Varanasi, Ghaziabad, Faizabad, Lucknow, Other Uttar Pradesh, Allahabad</t>
  </si>
  <si>
    <t>Civil Site Engineer</t>
  </si>
  <si>
    <t>Government polytechnic bahraich,u.p.</t>
  </si>
  <si>
    <t>31-08-18 17:02:00</t>
  </si>
  <si>
    <t>Kishore tarale</t>
  </si>
  <si>
    <t>kishore.tarale@yahoo.com</t>
  </si>
  <si>
    <t>91 9673010500</t>
  </si>
  <si>
    <t>Finance and accounts</t>
  </si>
  <si>
    <t>18-01-18 12:41:11</t>
  </si>
  <si>
    <t>10-07-18 10:27:32</t>
  </si>
  <si>
    <t>VIVEKANANDA REDDY</t>
  </si>
  <si>
    <t>vivek08032@gmail.com</t>
  </si>
  <si>
    <t>91 9912695287</t>
  </si>
  <si>
    <t>Guntur, Bangalore, Chennai, Kochi, Hyderabad, Vijayawada, Pune, Mumbai City, Delhi</t>
  </si>
  <si>
    <t>Piping Design Engineer</t>
  </si>
  <si>
    <t>TOYO ENGINEERING INDIA LTD</t>
  </si>
  <si>
    <t>VIGNAN UNIVERSITY</t>
  </si>
  <si>
    <t>01-05-18 19:24:52</t>
  </si>
  <si>
    <t>04-05-18 14:09:41</t>
  </si>
  <si>
    <t>PRAMOD SHINDE</t>
  </si>
  <si>
    <t>11 Jun 1977</t>
  </si>
  <si>
    <t>pramodshin@gmail.com</t>
  </si>
  <si>
    <t>91 9987987145</t>
  </si>
  <si>
    <t>SEW Engineering (I) Pvt. Ltd</t>
  </si>
  <si>
    <t>12-03-18 22:40:11</t>
  </si>
  <si>
    <t>20-08-18 20:52:08</t>
  </si>
  <si>
    <t>VIGNESH R KINI</t>
  </si>
  <si>
    <t>31 Aug 1996</t>
  </si>
  <si>
    <t>vigneshkini31@gmail.com</t>
  </si>
  <si>
    <t>91 7012127627</t>
  </si>
  <si>
    <t>- Any -, All India, Bangalore, Kolkata, Pune, Mumbai City</t>
  </si>
  <si>
    <t>Mahatma Gandhi University</t>
  </si>
  <si>
    <t>03-04-18 18:04:12</t>
  </si>
  <si>
    <t>07-07-18 16:18:27</t>
  </si>
  <si>
    <t>sudhir pandey</t>
  </si>
  <si>
    <t>01 Jul 1972</t>
  </si>
  <si>
    <t>sudhirpandey2007@gmail.com</t>
  </si>
  <si>
    <t>91 9892695406</t>
  </si>
  <si>
    <t>Rachana Sansad AFAC</t>
  </si>
  <si>
    <t>faculty of fine arts</t>
  </si>
  <si>
    <t>07-08-18 20:53:29</t>
  </si>
  <si>
    <t>28-08-18 19:34:06</t>
  </si>
  <si>
    <t>Rs. 9.45 Lacs</t>
  </si>
  <si>
    <t>K J Somaiya Institute of Management Studies and Research</t>
  </si>
  <si>
    <t>11-02-18 18:29:44</t>
  </si>
  <si>
    <t>23-05-18 09:25:35</t>
  </si>
  <si>
    <t>prashant gawade</t>
  </si>
  <si>
    <t>29 Sep 1996</t>
  </si>
  <si>
    <t>prashantgawade99999@gmail.com</t>
  </si>
  <si>
    <t>91 9920457734</t>
  </si>
  <si>
    <t>It</t>
  </si>
  <si>
    <t>15-04-18 10:45:49</t>
  </si>
  <si>
    <t>27-05-18 14:01:52</t>
  </si>
  <si>
    <t>Mayur Kshirsagar</t>
  </si>
  <si>
    <t>17 Oct 1989</t>
  </si>
  <si>
    <t>mkmayurk@gmail.com</t>
  </si>
  <si>
    <t>91 8082298949</t>
  </si>
  <si>
    <t>B.V.C.O.E</t>
  </si>
  <si>
    <t>29-06-18 14:16:46</t>
  </si>
  <si>
    <t>30-06-18 11:48:09</t>
  </si>
  <si>
    <t>Md Abu talha</t>
  </si>
  <si>
    <t>01 Apr 1987</t>
  </si>
  <si>
    <t>abu_talha86@yahoo.com</t>
  </si>
  <si>
    <t>91 9547942993</t>
  </si>
  <si>
    <t>Electrical engineer</t>
  </si>
  <si>
    <t>06-09-18 06:47:46</t>
  </si>
  <si>
    <t>07-09-18 10:48:43</t>
  </si>
  <si>
    <t>Sanjay Raut</t>
  </si>
  <si>
    <t>epost.raut@hotmail.com</t>
  </si>
  <si>
    <t>91 9987678066</t>
  </si>
  <si>
    <t>Senior Piping Designer</t>
  </si>
  <si>
    <t>Jacobs Engineering India Pvt Ltd</t>
  </si>
  <si>
    <t>K. J. Somaiya Polytechnic</t>
  </si>
  <si>
    <t>07-01-18 08:00:27</t>
  </si>
  <si>
    <t>27-04-18 10:04:57</t>
  </si>
  <si>
    <t>Darshan Yadav</t>
  </si>
  <si>
    <t>20 Feb 1987</t>
  </si>
  <si>
    <t>darshany20@gmail.com</t>
  </si>
  <si>
    <t>91 9730220234</t>
  </si>
  <si>
    <t>Events Manager</t>
  </si>
  <si>
    <t>REBEL INDIA PVT.LTD</t>
  </si>
  <si>
    <t>INDIAN SCHOOL OF MEDIA</t>
  </si>
  <si>
    <t>26-07-18 22:15:41</t>
  </si>
  <si>
    <t>Pankaja gouda</t>
  </si>
  <si>
    <t>pankajagouda@hotmail.com</t>
  </si>
  <si>
    <t>965 50363642</t>
  </si>
  <si>
    <t>Kuwait, Mumbai City</t>
  </si>
  <si>
    <t>Time Keeper</t>
  </si>
  <si>
    <t>MUSHRIF TRADING &amp; CONTRACTING COMPANY ( KSCP)</t>
  </si>
  <si>
    <t>Kishor Palei Science college</t>
  </si>
  <si>
    <t>28-08-18 14:51:12</t>
  </si>
  <si>
    <t>03-09-18 15:27:10</t>
  </si>
  <si>
    <t>Daniel benjamin</t>
  </si>
  <si>
    <t>daniel.steffie07@gmail.com</t>
  </si>
  <si>
    <t>91 8668383652</t>
  </si>
  <si>
    <t>Barnes school and junior college</t>
  </si>
  <si>
    <t>20-01-18 09:57:59</t>
  </si>
  <si>
    <t>22-03-18 17:43:48</t>
  </si>
  <si>
    <t>vivek balsaraf</t>
  </si>
  <si>
    <t>22 Nov 1973</t>
  </si>
  <si>
    <t>viveknavimumbai@gmail.com</t>
  </si>
  <si>
    <t>91 9920585733</t>
  </si>
  <si>
    <t>Vipul Organics Ltd</t>
  </si>
  <si>
    <t>VPM S POLYTECHNIC   THANE</t>
  </si>
  <si>
    <t>29-03-18 10:28:14</t>
  </si>
  <si>
    <t>17-07-18 10:21:23</t>
  </si>
  <si>
    <t>JC Roy</t>
  </si>
  <si>
    <t>08 Nov 1963</t>
  </si>
  <si>
    <t>jayantachandra_roy@yahoo.co.in</t>
  </si>
  <si>
    <t>91 7506748336</t>
  </si>
  <si>
    <t>United Arab Emirates, Kolkata, Malaysia, Pune, Mumbai City, Singapore</t>
  </si>
  <si>
    <t>Techno Commercial</t>
  </si>
  <si>
    <t>Al Gurg</t>
  </si>
  <si>
    <t>04-02-18 20:56:02</t>
  </si>
  <si>
    <t>23-08-18 15:25:16</t>
  </si>
  <si>
    <t>Shruti Rajpurkar</t>
  </si>
  <si>
    <t>04 Jul 1990</t>
  </si>
  <si>
    <t>shrutirajpurkar4790@gmail.com</t>
  </si>
  <si>
    <t>91 7900075726</t>
  </si>
  <si>
    <t>3 Yrs 2 Months</t>
  </si>
  <si>
    <t>Account Executive</t>
  </si>
  <si>
    <t>Heurtey Petrochem India Private Limited</t>
  </si>
  <si>
    <t>Parle TilakVidyalaya Associations Institute of Management</t>
  </si>
  <si>
    <t>27-04-18 13:25:52</t>
  </si>
  <si>
    <t>02-05-18 18:14:53</t>
  </si>
  <si>
    <t>Abhijeet Sinhe</t>
  </si>
  <si>
    <t>26 Oct 1988</t>
  </si>
  <si>
    <t>abhisinhe@gmail.com</t>
  </si>
  <si>
    <t>91 8983523637</t>
  </si>
  <si>
    <t>Surat, Vadodara, Ahmedabad, Nashik, Pune, Aurangabad, Bharuch, Mumbai City, Nagpur, Ankleshwar</t>
  </si>
  <si>
    <t>Sr. Executive production</t>
  </si>
  <si>
    <t>J.D.I.E.T.</t>
  </si>
  <si>
    <t>24-06-18 17:07:39</t>
  </si>
  <si>
    <t>27-08-18 22:38:01</t>
  </si>
  <si>
    <t xml:space="preserve">Ananda </t>
  </si>
  <si>
    <t>04 Aug 1991</t>
  </si>
  <si>
    <t>anandk870@gmail.com</t>
  </si>
  <si>
    <t>91 8767313513</t>
  </si>
  <si>
    <t>Civil finishing engineer</t>
  </si>
  <si>
    <t>Karnataka polytechnic mangalore</t>
  </si>
  <si>
    <t>06-04-18 19:27:41</t>
  </si>
  <si>
    <t>30-05-18 18:20:23</t>
  </si>
  <si>
    <t xml:space="preserve">Carolin </t>
  </si>
  <si>
    <t>carolinlidsi2853@gmail.com</t>
  </si>
  <si>
    <t>91 9892808011</t>
  </si>
  <si>
    <t>S.i.e.s College of arts science and commerce</t>
  </si>
  <si>
    <t>06-06-18 18:23:52</t>
  </si>
  <si>
    <t>16-07-18 15:20:20</t>
  </si>
  <si>
    <t>venkatarao gedejala</t>
  </si>
  <si>
    <t>11 Mar 1985</t>
  </si>
  <si>
    <t>venki1084@gmail.com</t>
  </si>
  <si>
    <t>91 9619962362</t>
  </si>
  <si>
    <t>Bangalore, Chennai, Hyderabad, Mumbai City</t>
  </si>
  <si>
    <t>Testing and Commissioning Engineer</t>
  </si>
  <si>
    <t>Frauscher Sensor Technology</t>
  </si>
  <si>
    <t>Shridhar university</t>
  </si>
  <si>
    <t>19-04-17 23:21:56</t>
  </si>
  <si>
    <t>04-09-18 12:29:22</t>
  </si>
  <si>
    <t>Satish somi reddy</t>
  </si>
  <si>
    <t>vssr5031@gmail.com</t>
  </si>
  <si>
    <t>91 9160448474</t>
  </si>
  <si>
    <t>Upstream to dowmstream any job in Oil&amp;gas field</t>
  </si>
  <si>
    <t>Any oil company</t>
  </si>
  <si>
    <t>Sri Vatsavai Krishnam Raju Engineering &amp; Technology</t>
  </si>
  <si>
    <t>26-03-18 16:22:50</t>
  </si>
  <si>
    <t>27-06-18 14:58:24</t>
  </si>
  <si>
    <t xml:space="preserve">Mansee </t>
  </si>
  <si>
    <t>01 Feb 1991</t>
  </si>
  <si>
    <t>manseedave13@gmail.com</t>
  </si>
  <si>
    <t>91 9870136873</t>
  </si>
  <si>
    <t>Associate producer and News Anchor</t>
  </si>
  <si>
    <t>Actor / Anchor</t>
  </si>
  <si>
    <t>Cnbc Network 18</t>
  </si>
  <si>
    <t>22-02-18 15:37:06</t>
  </si>
  <si>
    <t>15-05-18 12:00:37</t>
  </si>
  <si>
    <t>Manoj Verma</t>
  </si>
  <si>
    <t>manojverma1959@yahoo.co.in</t>
  </si>
  <si>
    <t>91 9324174478</t>
  </si>
  <si>
    <t>B I T sindri</t>
  </si>
  <si>
    <t>19-12-17 15:51:24</t>
  </si>
  <si>
    <t>01-04-18 13:34:38</t>
  </si>
  <si>
    <t>MD Abbas Ali</t>
  </si>
  <si>
    <t>05 Dec 1993</t>
  </si>
  <si>
    <t>aliinfor725@gmail.com</t>
  </si>
  <si>
    <t>91 9630967366</t>
  </si>
  <si>
    <t>Noida, Kolkata, Gurugram, Pune, Mumbai City, Delhi, Other Bihar, Patna, Muzzafarpur</t>
  </si>
  <si>
    <t>Skyway infraprojects pvt,ldt</t>
  </si>
  <si>
    <t>RKDF College of engineering</t>
  </si>
  <si>
    <t>03-04-18 14:23:29</t>
  </si>
  <si>
    <t>01-08-18 10:13:43</t>
  </si>
  <si>
    <t>prashant waidande</t>
  </si>
  <si>
    <t>20 Aug 1985</t>
  </si>
  <si>
    <t>prashant.waidande1532016@gmail.com</t>
  </si>
  <si>
    <t>91 8779631334</t>
  </si>
  <si>
    <t>13-08-18 17:43:41</t>
  </si>
  <si>
    <t>24-08-18 15:45:02</t>
  </si>
  <si>
    <t>TARACHANDRA BELWAL</t>
  </si>
  <si>
    <t>14 Jun 1977</t>
  </si>
  <si>
    <t>tara_zoom@yahoo.com</t>
  </si>
  <si>
    <t>91 9594740509</t>
  </si>
  <si>
    <t>ELCTRICAL/ELECTROIC ENGG.</t>
  </si>
  <si>
    <t>KOCHI UNIVERSITY</t>
  </si>
  <si>
    <t>03-10-17 16:47:24</t>
  </si>
  <si>
    <t>07-09-18 10:16:45</t>
  </si>
  <si>
    <t>PRAFUL PATHAK</t>
  </si>
  <si>
    <t>15 Feb 1983</t>
  </si>
  <si>
    <t>prafulnag@gmail.com</t>
  </si>
  <si>
    <t>91 9819062297</t>
  </si>
  <si>
    <t>8 Yrs 11 Months</t>
  </si>
  <si>
    <t>Marketing, Bidding</t>
  </si>
  <si>
    <t>Polycab Wires Pvt Ltd</t>
  </si>
  <si>
    <t>V.I.T [VSBMR].</t>
  </si>
  <si>
    <t>15-12-16 18:30:20</t>
  </si>
  <si>
    <t>22-03-18 13:36:13</t>
  </si>
  <si>
    <t>Kiran Yashwant Pawar</t>
  </si>
  <si>
    <t>kiranpawar353@gmail.com</t>
  </si>
  <si>
    <t>91 8291286556</t>
  </si>
  <si>
    <t>02-05-18 12:37:12</t>
  </si>
  <si>
    <t>Kaustubh Sarpotdar</t>
  </si>
  <si>
    <t>08 Sep 1985</t>
  </si>
  <si>
    <t>kdsarpotdar@gmail.com</t>
  </si>
  <si>
    <t>91 8983216118</t>
  </si>
  <si>
    <t>Country Garden Group</t>
  </si>
  <si>
    <t>MGMS College of Engineering &amp; Technical, University of Mumbai</t>
  </si>
  <si>
    <t>02-01-18 22:05:59</t>
  </si>
  <si>
    <t>30-08-18 15:17:14</t>
  </si>
  <si>
    <t>Pravin sarangdhar marathe</t>
  </si>
  <si>
    <t>17 Aug 1993</t>
  </si>
  <si>
    <t>marathe.pravin827@gmail.com</t>
  </si>
  <si>
    <t>91 9594551314</t>
  </si>
  <si>
    <t>Banking</t>
  </si>
  <si>
    <t>MUMBAI University</t>
  </si>
  <si>
    <t>21-08-18 21:44:18</t>
  </si>
  <si>
    <t>06-09-18 17:53:12</t>
  </si>
  <si>
    <t xml:space="preserve">kamod </t>
  </si>
  <si>
    <t>kamod.rai@gmail.com</t>
  </si>
  <si>
    <t>91 8286017982</t>
  </si>
  <si>
    <t>Project cum proposal engineer</t>
  </si>
  <si>
    <t>Ion Exchange (India) Limited</t>
  </si>
  <si>
    <t>Dr Babasaheb Ambedkar Technological University</t>
  </si>
  <si>
    <t>14-01-18 12:18:24</t>
  </si>
  <si>
    <t>04-09-18 10:47:26</t>
  </si>
  <si>
    <t>BHALCHANDRA UPADHYE</t>
  </si>
  <si>
    <t>bhalchandra.upadhye@techint.in</t>
  </si>
  <si>
    <t>91 9821020334</t>
  </si>
  <si>
    <t>1</t>
  </si>
  <si>
    <t>20 Microns Ltd</t>
  </si>
  <si>
    <t>Associate in Engineering Management Studies</t>
  </si>
  <si>
    <t>26-04-18 14:21:41</t>
  </si>
  <si>
    <t>09-08-18 11:50:44</t>
  </si>
  <si>
    <t>LISY SHAJU VALIYAVEETIL</t>
  </si>
  <si>
    <t>lsks1970@gmail.com</t>
  </si>
  <si>
    <t>91 9833141548</t>
  </si>
  <si>
    <t>STENOGRAPHER</t>
  </si>
  <si>
    <t xml:space="preserve">EXCEL HYDRO </t>
  </si>
  <si>
    <t>09-04-18 12:46:23</t>
  </si>
  <si>
    <t>24-07-18 21:55:17</t>
  </si>
  <si>
    <t xml:space="preserve">Aniket Kadam </t>
  </si>
  <si>
    <t>10 Jun 1996</t>
  </si>
  <si>
    <t>kadamaniket33@gmail.com</t>
  </si>
  <si>
    <t>91 8108965079</t>
  </si>
  <si>
    <t>Execution of Boilers</t>
  </si>
  <si>
    <t>Larsen &amp; Toubro</t>
  </si>
  <si>
    <t>16-07-18 17:13:45</t>
  </si>
  <si>
    <t>snehal adkar</t>
  </si>
  <si>
    <t>14 Dec 1979</t>
  </si>
  <si>
    <t>snehal.adkar79@gmail.com</t>
  </si>
  <si>
    <t>91 9967224284</t>
  </si>
  <si>
    <t>tekla structural modeler-checker</t>
  </si>
  <si>
    <t>pmech pvt Ltd</t>
  </si>
  <si>
    <t>mazagaon dock ltd.</t>
  </si>
  <si>
    <t>28-05-18 08:04:01</t>
  </si>
  <si>
    <t>28-05-18 10:53:08</t>
  </si>
  <si>
    <t>Javed Ansari</t>
  </si>
  <si>
    <t>ansarijaved116@gmail.com</t>
  </si>
  <si>
    <t>91 9324431168</t>
  </si>
  <si>
    <t>Manpower or shutdown Project Coordinator</t>
  </si>
  <si>
    <t>equate petrochemical company</t>
  </si>
  <si>
    <t>15-05-18 21:17:30</t>
  </si>
  <si>
    <t>21-05-18 20:17:49</t>
  </si>
  <si>
    <t>Rajesh Nair</t>
  </si>
  <si>
    <t>02 Dec 1972</t>
  </si>
  <si>
    <t>rajesh72nair@gmail.com</t>
  </si>
  <si>
    <t>91 9619919449</t>
  </si>
  <si>
    <t>Travel Head</t>
  </si>
  <si>
    <t>Lupin upto Feb 2018</t>
  </si>
  <si>
    <t>19-03-18 15:06:45</t>
  </si>
  <si>
    <t>09-07-18 14:58:08</t>
  </si>
  <si>
    <t>prashant sathe</t>
  </si>
  <si>
    <t>prashantsathe111@gmail.com</t>
  </si>
  <si>
    <t>91 8080708015</t>
  </si>
  <si>
    <t>sr. engineer(sales and service)</t>
  </si>
  <si>
    <t>Yasui Field Engineering PVT.LTD.</t>
  </si>
  <si>
    <t>Vishveshvaraya College of Engg.pune University</t>
  </si>
  <si>
    <t>16-08-18 18:51:47</t>
  </si>
  <si>
    <t>16-08-18 18:51:48</t>
  </si>
  <si>
    <t xml:space="preserve">ABHINAY KUMAR YADAV </t>
  </si>
  <si>
    <t>25 Aug 1994</t>
  </si>
  <si>
    <t>abhinayyadav2015@gmail.com</t>
  </si>
  <si>
    <t>91 9689974592</t>
  </si>
  <si>
    <t>Production (Coating ) Engineer</t>
  </si>
  <si>
    <t>jindal poly films ltd nasik maharashtra</t>
  </si>
  <si>
    <t>CIPET</t>
  </si>
  <si>
    <t>04-09-18 22:20:36</t>
  </si>
  <si>
    <t>MOHAMED RAFE</t>
  </si>
  <si>
    <t>28 Sep 1982</t>
  </si>
  <si>
    <t>rafeusmani@gmail.com</t>
  </si>
  <si>
    <t>91 7738111292</t>
  </si>
  <si>
    <t>All India, - Any -, Mumbai City</t>
  </si>
  <si>
    <t>Piping PDMS Designer</t>
  </si>
  <si>
    <t>MCE Consulting Engineers</t>
  </si>
  <si>
    <t>I.T.I (MECHANICAL DRAUGHTSMAN)</t>
  </si>
  <si>
    <t>HABIB TECHNICAL INSTITUTE</t>
  </si>
  <si>
    <t>01-08-18 21:12:31</t>
  </si>
  <si>
    <t>sangharsh joshi</t>
  </si>
  <si>
    <t>01 Mar 1987</t>
  </si>
  <si>
    <t>ersangharshjoshi@gmail.com</t>
  </si>
  <si>
    <t>91 9960796581</t>
  </si>
  <si>
    <t>Field Engineer</t>
  </si>
  <si>
    <t>Jacobs Engineering</t>
  </si>
  <si>
    <t>Institution of Mechanical Engineers</t>
  </si>
  <si>
    <t>12-06-18 16:36:15</t>
  </si>
  <si>
    <t>23-06-18 18:28:28</t>
  </si>
  <si>
    <t>Santosh Panigrahi</t>
  </si>
  <si>
    <t>22 Sep 1990</t>
  </si>
  <si>
    <t>santoshpanigrahi.spm@gmail.com</t>
  </si>
  <si>
    <t>91 9930370739</t>
  </si>
  <si>
    <t>Assistant Manager - Projects and Procurement</t>
  </si>
  <si>
    <t>Harris Brushes India Pvt Ltd</t>
  </si>
  <si>
    <t>Welingkar Institute of Management Development and Research (WIMDR)</t>
  </si>
  <si>
    <t>06-09-18 00:17:09</t>
  </si>
  <si>
    <t>santosh kumar sahoo</t>
  </si>
  <si>
    <t>santosh94aeronautical.engg@gmail.com</t>
  </si>
  <si>
    <t>91 9438108561</t>
  </si>
  <si>
    <t>SWAMI VIVEKANANDAUNIVERSITYSVN UNIVERSITY</t>
  </si>
  <si>
    <t>17-04-18 14:20:26</t>
  </si>
  <si>
    <t>13-05-18 22:41:32</t>
  </si>
  <si>
    <t>rupesh kushwah</t>
  </si>
  <si>
    <t>kushwah_rupesh@yahoo.com</t>
  </si>
  <si>
    <t>91 8827897669</t>
  </si>
  <si>
    <t>Mohali, Noida, Ghaziabad, Gurugram, Faridabad, Pune, Chandigarh, Mumbai City, Delhi, Panchkula, Panaji</t>
  </si>
  <si>
    <t>Sr.Project Engineer</t>
  </si>
  <si>
    <t>Overseas infrastructure alliance india pvt Ltd Mumbai</t>
  </si>
  <si>
    <t>21-08-18 15:21:50</t>
  </si>
  <si>
    <t>07-09-18 10:55:12</t>
  </si>
  <si>
    <t>PALLAVI SARKAR</t>
  </si>
  <si>
    <t>pallavisarkar403@gmail.com</t>
  </si>
  <si>
    <t>91 7033482793</t>
  </si>
  <si>
    <t>National Thermal Power Corp. Ltd</t>
  </si>
  <si>
    <t>XLRI</t>
  </si>
  <si>
    <t>22-12-17 16:35:12</t>
  </si>
  <si>
    <t>01-05-18 14:37:12</t>
  </si>
  <si>
    <t>Josemin Jose</t>
  </si>
  <si>
    <t>josminjose2010@gmail.com</t>
  </si>
  <si>
    <t>91 9137173856</t>
  </si>
  <si>
    <t>Mount Carmel College, Bangalore</t>
  </si>
  <si>
    <t>14-08-18 19:33:48</t>
  </si>
  <si>
    <t>16-08-18 15:08:30</t>
  </si>
  <si>
    <t xml:space="preserve">shruti </t>
  </si>
  <si>
    <t>shruti.karthikeyan@gmail.com</t>
  </si>
  <si>
    <t>91 8108000974</t>
  </si>
  <si>
    <t>Content Writer</t>
  </si>
  <si>
    <t>Value 360 Communications</t>
  </si>
  <si>
    <t>Manorama School of Communication</t>
  </si>
  <si>
    <t>23-03-17 17:33:49</t>
  </si>
  <si>
    <t>29-03-18 13:54:04</t>
  </si>
  <si>
    <t xml:space="preserve"> Ramkrishna kashyap</t>
  </si>
  <si>
    <t>19 Aug 1963</t>
  </si>
  <si>
    <t>kashyapkeet@gmail.com</t>
  </si>
  <si>
    <t>971 0551791237</t>
  </si>
  <si>
    <t>Noida, United Arab Emirates, Mumbai City, Valsad, Vadodara, Delhi, Ankleshwar</t>
  </si>
  <si>
    <t>ELECTRICAL ENGINEER</t>
  </si>
  <si>
    <t>PRIME PROJECT INTERNATIONAL  DUBAI</t>
  </si>
  <si>
    <t>PROJECT MANAGEMENT INSTITUTION   U .S.A</t>
  </si>
  <si>
    <t>15-08-18 12:31:49</t>
  </si>
  <si>
    <t>08-09-18 10:25:46</t>
  </si>
  <si>
    <t>Sanjeev Ekkaluri</t>
  </si>
  <si>
    <t>sanjeevekkaluri19@gmail.com</t>
  </si>
  <si>
    <t>91 8897578773</t>
  </si>
  <si>
    <t>vibration condition monitoring engineer</t>
  </si>
  <si>
    <t>spm</t>
  </si>
  <si>
    <t>GLOBAL COLLEGE OF ENGINEERINGSENIOR SECONDARY	NARAYANA JUNIOR COLLEGE</t>
  </si>
  <si>
    <t>21-06-18 23:24:16</t>
  </si>
  <si>
    <t>rajesh chauhan</t>
  </si>
  <si>
    <t>05 Jul 1975</t>
  </si>
  <si>
    <t>rajeshchauhan055@gmail.com</t>
  </si>
  <si>
    <t>91 7276513658</t>
  </si>
  <si>
    <t>senior security officer</t>
  </si>
  <si>
    <t>JSW cement Ltd</t>
  </si>
  <si>
    <t>29-04-18 12:05:21</t>
  </si>
  <si>
    <t>30-04-18 12:08:55</t>
  </si>
  <si>
    <t xml:space="preserve">Seema Kapur </t>
  </si>
  <si>
    <t>08 Oct 1965</t>
  </si>
  <si>
    <t>kapsee15@gmail.com</t>
  </si>
  <si>
    <t>91 9820681141</t>
  </si>
  <si>
    <t>Nielsen India</t>
  </si>
  <si>
    <t>Rice University, Houston, Texas</t>
  </si>
  <si>
    <t>01-02-18 22:56:45</t>
  </si>
  <si>
    <t>02-05-18 19:27:53</t>
  </si>
  <si>
    <t>Abhay Jadhav</t>
  </si>
  <si>
    <t>28 Apr 1980</t>
  </si>
  <si>
    <t>jadhavabhay28@yahoo.com</t>
  </si>
  <si>
    <t>91 9860415455</t>
  </si>
  <si>
    <t>Grindwell Norton Ltd. (Saint-Gobain)</t>
  </si>
  <si>
    <t>Government Polytechnic Ratnagiri</t>
  </si>
  <si>
    <t>12-03-18 22:34:39</t>
  </si>
  <si>
    <t>11-08-18 10:53:30</t>
  </si>
  <si>
    <t>ehsan ali</t>
  </si>
  <si>
    <t>ehsan.ali13@gmail.com</t>
  </si>
  <si>
    <t>91 7753062346</t>
  </si>
  <si>
    <t>Allahabad, Bangalore, Jaipur, Noida, Chennai, Ghaziabad, United Arab Emirates, Lucknow, Hyderabad, Gurugram, Faridabad, Pune, Ludhiana, Delhi</t>
  </si>
  <si>
    <t>Elixir engg pvt ltd</t>
  </si>
  <si>
    <t>IET Bhaddal, ropar</t>
  </si>
  <si>
    <t>16-05-18 07:01:25</t>
  </si>
  <si>
    <t>14-07-18 11:50:08</t>
  </si>
  <si>
    <t xml:space="preserve">satlaj </t>
  </si>
  <si>
    <t>17 Dec 1991</t>
  </si>
  <si>
    <t>satlaj92099@gmail.com</t>
  </si>
  <si>
    <t>91 9822319368</t>
  </si>
  <si>
    <t>safety officer</t>
  </si>
  <si>
    <t>Ruparel realty</t>
  </si>
  <si>
    <t>B N N college bhiwandi.</t>
  </si>
  <si>
    <t>01-02-18 17:01:33</t>
  </si>
  <si>
    <t>05-04-18 22:47:36</t>
  </si>
  <si>
    <t>Pradeepta kumar sahoo</t>
  </si>
  <si>
    <t>vjsahoomech8331@gmail.com</t>
  </si>
  <si>
    <t>91 7894446607</t>
  </si>
  <si>
    <t>Gandhinagar, Rajkot, Pune, Mumbai City, Surat, Vadodara, Daman, Port Blair, Panaji, Ahmedabad</t>
  </si>
  <si>
    <t>Iter</t>
  </si>
  <si>
    <t>18-07-18 17:40:10</t>
  </si>
  <si>
    <t>19-07-18 19:56:39</t>
  </si>
  <si>
    <t>Amit Patil</t>
  </si>
  <si>
    <t>21 Nov 1983</t>
  </si>
  <si>
    <t>amit.patil1983@gmail.com</t>
  </si>
  <si>
    <t>91 9860941223</t>
  </si>
  <si>
    <t>Business Devlopment Manaver</t>
  </si>
  <si>
    <t>Radford Global Ltd</t>
  </si>
  <si>
    <t>06-08-18 18:57:18</t>
  </si>
  <si>
    <t>19-08-18 11:28:22</t>
  </si>
  <si>
    <t xml:space="preserve">Razique </t>
  </si>
  <si>
    <t>05 Dec 1994</t>
  </si>
  <si>
    <t>shaikhrazique9@gmail.com</t>
  </si>
  <si>
    <t>91 8087568808</t>
  </si>
  <si>
    <t>0 Yr 1 Month</t>
  </si>
  <si>
    <t>Jobby Engineering pvt ltd</t>
  </si>
  <si>
    <t>TUV Rheinland NIFE Academy</t>
  </si>
  <si>
    <t>02-11-17 17:03:39</t>
  </si>
  <si>
    <t>04-06-18 16:34:27</t>
  </si>
  <si>
    <t>ANUMAY ASHISH</t>
  </si>
  <si>
    <t>02 Nov 1997</t>
  </si>
  <si>
    <t>anumay.ashish97@gmail.com</t>
  </si>
  <si>
    <t>91 9987092623</t>
  </si>
  <si>
    <t>07-06-18 17:56:06</t>
  </si>
  <si>
    <t>sunilsingh singh</t>
  </si>
  <si>
    <t>26 Mar 1987</t>
  </si>
  <si>
    <t>sunilsingh966@rediffmail.com</t>
  </si>
  <si>
    <t>91 7387449957</t>
  </si>
  <si>
    <t>v.b.s.university jaunpur</t>
  </si>
  <si>
    <t>03-09-18 11:06:59</t>
  </si>
  <si>
    <t>07-09-18 23:18:22</t>
  </si>
  <si>
    <t xml:space="preserve">sanjay kumar maurya </t>
  </si>
  <si>
    <t>10 Jan 1993</t>
  </si>
  <si>
    <t>sanjay.b.tech084@gmail.com</t>
  </si>
  <si>
    <t>91 9716602852</t>
  </si>
  <si>
    <t>Noida, Ghaziabad, Raipur, Kolkata, Gurugram, Pune, Mumbai City, Delhi, Ahmedabad</t>
  </si>
  <si>
    <t>Asst Manager Quality Control</t>
  </si>
  <si>
    <t>Sunil Forging &amp; Steel Industries Unit-2</t>
  </si>
  <si>
    <t xml:space="preserve">bhagwant institute of technology </t>
  </si>
  <si>
    <t>15-01-18 21:36:18</t>
  </si>
  <si>
    <t>31-03-18 10:20:43</t>
  </si>
  <si>
    <t>Anish Gupta</t>
  </si>
  <si>
    <t>18 Jul 1992</t>
  </si>
  <si>
    <t>anishgupta901@gmail.com</t>
  </si>
  <si>
    <t>91 7470884576</t>
  </si>
  <si>
    <t>ELECTRICAL ENGINEERING</t>
  </si>
  <si>
    <t>Pvt ltd, LTD. MNC</t>
  </si>
  <si>
    <t>AIET</t>
  </si>
  <si>
    <t>24-01-18 22:23:49</t>
  </si>
  <si>
    <t>02-06-18 10:29:20</t>
  </si>
  <si>
    <t>asif ali</t>
  </si>
  <si>
    <t>aasifali93@gmail.com</t>
  </si>
  <si>
    <t>91 7488158084</t>
  </si>
  <si>
    <t>Dehradun, Australia, Canada, Jamshedpur, Pune, Mumbai City, Germany, Delhi, France, Greece</t>
  </si>
  <si>
    <t>HVAC Contracter</t>
  </si>
  <si>
    <t>Easy Home Airconditioners</t>
  </si>
  <si>
    <t>Alfalah School of Engg &amp; Tech,MD University</t>
  </si>
  <si>
    <t>25-08-18 01:49:26</t>
  </si>
  <si>
    <t>30-08-18 12:42:15</t>
  </si>
  <si>
    <t>CHANDI CHARAN BALLAV</t>
  </si>
  <si>
    <t>25 Oct 1986</t>
  </si>
  <si>
    <t>ccballav574@gmail.com</t>
  </si>
  <si>
    <t>91 9564949618</t>
  </si>
  <si>
    <t>crane operator OFFSHORE &amp;ONSHORE</t>
  </si>
  <si>
    <t>LAMPRELL ENERGY LTD&amp;SOUDI ARAMCO</t>
  </si>
  <si>
    <t>05-08-17 13:38:00</t>
  </si>
  <si>
    <t>03-04-18 10:12:59</t>
  </si>
  <si>
    <t>SHETANSHU SHEKHER JHA</t>
  </si>
  <si>
    <t>25 Feb 1983</t>
  </si>
  <si>
    <t>monu00016@gmail.com</t>
  </si>
  <si>
    <t>91 7483378541</t>
  </si>
  <si>
    <t>Rs. 8.65 Lacs</t>
  </si>
  <si>
    <t>Petty Officer</t>
  </si>
  <si>
    <t>B.Sc in Aeronautics (Mechanical)</t>
  </si>
  <si>
    <t>Cochin University of science and technology</t>
  </si>
  <si>
    <t>10-03-18 17:57:04</t>
  </si>
  <si>
    <t>02-07-18 10:31:00</t>
  </si>
  <si>
    <t>Samidha Bhagat</t>
  </si>
  <si>
    <t>10 Jul 1982</t>
  </si>
  <si>
    <t>samidha.bhagat@gmail.com</t>
  </si>
  <si>
    <t>91 9819664660</t>
  </si>
  <si>
    <t>BARC India</t>
  </si>
  <si>
    <t>20-08-18 15:10:39</t>
  </si>
  <si>
    <t>07-09-18 16:10:49</t>
  </si>
  <si>
    <t>VIJAY KAKARA</t>
  </si>
  <si>
    <t>08 Aug 1978</t>
  </si>
  <si>
    <t>kakaravijay@gmail.com</t>
  </si>
  <si>
    <t>91 9494839764</t>
  </si>
  <si>
    <t>Flightcatering Supervisor</t>
  </si>
  <si>
    <t xml:space="preserve">SKY-Gourmet  PVT.LTD </t>
  </si>
  <si>
    <t>05-01-18 13:29:44</t>
  </si>
  <si>
    <t>11-08-18 15:59:38</t>
  </si>
  <si>
    <t xml:space="preserve">Alwin george A </t>
  </si>
  <si>
    <t>01 May 1997</t>
  </si>
  <si>
    <t>georgealwin11@gmail.com</t>
  </si>
  <si>
    <t>91 8015750941</t>
  </si>
  <si>
    <t>MECHANICAL TECHNICIAN</t>
  </si>
  <si>
    <t>S.S.CONSTRUCTION</t>
  </si>
  <si>
    <t>PET</t>
  </si>
  <si>
    <t>14-07-18 20:38:10</t>
  </si>
  <si>
    <t>02-08-18 13:21:10</t>
  </si>
  <si>
    <t>sohail azad</t>
  </si>
  <si>
    <t>md.sohail1987@gmail.com</t>
  </si>
  <si>
    <t>91 9004526414</t>
  </si>
  <si>
    <t>q-con Qatar</t>
  </si>
  <si>
    <t>G.D. COLLAGE</t>
  </si>
  <si>
    <t>09-01-18 13:16:08</t>
  </si>
  <si>
    <t>13-07-18 13:31:14</t>
  </si>
  <si>
    <t>PRASHANT A. SALVI</t>
  </si>
  <si>
    <t>salviprashant1988@gmail.com</t>
  </si>
  <si>
    <t>91 9773295190</t>
  </si>
  <si>
    <t xml:space="preserve">Anntect Offshore </t>
  </si>
  <si>
    <t>ONGC</t>
  </si>
  <si>
    <t>Abhinav Technical Institute Thane Division</t>
  </si>
  <si>
    <t>08-01-18 13:16:50</t>
  </si>
  <si>
    <t>28-08-18 16:24:19</t>
  </si>
  <si>
    <t>Pratyush Kayande</t>
  </si>
  <si>
    <t>09 Oct 1995</t>
  </si>
  <si>
    <t>pratyush.kayande@gmail.com</t>
  </si>
  <si>
    <t>91 8928420803</t>
  </si>
  <si>
    <t>G H RAISONI COLLEGE OF ENGINEERING</t>
  </si>
  <si>
    <t>02-02-18 11:58:40</t>
  </si>
  <si>
    <t>24-07-18 10:25:32</t>
  </si>
  <si>
    <t>Pooja Patil</t>
  </si>
  <si>
    <t>03 Dec 1991</t>
  </si>
  <si>
    <t>pooja_s_patil@yahoo.co.in</t>
  </si>
  <si>
    <t>91 9619416140</t>
  </si>
  <si>
    <t>welingkars institute of management studies</t>
  </si>
  <si>
    <t>18-04-18 21:31:55</t>
  </si>
  <si>
    <t>08-06-18 23:18:03</t>
  </si>
  <si>
    <t>Sachin Churi.</t>
  </si>
  <si>
    <t>churi_sachin20@yahoo.co.in</t>
  </si>
  <si>
    <t>91 8879552909</t>
  </si>
  <si>
    <t xml:space="preserve"> M/s. JAY ENGINEERS.</t>
  </si>
  <si>
    <t>Marathwada Institute of Technology College of Engg.</t>
  </si>
  <si>
    <t>13-05-18 21:18:17</t>
  </si>
  <si>
    <t>07-09-18 11:05:53</t>
  </si>
  <si>
    <t>Maazid Khan</t>
  </si>
  <si>
    <t>06 Jul 1980</t>
  </si>
  <si>
    <t>khanmaazid03@gmail.com</t>
  </si>
  <si>
    <t>91 7558225926</t>
  </si>
  <si>
    <t>Nokia India</t>
  </si>
  <si>
    <t>Svkt</t>
  </si>
  <si>
    <t>08-04-18 09:44:23</t>
  </si>
  <si>
    <t>25-04-18 13:45:18</t>
  </si>
  <si>
    <t>Asad Mulla</t>
  </si>
  <si>
    <t>mullaasad@gmail.com</t>
  </si>
  <si>
    <t>91 9930973306</t>
  </si>
  <si>
    <t>All India, Hyderabad, Thane, Mumbai City</t>
  </si>
  <si>
    <t>Regional Manager - Middle East</t>
  </si>
  <si>
    <t>Power Additives</t>
  </si>
  <si>
    <t>PUNE</t>
  </si>
  <si>
    <t>09-06-18 16:17:02</t>
  </si>
  <si>
    <t>11-06-18 13:25:40</t>
  </si>
  <si>
    <t xml:space="preserve">arshitabrez </t>
  </si>
  <si>
    <t>arshianu@gmail.com</t>
  </si>
  <si>
    <t>91 9699163613</t>
  </si>
  <si>
    <t>ThinPC Technology Pvt. Ltd</t>
  </si>
  <si>
    <t>Institute of International Business &amp; Research</t>
  </si>
  <si>
    <t>30-12-17 17:13:36</t>
  </si>
  <si>
    <t>14-03-18 11:45:11</t>
  </si>
  <si>
    <t>SAHIL TICKOO</t>
  </si>
  <si>
    <t>14 Mar 1994</t>
  </si>
  <si>
    <t>sahiltickoo91@gmail.com</t>
  </si>
  <si>
    <t>91 8692868944</t>
  </si>
  <si>
    <t>Saraswati College Of Engineering</t>
  </si>
  <si>
    <t>19-03-18 15:53:49</t>
  </si>
  <si>
    <t>14-08-18 09:50:16</t>
  </si>
  <si>
    <t xml:space="preserve">deepu joseph </t>
  </si>
  <si>
    <t>05 Jul 1982</t>
  </si>
  <si>
    <t>deepukerala8@yahoo.com</t>
  </si>
  <si>
    <t>91 9920357053</t>
  </si>
  <si>
    <t>13 Yrs 7 Months</t>
  </si>
  <si>
    <t>Ramses Hilton</t>
  </si>
  <si>
    <t>I I M S COCHIN</t>
  </si>
  <si>
    <t>25-09-17 10:47:26</t>
  </si>
  <si>
    <t>27-08-18 15:18:14</t>
  </si>
  <si>
    <t>Pritesh Jadhav</t>
  </si>
  <si>
    <t>priteshjadhav83@gmail.com</t>
  </si>
  <si>
    <t>91 9833803067</t>
  </si>
  <si>
    <t>Statutory and treasury accountant</t>
  </si>
  <si>
    <t>Black And Veatch private limited</t>
  </si>
  <si>
    <t>03-07-18 18:30:36</t>
  </si>
  <si>
    <t>04-07-18 11:57:28</t>
  </si>
  <si>
    <t>Swapnil shantaram kadam</t>
  </si>
  <si>
    <t>swapnilskadam04@gmail.com</t>
  </si>
  <si>
    <t>91 9773353647</t>
  </si>
  <si>
    <t>Vfx paint artist</t>
  </si>
  <si>
    <t>15-05-18 17:52:46</t>
  </si>
  <si>
    <t>krishna gopal</t>
  </si>
  <si>
    <t>eyestoyou@gmail.com</t>
  </si>
  <si>
    <t>91 9970010393</t>
  </si>
  <si>
    <t>Process Engineer</t>
  </si>
  <si>
    <t>Saudi Industrialisation company</t>
  </si>
  <si>
    <t>government engineering college calicut</t>
  </si>
  <si>
    <t>29-01-18 14:23:58</t>
  </si>
  <si>
    <t>08-05-18 11:44:54</t>
  </si>
  <si>
    <t>Avinash Laxman Shinde</t>
  </si>
  <si>
    <t>28 May 1990</t>
  </si>
  <si>
    <t>shindeavinash28@gmail.com</t>
  </si>
  <si>
    <t>91 8898260228</t>
  </si>
  <si>
    <t>University Of Mumbai</t>
  </si>
  <si>
    <t>19-07-18 11:55:17</t>
  </si>
  <si>
    <t>26-07-18 15:24:06</t>
  </si>
  <si>
    <t>Iqbal Ex navy fire fighting training instructor</t>
  </si>
  <si>
    <t>iqbalkhannavy@yahoo.co.in</t>
  </si>
  <si>
    <t>91 9447666942</t>
  </si>
  <si>
    <t>Rs. 6.90 Lacs</t>
  </si>
  <si>
    <t>fire fighting training administrative and safety audit</t>
  </si>
  <si>
    <t>indian nav</t>
  </si>
  <si>
    <t>Graduate from indian navy</t>
  </si>
  <si>
    <t>04-05-18 10:27:07</t>
  </si>
  <si>
    <t>manuoommen samuel</t>
  </si>
  <si>
    <t>16 May 1972</t>
  </si>
  <si>
    <t>manuos2007@gmail.com</t>
  </si>
  <si>
    <t>91 9820622217</t>
  </si>
  <si>
    <t>United Arab Emirates, Bahrain, Mumbai City</t>
  </si>
  <si>
    <t>chief finanacial offier</t>
  </si>
  <si>
    <t>akbar travels online.com</t>
  </si>
  <si>
    <t>06-06-18 10:52:13</t>
  </si>
  <si>
    <t>07-06-18 23:17:02</t>
  </si>
  <si>
    <t>Pravin Eknath Pawar</t>
  </si>
  <si>
    <t>ppravin353@gmail.com</t>
  </si>
  <si>
    <t>91 9545122812</t>
  </si>
  <si>
    <t>4 Yrs 11 Months</t>
  </si>
  <si>
    <t>Sr.Instrument Technician</t>
  </si>
  <si>
    <t>RGPPL, LNG Re-gasification Facility.</t>
  </si>
  <si>
    <t xml:space="preserve">  Dr.BATU. University</t>
  </si>
  <si>
    <t>09-07-18 12:22:57</t>
  </si>
  <si>
    <t>10-07-18 16:17:43</t>
  </si>
  <si>
    <t>NITIN MANE</t>
  </si>
  <si>
    <t>nitin82mane@gmail.com</t>
  </si>
  <si>
    <t>91 9833895432</t>
  </si>
  <si>
    <t>SENIOR BRANCH MA2</t>
  </si>
  <si>
    <t>WESTERN INDIA TRANSPORT FINANCE CO P LTD</t>
  </si>
  <si>
    <t>MUMBAI UNIVERSITY</t>
  </si>
  <si>
    <t>20-08-18 19:49:03</t>
  </si>
  <si>
    <t>24-08-18 10:22:01</t>
  </si>
  <si>
    <t>Srikanth Singh  Chouhan</t>
  </si>
  <si>
    <t>ch.singh48@gmail.com</t>
  </si>
  <si>
    <t>91 9710872692</t>
  </si>
  <si>
    <t>All India, Chennai, Hyderabad, Mumbai City</t>
  </si>
  <si>
    <t>Project Consultant</t>
  </si>
  <si>
    <t>Nadhi Information Technologies Pvt. Ltd</t>
  </si>
  <si>
    <t>National Institute of Construction Management and Research</t>
  </si>
  <si>
    <t>19-08-18 11:23:22</t>
  </si>
  <si>
    <t>RAJAT GULATI</t>
  </si>
  <si>
    <t>gulati.rajat@yahoo.com</t>
  </si>
  <si>
    <t>91 9899016903</t>
  </si>
  <si>
    <t>Assistant Professor</t>
  </si>
  <si>
    <t>Ishan Institute of Management &amp; Technology</t>
  </si>
  <si>
    <t xml:space="preserve"> IILM Lodhi Road </t>
  </si>
  <si>
    <t>04-01-16 15:38:27</t>
  </si>
  <si>
    <t>10-03-18 11:05:15</t>
  </si>
  <si>
    <t xml:space="preserve">Annushree </t>
  </si>
  <si>
    <t>annushree2196@gmail.com</t>
  </si>
  <si>
    <t>91 7506303567</t>
  </si>
  <si>
    <t>Bachelors in Banking &amp; Insurance</t>
  </si>
  <si>
    <t>Jai Hind College</t>
  </si>
  <si>
    <t>12-02-18 14:14:23</t>
  </si>
  <si>
    <t>09-04-18 14:18:44</t>
  </si>
  <si>
    <t>Vazidali Kazi</t>
  </si>
  <si>
    <t>01 Oct 1979</t>
  </si>
  <si>
    <t>vazidkazi@gmail.com</t>
  </si>
  <si>
    <t>91 9324816431</t>
  </si>
  <si>
    <t>Ericsson Global India Services</t>
  </si>
  <si>
    <t>16-07-18 16:04:50</t>
  </si>
  <si>
    <t>Swapnil Vaman Ghadge</t>
  </si>
  <si>
    <t>11 Oct 1989</t>
  </si>
  <si>
    <t>swapnil.ghadge89@hotmail.com</t>
  </si>
  <si>
    <t>91 9820879113</t>
  </si>
  <si>
    <t>Bangalore, Navi Mumbai, Thane, Pune, Mumbai City</t>
  </si>
  <si>
    <t>Group Supervisor-Supply chain</t>
  </si>
  <si>
    <t>Air Works India Engg. Pvt. Ltd.</t>
  </si>
  <si>
    <t>ICFAI Hyderabad</t>
  </si>
  <si>
    <t>27-03-18 14:17:26</t>
  </si>
  <si>
    <t>28-03-18 15:59:51</t>
  </si>
  <si>
    <t>Aslam Moinuddin</t>
  </si>
  <si>
    <t>mohiuddin.aslam84@gmail.com</t>
  </si>
  <si>
    <t>91 9821630694</t>
  </si>
  <si>
    <t>Warehouse and logistics supervisor</t>
  </si>
  <si>
    <t>Mansons International Pvt Ltd</t>
  </si>
  <si>
    <t>09-02-18 21:20:24</t>
  </si>
  <si>
    <t>30-08-18 10:13:42</t>
  </si>
  <si>
    <t xml:space="preserve">Sumesh Ramankutty </t>
  </si>
  <si>
    <t>10 Sep 1982</t>
  </si>
  <si>
    <t>ramansumesh15@gmail.com</t>
  </si>
  <si>
    <t>91 9769558941</t>
  </si>
  <si>
    <t>Bangalore, Chennai, Kochi, Hyderabad, Pune, Mumbai City</t>
  </si>
  <si>
    <t>SBI BANK</t>
  </si>
  <si>
    <t>VIT university</t>
  </si>
  <si>
    <t>31-03-18 09:04:50</t>
  </si>
  <si>
    <t>18-04-18 09:19:47</t>
  </si>
  <si>
    <t xml:space="preserve">GAURAV TARWARKAR </t>
  </si>
  <si>
    <t>05 Jan 1988</t>
  </si>
  <si>
    <t>gauravtarwarkar88@gmail.com</t>
  </si>
  <si>
    <t>91 9930903339</t>
  </si>
  <si>
    <t>Pune, Mumbai City, Nagpur</t>
  </si>
  <si>
    <t>CANARA Bank</t>
  </si>
  <si>
    <t>Inst. of Company Secretaries of India</t>
  </si>
  <si>
    <t>27-06-18 16:24:43</t>
  </si>
  <si>
    <t>09-07-18 14:33:48</t>
  </si>
  <si>
    <t>surekha shewale</t>
  </si>
  <si>
    <t>shewalesur@gmail.com</t>
  </si>
  <si>
    <t>91 7038658878</t>
  </si>
  <si>
    <t>senior sales coordinator</t>
  </si>
  <si>
    <t>print electronics</t>
  </si>
  <si>
    <t>Centre distance</t>
  </si>
  <si>
    <t>10-08-18 19:31:36</t>
  </si>
  <si>
    <t>22-08-18 13:40:53</t>
  </si>
  <si>
    <t>Harihara Padhy</t>
  </si>
  <si>
    <t>15 Apr 1986</t>
  </si>
  <si>
    <t>padhy.harihara@gmail.com</t>
  </si>
  <si>
    <t>91 9029090027</t>
  </si>
  <si>
    <t>Branch Sales Manager</t>
  </si>
  <si>
    <t>Suryoday Small Finance Bank Ltd</t>
  </si>
  <si>
    <t>19-02-18 22:01:34</t>
  </si>
  <si>
    <t>16-04-18 15:13:05</t>
  </si>
  <si>
    <t>Tushar Pawar</t>
  </si>
  <si>
    <t>tusharilo@gmail.com</t>
  </si>
  <si>
    <t>91 8921930603</t>
  </si>
  <si>
    <t>Real Time Monitoring Specialist</t>
  </si>
  <si>
    <t>Halliburton</t>
  </si>
  <si>
    <t>Wadia College, Pune</t>
  </si>
  <si>
    <t>09-04-18 16:38:27</t>
  </si>
  <si>
    <t>03-09-18 16:26:25</t>
  </si>
  <si>
    <t>Hrushikesh Kulkarni</t>
  </si>
  <si>
    <t>er.hrushikeshkulkarni@gmail.com</t>
  </si>
  <si>
    <t>91 9004946881</t>
  </si>
  <si>
    <t>SS&amp;C GlobeOp Financial Services India Private Limited</t>
  </si>
  <si>
    <t>25-05-18 23:27:42</t>
  </si>
  <si>
    <t>Paramjeet Jassal</t>
  </si>
  <si>
    <t>04 Nov 1972</t>
  </si>
  <si>
    <t>paramjeetsinghjassal@yahoo.com</t>
  </si>
  <si>
    <t>91 9167214013</t>
  </si>
  <si>
    <t>All India, Jamnagar, Bhuj, Mumbai City, Dharamsala, Dalhousie, Delhi, Kandla, Other Himachal Pradesh</t>
  </si>
  <si>
    <t>Manager `Diving Operations'</t>
  </si>
  <si>
    <t>USCL, Mumbai</t>
  </si>
  <si>
    <t>16-05-16 13:10:10</t>
  </si>
  <si>
    <t>02-09-18 17:05:00</t>
  </si>
  <si>
    <t>Satyendra Maurya</t>
  </si>
  <si>
    <t>12 May 1985</t>
  </si>
  <si>
    <t>satyendrakiet@gmail.com</t>
  </si>
  <si>
    <t>91 9008082326</t>
  </si>
  <si>
    <t>Metro Rail Signalling Engineer</t>
  </si>
  <si>
    <t>BMRCL</t>
  </si>
  <si>
    <t>KIET</t>
  </si>
  <si>
    <t>05-01-18 15:04:31</t>
  </si>
  <si>
    <t>16-03-18 10:13:13</t>
  </si>
  <si>
    <t>Richelle Dsouza</t>
  </si>
  <si>
    <t>richelle.dancingdoll@gmail.com</t>
  </si>
  <si>
    <t>91 9819287116</t>
  </si>
  <si>
    <t>Diva Celebrations</t>
  </si>
  <si>
    <t>St. Xavier's College</t>
  </si>
  <si>
    <t>10-02-18 12:35:23</t>
  </si>
  <si>
    <t>14-05-18 18:52:04</t>
  </si>
  <si>
    <t>Aman Bhatia</t>
  </si>
  <si>
    <t>aman.bhatia93@gmail.com</t>
  </si>
  <si>
    <t>91 9987695109</t>
  </si>
  <si>
    <t>Raj Corporation</t>
  </si>
  <si>
    <t>G.N.Khalsa Coolege</t>
  </si>
  <si>
    <t>01-09-18 07:55:40</t>
  </si>
  <si>
    <t>Devi Mayadevi</t>
  </si>
  <si>
    <t>borinhols@gmail.com</t>
  </si>
  <si>
    <t>91 9892724327</t>
  </si>
  <si>
    <t>HOSMAC India Pvt. Ltd</t>
  </si>
  <si>
    <t>Mumbai</t>
  </si>
  <si>
    <t>26-06-18 15:16:35</t>
  </si>
  <si>
    <t>03-08-18 18:30:12</t>
  </si>
  <si>
    <t>Dishant Babel</t>
  </si>
  <si>
    <t>d.babel@itm.edu</t>
  </si>
  <si>
    <t>91 9892116872</t>
  </si>
  <si>
    <t>16-02-18 15:50:15</t>
  </si>
  <si>
    <t>02-09-18 10:15:08</t>
  </si>
  <si>
    <t>Naresh Kataria</t>
  </si>
  <si>
    <t>13 Apr 1977</t>
  </si>
  <si>
    <t>arian772001@yahoo.com</t>
  </si>
  <si>
    <t>91 9920173755</t>
  </si>
  <si>
    <t>Denmark, Netherlands, Canada, Pune, Sweden, Mumbai City, Switzerland, Germany, Russia, Belgium</t>
  </si>
  <si>
    <t>Manager-Fund Accounting Team</t>
  </si>
  <si>
    <t>Viteos Capital Markets</t>
  </si>
  <si>
    <t>Welingkars Institute of Management</t>
  </si>
  <si>
    <t>04-08-18 15:09:00</t>
  </si>
  <si>
    <t>06-08-18 11:34:56</t>
  </si>
  <si>
    <t>SAURABH SAHU</t>
  </si>
  <si>
    <t>saurabhamdiitd@gmail.com</t>
  </si>
  <si>
    <t>91 8424041628</t>
  </si>
  <si>
    <t>31-08-18 21:26:36</t>
  </si>
  <si>
    <t>06-09-18 15:43:26</t>
  </si>
  <si>
    <t>Priyanka Koltharkar</t>
  </si>
  <si>
    <t>20 Feb 1984</t>
  </si>
  <si>
    <t>priyanka_9323@yahoo.co.in</t>
  </si>
  <si>
    <t>91 9833241686</t>
  </si>
  <si>
    <t>Dealer options and derivatives</t>
  </si>
  <si>
    <t>Broking</t>
  </si>
  <si>
    <t>KIFS trade capital</t>
  </si>
  <si>
    <t>business administration in finance	Atharva school of business</t>
  </si>
  <si>
    <t>17-08-18 18:45:07</t>
  </si>
  <si>
    <t>24-08-18 10:53:28</t>
  </si>
  <si>
    <t>shraddha Mandavkar</t>
  </si>
  <si>
    <t>25 Jul 1991</t>
  </si>
  <si>
    <t>mandavkarshraddha@gmail.com</t>
  </si>
  <si>
    <t>91 9768091870</t>
  </si>
  <si>
    <t>Powerpoint presentation Specialist</t>
  </si>
  <si>
    <t>IMS Health Information and Consulting Services India Pvt Ltd</t>
  </si>
  <si>
    <t>valia college andheri west mumbai</t>
  </si>
  <si>
    <t>15-07-18 18:17:03</t>
  </si>
  <si>
    <t>18-08-18 12:23:05</t>
  </si>
  <si>
    <t xml:space="preserve">VIGNESH KINI </t>
  </si>
  <si>
    <t>poojaganeshbhat@gmail.com</t>
  </si>
  <si>
    <t>VISAT ,KERALA</t>
  </si>
  <si>
    <t>13-03-18 12:55:30</t>
  </si>
  <si>
    <t>17-03-18 15:38:18</t>
  </si>
  <si>
    <t>Moncy varghese</t>
  </si>
  <si>
    <t>moncyvarghese1994@gmail.com</t>
  </si>
  <si>
    <t>91 9605812615</t>
  </si>
  <si>
    <t>Musaliar college of engineering and technology</t>
  </si>
  <si>
    <t>15-06-18 10:16:43</t>
  </si>
  <si>
    <t>Martin Luther</t>
  </si>
  <si>
    <t>07 Dec 1976</t>
  </si>
  <si>
    <t>gmartinluther@gmail.com</t>
  </si>
  <si>
    <t>91 9167635305</t>
  </si>
  <si>
    <t>Head - HR, IR &amp; Admin</t>
  </si>
  <si>
    <t>TEMA India Ltd.</t>
  </si>
  <si>
    <t>Welingkars</t>
  </si>
  <si>
    <t>22-03-18 10:30:37</t>
  </si>
  <si>
    <t>10-04-18 11:50:36</t>
  </si>
  <si>
    <t>RAVINDRA ASHIT</t>
  </si>
  <si>
    <t>ravindraashit@yahoo.in</t>
  </si>
  <si>
    <t>91 9030566610</t>
  </si>
  <si>
    <t>Jaipur, Mumbai City</t>
  </si>
  <si>
    <t>Sr. Manager Export</t>
  </si>
  <si>
    <t>prime urban development india limited</t>
  </si>
  <si>
    <t>College of Engineering &amp; Technology</t>
  </si>
  <si>
    <t>28-04-18 21:04:36</t>
  </si>
  <si>
    <t>11-08-18 18:56:01</t>
  </si>
  <si>
    <t>Dilip Kumar Chourasiya</t>
  </si>
  <si>
    <t>international3703@gmail.com</t>
  </si>
  <si>
    <t>91 9819971145</t>
  </si>
  <si>
    <t>Electrician</t>
  </si>
  <si>
    <t>YMCA</t>
  </si>
  <si>
    <t>purvanchal university</t>
  </si>
  <si>
    <t>29-08-18 02:02:25</t>
  </si>
  <si>
    <t>29-08-18 10:58:02</t>
  </si>
  <si>
    <t xml:space="preserve">MANISH BHATIA </t>
  </si>
  <si>
    <t>19 Jan 1976</t>
  </si>
  <si>
    <t>manishbhatia100@yahoo.com</t>
  </si>
  <si>
    <t>91 9920226927</t>
  </si>
  <si>
    <t>Rs. 23.50 Lacs</t>
  </si>
  <si>
    <t>Vice President - Dealer Funding Sales</t>
  </si>
  <si>
    <t>WELINGKARS' INSTITUTE OF MANAGEMENT</t>
  </si>
  <si>
    <t>05-01-18 11:53:06</t>
  </si>
  <si>
    <t>21-05-18 15:13:55</t>
  </si>
  <si>
    <t>Sudhir Khairnar</t>
  </si>
  <si>
    <t>30 Dec 1989</t>
  </si>
  <si>
    <t>sudhir.khairnar@gmail.com</t>
  </si>
  <si>
    <t>91 7738786404</t>
  </si>
  <si>
    <t>senior production engineer</t>
  </si>
  <si>
    <t>Government Polytechnic Jalgaon</t>
  </si>
  <si>
    <t>28-08-18 10:46:34</t>
  </si>
  <si>
    <t>05-09-18 16:37:06</t>
  </si>
  <si>
    <t>Safha Shaikh</t>
  </si>
  <si>
    <t>safashaikh92@yahoo.com</t>
  </si>
  <si>
    <t>91 9821920247</t>
  </si>
  <si>
    <t>FRONT OFFICE EXECUTIVE</t>
  </si>
  <si>
    <t>HEALTH PRIME SERVICES</t>
  </si>
  <si>
    <t>12-06-18 20:33:42</t>
  </si>
  <si>
    <t>13-06-18 17:02:10</t>
  </si>
  <si>
    <t>Bhal Chandra</t>
  </si>
  <si>
    <t>11 Dec 1983</t>
  </si>
  <si>
    <t>bhalchandra2565@gmail.com</t>
  </si>
  <si>
    <t>91 9001177893</t>
  </si>
  <si>
    <t>Product Change Management</t>
  </si>
  <si>
    <t>Tata Motors Ltd</t>
  </si>
  <si>
    <t>National Institute of Industrial Engineering, Mumbai</t>
  </si>
  <si>
    <t>26-04-18 21:30:56</t>
  </si>
  <si>
    <t>27-04-18 11:31:59</t>
  </si>
  <si>
    <t xml:space="preserve">Naseemuddeen </t>
  </si>
  <si>
    <t>naseem601@gmail.com</t>
  </si>
  <si>
    <t>91 9447373418</t>
  </si>
  <si>
    <t>Other Lakshadweep</t>
  </si>
  <si>
    <t>OS</t>
  </si>
  <si>
    <t>UNISHIP</t>
  </si>
  <si>
    <t>Diploma in marine mechanical engineer</t>
  </si>
  <si>
    <t>16-03-18 18:14:40</t>
  </si>
  <si>
    <t xml:space="preserve">parvez </t>
  </si>
  <si>
    <t>prvzshaikh@gmail.com</t>
  </si>
  <si>
    <t>91 9004956397</t>
  </si>
  <si>
    <t>Manager Controls</t>
  </si>
  <si>
    <t>FAASOS FOOD SERVICES PVT LTD</t>
  </si>
  <si>
    <t>26-02-18 14:35:41</t>
  </si>
  <si>
    <t>03-07-18 11:24:32</t>
  </si>
  <si>
    <t>DILIPKUMAR MANDAL</t>
  </si>
  <si>
    <t>15 Jul 1974</t>
  </si>
  <si>
    <t>mondal.dilip@rediffmail.com</t>
  </si>
  <si>
    <t>91 9408708454</t>
  </si>
  <si>
    <t>19 Yrs 10 Months</t>
  </si>
  <si>
    <t>Rs. 14.70 Lacs</t>
  </si>
  <si>
    <t>BRIDGE CONSTRUCTION</t>
  </si>
  <si>
    <t>MBC Institute of Engineering &amp; Technology</t>
  </si>
  <si>
    <t>17-11-17 21:37:10</t>
  </si>
  <si>
    <t>05-09-18 10:18:20</t>
  </si>
  <si>
    <t>Soumya. Nair</t>
  </si>
  <si>
    <t>soumya_nair84@rediffmail.com</t>
  </si>
  <si>
    <t>91 9022722542</t>
  </si>
  <si>
    <t>Counter Assistant</t>
  </si>
  <si>
    <t>Buena Vista Travels Pvt. Ltd</t>
  </si>
  <si>
    <t>Avalon Aviation Academy</t>
  </si>
  <si>
    <t>19-01-16 15:30:37</t>
  </si>
  <si>
    <t>15-03-18 15:27:11</t>
  </si>
  <si>
    <t xml:space="preserve">Sagar Kabugade </t>
  </si>
  <si>
    <t>14 Jul 1995</t>
  </si>
  <si>
    <t>sagarkabugade130@gmail.com</t>
  </si>
  <si>
    <t>91 9594653608</t>
  </si>
  <si>
    <t>VES</t>
  </si>
  <si>
    <t>23-02-18 17:48:23</t>
  </si>
  <si>
    <t>10-03-18 10:55:55</t>
  </si>
  <si>
    <t>Bhuvneshwari Aiyer</t>
  </si>
  <si>
    <t>iyerradika@gmail.com</t>
  </si>
  <si>
    <t>91 8793034672</t>
  </si>
  <si>
    <t>Rs. 30.50 Lacs</t>
  </si>
  <si>
    <t>Market Research Analyst</t>
  </si>
  <si>
    <t>WNS Global Services</t>
  </si>
  <si>
    <t>St Peters Jr College</t>
  </si>
  <si>
    <t>31-08-18 23:22:42</t>
  </si>
  <si>
    <t>01-09-18 13:01:10</t>
  </si>
  <si>
    <t>PRATIK CHOHAN</t>
  </si>
  <si>
    <t>pchohan@gmail.com</t>
  </si>
  <si>
    <t>91 9819660615</t>
  </si>
  <si>
    <t>Rs. 19.40 Lacs</t>
  </si>
  <si>
    <t>Assistant Vice President  IBMO Client Valuations &amp; Audit Requests</t>
  </si>
  <si>
    <t>Mumbai Education Trust, Bandra</t>
  </si>
  <si>
    <t>17-09-17 13:30:27</t>
  </si>
  <si>
    <t>23-03-18 12:57:53</t>
  </si>
  <si>
    <t>Rasha Qureshi</t>
  </si>
  <si>
    <t>rashaqureshi@gmail.com</t>
  </si>
  <si>
    <t>91 7208786208</t>
  </si>
  <si>
    <t>Drawing</t>
  </si>
  <si>
    <t>Sk college of science and commerce</t>
  </si>
  <si>
    <t>09-05-18 13:25:04</t>
  </si>
  <si>
    <t>Pramod Jadhav</t>
  </si>
  <si>
    <t>30 Dec 1982</t>
  </si>
  <si>
    <t>jadhav_pramod1982@yahoo.co.in</t>
  </si>
  <si>
    <t>91 9769401189</t>
  </si>
  <si>
    <t>corporate SHEQ Manager</t>
  </si>
  <si>
    <t>Azelis</t>
  </si>
  <si>
    <t>17-08-18 20:28:00</t>
  </si>
  <si>
    <t>MANOJ KUMAR</t>
  </si>
  <si>
    <t>02 Oct 1982</t>
  </si>
  <si>
    <t>manojtanish10@gmail.com</t>
  </si>
  <si>
    <t>91 9021714050</t>
  </si>
  <si>
    <t>Security Manager/ Officer</t>
  </si>
  <si>
    <t>MAHINDRA SANYO SPECIAL STEEL PRIVATE LIMITED</t>
  </si>
  <si>
    <t>Political Science</t>
  </si>
  <si>
    <t>22-08-18 15:51:54</t>
  </si>
  <si>
    <t>Kajal Gupta</t>
  </si>
  <si>
    <t>06 May 1995</t>
  </si>
  <si>
    <t>kajalgupta1976@gmail.com</t>
  </si>
  <si>
    <t>91 8979121212</t>
  </si>
  <si>
    <t>Rs. 50.25 Lacs</t>
  </si>
  <si>
    <t>Marketing Research</t>
  </si>
  <si>
    <t>Sony Pictures Networks Pvt Ltd</t>
  </si>
  <si>
    <t>Aditya institute of Management studies and research Mumbai</t>
  </si>
  <si>
    <t>10-08-18 19:39:53</t>
  </si>
  <si>
    <t>03-09-18 14:50:44</t>
  </si>
  <si>
    <t xml:space="preserve">Manan Mehta </t>
  </si>
  <si>
    <t>13 May 1989</t>
  </si>
  <si>
    <t>mehtamanan89@gmail.com</t>
  </si>
  <si>
    <t>91 9821035686</t>
  </si>
  <si>
    <t>Pune, Mumbai City, Surat, Ahmedabad</t>
  </si>
  <si>
    <t>Asst. Manager, Fund Admin</t>
  </si>
  <si>
    <t>DSP BlackRock Investment Managers Pvt. Ltd</t>
  </si>
  <si>
    <t>VESIMSR</t>
  </si>
  <si>
    <t>21-08-18 15:33:26</t>
  </si>
  <si>
    <t>Vanessa Sequiera</t>
  </si>
  <si>
    <t>vanessasequiera@yahoo.in</t>
  </si>
  <si>
    <t>91 9702659177</t>
  </si>
  <si>
    <t>Manager CRM</t>
  </si>
  <si>
    <t>Prime Logistics Service</t>
  </si>
  <si>
    <t>Sikkim Manipal University - Distance Education</t>
  </si>
  <si>
    <t>03-09-18 22:54:09</t>
  </si>
  <si>
    <t>GOKUL NAIR M S</t>
  </si>
  <si>
    <t>gokulnair11794@gmail.com</t>
  </si>
  <si>
    <t>91 8593868985</t>
  </si>
  <si>
    <t>28-02-18 10:13:40</t>
  </si>
  <si>
    <t>22-04-18 12:28:26</t>
  </si>
  <si>
    <t>Rethish Varma</t>
  </si>
  <si>
    <t>20 Sep 1983</t>
  </si>
  <si>
    <t>varmarethish@gmail.com</t>
  </si>
  <si>
    <t>91 9886400744</t>
  </si>
  <si>
    <t>All India, Bangalore, Kochi, Pune, Thiruvanananthapuram, Mumbai City</t>
  </si>
  <si>
    <t>Research Lead</t>
  </si>
  <si>
    <t>William O'Neil India Pvt Ltd</t>
  </si>
  <si>
    <t>Bharathiar University</t>
  </si>
  <si>
    <t>01-03-18 15:01:36</t>
  </si>
  <si>
    <t>06-04-18 13:36:24</t>
  </si>
  <si>
    <t>RajkumarB Patel</t>
  </si>
  <si>
    <t>11 Feb 1980</t>
  </si>
  <si>
    <t>rajkumar143to@gmail.com</t>
  </si>
  <si>
    <t>91 9730683343</t>
  </si>
  <si>
    <t>Anntech Offshore</t>
  </si>
  <si>
    <t>MGM</t>
  </si>
  <si>
    <t>24-03-18 13:54:20</t>
  </si>
  <si>
    <t>02-05-18 12:58:04</t>
  </si>
  <si>
    <t>Dipti Sheth</t>
  </si>
  <si>
    <t>diptisheth.17@gmail.com</t>
  </si>
  <si>
    <t>91 9619574952</t>
  </si>
  <si>
    <t>K.J.SOMAIYA COLLEGE OF ENGINEERING</t>
  </si>
  <si>
    <t>05-06-18 16:19:54</t>
  </si>
  <si>
    <t>Roseline Mascarenhas</t>
  </si>
  <si>
    <t>nirose3@gmail.com</t>
  </si>
  <si>
    <t>91 9769570212</t>
  </si>
  <si>
    <t>Sr Client Servicing &amp; Marketing</t>
  </si>
  <si>
    <t>J B Boda Insurance Brokers Pvt Ltd.</t>
  </si>
  <si>
    <t>St Andrew College</t>
  </si>
  <si>
    <t>02-05-18 13:21:58</t>
  </si>
  <si>
    <t>16-05-18 16:19:54</t>
  </si>
  <si>
    <t>Pallavi Taywade</t>
  </si>
  <si>
    <t>pallavitaywade@ymail.com</t>
  </si>
  <si>
    <t>91 7028599858</t>
  </si>
  <si>
    <t>Structural Engineer</t>
  </si>
  <si>
    <t>Glass Faade Contractor</t>
  </si>
  <si>
    <t>MIT, Pune University</t>
  </si>
  <si>
    <t>06-09-18 12:13:17</t>
  </si>
  <si>
    <t xml:space="preserve">Arjun Abhimanyu Dhuri </t>
  </si>
  <si>
    <t>11 Jul 1985</t>
  </si>
  <si>
    <t>arjundhuri123@gmail.com</t>
  </si>
  <si>
    <t>91 9773852364</t>
  </si>
  <si>
    <t>Site Instructor</t>
  </si>
  <si>
    <t>PERI India Pvt Ltd</t>
  </si>
  <si>
    <t>Electric (MCVC</t>
  </si>
  <si>
    <t>Gogate college (vengurla)</t>
  </si>
  <si>
    <t>12-03-18 14:40:41</t>
  </si>
  <si>
    <t>20-06-18 12:08:43</t>
  </si>
  <si>
    <t>Manas Pattanaik</t>
  </si>
  <si>
    <t>25 May 1977</t>
  </si>
  <si>
    <t>manas4818@yahoo.in</t>
  </si>
  <si>
    <t>91 8007094655</t>
  </si>
  <si>
    <t>Bangalore, Kuwait, Chennai, Hyderabad, Kolkata, Gurugram, Pune, Mumbai City, Mangalore, Vasco da Gama</t>
  </si>
  <si>
    <t>Facility Manager</t>
  </si>
  <si>
    <t>A2Z</t>
  </si>
  <si>
    <t>Punjab Technical University</t>
  </si>
  <si>
    <t>25-02-16 11:43:34</t>
  </si>
  <si>
    <t>11-04-18 10:35:40</t>
  </si>
  <si>
    <t>Md Mobasshir Anwer</t>
  </si>
  <si>
    <t>20 Dec 1993</t>
  </si>
  <si>
    <t>anwermobasshir@gmail.com</t>
  </si>
  <si>
    <t>91 7903588819</t>
  </si>
  <si>
    <t>Mechanical Foreman</t>
  </si>
  <si>
    <t>Petron Engineering Construction Limited</t>
  </si>
  <si>
    <t>Bihar Goverenment College Bhagalpur</t>
  </si>
  <si>
    <t>23-05-18 11:56:37</t>
  </si>
  <si>
    <t>31-08-18 17:37:39</t>
  </si>
  <si>
    <t>Top Bahadur soti</t>
  </si>
  <si>
    <t>sotimagar2042@gmail.com</t>
  </si>
  <si>
    <t>91 7045734176</t>
  </si>
  <si>
    <t>Chef de partie</t>
  </si>
  <si>
    <t>The Oberoi</t>
  </si>
  <si>
    <t>Organizational</t>
  </si>
  <si>
    <t>Lumbini</t>
  </si>
  <si>
    <t>05-04-18 23:18:01</t>
  </si>
  <si>
    <t>07-04-18 14:51:11</t>
  </si>
  <si>
    <t>Ajinkya Atre</t>
  </si>
  <si>
    <t>atre_ajinkya@yahoo.com</t>
  </si>
  <si>
    <t>91 9920477026</t>
  </si>
  <si>
    <t>Rs. 11.50 Lacs</t>
  </si>
  <si>
    <t>Manager , Credit Dept.</t>
  </si>
  <si>
    <t>Shriram Housing Finance Limited.</t>
  </si>
  <si>
    <t>09-08-18 15:49:40</t>
  </si>
  <si>
    <t>20-08-18 11:07:35</t>
  </si>
  <si>
    <t>Deepali Sonawane</t>
  </si>
  <si>
    <t>14 Nov 1988</t>
  </si>
  <si>
    <t>deepalinsonawane@rediffmail.com</t>
  </si>
  <si>
    <t>91 9969747870</t>
  </si>
  <si>
    <t>Admin Assistant</t>
  </si>
  <si>
    <t>Vikers Cars</t>
  </si>
  <si>
    <t>10-04-18 21:26:32</t>
  </si>
  <si>
    <t>05-06-18 12:12:38</t>
  </si>
  <si>
    <t>MEERA HARIHARASUBRAMANIAM</t>
  </si>
  <si>
    <t>meerhari@gmail.com</t>
  </si>
  <si>
    <t>91 9819162228</t>
  </si>
  <si>
    <t>Rs. 21.50 Lacs</t>
  </si>
  <si>
    <t>MANAGER - RISK &amp; COMPLIANCE</t>
  </si>
  <si>
    <t>JLT INDIA PRIVATE LIMITED</t>
  </si>
  <si>
    <t>01-03-18 22:16:02</t>
  </si>
  <si>
    <t>21-08-18 12:40:12</t>
  </si>
  <si>
    <t>Jayantkumar U</t>
  </si>
  <si>
    <t>08 Sep 1965</t>
  </si>
  <si>
    <t>jayupa2000@gmail.com</t>
  </si>
  <si>
    <t>91 9987049311</t>
  </si>
  <si>
    <t>J K Infra</t>
  </si>
  <si>
    <t>SVRegional college of engineering &amp; technology(REC/NIT)</t>
  </si>
  <si>
    <t>25-04-18 16:43:04</t>
  </si>
  <si>
    <t>04-06-18 15:48:10</t>
  </si>
  <si>
    <t>SHREYAS HARISH PAREKH</t>
  </si>
  <si>
    <t>shreyas.parekh88@gmail.com</t>
  </si>
  <si>
    <t>91 9892786556</t>
  </si>
  <si>
    <t>Max Bupa Health Insurance Co. Ltd</t>
  </si>
  <si>
    <t>10-08-18 18:52:29</t>
  </si>
  <si>
    <t xml:space="preserve">Ayush </t>
  </si>
  <si>
    <t>24 Sep 1996</t>
  </si>
  <si>
    <t>ayured2011@gmail.com</t>
  </si>
  <si>
    <t>91 7247580575</t>
  </si>
  <si>
    <t>Technocrats Institue of Technology &amp; Science</t>
  </si>
  <si>
    <t>16-08-18 16:28:00</t>
  </si>
  <si>
    <t>Pravin Jadhav</t>
  </si>
  <si>
    <t>28 Jul 1989</t>
  </si>
  <si>
    <t>pravin.jadhav421@gmail.com</t>
  </si>
  <si>
    <t>91 9930152757</t>
  </si>
  <si>
    <t>Quality Executive</t>
  </si>
  <si>
    <t>Estern Agro Foods Pvt Ltd. joint venture with Brittania Industries Ltd</t>
  </si>
  <si>
    <t>14-05-18 18:47:03</t>
  </si>
  <si>
    <t>13-08-18 14:26:17</t>
  </si>
  <si>
    <t>OMKAR SANJAY RAUT</t>
  </si>
  <si>
    <t>omkarraut022@gmail.com</t>
  </si>
  <si>
    <t>91 8097693481</t>
  </si>
  <si>
    <t>vikas college of arts, science, and commerce</t>
  </si>
  <si>
    <t>13-02-18 21:02:04</t>
  </si>
  <si>
    <t>08-07-18 22:24:39</t>
  </si>
  <si>
    <t>Gurvinder Singh Bajwa</t>
  </si>
  <si>
    <t>bajwagurvinder1984@gmail.com</t>
  </si>
  <si>
    <t>91 7710966360</t>
  </si>
  <si>
    <t>Mohali, Australia, United Kingdom, Canada, Amritsar, Mumbai City, Ludhiana, Singapore, France, New Zealand</t>
  </si>
  <si>
    <t>Line producer</t>
  </si>
  <si>
    <t>Double Negative</t>
  </si>
  <si>
    <t>Tilak Maharshtra</t>
  </si>
  <si>
    <t>31-07-18 09:55:01</t>
  </si>
  <si>
    <t>21-08-18 13:41:24</t>
  </si>
  <si>
    <t>Veeresh Rao</t>
  </si>
  <si>
    <t>16 Sep 1971</t>
  </si>
  <si>
    <t>veeresha_rao@yahoo.com</t>
  </si>
  <si>
    <t>91 9967844003</t>
  </si>
  <si>
    <t>LKS India Pvt Ltd, a 14 billion Mondragon Group Company, Spain</t>
  </si>
  <si>
    <t>19-12-17 17:18:30</t>
  </si>
  <si>
    <t>01-06-18 12:58:12</t>
  </si>
  <si>
    <t xml:space="preserve">dr.sachin </t>
  </si>
  <si>
    <t>sachindesai007@yahoo.co.in</t>
  </si>
  <si>
    <t>a.c.p.m dental college &amp; hospital, dhule</t>
  </si>
  <si>
    <t>A.C.P.M DENTAL COLLEGE &amp; HOSPITAL, DHULE</t>
  </si>
  <si>
    <t>01-01-18 18:25:49</t>
  </si>
  <si>
    <t>11-08-18 12:16:40</t>
  </si>
  <si>
    <t>Pragya Chandrakar</t>
  </si>
  <si>
    <t>16 Jun 1990</t>
  </si>
  <si>
    <t>pragyachandrakar01@gmail.com</t>
  </si>
  <si>
    <t>91 9920629117</t>
  </si>
  <si>
    <t>Analyst</t>
  </si>
  <si>
    <t>GLG</t>
  </si>
  <si>
    <t>02-09-18 10:26:20</t>
  </si>
  <si>
    <t>07-09-18 17:07:11</t>
  </si>
  <si>
    <t>TOUSIF SHAIKH</t>
  </si>
  <si>
    <t>24 Feb 1989</t>
  </si>
  <si>
    <t>tstousifshaikh24@gmail.com</t>
  </si>
  <si>
    <t>91 8412049813</t>
  </si>
  <si>
    <t>Other Maharashtra, Vapi, Pune, Mumbai City, Valsad, Other Karnataka, Other Goa, Ankleshwar, Panaji</t>
  </si>
  <si>
    <t>4.7 years experience in Pharma production</t>
  </si>
  <si>
    <t>lupin pharma limited</t>
  </si>
  <si>
    <t>27-08-18 07:26:16</t>
  </si>
  <si>
    <t>Dhiraj Eknath Kochirkar</t>
  </si>
  <si>
    <t>27 Mar 1992</t>
  </si>
  <si>
    <t>dhiraj2703@gmail.com</t>
  </si>
  <si>
    <t>91 8976372544</t>
  </si>
  <si>
    <t>Customer Support Engineer</t>
  </si>
  <si>
    <t>Siemens LTD Mobility (On 3rd party payroll of Pages pvt Ltd )</t>
  </si>
  <si>
    <t>A.C. Patil College of Engineering</t>
  </si>
  <si>
    <t>23-11-17 19:33:02</t>
  </si>
  <si>
    <t>30-04-18 10:20:41</t>
  </si>
  <si>
    <t>Blane Davy</t>
  </si>
  <si>
    <t>blanedavy24@rediffmail.com</t>
  </si>
  <si>
    <t>91 7977723055</t>
  </si>
  <si>
    <t>Supervisor</t>
  </si>
  <si>
    <t>GIA India</t>
  </si>
  <si>
    <t>04-03-18 13:33:48</t>
  </si>
  <si>
    <t>01-05-18 13:38:46</t>
  </si>
  <si>
    <t>Dipak Dey</t>
  </si>
  <si>
    <t>01 Mar 1959</t>
  </si>
  <si>
    <t>dipdey123@rediffmail.com</t>
  </si>
  <si>
    <t>91 7030072000</t>
  </si>
  <si>
    <t>Command Air Electrical Officer</t>
  </si>
  <si>
    <t>Symbiosis College of Arts and Commerce, Pune</t>
  </si>
  <si>
    <t>08-04-18 23:17:51</t>
  </si>
  <si>
    <t>31-05-18 15:27:19</t>
  </si>
  <si>
    <t>ROHAN K. SAWANT</t>
  </si>
  <si>
    <t>15 May 1980</t>
  </si>
  <si>
    <t>rohan.1580@gmail.com</t>
  </si>
  <si>
    <t>91 9664300056</t>
  </si>
  <si>
    <t>Netherlands, United Kingdom, United States of America, Mumbai City</t>
  </si>
  <si>
    <t>Rs. 10.20 Lacs</t>
  </si>
  <si>
    <t>Consultant Projects</t>
  </si>
  <si>
    <t>Mukund Sales &amp; Service</t>
  </si>
  <si>
    <t>Indian Institute of Chemical Engineers</t>
  </si>
  <si>
    <t>09-01-18 17:18:11</t>
  </si>
  <si>
    <t>04-05-18 12:04:13</t>
  </si>
  <si>
    <t>Sheen Figeredo</t>
  </si>
  <si>
    <t>sheenfigeredo@gmail.com</t>
  </si>
  <si>
    <t>91 9920079094</t>
  </si>
  <si>
    <t>Rs. 7.95 Lacs</t>
  </si>
  <si>
    <t>Senior Specialist HR Operation</t>
  </si>
  <si>
    <t>Altisource Business Solution Pvt. Ltd.</t>
  </si>
  <si>
    <t>Maharaja's College</t>
  </si>
  <si>
    <t>24-03-18 22:02:04</t>
  </si>
  <si>
    <t>07-06-18 12:45:46</t>
  </si>
  <si>
    <t>siddhesh pandere</t>
  </si>
  <si>
    <t>19 Oct 1991</t>
  </si>
  <si>
    <t>sidpandere@gmail.com</t>
  </si>
  <si>
    <t>91 9821849297</t>
  </si>
  <si>
    <t>Assistant Project Engineer</t>
  </si>
  <si>
    <t>Datta Meghe College of Engineering</t>
  </si>
  <si>
    <t>04-01-18 15:07:42</t>
  </si>
  <si>
    <t>30-04-18 12:51:35</t>
  </si>
  <si>
    <t>SIDDHARTH SHARMA</t>
  </si>
  <si>
    <t>siddharthsharma824@gmail.com</t>
  </si>
  <si>
    <t>91 9167102479</t>
  </si>
  <si>
    <t>10-02-16 20:02:01</t>
  </si>
  <si>
    <t>04-07-18 19:33:32</t>
  </si>
  <si>
    <t xml:space="preserve">Sachin Kumar </t>
  </si>
  <si>
    <t>sachin.supertech9411@gmail.com</t>
  </si>
  <si>
    <t>91 7979734150</t>
  </si>
  <si>
    <t>Bhubaneswar, Cuttack, Rourkela, Bhagalpur, Bokaro, Dhanbad, Jamshedpur, Ranchi, Sambalpur, Patna</t>
  </si>
  <si>
    <t>Rivigo Logistics India Pvt.  Ltd.</t>
  </si>
  <si>
    <t>Iimt Institute of Engineering and Technology</t>
  </si>
  <si>
    <t>28-08-18 09:23:24</t>
  </si>
  <si>
    <t>KADHAR MOHIDEEN</t>
  </si>
  <si>
    <t>30 Apr 1983</t>
  </si>
  <si>
    <t>kadhar.general@gmail.com</t>
  </si>
  <si>
    <t>91 9619611248</t>
  </si>
  <si>
    <t>SENIOR EXECUTIVE ENGINEER</t>
  </si>
  <si>
    <t>BHARATHIDASN UNVERSITY</t>
  </si>
  <si>
    <t>21-01-18 14:49:49</t>
  </si>
  <si>
    <t>17-03-18 10:32:56</t>
  </si>
  <si>
    <t>Titus Manickam Rock</t>
  </si>
  <si>
    <t>28 Jan 1955</t>
  </si>
  <si>
    <t>titus10_2000@yahoo.com</t>
  </si>
  <si>
    <t>91 9833922259</t>
  </si>
  <si>
    <t>Amy Grace Academy &amp; Publications</t>
  </si>
  <si>
    <t>British Institute, Mumbai, India</t>
  </si>
  <si>
    <t>14-11-17 10:41:36</t>
  </si>
  <si>
    <t>17-08-18 15:17:27</t>
  </si>
  <si>
    <t>Aakriti Gupta</t>
  </si>
  <si>
    <t>aakriti265@gmail.com</t>
  </si>
  <si>
    <t>91 8860864594</t>
  </si>
  <si>
    <t>Senior Producer</t>
  </si>
  <si>
    <t>Viniyard films</t>
  </si>
  <si>
    <t>Punjab University</t>
  </si>
  <si>
    <t>26-07-18 14:32:46</t>
  </si>
  <si>
    <t>27-07-18 12:29:02</t>
  </si>
  <si>
    <t>Satish Zanjad</t>
  </si>
  <si>
    <t>12 Dec 1973</t>
  </si>
  <si>
    <t>hitsatish@gmail.com</t>
  </si>
  <si>
    <t>91 8652046864</t>
  </si>
  <si>
    <t>Junagarh, Jamnagar, Anand, Pune, Bharuch, Mumbai City, Bhavnagar, Ankleshwar, Ahmedabad</t>
  </si>
  <si>
    <t>hitsatish</t>
  </si>
  <si>
    <t>KK Chempro India Pvt Ltd</t>
  </si>
  <si>
    <t>I.Y. College</t>
  </si>
  <si>
    <t>07-08-18 18:49:07</t>
  </si>
  <si>
    <t>08-09-18 10:05:56</t>
  </si>
  <si>
    <t>CHAKRABORTY ARIJIT SOMNATH</t>
  </si>
  <si>
    <t>19 Feb 1992</t>
  </si>
  <si>
    <t>carijit007@gmail.com</t>
  </si>
  <si>
    <t>91 7083465611</t>
  </si>
  <si>
    <t>Indore, Pune, Mumbai City</t>
  </si>
  <si>
    <t>PRIYADARSHINI COLLEGE OF ENGINEERING</t>
  </si>
  <si>
    <t>29-07-18 10:27:29</t>
  </si>
  <si>
    <t>06-08-18 14:13:00</t>
  </si>
  <si>
    <t>Deepali Shukla</t>
  </si>
  <si>
    <t>deepali16.ds@gmail.com</t>
  </si>
  <si>
    <t>91 9892293947</t>
  </si>
  <si>
    <t>Merchandiser</t>
  </si>
  <si>
    <t>Zeus International</t>
  </si>
  <si>
    <t>Sir Vitthal das Thackersay college of Home science</t>
  </si>
  <si>
    <t>25-04-18 09:28:14</t>
  </si>
  <si>
    <t>Namrata Desai</t>
  </si>
  <si>
    <t>08 May 1991</t>
  </si>
  <si>
    <t>namrata.desai08@gmail.com</t>
  </si>
  <si>
    <t>91 9870808086</t>
  </si>
  <si>
    <t>Wipro BPS</t>
  </si>
  <si>
    <t>Welingkar Institute</t>
  </si>
  <si>
    <t>01-03-18 11:15:10</t>
  </si>
  <si>
    <t>15-03-18 23:38:43</t>
  </si>
  <si>
    <t>Rahul Vishwakarma</t>
  </si>
  <si>
    <t>12 Jul 1993</t>
  </si>
  <si>
    <t>spyrv62@gmail.com</t>
  </si>
  <si>
    <t>91 8898415183</t>
  </si>
  <si>
    <t>Data Processing, Rate Audit,Rate filling, Process handling,Client handling, email Actioning,</t>
  </si>
  <si>
    <t>Maharashtra Board</t>
  </si>
  <si>
    <t>06-05-18 12:52:25</t>
  </si>
  <si>
    <t>Bhakti Bhandari</t>
  </si>
  <si>
    <t>bhakti.bhandari09@gmail.com</t>
  </si>
  <si>
    <t>91 8652186561</t>
  </si>
  <si>
    <t>Senior business development executive</t>
  </si>
  <si>
    <t>Resbird Technologies Pvt Ltd (Amadeus India)</t>
  </si>
  <si>
    <t>Kuoni academy</t>
  </si>
  <si>
    <t>10-03-18 13:41:51</t>
  </si>
  <si>
    <t>17-08-18 16:30:06</t>
  </si>
  <si>
    <t>MD RASHID</t>
  </si>
  <si>
    <t>24 Dec 1992</t>
  </si>
  <si>
    <t>mdrashid0808@gmail.com</t>
  </si>
  <si>
    <t>91 9987793412</t>
  </si>
  <si>
    <t>Kuwait, Noida, United Arab Emirates, Gurugram, Mumbai City, Delhi, Oman, Qatar, Saudi Arabia, Russia</t>
  </si>
  <si>
    <t>QCON</t>
  </si>
  <si>
    <t>AL-FALAH SCHOOL OF ENGG &amp;TECH</t>
  </si>
  <si>
    <t>05-05-17 14:58:45</t>
  </si>
  <si>
    <t>01-08-18 11:12:48</t>
  </si>
  <si>
    <t>Ankit yadav</t>
  </si>
  <si>
    <t>30 Oct 1996</t>
  </si>
  <si>
    <t>ankit199630@gmail.com</t>
  </si>
  <si>
    <t>91 9892243750</t>
  </si>
  <si>
    <t>GET</t>
  </si>
  <si>
    <t>lucas tvs</t>
  </si>
  <si>
    <t>Shri Ram Institute of Technology</t>
  </si>
  <si>
    <t>07-08-18 17:08:40</t>
  </si>
  <si>
    <t>19-08-18 15:44:56</t>
  </si>
  <si>
    <t>Ashif Ahmed</t>
  </si>
  <si>
    <t>ashifahmed1982@gmail.com</t>
  </si>
  <si>
    <t>91 9619543796</t>
  </si>
  <si>
    <t>SVP. EDITOR</t>
  </si>
  <si>
    <t>Sculpture / Craft</t>
  </si>
  <si>
    <t>Anand Chandra College of Commerce</t>
  </si>
  <si>
    <t>27-08-18 09:44:36</t>
  </si>
  <si>
    <t>28-08-18 09:49:04</t>
  </si>
  <si>
    <t>Prashant Mishra</t>
  </si>
  <si>
    <t>05 Nov 1988</t>
  </si>
  <si>
    <t>prashantmishra511@gmail.com</t>
  </si>
  <si>
    <t>91 9769856162</t>
  </si>
  <si>
    <t>Senior Associate Fund Accounting</t>
  </si>
  <si>
    <t>SS&amp;C GlobeOp Fund Services</t>
  </si>
  <si>
    <t>YMT College of Management</t>
  </si>
  <si>
    <t>25-03-18 22:53:33</t>
  </si>
  <si>
    <t>04-06-18 15:56:39</t>
  </si>
  <si>
    <t>Dr Geetendra singh Dhanawat</t>
  </si>
  <si>
    <t>gskgeetendra@gmail.com</t>
  </si>
  <si>
    <t>91 9619145801</t>
  </si>
  <si>
    <t xml:space="preserve">abc4diabetes </t>
  </si>
  <si>
    <t>Other Medicine</t>
  </si>
  <si>
    <t>CMC Vellore</t>
  </si>
  <si>
    <t>17-02-16 07:24:53</t>
  </si>
  <si>
    <t>04-07-18 18:35:48</t>
  </si>
  <si>
    <t xml:space="preserve">Yugandhara Rajesh Keni </t>
  </si>
  <si>
    <t>18 May 1984</t>
  </si>
  <si>
    <t>yugi.keni2012@gmail.com</t>
  </si>
  <si>
    <t>91 9833117383</t>
  </si>
  <si>
    <t>Bhsc</t>
  </si>
  <si>
    <t>SNDT University Mumbai</t>
  </si>
  <si>
    <t>24-05-18 22:11:05</t>
  </si>
  <si>
    <t>24-05-18 22:11:07</t>
  </si>
  <si>
    <t>RAHUL PATIL</t>
  </si>
  <si>
    <t>abhisept15@yahoo.com</t>
  </si>
  <si>
    <t>91 7710096052</t>
  </si>
  <si>
    <t>DGM - PIPING</t>
  </si>
  <si>
    <t>30-08-18 16:16:06</t>
  </si>
  <si>
    <t>Mangesh Katkar</t>
  </si>
  <si>
    <t>24 Aug 1985</t>
  </si>
  <si>
    <t>mangeshkatkar21@gmail.com</t>
  </si>
  <si>
    <t>91 8879553436</t>
  </si>
  <si>
    <t>SPECTRA MOTORS LTD</t>
  </si>
  <si>
    <t>cwc</t>
  </si>
  <si>
    <t>29-08-18 11:54:24</t>
  </si>
  <si>
    <t>Sandeep Marbhal</t>
  </si>
  <si>
    <t>01 Dec 1979</t>
  </si>
  <si>
    <t>smarbhal@gmail.com</t>
  </si>
  <si>
    <t>91 9820754505</t>
  </si>
  <si>
    <t>Rs. 20.20 Lacs</t>
  </si>
  <si>
    <t>India Representative</t>
  </si>
  <si>
    <t>M/S Vipac USA, M/S Primeline Packaging USA</t>
  </si>
  <si>
    <t>Textile &amp; Garment</t>
  </si>
  <si>
    <t>VJTI</t>
  </si>
  <si>
    <t>12-04-18 13:08:02</t>
  </si>
  <si>
    <t>inderjeetsingh chandel</t>
  </si>
  <si>
    <t>12 Apr 1974</t>
  </si>
  <si>
    <t>mr.inderjeetsingh@gmail.com</t>
  </si>
  <si>
    <t>91 8652656400</t>
  </si>
  <si>
    <t>Vice President (Business Development)</t>
  </si>
  <si>
    <t>Leo Prime Comp Pvt Ltd, Chennai</t>
  </si>
  <si>
    <t>12-06-18 17:16:27</t>
  </si>
  <si>
    <t>09-08-18 16:38:17</t>
  </si>
  <si>
    <t>surendra kumar patel</t>
  </si>
  <si>
    <t>20 Aug 1992</t>
  </si>
  <si>
    <t>sp.200892@gmail.com</t>
  </si>
  <si>
    <t>91 8424860856</t>
  </si>
  <si>
    <t>erection and commissioning of boiler</t>
  </si>
  <si>
    <t>CHANDANA ENGINEERING WORKS</t>
  </si>
  <si>
    <t>22-05-17 14:04:08</t>
  </si>
  <si>
    <t>22-05-18 09:54:36</t>
  </si>
  <si>
    <t>sanjay G</t>
  </si>
  <si>
    <t>30 Jun 1960</t>
  </si>
  <si>
    <t>sg20181203@gmail.com</t>
  </si>
  <si>
    <t>91 8788115105</t>
  </si>
  <si>
    <t>Other Assam, Vijayawada, Other Dadar and Nagar Haveli, Pune, Mumbai City, Daman, Kandla, Other Goa, Port Blair, Anantpur</t>
  </si>
  <si>
    <t>TEP</t>
  </si>
  <si>
    <t>TIU</t>
  </si>
  <si>
    <t>09-04-18 09:36:17</t>
  </si>
  <si>
    <t>24-05-18 09:03:58</t>
  </si>
  <si>
    <t>PIYUSH DESAI</t>
  </si>
  <si>
    <t>18 Apr 1977</t>
  </si>
  <si>
    <t>piyush_desai_77@yahoo.com</t>
  </si>
  <si>
    <t>91 9004497238</t>
  </si>
  <si>
    <t>Mumbai City, Oman, Qatar, Saudi Arabia</t>
  </si>
  <si>
    <t>SENIOR MANAGER IN ENGG /PROJECT MONITORING</t>
  </si>
  <si>
    <t>NATIONAL THERMAL POWER CORPORATION LIMITED</t>
  </si>
  <si>
    <t>MACT BHOPAL</t>
  </si>
  <si>
    <t>29-08-16 20:52:24</t>
  </si>
  <si>
    <t>06-08-18 10:44:42</t>
  </si>
  <si>
    <t xml:space="preserve">Raviranjan </t>
  </si>
  <si>
    <t>raviranjand104@gmail.com</t>
  </si>
  <si>
    <t>91 9534589277</t>
  </si>
  <si>
    <t>Patna</t>
  </si>
  <si>
    <t>Paint artist</t>
  </si>
  <si>
    <t>Prime focus</t>
  </si>
  <si>
    <t>College of commerce</t>
  </si>
  <si>
    <t>10-07-18 18:23:32</t>
  </si>
  <si>
    <t>13-07-18 09:47:26</t>
  </si>
  <si>
    <t>Ranjeet yadav</t>
  </si>
  <si>
    <t>30 Jun 1985</t>
  </si>
  <si>
    <t>ranjeetjprasad@gmail.com</t>
  </si>
  <si>
    <t>91 9321078009</t>
  </si>
  <si>
    <t>Promo editor</t>
  </si>
  <si>
    <t>Prime focus technologies pvt. Ltd</t>
  </si>
  <si>
    <t>Magadh university</t>
  </si>
  <si>
    <t>22-05-18 14:12:40</t>
  </si>
  <si>
    <t>Mukesh Pandey</t>
  </si>
  <si>
    <t>24 Jun 1973</t>
  </si>
  <si>
    <t>pandeymukesh244@yahoo.com</t>
  </si>
  <si>
    <t>91 7303015133</t>
  </si>
  <si>
    <t>Civil Supervisor</t>
  </si>
  <si>
    <t>Lotus LLP LTD.</t>
  </si>
  <si>
    <t>Vinoba Bhave University</t>
  </si>
  <si>
    <t>18-03-18 20:20:47</t>
  </si>
  <si>
    <t>27-04-18 10:40:46</t>
  </si>
  <si>
    <t>Arindam Biswas</t>
  </si>
  <si>
    <t>biswasarindam@lntecc.com</t>
  </si>
  <si>
    <t>91 8652459991</t>
  </si>
  <si>
    <t>HUMAN RESOURCE/ADMINISTRATION/INDUSTRIAL RELATIONS</t>
  </si>
  <si>
    <t>State Labour Institute</t>
  </si>
  <si>
    <t>20-11-17 17:47:10</t>
  </si>
  <si>
    <t>15-03-18 13:54:08</t>
  </si>
  <si>
    <t xml:space="preserve">Tejesh Vilas Temkar </t>
  </si>
  <si>
    <t>tejeshtemkar5@gmail.com</t>
  </si>
  <si>
    <t>91 7738310760</t>
  </si>
  <si>
    <t>Cargo Assistant</t>
  </si>
  <si>
    <t>Lufthansa Cargo German (Airlines)</t>
  </si>
  <si>
    <t>Kuldeepsingh Deewan High school and Junior College</t>
  </si>
  <si>
    <t>23-08-18 17:13:59</t>
  </si>
  <si>
    <t>31-08-18 10:28:55</t>
  </si>
  <si>
    <t>laivin lazar</t>
  </si>
  <si>
    <t>02 Apr 1984</t>
  </si>
  <si>
    <t>laivin84@gmail.com</t>
  </si>
  <si>
    <t>91 9552661055</t>
  </si>
  <si>
    <t>Australia, South Africa, All India, South Korea, Spain, United Arab Emirates, Hyderabad, United Kingdom, United States of America, Sweden, Switzerland, Mumbai City</t>
  </si>
  <si>
    <t>Manager finishing</t>
  </si>
  <si>
    <t>Mandhana Industries Ltd Mumbai</t>
  </si>
  <si>
    <t>govt polytechnic koratty-kerala-india</t>
  </si>
  <si>
    <t>01-07-16 12:21:48</t>
  </si>
  <si>
    <t>30-05-18 11:59:36</t>
  </si>
  <si>
    <t>rajiv yadav</t>
  </si>
  <si>
    <t>24 Jun 1993</t>
  </si>
  <si>
    <t>rajivy342@gmail.com</t>
  </si>
  <si>
    <t>91 8850668304</t>
  </si>
  <si>
    <t>s m shetty</t>
  </si>
  <si>
    <t>09-04-18 07:56:07</t>
  </si>
  <si>
    <t>Anoop Kumar Singh</t>
  </si>
  <si>
    <t>28 Feb 1995</t>
  </si>
  <si>
    <t>anoopreva023@gmail.com</t>
  </si>
  <si>
    <t>91 8073601998</t>
  </si>
  <si>
    <t>REVA INSTITUTE OF TECHNOLOGY AND MANAGEMENT</t>
  </si>
  <si>
    <t>27-03-18 19:16:58</t>
  </si>
  <si>
    <t>03-05-18 22:47:23</t>
  </si>
  <si>
    <t>birenderkumar pathak</t>
  </si>
  <si>
    <t>24 Mar 1974</t>
  </si>
  <si>
    <t>birendra_pathak93@yahoo.com</t>
  </si>
  <si>
    <t>971 561223564</t>
  </si>
  <si>
    <t>HSE DIVING CLIENT REPRESENTATIVE</t>
  </si>
  <si>
    <t>DNV GL / ADMA</t>
  </si>
  <si>
    <t>TWI(UK), IMCA</t>
  </si>
  <si>
    <t>21-06-17 10:03:02</t>
  </si>
  <si>
    <t>06-09-18 15:57:20</t>
  </si>
  <si>
    <t>Anisha Sengupta</t>
  </si>
  <si>
    <t>13 Apr 1992</t>
  </si>
  <si>
    <t>sengupta_anisha@yahoo.com</t>
  </si>
  <si>
    <t>91 9819745138</t>
  </si>
  <si>
    <t>Associate - Secretarial and Legal</t>
  </si>
  <si>
    <t>ICICI Bank Ltd - CSR Dept</t>
  </si>
  <si>
    <t>23-08-18 11:27:44</t>
  </si>
  <si>
    <t>06-09-18 12:58:29</t>
  </si>
  <si>
    <t>Malcolm Vaz</t>
  </si>
  <si>
    <t>malcamania@gmail.com</t>
  </si>
  <si>
    <t>91 9869939090</t>
  </si>
  <si>
    <t>Assistant Manager WFM</t>
  </si>
  <si>
    <t>Wipro Technologies</t>
  </si>
  <si>
    <t>24-08-18 04:30:35</t>
  </si>
  <si>
    <t>24-08-18 15:18:34</t>
  </si>
  <si>
    <t>Viratji Parashar</t>
  </si>
  <si>
    <t>virat.parashar@gmail.com</t>
  </si>
  <si>
    <t>91 9920068844</t>
  </si>
  <si>
    <t>Bangalore, Noida, Ghaziabad, Gurugram, Faridabad, Pune, Mumbai City, Delhi</t>
  </si>
  <si>
    <t>Rs. 5.85 Lacs</t>
  </si>
  <si>
    <t>Purchase Manager, Business Development Manager</t>
  </si>
  <si>
    <t>T.C.H. Projects &amp; Suppliers Pvt. Ltd.</t>
  </si>
  <si>
    <t>D.A.V. College, H.N.B.G. University</t>
  </si>
  <si>
    <t>02-08-18 16:36:18</t>
  </si>
  <si>
    <t>06-09-18 15:44:13</t>
  </si>
  <si>
    <t>Chirag Agrawal</t>
  </si>
  <si>
    <t>12 Oct 1993</t>
  </si>
  <si>
    <t>chirag.agrawal00@gmail.com</t>
  </si>
  <si>
    <t>91 9921460989</t>
  </si>
  <si>
    <t>IMDR</t>
  </si>
  <si>
    <t>07-06-18 17:10:37</t>
  </si>
  <si>
    <t>Vikrant Singh Thakur</t>
  </si>
  <si>
    <t>19 Mar 1991</t>
  </si>
  <si>
    <t>imvikrant21@gmail.com</t>
  </si>
  <si>
    <t>91 9082671663</t>
  </si>
  <si>
    <t>ITM-Business School</t>
  </si>
  <si>
    <t>14-03-18 21:36:58</t>
  </si>
  <si>
    <t>PANKAJ  GUPTA</t>
  </si>
  <si>
    <t>ppgupta121@gmail.com</t>
  </si>
  <si>
    <t>91 9833301984</t>
  </si>
  <si>
    <t>Mechanical Project Engineer</t>
  </si>
  <si>
    <t>CMEPL</t>
  </si>
  <si>
    <t>27-11-15 12:35:23</t>
  </si>
  <si>
    <t>16-07-18 16:44:56</t>
  </si>
  <si>
    <t>Ramabadran Krishnan</t>
  </si>
  <si>
    <t>14 Jul 1955</t>
  </si>
  <si>
    <t>rkrishnan1955@gmail.com</t>
  </si>
  <si>
    <t>91 9871956222</t>
  </si>
  <si>
    <t>Bhopal</t>
  </si>
  <si>
    <t>Director(HR) with 38 years of experience</t>
  </si>
  <si>
    <t>BHEL</t>
  </si>
  <si>
    <t>Trichy</t>
  </si>
  <si>
    <t>24-06-18 13:45:07</t>
  </si>
  <si>
    <t>17-07-18 10:19:13</t>
  </si>
  <si>
    <t>RAVIKANT YADAV</t>
  </si>
  <si>
    <t>yadav.ravikant09@gmail.com</t>
  </si>
  <si>
    <t>91 9565351844</t>
  </si>
  <si>
    <t>Amity University</t>
  </si>
  <si>
    <t>15-03-18 17:05:10</t>
  </si>
  <si>
    <t>Jisu Singh</t>
  </si>
  <si>
    <t>jisusingh786@gmail.com</t>
  </si>
  <si>
    <t>91 9971515420</t>
  </si>
  <si>
    <t>06-09-17 17:35:05</t>
  </si>
  <si>
    <t>30-08-18 15:55:36</t>
  </si>
  <si>
    <t>Sandeep Ayilliyam</t>
  </si>
  <si>
    <t>08 Oct 1989</t>
  </si>
  <si>
    <t>sandeepayilliyam@gmail.com</t>
  </si>
  <si>
    <t>91 9605534611</t>
  </si>
  <si>
    <t>RESTAURANT MANAGER</t>
  </si>
  <si>
    <t>CGH earth experience pvt.ltd</t>
  </si>
  <si>
    <t>PERTH COLLEGE, SCOTLAND, UNITED KINGDOM</t>
  </si>
  <si>
    <t>25-03-18 16:21:24</t>
  </si>
  <si>
    <t>29-03-18 15:44:25</t>
  </si>
  <si>
    <t xml:space="preserve">Prashant </t>
  </si>
  <si>
    <t>prashant.ingale01@gmail.com</t>
  </si>
  <si>
    <t>91 7021741933</t>
  </si>
  <si>
    <t>Visual merchandiser</t>
  </si>
  <si>
    <t>Biba apparels pvt ltd</t>
  </si>
  <si>
    <t>Nift</t>
  </si>
  <si>
    <t>15-03-18 17:10:37</t>
  </si>
  <si>
    <t>01-05-18 13:40:23</t>
  </si>
  <si>
    <t>SUDHEESH THURAYIL</t>
  </si>
  <si>
    <t>02 Jan 1991</t>
  </si>
  <si>
    <t>sudeesht04@gmail.com</t>
  </si>
  <si>
    <t>91 9633021733</t>
  </si>
  <si>
    <t>Rs. 36.30 Lacs</t>
  </si>
  <si>
    <t>Shilpi engineering</t>
  </si>
  <si>
    <t>NATINA;L INSTITUTE OF FIRE AND SAFETY ENGEERING</t>
  </si>
  <si>
    <t>16-01-18 10:19:38</t>
  </si>
  <si>
    <t>31-05-18 14:21:21</t>
  </si>
  <si>
    <t xml:space="preserve">Vidya .S   </t>
  </si>
  <si>
    <t>vidyaravirit@yahoo.co.in</t>
  </si>
  <si>
    <t>91 9632238171</t>
  </si>
  <si>
    <t xml:space="preserve"> Product  Engineer</t>
  </si>
  <si>
    <t>Chemtrols Engineering Ltd,</t>
  </si>
  <si>
    <t>Govt.Rajiv Gandhi Institute Of Engineering &amp; Technology,</t>
  </si>
  <si>
    <t>07-03-16 17:49:18</t>
  </si>
  <si>
    <t>08-03-18 11:19:04</t>
  </si>
  <si>
    <t>Rahul Ramesh Khopkar</t>
  </si>
  <si>
    <t>rahul.khopkar87@gmail.com</t>
  </si>
  <si>
    <t>692 9768163723</t>
  </si>
  <si>
    <t>A. D. K. College</t>
  </si>
  <si>
    <t>16-03-18 01:38:44</t>
  </si>
  <si>
    <t>ALOKE BANDYOPADHYAY</t>
  </si>
  <si>
    <t>07 Sep 1961</t>
  </si>
  <si>
    <t>alokb2206@gmail.com</t>
  </si>
  <si>
    <t>91 9176007714</t>
  </si>
  <si>
    <t>Rs. 42.00 Lacs</t>
  </si>
  <si>
    <t>Head - HR &amp; A</t>
  </si>
  <si>
    <t>30-03-18 13:58:35</t>
  </si>
  <si>
    <t>01-09-18 10:10:07</t>
  </si>
  <si>
    <t xml:space="preserve">vikram thite </t>
  </si>
  <si>
    <t>26 Jan 1991</t>
  </si>
  <si>
    <t>vikramaditya5551@gmail.com</t>
  </si>
  <si>
    <t>91 9757059555</t>
  </si>
  <si>
    <t>assistant producer</t>
  </si>
  <si>
    <t>viacom 18</t>
  </si>
  <si>
    <t>20-03-18 12:27:13</t>
  </si>
  <si>
    <t>03-05-18 15:07:02</t>
  </si>
  <si>
    <t xml:space="preserve">SHAM JAGTAP </t>
  </si>
  <si>
    <t>28 Sep 1984</t>
  </si>
  <si>
    <t>shammjagtap2884@gmail.com</t>
  </si>
  <si>
    <t>91 9167795447</t>
  </si>
  <si>
    <t>Keppel offshore and marine engineering services pvt Ltd Mumbai</t>
  </si>
  <si>
    <t>Rajasthan vedyapeeth</t>
  </si>
  <si>
    <t>26-03-18 05:04:25</t>
  </si>
  <si>
    <t>31-03-18 16:20:50</t>
  </si>
  <si>
    <t>PRAKASH A</t>
  </si>
  <si>
    <t>akha7862@gmail.com</t>
  </si>
  <si>
    <t>91 9323655054</t>
  </si>
  <si>
    <t>Head HR</t>
  </si>
  <si>
    <t>PU</t>
  </si>
  <si>
    <t>12-12-16 14:19:15</t>
  </si>
  <si>
    <t>10-04-18 04:53:57</t>
  </si>
  <si>
    <t>Prajeesh Jayaram</t>
  </si>
  <si>
    <t>19 Sep 1985</t>
  </si>
  <si>
    <t>pramax@gmail.com</t>
  </si>
  <si>
    <t>91 9167267252</t>
  </si>
  <si>
    <t>Edelweiss Capital Limited</t>
  </si>
  <si>
    <t>06-09-18 16:34:08</t>
  </si>
  <si>
    <t>07-09-18 17:31:33</t>
  </si>
  <si>
    <t>Manish Agarwall</t>
  </si>
  <si>
    <t>agarwalmanish.009@gmail.com</t>
  </si>
  <si>
    <t>91 9749095403</t>
  </si>
  <si>
    <t>Rs. 15.40 Lacs</t>
  </si>
  <si>
    <t>Delta One Analyst</t>
  </si>
  <si>
    <t>Credit Suisse</t>
  </si>
  <si>
    <t>Narsee Monjee Institute of Management Studies (NMIMS)</t>
  </si>
  <si>
    <t>18-03-18 13:13:48</t>
  </si>
  <si>
    <t>03-05-18 14:15:55</t>
  </si>
  <si>
    <t>Nizamuddin Idrisi</t>
  </si>
  <si>
    <t>nizamuddinidrisi@yahoo.com</t>
  </si>
  <si>
    <t>91 9766416740</t>
  </si>
  <si>
    <t>Other Maharashtra</t>
  </si>
  <si>
    <t>23 Yrs 3 Months</t>
  </si>
  <si>
    <t>Marine security officet</t>
  </si>
  <si>
    <t>Alphard maritime security</t>
  </si>
  <si>
    <t>balaji institute of management studies</t>
  </si>
  <si>
    <t>14-09-17 09:18:48</t>
  </si>
  <si>
    <t>25-06-18 12:12:43</t>
  </si>
  <si>
    <t xml:space="preserve">Viral Bid </t>
  </si>
  <si>
    <t>26 Nov 1985</t>
  </si>
  <si>
    <t>viralbid@gmail.com</t>
  </si>
  <si>
    <t>91 9870677406</t>
  </si>
  <si>
    <t>Head - Factory operations</t>
  </si>
  <si>
    <t>Star Enterprises</t>
  </si>
  <si>
    <t>Maharashtra Institute of Technology</t>
  </si>
  <si>
    <t>14-06-18 22:45:26</t>
  </si>
  <si>
    <t>alekhya Mididoddi</t>
  </si>
  <si>
    <t>alekhya_m@yahoo.com</t>
  </si>
  <si>
    <t>91 8143361993</t>
  </si>
  <si>
    <t>Research associate</t>
  </si>
  <si>
    <t>National institute of pharmaceutical education and research hyderabad</t>
  </si>
  <si>
    <t>24-08-18 09:37:05</t>
  </si>
  <si>
    <t>SateeshKumar Pydimarri</t>
  </si>
  <si>
    <t>29 Jun 1964</t>
  </si>
  <si>
    <t>pydimarris@gmail.com</t>
  </si>
  <si>
    <t>91 7506986569</t>
  </si>
  <si>
    <t>United Arab Emirates, Malaysia, Mumbai City, Oman</t>
  </si>
  <si>
    <t>SENIOR GENERAL MANAGER</t>
  </si>
  <si>
    <t>Prime Electrical Contracting LLC</t>
  </si>
  <si>
    <t>Institute for Technology Management - Executive MBA</t>
  </si>
  <si>
    <t>01-12-17 15:02:29</t>
  </si>
  <si>
    <t>29-05-18 16:18:45</t>
  </si>
  <si>
    <t>sarita singh</t>
  </si>
  <si>
    <t>angel4sarita@gmail.com</t>
  </si>
  <si>
    <t>91 7415501240</t>
  </si>
  <si>
    <t>vits satna. m.p</t>
  </si>
  <si>
    <t>15-01-18 18:46:49</t>
  </si>
  <si>
    <t>03-07-18 17:44:05</t>
  </si>
  <si>
    <t>ttemkar4@gmail.com</t>
  </si>
  <si>
    <t>Lufthansa Cargo</t>
  </si>
  <si>
    <t>Lalji Mehrotra Technical Instituted</t>
  </si>
  <si>
    <t>15-04-18 11:37:07</t>
  </si>
  <si>
    <t>Suman Kumar Dey</t>
  </si>
  <si>
    <t>01 Nov 1959</t>
  </si>
  <si>
    <t>sumankumardey@gmail.com</t>
  </si>
  <si>
    <t>91 9654956903</t>
  </si>
  <si>
    <t>All India, Bangalore, Noida, Chennai, Hyderabad, Kolkata, Gurugram, Pune, Mumbai City, Delhi</t>
  </si>
  <si>
    <t>Senior Executive Vice President &amp; Head Legal</t>
  </si>
  <si>
    <t>Reliance Power Ltd</t>
  </si>
  <si>
    <t>31-12-17 13:05:41</t>
  </si>
  <si>
    <t>09-07-18 16:42:29</t>
  </si>
  <si>
    <t>Abhijiy A Sawant</t>
  </si>
  <si>
    <t>23 Mar 1985</t>
  </si>
  <si>
    <t>23abhi1985@gmail.com</t>
  </si>
  <si>
    <t>91 8976944439</t>
  </si>
  <si>
    <t>mumbai univercity</t>
  </si>
  <si>
    <t>25-05-18 15:27:48</t>
  </si>
  <si>
    <t>23-08-18 15:51:06</t>
  </si>
  <si>
    <t>Piyush Rajendra Thakkar</t>
  </si>
  <si>
    <t>25 Feb 1997</t>
  </si>
  <si>
    <t>pshthakkar@gmail.com</t>
  </si>
  <si>
    <t>91 7769847909</t>
  </si>
  <si>
    <t>K.M. Agrawal college Kalyan (west)</t>
  </si>
  <si>
    <t>23-03-18 13:34:04</t>
  </si>
  <si>
    <t>03-05-18 16:35:47</t>
  </si>
  <si>
    <t>Pradip Kirtane</t>
  </si>
  <si>
    <t>30 Dec 1986</t>
  </si>
  <si>
    <t>pradipkirtane@rediffmail.com</t>
  </si>
  <si>
    <t>91 9075449217</t>
  </si>
  <si>
    <t>Research Associate in formulation research &amp; development</t>
  </si>
  <si>
    <t>Lupin Research Centre, Pune</t>
  </si>
  <si>
    <t>PRIST University</t>
  </si>
  <si>
    <t>08-03-18 21:13:07</t>
  </si>
  <si>
    <t>07-09-18 20:32:24</t>
  </si>
  <si>
    <t xml:space="preserve">kavibharathi </t>
  </si>
  <si>
    <t>20 May 1986</t>
  </si>
  <si>
    <t>kavibharathiqe@gmail.com</t>
  </si>
  <si>
    <t>91 9600310103</t>
  </si>
  <si>
    <t>Chennai, Mumbai City, Delhi</t>
  </si>
  <si>
    <t>quality engineer</t>
  </si>
  <si>
    <t>fastweld engineer</t>
  </si>
  <si>
    <t>Kumaran Polytechnic College, Tiruvannamalai</t>
  </si>
  <si>
    <t>20-09-17 08:08:04</t>
  </si>
  <si>
    <t>14-03-18 22:03:27</t>
  </si>
  <si>
    <t>Padmanaban Achary</t>
  </si>
  <si>
    <t>padmanabanachary1@gmail.com</t>
  </si>
  <si>
    <t>91 9870069823</t>
  </si>
  <si>
    <t>Head-Admin &amp; HR (Hotel StoreKeeper)</t>
  </si>
  <si>
    <t>Wings Lifespaces Marketing Services Pvt. Ltd</t>
  </si>
  <si>
    <t>21-03-18 22:31:28</t>
  </si>
  <si>
    <t>11-08-18 19:25:49</t>
  </si>
  <si>
    <t>Ajay Kumar</t>
  </si>
  <si>
    <t>15 Aug 1976</t>
  </si>
  <si>
    <t>ajaynit2007@gmail.com</t>
  </si>
  <si>
    <t>60 0167604121</t>
  </si>
  <si>
    <t>All India, United Arab Emirates, Lucknow, Malaysia, Singapore, Mumbai City</t>
  </si>
  <si>
    <t>CP &amp; Corrosion Engineer</t>
  </si>
  <si>
    <t>01-09-18 04:30:38</t>
  </si>
  <si>
    <t>06-09-18 09:58:26</t>
  </si>
  <si>
    <t>Mnaoj Kumar</t>
  </si>
  <si>
    <t>12 Feb 1988</t>
  </si>
  <si>
    <t>cmamanojsharma007@gmail.com</t>
  </si>
  <si>
    <t>91 9310012721</t>
  </si>
  <si>
    <t>Cost Executive</t>
  </si>
  <si>
    <t>Sanjay Gupta &amp; ASSOCIATE</t>
  </si>
  <si>
    <t>MDU Rohtak</t>
  </si>
  <si>
    <t>20-04-18 14:54:43</t>
  </si>
  <si>
    <t>21-05-18 12:12:05</t>
  </si>
  <si>
    <t>Shravan balkrishna pawar</t>
  </si>
  <si>
    <t>06 Jun 1992</t>
  </si>
  <si>
    <t>shravanpawar79@gmail.com</t>
  </si>
  <si>
    <t>91 9867617647</t>
  </si>
  <si>
    <t>MEp</t>
  </si>
  <si>
    <t>Neobrite electrical government licence contractor</t>
  </si>
  <si>
    <t>Vpmp Polytechnic</t>
  </si>
  <si>
    <t>22-06-18 17:26:14</t>
  </si>
  <si>
    <t>Praveen kumar</t>
  </si>
  <si>
    <t>20 Mar 1980</t>
  </si>
  <si>
    <t>kumarprav11@gmail.com</t>
  </si>
  <si>
    <t>91 9833455548</t>
  </si>
  <si>
    <t>Other Maharashtra, Navi Mumbai</t>
  </si>
  <si>
    <t>Subject matter expert</t>
  </si>
  <si>
    <t>Tilak Maharastra vidhyapeet</t>
  </si>
  <si>
    <t>11-04-18 09:32:33</t>
  </si>
  <si>
    <t>12-04-18 16:56:27</t>
  </si>
  <si>
    <t>Naiyar Azam</t>
  </si>
  <si>
    <t>naiyarazam05@gmail.com</t>
  </si>
  <si>
    <t>91 9958398481</t>
  </si>
  <si>
    <t>All India, Delhi, British Indian Ocean Territory</t>
  </si>
  <si>
    <t>ALUCOR LTD UAE</t>
  </si>
  <si>
    <t>Maharishi Dayanand University Rohtak</t>
  </si>
  <si>
    <t>31-08-18 10:44:42</t>
  </si>
  <si>
    <t>Ranjhul singh parihar</t>
  </si>
  <si>
    <t>ranjhul.parihar@gmail.com</t>
  </si>
  <si>
    <t>91 7805096574</t>
  </si>
  <si>
    <t>Barkatullah University Institute of Technology, Bhopal</t>
  </si>
  <si>
    <t>22-03-18 20:04:03</t>
  </si>
  <si>
    <t>29-03-18 16:55:08</t>
  </si>
  <si>
    <t>avinash Patil</t>
  </si>
  <si>
    <t>13 Jan 1975</t>
  </si>
  <si>
    <t>avinash.garnet@gmail.com</t>
  </si>
  <si>
    <t>91 9833856832</t>
  </si>
  <si>
    <t>sr project manager or proposal manager</t>
  </si>
  <si>
    <t>swaroop interior p. ltd.</t>
  </si>
  <si>
    <t>Govt. polytrechnic, Bandra, Mumbai</t>
  </si>
  <si>
    <t>18-06-18 14:36:43</t>
  </si>
  <si>
    <t>09-07-18 11:29:36</t>
  </si>
  <si>
    <t xml:space="preserve">V.Harishkumar </t>
  </si>
  <si>
    <t>28 Jul 1977</t>
  </si>
  <si>
    <t>hk2871977@gmail.com</t>
  </si>
  <si>
    <t>91 9323464764</t>
  </si>
  <si>
    <t>Chief Engineer</t>
  </si>
  <si>
    <t>20-08-17 10:21:07</t>
  </si>
  <si>
    <t>06-06-18 10:11:38</t>
  </si>
  <si>
    <t>Shraddha Timmapur</t>
  </si>
  <si>
    <t>shraddhashah2407@gmail.com</t>
  </si>
  <si>
    <t>91 9820826710</t>
  </si>
  <si>
    <t>assistant Manager HR</t>
  </si>
  <si>
    <t>HSBC bank</t>
  </si>
  <si>
    <t>24-03-18 00:57:58</t>
  </si>
  <si>
    <t>24-03-18 15:47:22</t>
  </si>
  <si>
    <t>Tarit Bhakta</t>
  </si>
  <si>
    <t>01 Jul 1984</t>
  </si>
  <si>
    <t>btarit@gmail.com</t>
  </si>
  <si>
    <t>91 8275286704</t>
  </si>
  <si>
    <t>Navi Mumbai, Pune</t>
  </si>
  <si>
    <t>Senior Cad Technician</t>
  </si>
  <si>
    <t>Malcolm Pirnie (Arcadis-US) Consulting Engg. pvt. ltd.</t>
  </si>
  <si>
    <t>YCMOU Study Centre MIT CEO PUNE</t>
  </si>
  <si>
    <t>26-02-18 16:47:37</t>
  </si>
  <si>
    <t>06-07-18 11:25:26</t>
  </si>
  <si>
    <t>Santosh Bhagwat Gangurde</t>
  </si>
  <si>
    <t>santosh.gangurde@yahoo.co.in</t>
  </si>
  <si>
    <t>91 9833250633</t>
  </si>
  <si>
    <t>Rs. 27.25 Lacs</t>
  </si>
  <si>
    <t>Sr. Piping Designer</t>
  </si>
  <si>
    <t>TR Engineering LLC , Oman , Muscat</t>
  </si>
  <si>
    <t>I.T. I. Thane</t>
  </si>
  <si>
    <t>17-06-16 15:45:44</t>
  </si>
  <si>
    <t>18-08-18 13:26:21</t>
  </si>
  <si>
    <t>LANCE PEREIRA</t>
  </si>
  <si>
    <t>lancepereira134@gmail.com</t>
  </si>
  <si>
    <t>91 9049390834</t>
  </si>
  <si>
    <t>Retainer</t>
  </si>
  <si>
    <t>Sinhgad Institute of Business Management</t>
  </si>
  <si>
    <t>25-03-18 08:48:26</t>
  </si>
  <si>
    <t>Shabnam Khan</t>
  </si>
  <si>
    <t>12 Feb 1983</t>
  </si>
  <si>
    <t>shabnamkhan1@gmail.com</t>
  </si>
  <si>
    <t>91 9819822716</t>
  </si>
  <si>
    <t>Travelex India Private Limited</t>
  </si>
  <si>
    <t>06-07-18 09:29:56</t>
  </si>
  <si>
    <t>06-08-18 20:12:22</t>
  </si>
  <si>
    <t>AVANISH SINGH</t>
  </si>
  <si>
    <t>06 Oct 1989</t>
  </si>
  <si>
    <t>singhavanish555@gmail.com</t>
  </si>
  <si>
    <t>91 8976883577</t>
  </si>
  <si>
    <t>Application Engineer</t>
  </si>
  <si>
    <t>Jajoo Automation</t>
  </si>
  <si>
    <t>11-03-18 18:26:01</t>
  </si>
  <si>
    <t>12-07-18 10:29:30</t>
  </si>
  <si>
    <t>Regi Unnithan</t>
  </si>
  <si>
    <t>regiunnithan@gmail.com</t>
  </si>
  <si>
    <t>91 8281525203</t>
  </si>
  <si>
    <t>Calibri Education Pvt Ltd</t>
  </si>
  <si>
    <t>24-03-18 19:38:03</t>
  </si>
  <si>
    <t>02-04-18 14:45:44</t>
  </si>
  <si>
    <t>GILSA KUMAR</t>
  </si>
  <si>
    <t>gilsamk@yahoo.co.in</t>
  </si>
  <si>
    <t>91 9495080526</t>
  </si>
  <si>
    <t>04-07-18 09:46:19</t>
  </si>
  <si>
    <t>17-07-18 09:52:47</t>
  </si>
  <si>
    <t>Sujit Shetty</t>
  </si>
  <si>
    <t>09 Mar 1978</t>
  </si>
  <si>
    <t>shettysuju@gmail.com</t>
  </si>
  <si>
    <t>91 9004380786</t>
  </si>
  <si>
    <t xml:space="preserve">Vice President </t>
  </si>
  <si>
    <t>Graviss Hospitality Ltd</t>
  </si>
  <si>
    <t>Sophia Polytechnic</t>
  </si>
  <si>
    <t>18-06-18 17:42:19</t>
  </si>
  <si>
    <t>05-07-18 19:13:10</t>
  </si>
  <si>
    <t>Manuel Thomas</t>
  </si>
  <si>
    <t>manuelthomas360@gmail.com</t>
  </si>
  <si>
    <t>91 9986052055</t>
  </si>
  <si>
    <t>St Joseph engineering college Mangalore</t>
  </si>
  <si>
    <t>02-04-18 12:57:45</t>
  </si>
  <si>
    <t xml:space="preserve">kamlesh </t>
  </si>
  <si>
    <t>kamleshnair123@gmail.com</t>
  </si>
  <si>
    <t>91 9594063332</t>
  </si>
  <si>
    <t>avani autoworld</t>
  </si>
  <si>
    <t>tulsi institute &amp; managment</t>
  </si>
  <si>
    <t>13-08-18 10:47:32</t>
  </si>
  <si>
    <t>06-09-18 16:01:13</t>
  </si>
  <si>
    <t>Asis Gupta</t>
  </si>
  <si>
    <t>asisgupta@yahoo.com</t>
  </si>
  <si>
    <t>91 9930132338</t>
  </si>
  <si>
    <t>Sr. Vice President with 45 years of experience</t>
  </si>
  <si>
    <t xml:space="preserve">ESSAR PROJECTS (I) LIMITED </t>
  </si>
  <si>
    <t>Jadavpur University, Calcutta</t>
  </si>
  <si>
    <t>04-04-16 15:28:17</t>
  </si>
  <si>
    <t>06-09-18 10:55:09</t>
  </si>
  <si>
    <t>JOHN MICHAEL VINCENT</t>
  </si>
  <si>
    <t>24 Jun 1985</t>
  </si>
  <si>
    <t>johnvincent2485@gmail.com</t>
  </si>
  <si>
    <t>91 9619463187</t>
  </si>
  <si>
    <t>Assistant Sales Manager</t>
  </si>
  <si>
    <t>Anarock Property Consultants Pvt Ltd</t>
  </si>
  <si>
    <t>Sikkim University</t>
  </si>
  <si>
    <t>26-04-18 14:29:02</t>
  </si>
  <si>
    <t>07-08-18 16:20:39</t>
  </si>
  <si>
    <t>bhushan vyas</t>
  </si>
  <si>
    <t>06 Apr 1991</t>
  </si>
  <si>
    <t>bhushangvyas@rediffmail.com</t>
  </si>
  <si>
    <t>91 9867729937</t>
  </si>
  <si>
    <t>3 Yrs 6 Months</t>
  </si>
  <si>
    <t>Acedemic Head &amp; English Teacher</t>
  </si>
  <si>
    <t>Mahesh Tutorials</t>
  </si>
  <si>
    <t>Post graduation in TEFL certificate with dual specialization</t>
  </si>
  <si>
    <t>TESOL Canada</t>
  </si>
  <si>
    <t>25-06-18 14:47:17</t>
  </si>
  <si>
    <t>06-09-18 15:30:40</t>
  </si>
  <si>
    <t>shinde ashwini</t>
  </si>
  <si>
    <t>16 Oct 1993</t>
  </si>
  <si>
    <t>shinde.ashwini1610@gmail.com</t>
  </si>
  <si>
    <t>91 9075099227</t>
  </si>
  <si>
    <t>Sapkal knowledge Hub,Nashik</t>
  </si>
  <si>
    <t>06-09-18 13:04:59</t>
  </si>
  <si>
    <t>Bikash Narang</t>
  </si>
  <si>
    <t>bikash.n@ves.ac.in</t>
  </si>
  <si>
    <t>91 9004278830</t>
  </si>
  <si>
    <t>Vivek Education Soceity's Vivek College of Commerce</t>
  </si>
  <si>
    <t>25-03-18 21:17:36</t>
  </si>
  <si>
    <t xml:space="preserve">KUNAL PAWAR </t>
  </si>
  <si>
    <t>20 Jan 1979</t>
  </si>
  <si>
    <t>pawarkunal8@gmail.com</t>
  </si>
  <si>
    <t>91 9819726787</t>
  </si>
  <si>
    <t>Australia, United Kingdom, Canada, United States of America, Maldives, Mumbai City, Hong Kong, British Indian Ocean Territory</t>
  </si>
  <si>
    <t>15 Yrs 3 Months</t>
  </si>
  <si>
    <t>Sr.Producer</t>
  </si>
  <si>
    <t>Keylight Production</t>
  </si>
  <si>
    <t>SMU,Mumbai</t>
  </si>
  <si>
    <t>11-05-18 01:08:35</t>
  </si>
  <si>
    <t>30-08-18 00:49:42</t>
  </si>
  <si>
    <t>Priyanka Kokkula</t>
  </si>
  <si>
    <t>01 Jun 1992</t>
  </si>
  <si>
    <t>pp.kokkula@gmail.com</t>
  </si>
  <si>
    <t>91 8793608710</t>
  </si>
  <si>
    <t>Manager HR &amp; Admin</t>
  </si>
  <si>
    <t>Shalibhadra Creations Pvt. Ltd.</t>
  </si>
  <si>
    <t>05-05-18 11:35:41</t>
  </si>
  <si>
    <t>16-08-18 15:37:03</t>
  </si>
  <si>
    <t>Amruta Anil Bhagat</t>
  </si>
  <si>
    <t>amruta464@gmail.com</t>
  </si>
  <si>
    <t>91 9773148027</t>
  </si>
  <si>
    <t>Senior accounts associate</t>
  </si>
  <si>
    <t>Willis Towers Watson</t>
  </si>
  <si>
    <t>Welingkar's Institute</t>
  </si>
  <si>
    <t>16-08-18 00:02:34</t>
  </si>
  <si>
    <t>30-08-18 23:39:23</t>
  </si>
  <si>
    <t>NITHIN B</t>
  </si>
  <si>
    <t>28 Apr 1991</t>
  </si>
  <si>
    <t>nithin666@hotmail.com</t>
  </si>
  <si>
    <t>91 8907281813</t>
  </si>
  <si>
    <t>Singapore, Oman, Qatar, Saudi Arabia, All India, - Any -, Kuwait, Kochi, United Arab Emirates, Germany, Switzerland, Mumbai City</t>
  </si>
  <si>
    <t>Site Supervisor</t>
  </si>
  <si>
    <t>Ryboa Haima Trad. Co. LLC, Oman</t>
  </si>
  <si>
    <t>02-09-18 16:25:39</t>
  </si>
  <si>
    <t>Dineshan Nair</t>
  </si>
  <si>
    <t>12 Nov 1960</t>
  </si>
  <si>
    <t>dinu_nar@yahoo.com</t>
  </si>
  <si>
    <t>091 7510592550</t>
  </si>
  <si>
    <t>Sr.Manager - MEP</t>
  </si>
  <si>
    <t>Doha Petroleum Construction co.Ltd</t>
  </si>
  <si>
    <t>Government Engineering college , Trissur, Kerala state</t>
  </si>
  <si>
    <t>11-04-18 17:21:55</t>
  </si>
  <si>
    <t>18-06-18 20:14:15</t>
  </si>
  <si>
    <t>philip manuel</t>
  </si>
  <si>
    <t>philipmanuel007@gmail.com</t>
  </si>
  <si>
    <t>91 9833965542</t>
  </si>
  <si>
    <t>Dance and fitness</t>
  </si>
  <si>
    <t>Freelance</t>
  </si>
  <si>
    <t>Kamla mehta</t>
  </si>
  <si>
    <t>02-04-18 12:58:24</t>
  </si>
  <si>
    <t>23-08-18 17:37:12</t>
  </si>
  <si>
    <t>Rushabh Shukla</t>
  </si>
  <si>
    <t>02 Dec 1983</t>
  </si>
  <si>
    <t>shukla460@gmail.com</t>
  </si>
  <si>
    <t>91 9820341122</t>
  </si>
  <si>
    <t>Sr. Manager - Mice Operations</t>
  </si>
  <si>
    <t>Travel Voyages (I) Pvt Ltd</t>
  </si>
  <si>
    <t>Maharashtra University</t>
  </si>
  <si>
    <t>11-04-17 13:06:52</t>
  </si>
  <si>
    <t>15-06-18 13:25:18</t>
  </si>
  <si>
    <t>Rajendra Adhav</t>
  </si>
  <si>
    <t>02 Jan 1986</t>
  </si>
  <si>
    <t>rajendra.adhav@gmail.com</t>
  </si>
  <si>
    <t>91 9699536566</t>
  </si>
  <si>
    <t>Alfa Laval (I) Ltd</t>
  </si>
  <si>
    <t>Yashvant Rao chavan open university.</t>
  </si>
  <si>
    <t>27-11-17 20:31:02</t>
  </si>
  <si>
    <t>28-05-18 12:29:59</t>
  </si>
  <si>
    <t>Asad Sheerazi</t>
  </si>
  <si>
    <t>15 Feb 1997</t>
  </si>
  <si>
    <t>asadsheerazi15@gmail.com</t>
  </si>
  <si>
    <t>91 7906876152</t>
  </si>
  <si>
    <t>All India, Navi Mumbai, Thane, Pune, Mumbai City</t>
  </si>
  <si>
    <t>Dr. K.N. Modi Institute of Engineering and Technology</t>
  </si>
  <si>
    <t>25-07-18 10:26:18</t>
  </si>
  <si>
    <t>11-08-18 16:49:07</t>
  </si>
  <si>
    <t>ARCHANA MAHALE</t>
  </si>
  <si>
    <t>23 Nov 1986</t>
  </si>
  <si>
    <t>archumahale55@gmail.com</t>
  </si>
  <si>
    <t>91 7588613532</t>
  </si>
  <si>
    <t>G.H.Raisoni Institute of Engineering &amp; Management</t>
  </si>
  <si>
    <t>13-08-18 14:28:05</t>
  </si>
  <si>
    <t>05-09-18 11:17:48</t>
  </si>
  <si>
    <t>RAJEEV MENON</t>
  </si>
  <si>
    <t>neelakandanmenon@gmail.com</t>
  </si>
  <si>
    <t>91 9967299980</t>
  </si>
  <si>
    <t>Proposal Engineer</t>
  </si>
  <si>
    <t>Servomex</t>
  </si>
  <si>
    <t>Tamil Nadu Polytechnic</t>
  </si>
  <si>
    <t>14-03-17 22:15:21</t>
  </si>
  <si>
    <t>04-04-18 14:44:13</t>
  </si>
  <si>
    <t>Bijoy Panissery</t>
  </si>
  <si>
    <t>bpanissery@gmail.com</t>
  </si>
  <si>
    <t>91 9061912874</t>
  </si>
  <si>
    <t>AB</t>
  </si>
  <si>
    <t>Scorpio Marine Management</t>
  </si>
  <si>
    <t>MGGAC</t>
  </si>
  <si>
    <t>02-04-18 15:04:34</t>
  </si>
  <si>
    <t>Shalaka Naik</t>
  </si>
  <si>
    <t>03 Apr 1981</t>
  </si>
  <si>
    <t>shalakanaik1981@gmail.com</t>
  </si>
  <si>
    <t>91 9819070606</t>
  </si>
  <si>
    <t>12 Yrs 6 Months</t>
  </si>
  <si>
    <t>Customer Service Executive and Back up TSM</t>
  </si>
  <si>
    <t>Standard Chartered Bank</t>
  </si>
  <si>
    <t>D.G.Ruparel College</t>
  </si>
  <si>
    <t>19-05-18 16:18:39</t>
  </si>
  <si>
    <t>24-08-18 15:04:03</t>
  </si>
  <si>
    <t>Faizur Rahman</t>
  </si>
  <si>
    <t>06 Mar 1964</t>
  </si>
  <si>
    <t>faizur2007@gmail.com</t>
  </si>
  <si>
    <t>91 8879294004</t>
  </si>
  <si>
    <t>Associate Vice President</t>
  </si>
  <si>
    <t>13-11-17 17:29:05</t>
  </si>
  <si>
    <t>02-04-18 11:19:05</t>
  </si>
  <si>
    <t>Vivek Sojitra</t>
  </si>
  <si>
    <t>18 Aug 1995</t>
  </si>
  <si>
    <t>vsojitra33@gmail.com</t>
  </si>
  <si>
    <t>91 9619228682</t>
  </si>
  <si>
    <t>Jamnagar, Rajkot, Vapi, Bharuch, Mumbai City, Surat, Vadodara, Valsad, Ankleshwar, Ahmedabad</t>
  </si>
  <si>
    <t>0 Yr 11 Months</t>
  </si>
  <si>
    <t>calyx chemicals and pharmaceutical ltd.</t>
  </si>
  <si>
    <t>Gharda Foundation's Gharda Institute of Technology</t>
  </si>
  <si>
    <t>25-08-18 11:52:18</t>
  </si>
  <si>
    <t>04-09-18 10:13:27</t>
  </si>
  <si>
    <t>Pankaj Soni</t>
  </si>
  <si>
    <t>03 Oct 1963</t>
  </si>
  <si>
    <t>sonipankajmum@gmail.com</t>
  </si>
  <si>
    <t>91 7600910008</t>
  </si>
  <si>
    <t>Australia, Vapi, Silvassa, Vadodara, Daman, New Zealand</t>
  </si>
  <si>
    <t>Sr. Manager ( civil )</t>
  </si>
  <si>
    <t>18-08-18 12:29:47</t>
  </si>
  <si>
    <t>27-08-18 13:15:49</t>
  </si>
  <si>
    <t xml:space="preserve">ujjwal jain </t>
  </si>
  <si>
    <t>ujjwal.jain4@gmail.com</t>
  </si>
  <si>
    <t>91 9462719709</t>
  </si>
  <si>
    <t>National Institute of Securities Market</t>
  </si>
  <si>
    <t>CENTRAL UNIVERSITY OF RAJASTHAN</t>
  </si>
  <si>
    <t>07-11-17 09:45:49</t>
  </si>
  <si>
    <t>26-04-18 17:22:56</t>
  </si>
  <si>
    <t>Amol Ramesh Mhatre</t>
  </si>
  <si>
    <t>28 Dec 1979</t>
  </si>
  <si>
    <t>swarniamol@gmail.com</t>
  </si>
  <si>
    <t>91 9823704128</t>
  </si>
  <si>
    <t>QC Exicutive</t>
  </si>
  <si>
    <t>Lupin Ltd Tarapur</t>
  </si>
  <si>
    <t>Vinayaka Mission</t>
  </si>
  <si>
    <t>07-08-18 00:45:54</t>
  </si>
  <si>
    <t>07-08-18 10:19:45</t>
  </si>
  <si>
    <t>jagdish pratapsingh</t>
  </si>
  <si>
    <t>jagdish.malik83@yahoo.com</t>
  </si>
  <si>
    <t>91 9987866847</t>
  </si>
  <si>
    <t>Rigging supervisor</t>
  </si>
  <si>
    <t>IECO C,PF PROJECT BADRA  IRAQ</t>
  </si>
  <si>
    <t>NAVIN POL TECH INSTITUTE</t>
  </si>
  <si>
    <t>09-01-18 19:34:54</t>
  </si>
  <si>
    <t>23-08-18 19:32:51</t>
  </si>
  <si>
    <t>ROHIT PANDEY</t>
  </si>
  <si>
    <t>rrudrpandey23@gmail.com</t>
  </si>
  <si>
    <t>91 7303606405</t>
  </si>
  <si>
    <t xml:space="preserve">H.R. (Recruitment &amp; Generalist) </t>
  </si>
  <si>
    <t>Sterling oil Exploration &amp; Energy. Prod. Co. Limited</t>
  </si>
  <si>
    <t xml:space="preserve"> PIMG</t>
  </si>
  <si>
    <t>14-03-18 18:19:21</t>
  </si>
  <si>
    <t>Ashish Sali</t>
  </si>
  <si>
    <t>ashishsali82@gmail.com</t>
  </si>
  <si>
    <t>91 9920100207</t>
  </si>
  <si>
    <t>HOV Environment Solutions Pvt. Ltd.</t>
  </si>
  <si>
    <t>Govt Poly Pen, MSBTE</t>
  </si>
  <si>
    <t>31-03-18 11:54:01</t>
  </si>
  <si>
    <t>24-05-18 14:22:30</t>
  </si>
  <si>
    <t>HEENA SHAHID NATEKAR</t>
  </si>
  <si>
    <t>15 Jul 1981</t>
  </si>
  <si>
    <t>heenasnatekar@gmail.com</t>
  </si>
  <si>
    <t>91 9892211521</t>
  </si>
  <si>
    <t>Sr. Service Coordinator with Administration</t>
  </si>
  <si>
    <t>marine electricals (I) Pvt. Ltd.</t>
  </si>
  <si>
    <t>30-06-17 03:39:24</t>
  </si>
  <si>
    <t>31-07-18 13:24:05</t>
  </si>
  <si>
    <t>Anil Kagda</t>
  </si>
  <si>
    <t>04 May 1980</t>
  </si>
  <si>
    <t>amkagda@gmail.com</t>
  </si>
  <si>
    <t>91 8554864959</t>
  </si>
  <si>
    <t>Australia, Navi Mumbai, Canada, Pune, Mumbai City, Oman</t>
  </si>
  <si>
    <t>Fire Officer</t>
  </si>
  <si>
    <t>Hindustan Organic Chemicals Limited</t>
  </si>
  <si>
    <t>State Fire Training Institute Mumbai</t>
  </si>
  <si>
    <t>16-11-17 20:50:10</t>
  </si>
  <si>
    <t>16-08-18 20:42:01</t>
  </si>
  <si>
    <t>NITIN GUPTA</t>
  </si>
  <si>
    <t>nitin9305058620@gmail.com</t>
  </si>
  <si>
    <t>91 8879515664</t>
  </si>
  <si>
    <t>Sales &amp; Marketing</t>
  </si>
  <si>
    <t>Robinhood Insurance broker Private limited</t>
  </si>
  <si>
    <t>Institute of management &amp; studies, Noida</t>
  </si>
  <si>
    <t>09-08-18 19:05:59</t>
  </si>
  <si>
    <t>23-08-18 12:05:06</t>
  </si>
  <si>
    <t>Niharika Soneji</t>
  </si>
  <si>
    <t>08 Jan 1975</t>
  </si>
  <si>
    <t>niharikajs@yahoo.com</t>
  </si>
  <si>
    <t>91 9022802000</t>
  </si>
  <si>
    <t>Singapore, Ahmedabad, Bangalore, United Kingdom, Malaysia, United States of America, Pune, Japan, Mumbai City, Switzerland</t>
  </si>
  <si>
    <t>L J Commerce College, Gujarat University</t>
  </si>
  <si>
    <t>04-09-18 11:22:48</t>
  </si>
  <si>
    <t>06-09-18 19:56:33</t>
  </si>
  <si>
    <t xml:space="preserve">Abhaykumar Dubey </t>
  </si>
  <si>
    <t>20 May 1994</t>
  </si>
  <si>
    <t>addubeyabhay19@gmail.com</t>
  </si>
  <si>
    <t>91 8097752952</t>
  </si>
  <si>
    <t>Mahant Kamaldas Vidya Mandir Hindi High School</t>
  </si>
  <si>
    <t>09-05-18 13:43:12</t>
  </si>
  <si>
    <t xml:space="preserve">Noopur Singh </t>
  </si>
  <si>
    <t>01 Feb 1977</t>
  </si>
  <si>
    <t>tejanp786@gmail.com</t>
  </si>
  <si>
    <t>91 8850324396</t>
  </si>
  <si>
    <t>Citigroup Global Services</t>
  </si>
  <si>
    <t>Pt. RSSU, Raipur, CG</t>
  </si>
  <si>
    <t>01-04-18 13:03:33</t>
  </si>
  <si>
    <t>13-04-18 13:12:55</t>
  </si>
  <si>
    <t>Parimal Kushwah</t>
  </si>
  <si>
    <t>01 Jul 1980</t>
  </si>
  <si>
    <t>kushwah.500@gmail.com</t>
  </si>
  <si>
    <t>91 9970749307</t>
  </si>
  <si>
    <t>security officer in Govt. Of India (MHA)</t>
  </si>
  <si>
    <t>Central industrial security force</t>
  </si>
  <si>
    <t>jivaji university gwalior</t>
  </si>
  <si>
    <t>02-02-16 17:02:53</t>
  </si>
  <si>
    <t>30-03-18 12:05:25</t>
  </si>
  <si>
    <t>zainulabedink987@gmail.com</t>
  </si>
  <si>
    <t>91 9773632567</t>
  </si>
  <si>
    <t>Tilak Maharashtra University</t>
  </si>
  <si>
    <t>26-05-18 13:59:38</t>
  </si>
  <si>
    <t>19-08-18 18:11:22</t>
  </si>
  <si>
    <t>Atul Swarnkar</t>
  </si>
  <si>
    <t>atul35924@gmail.com</t>
  </si>
  <si>
    <t>91 9098751773</t>
  </si>
  <si>
    <t>Manager Civil engineering</t>
  </si>
  <si>
    <t>NTPC Ltd And PWD</t>
  </si>
  <si>
    <t>Govt. Engg. College Rewa</t>
  </si>
  <si>
    <t>02-04-18 11:35:17</t>
  </si>
  <si>
    <t>03-04-18 10:54:00</t>
  </si>
  <si>
    <t>Mouzam Mulla</t>
  </si>
  <si>
    <t>01 Aug 1989</t>
  </si>
  <si>
    <t>mouzam.a.mulla@gmail.com</t>
  </si>
  <si>
    <t>91 8286587075</t>
  </si>
  <si>
    <t>Sr Financial Analysts</t>
  </si>
  <si>
    <t>Goldman Sachs</t>
  </si>
  <si>
    <t>Sanpada collage or commerce and technology</t>
  </si>
  <si>
    <t>04-09-18 17:53:01</t>
  </si>
  <si>
    <t>05-09-18 11:01:38</t>
  </si>
  <si>
    <t>VIJAY KADAM</t>
  </si>
  <si>
    <t>marcosvijaynavy@yahoo.co.in</t>
  </si>
  <si>
    <t>91 9920203253</t>
  </si>
  <si>
    <t>Sr Manager operation</t>
  </si>
  <si>
    <t>Underwater Services Company Ltd</t>
  </si>
  <si>
    <t xml:space="preserve">Andra unervisity </t>
  </si>
  <si>
    <t>21-04-16 12:30:31</t>
  </si>
  <si>
    <t>29-06-18 20:28:17</t>
  </si>
  <si>
    <t>Goodnight agnihotri</t>
  </si>
  <si>
    <t>gba9368.swpfo@gmail.com</t>
  </si>
  <si>
    <t>91 9148407884</t>
  </si>
  <si>
    <t>Simplex Infrastructures Ltd</t>
  </si>
  <si>
    <t>Sdm college of engineering, Dharawad</t>
  </si>
  <si>
    <t>02-04-18 15:05:01</t>
  </si>
  <si>
    <t>varsha jha</t>
  </si>
  <si>
    <t>varshakishorejha@gmail.com</t>
  </si>
  <si>
    <t>91 9869162925</t>
  </si>
  <si>
    <t>Dentist</t>
  </si>
  <si>
    <t>Dr varsha's dental health care</t>
  </si>
  <si>
    <t>15-08-17 14:44:32</t>
  </si>
  <si>
    <t>31-07-18 12:32:23</t>
  </si>
  <si>
    <t>avinash sekhar</t>
  </si>
  <si>
    <t>avinashsekhar@gmail.com</t>
  </si>
  <si>
    <t>91 9846474724</t>
  </si>
  <si>
    <t>spa manager</t>
  </si>
  <si>
    <t>chandys windy woods</t>
  </si>
  <si>
    <t>santhigiri ayurveda hospital gorai</t>
  </si>
  <si>
    <t>12-03-18 17:01:20</t>
  </si>
  <si>
    <t>09-07-18 14:33:24</t>
  </si>
  <si>
    <t>CA Deepak Adhikari</t>
  </si>
  <si>
    <t>ca.adhikarideepak@gmail.com</t>
  </si>
  <si>
    <t>91 8800841150</t>
  </si>
  <si>
    <t>Dicitex Furnishings Group of Companies</t>
  </si>
  <si>
    <t>22-08-18 10:22:33</t>
  </si>
  <si>
    <t>30-08-18 15:31:09</t>
  </si>
  <si>
    <t>Binita Shah</t>
  </si>
  <si>
    <t>binitaumwelt@gmail.com</t>
  </si>
  <si>
    <t>91 8898378869</t>
  </si>
  <si>
    <t>Associate  research</t>
  </si>
  <si>
    <t>MSCI Services</t>
  </si>
  <si>
    <t>Bharti Vidyapeeth</t>
  </si>
  <si>
    <t>01-03-18 14:30:38</t>
  </si>
  <si>
    <t>27-04-18 11:57:22</t>
  </si>
  <si>
    <t>Deepak Panicker</t>
  </si>
  <si>
    <t>20 Apr 1985</t>
  </si>
  <si>
    <t>deepakpanicker2004@gmail.com</t>
  </si>
  <si>
    <t>91 9867180742</t>
  </si>
  <si>
    <t>Senior Customer Service Associate</t>
  </si>
  <si>
    <t>Fareportal India Private Limited</t>
  </si>
  <si>
    <t>23-03-17 21:50:25</t>
  </si>
  <si>
    <t>06-08-18 18:31:26</t>
  </si>
  <si>
    <t>Madhavi Digvijay Kasbekar</t>
  </si>
  <si>
    <t>madhavi_shah82@yahoo.co.in</t>
  </si>
  <si>
    <t>91 9167696420</t>
  </si>
  <si>
    <t>Ksteamship management Pvt. LTD.</t>
  </si>
  <si>
    <t>L S Raheja college</t>
  </si>
  <si>
    <t>09-04-18 17:03:22</t>
  </si>
  <si>
    <t>17-08-18 16:57:36</t>
  </si>
  <si>
    <t>yusuf khan</t>
  </si>
  <si>
    <t>11 Mar 1979</t>
  </si>
  <si>
    <t>yusuf1khan786@gmail.com</t>
  </si>
  <si>
    <t>91 9821522370</t>
  </si>
  <si>
    <t>15 Yrs 5 Months</t>
  </si>
  <si>
    <t>Rs. 3.65 Lacs</t>
  </si>
  <si>
    <t>ASSISTANT DUTY OFFICER</t>
  </si>
  <si>
    <t>CLARAS COLLEGE OF COMMERCE</t>
  </si>
  <si>
    <t>01-11-17 08:01:31</t>
  </si>
  <si>
    <t>09-05-18 15:29:52</t>
  </si>
  <si>
    <t xml:space="preserve">SREEKANTH S </t>
  </si>
  <si>
    <t>sreekanthskamath@gmail.com</t>
  </si>
  <si>
    <t>91 7738070834</t>
  </si>
  <si>
    <t>Instrumentation Design Engineer</t>
  </si>
  <si>
    <t>FISAT</t>
  </si>
  <si>
    <t>27-04-16 16:11:59</t>
  </si>
  <si>
    <t>07-08-18 18:47:16</t>
  </si>
  <si>
    <t>Karishma Katkar</t>
  </si>
  <si>
    <t>28 Apr 1982</t>
  </si>
  <si>
    <t>karishmakeny@gmail.com</t>
  </si>
  <si>
    <t>91 9320626677</t>
  </si>
  <si>
    <t>Swiss International Airlines Ltd</t>
  </si>
  <si>
    <t>04-04-18 11:35:39</t>
  </si>
  <si>
    <t>30-05-18 21:06:34</t>
  </si>
  <si>
    <t>rakesh koul</t>
  </si>
  <si>
    <t>30 May 1983</t>
  </si>
  <si>
    <t>rock_koul12@yahoo.com</t>
  </si>
  <si>
    <t>91 9930051755</t>
  </si>
  <si>
    <t>Nigeria, Mumbai City</t>
  </si>
  <si>
    <t>Manager channels (west)</t>
  </si>
  <si>
    <t>consul Neowatt power solutions  pvt  ltd</t>
  </si>
  <si>
    <t>konkan gyanpeeths college of Engineering</t>
  </si>
  <si>
    <t>26-07-18 18:47:28</t>
  </si>
  <si>
    <t>29-07-18 11:23:39</t>
  </si>
  <si>
    <t>Meldon Miranda</t>
  </si>
  <si>
    <t>meldonmiranda@rediffmail.com</t>
  </si>
  <si>
    <t>91 9619085243</t>
  </si>
  <si>
    <t>Siemens Limited</t>
  </si>
  <si>
    <t>National Power Training Institute</t>
  </si>
  <si>
    <t>30-04-16 19:19:28</t>
  </si>
  <si>
    <t>30-07-18 12:27:17</t>
  </si>
  <si>
    <t>Namrata Mehta</t>
  </si>
  <si>
    <t>nmehta_02@rediffmail.com</t>
  </si>
  <si>
    <t>91 9821675797</t>
  </si>
  <si>
    <t>SSNC GlobeOp Financial Services Private Limited</t>
  </si>
  <si>
    <t>04-04-18 10:49:06</t>
  </si>
  <si>
    <t>06-04-18 10:59:20</t>
  </si>
  <si>
    <t>Note: The data downloaded shall be used for the purpose of recruitment and hiring process only. Any misuse / spamming / unsolicited mailing of data will tantamount to termination or suspension of Shine.com service at the sole discretion of Shine.com.</t>
  </si>
  <si>
    <t>Number</t>
  </si>
  <si>
    <t xml:space="preserve"> </t>
  </si>
  <si>
    <t>PRINTED  29 PAGES  ON 21 SEP 2018</t>
  </si>
</sst>
</file>

<file path=xl/styles.xml><?xml version="1.0" encoding="utf-8"?>
<styleSheet xmlns="http://schemas.openxmlformats.org/spreadsheetml/2006/main">
  <fonts count="3">
    <font>
      <sz val="11"/>
      <color theme="1"/>
      <name val="Calibri"/>
      <family val="2"/>
      <scheme val="minor"/>
    </font>
    <font>
      <b/>
      <sz val="10"/>
      <color rgb="FF000000"/>
      <name val="Arial"/>
      <family val="2"/>
    </font>
    <font>
      <b/>
      <sz val="18"/>
      <color theme="1"/>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applyAlignment="1">
      <alignment wrapText="1"/>
    </xf>
    <xf numFmtId="0" fontId="1" fillId="0" borderId="0" xfId="0" applyFont="1"/>
    <xf numFmtId="0" fontId="1" fillId="0" borderId="1" xfId="0" applyFont="1" applyBorder="1" applyAlignment="1">
      <alignment wrapText="1"/>
    </xf>
    <xf numFmtId="0" fontId="0" fillId="0" borderId="1" xfId="0" applyBorder="1"/>
    <xf numFmtId="0" fontId="2" fillId="2" borderId="1" xfId="0" applyFont="1" applyFill="1" applyBorder="1"/>
    <xf numFmtId="0" fontId="1" fillId="0" borderId="0" xfId="0" applyFont="1" applyAlignment="1">
      <alignment wrapText="1"/>
    </xf>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Z1506"/>
  <sheetViews>
    <sheetView topLeftCell="H4" workbookViewId="0">
      <selection activeCell="N4" sqref="N1:N1048576"/>
    </sheetView>
  </sheetViews>
  <sheetFormatPr defaultColWidth="11.42578125" defaultRowHeight="15"/>
  <cols>
    <col min="1" max="1" width="8" customWidth="1"/>
    <col min="2" max="24" width="25" customWidth="1"/>
    <col min="25" max="25" width="50" customWidth="1"/>
  </cols>
  <sheetData>
    <row r="1" spans="1:104" hidden="1">
      <c r="A1" s="6" t="s">
        <v>0</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row>
    <row r="2" spans="1:104" hidden="1">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row>
    <row r="3" spans="1:104" hidden="1">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row>
    <row r="4" spans="1:104" ht="24.95" customHeight="1">
      <c r="A4" s="1" t="s">
        <v>1</v>
      </c>
      <c r="B4" s="1" t="s">
        <v>2</v>
      </c>
      <c r="C4" s="1" t="s">
        <v>3</v>
      </c>
      <c r="D4" s="1" t="s">
        <v>4</v>
      </c>
      <c r="E4" s="1" t="s">
        <v>5</v>
      </c>
      <c r="F4" s="1" t="s">
        <v>6</v>
      </c>
      <c r="G4" s="1" t="s">
        <v>7</v>
      </c>
      <c r="H4" s="1" t="s">
        <v>8</v>
      </c>
      <c r="I4" s="1" t="s">
        <v>9</v>
      </c>
      <c r="J4" s="1" t="s">
        <v>10</v>
      </c>
      <c r="K4" s="1" t="s">
        <v>11</v>
      </c>
      <c r="L4" s="1" t="s">
        <v>12</v>
      </c>
      <c r="M4" s="1" t="s">
        <v>13</v>
      </c>
      <c r="N4" s="1" t="s">
        <v>14</v>
      </c>
      <c r="O4" s="1" t="s">
        <v>15</v>
      </c>
      <c r="P4" s="1" t="s">
        <v>16</v>
      </c>
      <c r="Q4" s="1" t="s">
        <v>17</v>
      </c>
      <c r="R4" s="1" t="s">
        <v>18</v>
      </c>
      <c r="S4" s="1" t="s">
        <v>19</v>
      </c>
      <c r="T4" s="1" t="s">
        <v>20</v>
      </c>
      <c r="U4" s="1" t="s">
        <v>21</v>
      </c>
      <c r="V4" s="1" t="s">
        <v>22</v>
      </c>
      <c r="W4" s="1" t="s">
        <v>23</v>
      </c>
      <c r="X4" s="1" t="s">
        <v>24</v>
      </c>
      <c r="Y4" s="1" t="s">
        <v>25</v>
      </c>
    </row>
    <row r="5" spans="1:104" ht="39.950000000000003" customHeight="1">
      <c r="A5">
        <v>1</v>
      </c>
      <c r="B5" t="s">
        <v>26</v>
      </c>
      <c r="D5" t="s">
        <v>27</v>
      </c>
      <c r="E5" t="s">
        <v>28</v>
      </c>
      <c r="F5" t="s">
        <v>29</v>
      </c>
      <c r="G5" t="s">
        <v>30</v>
      </c>
      <c r="H5" t="s">
        <v>31</v>
      </c>
      <c r="I5" t="s">
        <v>32</v>
      </c>
      <c r="J5" t="s">
        <v>33</v>
      </c>
      <c r="K5" t="s">
        <v>34</v>
      </c>
      <c r="L5" t="s">
        <v>35</v>
      </c>
      <c r="M5" t="s">
        <v>36</v>
      </c>
      <c r="N5" t="s">
        <v>37</v>
      </c>
      <c r="O5" t="s">
        <v>38</v>
      </c>
      <c r="P5" t="s">
        <v>39</v>
      </c>
      <c r="Q5" t="s">
        <v>40</v>
      </c>
      <c r="R5" t="s">
        <v>41</v>
      </c>
      <c r="S5" t="s">
        <v>42</v>
      </c>
      <c r="U5" t="s">
        <v>43</v>
      </c>
      <c r="V5" t="s">
        <v>44</v>
      </c>
      <c r="W5" t="s">
        <v>45</v>
      </c>
      <c r="Y5" t="str">
        <f>HYPERLINK("https://recruiter.shine.com/resume/download/?resumeid=gAAAAABbk2UK10wltEN6-9y6XrEDlWY9CLo2Wk29jF49pYOzzA68I7HIN3EXa6Frxk5IRS4J1Z733ZcpEUEe_9Fn7Fvw9EtBN-4q_eUW1RJbWhgVYL4y_RT0v-3RS-ri_9KXzGgBBqGf")</f>
        <v>https://recruiter.shine.com/resume/download/?resumeid=gAAAAABbk2UK10wltEN6-9y6XrEDlWY9CLo2Wk29jF49pYOzzA68I7HIN3EXa6Frxk5IRS4J1Z733ZcpEUEe_9Fn7Fvw9EtBN-4q_eUW1RJbWhgVYL4y_RT0v-3RS-ri_9KXzGgBBqGf</v>
      </c>
    </row>
    <row r="6" spans="1:104" ht="39.950000000000003" customHeight="1">
      <c r="A6">
        <v>2</v>
      </c>
      <c r="B6" t="s">
        <v>46</v>
      </c>
      <c r="C6" t="s">
        <v>47</v>
      </c>
      <c r="D6" t="s">
        <v>48</v>
      </c>
      <c r="E6" t="s">
        <v>49</v>
      </c>
      <c r="F6" t="s">
        <v>29</v>
      </c>
      <c r="G6" t="s">
        <v>29</v>
      </c>
      <c r="H6" t="s">
        <v>31</v>
      </c>
      <c r="I6" t="s">
        <v>50</v>
      </c>
      <c r="J6" t="s">
        <v>51</v>
      </c>
      <c r="K6" t="s">
        <v>52</v>
      </c>
      <c r="L6" t="s">
        <v>53</v>
      </c>
      <c r="M6" t="s">
        <v>54</v>
      </c>
      <c r="N6" t="s">
        <v>55</v>
      </c>
      <c r="O6" t="s">
        <v>56</v>
      </c>
      <c r="P6" t="s">
        <v>57</v>
      </c>
      <c r="Q6" t="s">
        <v>58</v>
      </c>
      <c r="R6" t="s">
        <v>59</v>
      </c>
      <c r="S6" t="s">
        <v>60</v>
      </c>
      <c r="T6" t="s">
        <v>61</v>
      </c>
      <c r="U6" t="s">
        <v>43</v>
      </c>
      <c r="V6" t="s">
        <v>62</v>
      </c>
      <c r="W6" t="s">
        <v>63</v>
      </c>
      <c r="Y6" t="str">
        <f>HYPERLINK("https://recruiter.shine.com/resume/download/?resumeid=gAAAAABbk2UMu7y_rgzp-X__MUp4chV1P8NtSCgkNVIsXHLdQ00vCkVjIyFHwaOjT26EHNjpYFLxOxmVSMFWL8jj5TBSC8igVGP8f-BlErH0gpySv-E7VO0CoLhvInKkJ4o6wEkSYijkyHILYbJTPtUmWMjVgmOyXw==")</f>
        <v>https://recruiter.shine.com/resume/download/?resumeid=gAAAAABbk2UMu7y_rgzp-X__MUp4chV1P8NtSCgkNVIsXHLdQ00vCkVjIyFHwaOjT26EHNjpYFLxOxmVSMFWL8jj5TBSC8igVGP8f-BlErH0gpySv-E7VO0CoLhvInKkJ4o6wEkSYijkyHILYbJTPtUmWMjVgmOyXw==</v>
      </c>
    </row>
    <row r="7" spans="1:104" ht="39.950000000000003" customHeight="1">
      <c r="A7">
        <v>3</v>
      </c>
      <c r="B7" t="s">
        <v>64</v>
      </c>
      <c r="D7" t="s">
        <v>65</v>
      </c>
      <c r="E7" t="s">
        <v>66</v>
      </c>
      <c r="F7" t="s">
        <v>29</v>
      </c>
      <c r="G7" t="s">
        <v>67</v>
      </c>
      <c r="H7" t="s">
        <v>31</v>
      </c>
      <c r="I7" t="s">
        <v>68</v>
      </c>
      <c r="J7" t="s">
        <v>69</v>
      </c>
      <c r="K7" t="s">
        <v>70</v>
      </c>
      <c r="L7" t="s">
        <v>71</v>
      </c>
      <c r="M7" t="s">
        <v>36</v>
      </c>
      <c r="N7" t="s">
        <v>72</v>
      </c>
      <c r="O7" t="s">
        <v>56</v>
      </c>
      <c r="P7" t="s">
        <v>73</v>
      </c>
      <c r="Q7" t="s">
        <v>74</v>
      </c>
      <c r="R7" t="s">
        <v>75</v>
      </c>
      <c r="S7" t="s">
        <v>76</v>
      </c>
      <c r="T7" t="s">
        <v>77</v>
      </c>
      <c r="U7" t="s">
        <v>43</v>
      </c>
      <c r="V7" t="s">
        <v>78</v>
      </c>
      <c r="W7" t="s">
        <v>79</v>
      </c>
      <c r="Y7" t="str">
        <f>HYPERLINK("https://recruiter.shine.com/resume/download/?resumeid=gAAAAABbk2UOTEDcIB2XBI7HOe26qinommFZUv96PkrzO7QZ8X2-9f58fg2TTGkAPeSZOKxQerElrzXB9FsxExIuFmWpubB2jU-WUZNLP56fb42IPoh66BjcxUrKtsZsKKkzSnvOj5u49QIEnhUbEvT_S3ain408jWaJAGOzPFzZW4Als6hT4iw=")</f>
        <v>https://recruiter.shine.com/resume/download/?resumeid=gAAAAABbk2UOTEDcIB2XBI7HOe26qinommFZUv96PkrzO7QZ8X2-9f58fg2TTGkAPeSZOKxQerElrzXB9FsxExIuFmWpubB2jU-WUZNLP56fb42IPoh66BjcxUrKtsZsKKkzSnvOj5u49QIEnhUbEvT_S3ain408jWaJAGOzPFzZW4Als6hT4iw=</v>
      </c>
    </row>
    <row r="8" spans="1:104" ht="39.950000000000003" customHeight="1">
      <c r="A8">
        <v>4</v>
      </c>
      <c r="B8" t="s">
        <v>80</v>
      </c>
      <c r="C8" t="s">
        <v>81</v>
      </c>
      <c r="D8" t="s">
        <v>82</v>
      </c>
      <c r="E8" t="s">
        <v>83</v>
      </c>
      <c r="F8" t="s">
        <v>29</v>
      </c>
      <c r="G8" t="s">
        <v>84</v>
      </c>
      <c r="H8" t="s">
        <v>31</v>
      </c>
      <c r="I8" t="s">
        <v>85</v>
      </c>
      <c r="J8" t="s">
        <v>86</v>
      </c>
      <c r="K8" t="s">
        <v>87</v>
      </c>
      <c r="L8" t="s">
        <v>88</v>
      </c>
      <c r="M8" t="s">
        <v>36</v>
      </c>
      <c r="N8" t="s">
        <v>89</v>
      </c>
      <c r="O8" t="s">
        <v>56</v>
      </c>
      <c r="P8" t="s">
        <v>57</v>
      </c>
      <c r="Q8" t="s">
        <v>90</v>
      </c>
      <c r="R8" t="s">
        <v>91</v>
      </c>
      <c r="S8" t="s">
        <v>92</v>
      </c>
      <c r="T8" t="s">
        <v>93</v>
      </c>
      <c r="U8" t="s">
        <v>94</v>
      </c>
      <c r="V8" t="s">
        <v>95</v>
      </c>
      <c r="W8" t="s">
        <v>95</v>
      </c>
      <c r="Y8" t="str">
        <f>HYPERLINK("https://recruiter.shine.com/resume/download/?resumeid=gAAAAABbk2ULbIQX_-5mxDXXNpHRaQ3jnqurD3Ttt9AgzWSTKB2kE5AF_cSiYXClbl73rKAVg43S4xgnjWZUjTEo7IOGGFY8mVBnA0IdUFNvZ5Yoi3uj268D_XA7DXCzHGfWggEyckaP")</f>
        <v>https://recruiter.shine.com/resume/download/?resumeid=gAAAAABbk2ULbIQX_-5mxDXXNpHRaQ3jnqurD3Ttt9AgzWSTKB2kE5AF_cSiYXClbl73rKAVg43S4xgnjWZUjTEo7IOGGFY8mVBnA0IdUFNvZ5Yoi3uj268D_XA7DXCzHGfWggEyckaP</v>
      </c>
    </row>
    <row r="9" spans="1:104" ht="39.950000000000003" customHeight="1">
      <c r="A9">
        <v>5</v>
      </c>
      <c r="B9" t="s">
        <v>96</v>
      </c>
      <c r="C9" t="s">
        <v>97</v>
      </c>
      <c r="D9" t="s">
        <v>98</v>
      </c>
      <c r="E9" t="s">
        <v>99</v>
      </c>
      <c r="F9" t="s">
        <v>29</v>
      </c>
      <c r="G9" t="s">
        <v>100</v>
      </c>
      <c r="H9" t="s">
        <v>31</v>
      </c>
      <c r="I9" t="s">
        <v>101</v>
      </c>
      <c r="J9" t="s">
        <v>102</v>
      </c>
      <c r="K9" t="s">
        <v>103</v>
      </c>
      <c r="L9" t="s">
        <v>104</v>
      </c>
      <c r="M9" t="s">
        <v>105</v>
      </c>
      <c r="N9" t="s">
        <v>106</v>
      </c>
      <c r="O9" t="s">
        <v>38</v>
      </c>
      <c r="P9" t="s">
        <v>73</v>
      </c>
      <c r="Q9" t="s">
        <v>107</v>
      </c>
      <c r="R9" t="s">
        <v>108</v>
      </c>
      <c r="S9" t="s">
        <v>109</v>
      </c>
      <c r="T9" t="s">
        <v>110</v>
      </c>
      <c r="U9" t="s">
        <v>43</v>
      </c>
      <c r="V9" t="s">
        <v>111</v>
      </c>
      <c r="W9" t="s">
        <v>112</v>
      </c>
      <c r="Y9" t="str">
        <f>HYPERLINK("https://recruiter.shine.com/resume/download/?resumeid=gAAAAABbk2UMKqJiTE-dnk99Zpa1u1kbysDjEXVQUCFuRdFVK884JD-tX10BRNOb9O5Um9Qgj_-LChH9HlmNYbwIfj8RACevDov2xnLRWW6jpNPmTi0q-Cx8zHLiCr8cvxvf3A3i2Byh1ww_SznoES0YS8c1QM26XQ==")</f>
        <v>https://recruiter.shine.com/resume/download/?resumeid=gAAAAABbk2UMKqJiTE-dnk99Zpa1u1kbysDjEXVQUCFuRdFVK884JD-tX10BRNOb9O5Um9Qgj_-LChH9HlmNYbwIfj8RACevDov2xnLRWW6jpNPmTi0q-Cx8zHLiCr8cvxvf3A3i2Byh1ww_SznoES0YS8c1QM26XQ==</v>
      </c>
    </row>
    <row r="10" spans="1:104" ht="39.950000000000003" customHeight="1">
      <c r="A10">
        <v>6</v>
      </c>
      <c r="B10" t="s">
        <v>113</v>
      </c>
      <c r="C10" t="s">
        <v>114</v>
      </c>
      <c r="D10" t="s">
        <v>115</v>
      </c>
      <c r="E10" t="s">
        <v>116</v>
      </c>
      <c r="F10" t="s">
        <v>29</v>
      </c>
      <c r="G10" t="s">
        <v>29</v>
      </c>
      <c r="H10" t="s">
        <v>31</v>
      </c>
      <c r="I10" t="s">
        <v>117</v>
      </c>
      <c r="J10" t="s">
        <v>118</v>
      </c>
      <c r="K10" t="s">
        <v>119</v>
      </c>
      <c r="L10" t="s">
        <v>120</v>
      </c>
      <c r="M10" t="s">
        <v>121</v>
      </c>
      <c r="N10" t="s">
        <v>122</v>
      </c>
      <c r="O10" t="s">
        <v>38</v>
      </c>
      <c r="Q10" t="s">
        <v>123</v>
      </c>
      <c r="R10" t="s">
        <v>124</v>
      </c>
      <c r="S10" t="s">
        <v>125</v>
      </c>
      <c r="T10" t="s">
        <v>126</v>
      </c>
      <c r="U10" t="s">
        <v>127</v>
      </c>
      <c r="V10" t="s">
        <v>128</v>
      </c>
      <c r="W10" t="s">
        <v>128</v>
      </c>
      <c r="Y10" t="str">
        <f>HYPERLINK("https://recruiter.shine.com/resume/download/?resumeid=gAAAAABbk2UOs6g3pivFAJEmjHFs0QISD91q1gQSY2V4_1LQ593bw1Wyw4L0KydKwdcfEDVW8sHlzoruzsgQU4gRwx_QkGPlHZ4CZFcpjTSw4_crIfVzCXbwIfZce_8YDqyJuQsWAaGf")</f>
        <v>https://recruiter.shine.com/resume/download/?resumeid=gAAAAABbk2UOs6g3pivFAJEmjHFs0QISD91q1gQSY2V4_1LQ593bw1Wyw4L0KydKwdcfEDVW8sHlzoruzsgQU4gRwx_QkGPlHZ4CZFcpjTSw4_crIfVzCXbwIfZce_8YDqyJuQsWAaGf</v>
      </c>
    </row>
    <row r="11" spans="1:104" ht="39.950000000000003" customHeight="1">
      <c r="A11">
        <v>7</v>
      </c>
      <c r="B11" t="s">
        <v>129</v>
      </c>
      <c r="C11" t="s">
        <v>130</v>
      </c>
      <c r="D11" t="s">
        <v>131</v>
      </c>
      <c r="E11" t="s">
        <v>132</v>
      </c>
      <c r="F11" t="s">
        <v>29</v>
      </c>
      <c r="G11" t="s">
        <v>133</v>
      </c>
      <c r="H11" t="s">
        <v>31</v>
      </c>
      <c r="I11" t="s">
        <v>134</v>
      </c>
      <c r="J11" t="s">
        <v>135</v>
      </c>
      <c r="K11" t="s">
        <v>136</v>
      </c>
      <c r="L11" t="s">
        <v>137</v>
      </c>
      <c r="M11" t="s">
        <v>138</v>
      </c>
      <c r="N11" t="s">
        <v>139</v>
      </c>
      <c r="O11" t="s">
        <v>56</v>
      </c>
      <c r="P11" t="s">
        <v>140</v>
      </c>
      <c r="Q11" t="s">
        <v>141</v>
      </c>
      <c r="R11" t="s">
        <v>142</v>
      </c>
      <c r="S11" t="s">
        <v>143</v>
      </c>
      <c r="T11" t="s">
        <v>144</v>
      </c>
      <c r="U11" t="s">
        <v>43</v>
      </c>
      <c r="V11" t="s">
        <v>145</v>
      </c>
      <c r="W11" t="s">
        <v>146</v>
      </c>
      <c r="Y11" t="str">
        <f>HYPERLINK("https://recruiter.shine.com/resume/download/?resumeid=gAAAAABbk2UL3yGCCFlYGSfjE0lerhPVCpSfQM6XRu4gIewHc1HwoHU2IXwQZ1EarZ6m1r3UhRXGFASnrYOVC9rTH9uUOO7kcuDM_Ap6-uRmTdVgZO8oTVHMd3jr9yRqy6MF0NwZbn1m")</f>
        <v>https://recruiter.shine.com/resume/download/?resumeid=gAAAAABbk2UL3yGCCFlYGSfjE0lerhPVCpSfQM6XRu4gIewHc1HwoHU2IXwQZ1EarZ6m1r3UhRXGFASnrYOVC9rTH9uUOO7kcuDM_Ap6-uRmTdVgZO8oTVHMd3jr9yRqy6MF0NwZbn1m</v>
      </c>
    </row>
    <row r="12" spans="1:104" ht="39.950000000000003" customHeight="1">
      <c r="A12">
        <v>8</v>
      </c>
      <c r="B12" t="s">
        <v>147</v>
      </c>
      <c r="C12" t="s">
        <v>148</v>
      </c>
      <c r="D12" t="s">
        <v>149</v>
      </c>
      <c r="E12" t="s">
        <v>150</v>
      </c>
      <c r="F12" t="s">
        <v>29</v>
      </c>
      <c r="G12" t="s">
        <v>151</v>
      </c>
      <c r="H12" t="s">
        <v>31</v>
      </c>
      <c r="I12" t="s">
        <v>152</v>
      </c>
      <c r="J12" t="s">
        <v>153</v>
      </c>
      <c r="K12" t="s">
        <v>154</v>
      </c>
      <c r="L12" t="s">
        <v>155</v>
      </c>
      <c r="M12" t="s">
        <v>105</v>
      </c>
      <c r="N12" t="s">
        <v>156</v>
      </c>
      <c r="O12" t="s">
        <v>157</v>
      </c>
      <c r="P12" t="s">
        <v>57</v>
      </c>
      <c r="Q12" t="s">
        <v>158</v>
      </c>
      <c r="R12" t="s">
        <v>159</v>
      </c>
      <c r="S12" t="s">
        <v>160</v>
      </c>
      <c r="T12" t="s">
        <v>161</v>
      </c>
      <c r="U12" t="s">
        <v>43</v>
      </c>
      <c r="V12" t="s">
        <v>162</v>
      </c>
      <c r="W12" t="s">
        <v>163</v>
      </c>
      <c r="Y12" t="str">
        <f>HYPERLINK("https://recruiter.shine.com/resume/download/?resumeid=gAAAAABbk2UM4BT9qOx2KPBPnC6K28vg2Lsd0qE9yESx324fZGu7d_WsxuwQYdpqB6eF2FOQ-uZjwHg3fcuonDNp5OzrmsCVZ9Am36s_MRNtRUFNj64QwsxdoH-ZYWIcSnSZR_pjy6T04BFS6UiAFaDsiiOdQOLTGg==")</f>
        <v>https://recruiter.shine.com/resume/download/?resumeid=gAAAAABbk2UM4BT9qOx2KPBPnC6K28vg2Lsd0qE9yESx324fZGu7d_WsxuwQYdpqB6eF2FOQ-uZjwHg3fcuonDNp5OzrmsCVZ9Am36s_MRNtRUFNj64QwsxdoH-ZYWIcSnSZR_pjy6T04BFS6UiAFaDsiiOdQOLTGg==</v>
      </c>
    </row>
    <row r="13" spans="1:104" ht="39.950000000000003" customHeight="1">
      <c r="A13">
        <v>9</v>
      </c>
      <c r="B13" t="s">
        <v>164</v>
      </c>
      <c r="D13" t="s">
        <v>165</v>
      </c>
      <c r="E13" t="s">
        <v>166</v>
      </c>
      <c r="F13" t="s">
        <v>29</v>
      </c>
      <c r="G13" t="s">
        <v>167</v>
      </c>
      <c r="H13" t="s">
        <v>31</v>
      </c>
      <c r="I13" t="s">
        <v>168</v>
      </c>
      <c r="J13" t="s">
        <v>169</v>
      </c>
      <c r="K13" t="s">
        <v>170</v>
      </c>
      <c r="L13" t="s">
        <v>171</v>
      </c>
      <c r="M13" t="s">
        <v>172</v>
      </c>
      <c r="N13" t="s">
        <v>173</v>
      </c>
      <c r="O13" t="s">
        <v>38</v>
      </c>
      <c r="P13" t="s">
        <v>57</v>
      </c>
      <c r="Q13" t="s">
        <v>123</v>
      </c>
      <c r="R13" t="s">
        <v>124</v>
      </c>
      <c r="S13" t="s">
        <v>174</v>
      </c>
      <c r="T13" t="s">
        <v>175</v>
      </c>
      <c r="U13" t="s">
        <v>43</v>
      </c>
      <c r="V13" t="s">
        <v>176</v>
      </c>
      <c r="W13" t="s">
        <v>177</v>
      </c>
      <c r="Y13" t="str">
        <f>HYPERLINK("https://recruiter.shine.com/resume/download/?resumeid=gAAAAABbk2UO3QjBl1mIP-9HbsOSBrSg8rfUXN2nbeEyJPTEHynZ4qemwgtZogIAxVJVd5qH3Yt6qCpNBn5kQgsZ-m1i7uFENLRK_ioJBxTfDr-2ou3AwF1FA_SI3Q76hrnWyMEmsJEwBPcXZGTiIvT_v4iQJKRUHQ==")</f>
        <v>https://recruiter.shine.com/resume/download/?resumeid=gAAAAABbk2UO3QjBl1mIP-9HbsOSBrSg8rfUXN2nbeEyJPTEHynZ4qemwgtZogIAxVJVd5qH3Yt6qCpNBn5kQgsZ-m1i7uFENLRK_ioJBxTfDr-2ou3AwF1FA_SI3Q76hrnWyMEmsJEwBPcXZGTiIvT_v4iQJKRUHQ==</v>
      </c>
    </row>
    <row r="14" spans="1:104" ht="39.950000000000003" customHeight="1">
      <c r="A14">
        <v>10</v>
      </c>
      <c r="B14" t="s">
        <v>178</v>
      </c>
      <c r="D14" t="s">
        <v>179</v>
      </c>
      <c r="E14" t="s">
        <v>180</v>
      </c>
      <c r="F14" t="s">
        <v>29</v>
      </c>
      <c r="G14" t="s">
        <v>181</v>
      </c>
      <c r="H14" t="s">
        <v>31</v>
      </c>
      <c r="I14" t="s">
        <v>134</v>
      </c>
      <c r="J14" t="s">
        <v>182</v>
      </c>
      <c r="K14" t="s">
        <v>183</v>
      </c>
      <c r="L14" t="s">
        <v>184</v>
      </c>
      <c r="M14" t="s">
        <v>105</v>
      </c>
      <c r="N14" t="s">
        <v>185</v>
      </c>
      <c r="O14" t="s">
        <v>186</v>
      </c>
      <c r="P14" t="s">
        <v>57</v>
      </c>
      <c r="Q14" t="s">
        <v>187</v>
      </c>
      <c r="R14" t="s">
        <v>124</v>
      </c>
      <c r="S14" t="s">
        <v>188</v>
      </c>
      <c r="T14" t="s">
        <v>110</v>
      </c>
      <c r="U14" t="s">
        <v>43</v>
      </c>
      <c r="V14" t="s">
        <v>189</v>
      </c>
      <c r="W14" t="s">
        <v>190</v>
      </c>
      <c r="Y14" t="str">
        <f>HYPERLINK("https://recruiter.shine.com/resume/download/?resumeid=gAAAAABbk2ULLee81MBD9bBTnKRdaDmhxPWdYu8vpDi2VfXVcxe3O4A4mI-3G6VcMPYpKp-JI0UUvIh7ylRB1nek78mCe4erTZy_NWEyBnPfpaNqW8k7g5hunGGDVWsaCbZS9V7OmkPP")</f>
        <v>https://recruiter.shine.com/resume/download/?resumeid=gAAAAABbk2ULLee81MBD9bBTnKRdaDmhxPWdYu8vpDi2VfXVcxe3O4A4mI-3G6VcMPYpKp-JI0UUvIh7ylRB1nek78mCe4erTZy_NWEyBnPfpaNqW8k7g5hunGGDVWsaCbZS9V7OmkPP</v>
      </c>
    </row>
    <row r="15" spans="1:104" ht="39.950000000000003" customHeight="1">
      <c r="A15">
        <v>11</v>
      </c>
      <c r="B15" t="s">
        <v>191</v>
      </c>
      <c r="C15" t="s">
        <v>192</v>
      </c>
      <c r="D15" t="s">
        <v>193</v>
      </c>
      <c r="E15" t="s">
        <v>194</v>
      </c>
      <c r="F15" t="s">
        <v>29</v>
      </c>
      <c r="G15" t="s">
        <v>195</v>
      </c>
      <c r="H15" t="s">
        <v>31</v>
      </c>
      <c r="I15" t="s">
        <v>196</v>
      </c>
      <c r="J15" t="s">
        <v>197</v>
      </c>
      <c r="K15" t="s">
        <v>198</v>
      </c>
      <c r="L15" t="s">
        <v>199</v>
      </c>
      <c r="M15" t="s">
        <v>36</v>
      </c>
      <c r="N15" t="s">
        <v>200</v>
      </c>
      <c r="O15" t="s">
        <v>186</v>
      </c>
      <c r="P15" t="s">
        <v>201</v>
      </c>
      <c r="Q15" t="s">
        <v>107</v>
      </c>
      <c r="R15" t="s">
        <v>108</v>
      </c>
      <c r="S15" t="s">
        <v>202</v>
      </c>
      <c r="T15" t="s">
        <v>110</v>
      </c>
      <c r="U15" t="s">
        <v>43</v>
      </c>
      <c r="V15" t="s">
        <v>203</v>
      </c>
      <c r="W15" t="s">
        <v>204</v>
      </c>
      <c r="Y15" t="str">
        <f>HYPERLINK("https://recruiter.shine.com/resume/download/?resumeid=gAAAAABbk2UNcst-yCVxNKmuvY64XsZeMsvF7_pNb5rum4z2-245ZGTvG1nbohXyOLOrvv7S5PKUvcBqk4rdXaN6nqjdMmBMiq6z3ZpJzHL0Q8muZfU7TijuAg7vULlKt7Lz4mvfkdV6a9AYtqH9CWOP7zoXhEY6TuLWMPfIoQzCoSff3XApwYI=")</f>
        <v>https://recruiter.shine.com/resume/download/?resumeid=gAAAAABbk2UNcst-yCVxNKmuvY64XsZeMsvF7_pNb5rum4z2-245ZGTvG1nbohXyOLOrvv7S5PKUvcBqk4rdXaN6nqjdMmBMiq6z3ZpJzHL0Q8muZfU7TijuAg7vULlKt7Lz4mvfkdV6a9AYtqH9CWOP7zoXhEY6TuLWMPfIoQzCoSff3XApwYI=</v>
      </c>
    </row>
    <row r="16" spans="1:104" ht="39.950000000000003" customHeight="1">
      <c r="A16">
        <v>12</v>
      </c>
      <c r="B16" t="s">
        <v>205</v>
      </c>
      <c r="D16" t="s">
        <v>206</v>
      </c>
      <c r="E16" t="s">
        <v>207</v>
      </c>
      <c r="F16" t="s">
        <v>29</v>
      </c>
      <c r="G16" t="s">
        <v>29</v>
      </c>
      <c r="H16" t="s">
        <v>31</v>
      </c>
      <c r="I16" t="s">
        <v>208</v>
      </c>
      <c r="J16" t="s">
        <v>209</v>
      </c>
      <c r="K16" t="s">
        <v>210</v>
      </c>
      <c r="L16" t="s">
        <v>88</v>
      </c>
      <c r="M16" t="s">
        <v>105</v>
      </c>
      <c r="N16" t="s">
        <v>211</v>
      </c>
      <c r="O16" t="s">
        <v>186</v>
      </c>
      <c r="Q16" t="s">
        <v>123</v>
      </c>
      <c r="R16" t="s">
        <v>124</v>
      </c>
      <c r="S16" t="s">
        <v>188</v>
      </c>
      <c r="T16" t="s">
        <v>175</v>
      </c>
      <c r="U16" t="s">
        <v>43</v>
      </c>
      <c r="V16" t="s">
        <v>212</v>
      </c>
      <c r="W16" t="s">
        <v>213</v>
      </c>
      <c r="Y16" t="str">
        <f>HYPERLINK("https://recruiter.shine.com/resume/download/?resumeid=gAAAAABbk2UOGzeJmeVNKUNp7gFb5sbeLgRIiIeNok8fP4IHllt5STFFKeWxeul26HCOdsP6Ud9ldKn3RywHOw0CZ7IOyXKy_FqSJxtI-iZ1uPduxATyJ4i-s3kRAKQAB0iU7oaWsotyXK7MbwMQ6nv5F9o2VIQX-Q==")</f>
        <v>https://recruiter.shine.com/resume/download/?resumeid=gAAAAABbk2UOGzeJmeVNKUNp7gFb5sbeLgRIiIeNok8fP4IHllt5STFFKeWxeul26HCOdsP6Ud9ldKn3RywHOw0CZ7IOyXKy_FqSJxtI-iZ1uPduxATyJ4i-s3kRAKQAB0iU7oaWsotyXK7MbwMQ6nv5F9o2VIQX-Q==</v>
      </c>
    </row>
    <row r="17" spans="1:25" ht="39.950000000000003" customHeight="1">
      <c r="A17">
        <v>13</v>
      </c>
      <c r="B17" t="s">
        <v>214</v>
      </c>
      <c r="C17" t="s">
        <v>215</v>
      </c>
      <c r="D17" t="s">
        <v>216</v>
      </c>
      <c r="E17" t="s">
        <v>217</v>
      </c>
      <c r="F17" t="s">
        <v>29</v>
      </c>
      <c r="G17" t="s">
        <v>218</v>
      </c>
      <c r="H17" t="s">
        <v>31</v>
      </c>
      <c r="I17" t="s">
        <v>219</v>
      </c>
      <c r="J17" t="s">
        <v>220</v>
      </c>
      <c r="K17" t="s">
        <v>221</v>
      </c>
      <c r="L17" t="s">
        <v>104</v>
      </c>
      <c r="M17" t="s">
        <v>222</v>
      </c>
      <c r="N17" t="s">
        <v>223</v>
      </c>
      <c r="O17" t="s">
        <v>224</v>
      </c>
      <c r="P17" t="s">
        <v>73</v>
      </c>
      <c r="Q17" t="s">
        <v>107</v>
      </c>
      <c r="R17" t="s">
        <v>225</v>
      </c>
      <c r="S17" t="s">
        <v>226</v>
      </c>
      <c r="T17" t="s">
        <v>227</v>
      </c>
      <c r="U17" t="s">
        <v>94</v>
      </c>
      <c r="V17" t="s">
        <v>228</v>
      </c>
      <c r="W17" t="s">
        <v>229</v>
      </c>
      <c r="Y17" t="str">
        <f>HYPERLINK("https://recruiter.shine.com/resume/download/?resumeid=gAAAAABbk2UKtXp6xuLyFnXIEauepLqppO8C-8KRk-3QR6nuCwuGycJtf9E_oCIhxQziaP5UJAqQNKD56hgc2-aioVZaRyXvOO7Jh5vWehOrY-SgLHyRC2As5R3bNVg3S5kmMitCR-5h")</f>
        <v>https://recruiter.shine.com/resume/download/?resumeid=gAAAAABbk2UKtXp6xuLyFnXIEauepLqppO8C-8KRk-3QR6nuCwuGycJtf9E_oCIhxQziaP5UJAqQNKD56hgc2-aioVZaRyXvOO7Jh5vWehOrY-SgLHyRC2As5R3bNVg3S5kmMitCR-5h</v>
      </c>
    </row>
    <row r="18" spans="1:25" ht="39.950000000000003" customHeight="1">
      <c r="A18">
        <v>14</v>
      </c>
      <c r="B18" t="s">
        <v>230</v>
      </c>
      <c r="D18" t="s">
        <v>231</v>
      </c>
      <c r="E18" t="s">
        <v>232</v>
      </c>
      <c r="F18" t="s">
        <v>29</v>
      </c>
      <c r="G18" t="s">
        <v>233</v>
      </c>
      <c r="H18" t="s">
        <v>234</v>
      </c>
      <c r="I18" t="s">
        <v>196</v>
      </c>
      <c r="J18" t="s">
        <v>235</v>
      </c>
      <c r="K18" t="s">
        <v>236</v>
      </c>
      <c r="L18" t="s">
        <v>237</v>
      </c>
      <c r="M18" t="s">
        <v>238</v>
      </c>
      <c r="N18" t="s">
        <v>239</v>
      </c>
      <c r="O18" t="s">
        <v>186</v>
      </c>
      <c r="P18" t="s">
        <v>73</v>
      </c>
      <c r="Q18" t="s">
        <v>240</v>
      </c>
      <c r="R18" t="s">
        <v>241</v>
      </c>
      <c r="S18" t="s">
        <v>242</v>
      </c>
      <c r="T18" t="s">
        <v>110</v>
      </c>
      <c r="U18" t="s">
        <v>43</v>
      </c>
      <c r="V18" t="s">
        <v>243</v>
      </c>
      <c r="W18" t="s">
        <v>244</v>
      </c>
      <c r="Y18" t="str">
        <f>HYPERLINK("https://recruiter.shine.com/resume/download/?resumeid=gAAAAABbk2UMnbr4IrNJTmaL4cX4IuYM-X5Lc3sHzQlPwNNcZbWKW2sZmFdgpA2gdTugDc0mLd_1yt9fc-MWMsUVmWBZpGBekdFWp91qqjadlz9O59RteAwnHWy3OicLqjJDkbFg0FT3XmrfuEOXVmuEx85IBo8T0UsvHH2hVxlY6aNsoWMMJkE=")</f>
        <v>https://recruiter.shine.com/resume/download/?resumeid=gAAAAABbk2UMnbr4IrNJTmaL4cX4IuYM-X5Lc3sHzQlPwNNcZbWKW2sZmFdgpA2gdTugDc0mLd_1yt9fc-MWMsUVmWBZpGBekdFWp91qqjadlz9O59RteAwnHWy3OicLqjJDkbFg0FT3XmrfuEOXVmuEx85IBo8T0UsvHH2hVxlY6aNsoWMMJkE=</v>
      </c>
    </row>
    <row r="19" spans="1:25" ht="39.950000000000003" customHeight="1">
      <c r="A19">
        <v>15</v>
      </c>
      <c r="B19" t="s">
        <v>245</v>
      </c>
      <c r="C19" t="s">
        <v>246</v>
      </c>
      <c r="D19" t="s">
        <v>247</v>
      </c>
      <c r="E19" t="s">
        <v>248</v>
      </c>
      <c r="F19" t="s">
        <v>249</v>
      </c>
      <c r="G19" t="s">
        <v>100</v>
      </c>
      <c r="H19" t="s">
        <v>31</v>
      </c>
      <c r="I19" t="s">
        <v>250</v>
      </c>
      <c r="J19" t="s">
        <v>251</v>
      </c>
      <c r="K19" t="s">
        <v>252</v>
      </c>
      <c r="L19" t="s">
        <v>253</v>
      </c>
      <c r="M19" t="s">
        <v>254</v>
      </c>
      <c r="N19" t="s">
        <v>255</v>
      </c>
      <c r="O19" t="s">
        <v>56</v>
      </c>
      <c r="Q19" t="s">
        <v>240</v>
      </c>
      <c r="R19" t="s">
        <v>241</v>
      </c>
      <c r="S19" t="s">
        <v>256</v>
      </c>
      <c r="T19" t="s">
        <v>257</v>
      </c>
      <c r="U19" t="s">
        <v>43</v>
      </c>
      <c r="V19" t="s">
        <v>258</v>
      </c>
      <c r="W19" t="s">
        <v>259</v>
      </c>
      <c r="Y19" t="str">
        <f>HYPERLINK("https://recruiter.shine.com/resume/download/?resumeid=gAAAAABbk2UONmZ5A7kOTwdZ3u8G89gjm-qe3NDMYh2bdqhxTPZ_Yg7zWLlzEGDJLNxcpIPYJ9f5DyYE42ULm2qwlGbGOjGuYuyPJDFshvy-7WTIRobH5SDdd2nTjB45F5_OIeQFUcnoQSU9sA_fakQMK7jB2KNryw==")</f>
        <v>https://recruiter.shine.com/resume/download/?resumeid=gAAAAABbk2UONmZ5A7kOTwdZ3u8G89gjm-qe3NDMYh2bdqhxTPZ_Yg7zWLlzEGDJLNxcpIPYJ9f5DyYE42ULm2qwlGbGOjGuYuyPJDFshvy-7WTIRobH5SDdd2nTjB45F5_OIeQFUcnoQSU9sA_fakQMK7jB2KNryw==</v>
      </c>
    </row>
    <row r="20" spans="1:25" ht="39.950000000000003" customHeight="1">
      <c r="A20">
        <v>16</v>
      </c>
      <c r="B20" t="s">
        <v>260</v>
      </c>
      <c r="C20" t="s">
        <v>261</v>
      </c>
      <c r="D20" t="s">
        <v>262</v>
      </c>
      <c r="E20" t="s">
        <v>263</v>
      </c>
      <c r="F20" t="s">
        <v>29</v>
      </c>
      <c r="G20" t="s">
        <v>29</v>
      </c>
      <c r="H20" t="s">
        <v>31</v>
      </c>
      <c r="I20" t="s">
        <v>32</v>
      </c>
      <c r="J20" t="s">
        <v>264</v>
      </c>
      <c r="K20" t="s">
        <v>265</v>
      </c>
      <c r="L20" t="s">
        <v>266</v>
      </c>
      <c r="M20" t="s">
        <v>105</v>
      </c>
      <c r="N20" t="s">
        <v>267</v>
      </c>
      <c r="O20" t="s">
        <v>56</v>
      </c>
      <c r="P20" t="s">
        <v>268</v>
      </c>
      <c r="Q20" t="s">
        <v>158</v>
      </c>
      <c r="R20" t="s">
        <v>41</v>
      </c>
      <c r="S20" t="s">
        <v>269</v>
      </c>
      <c r="T20" t="s">
        <v>270</v>
      </c>
      <c r="U20" t="s">
        <v>43</v>
      </c>
      <c r="V20" t="s">
        <v>271</v>
      </c>
      <c r="W20" t="s">
        <v>272</v>
      </c>
      <c r="Y20" t="str">
        <f>HYPERLINK("https://recruiter.shine.com/resume/download/?resumeid=gAAAAABbk2ULhUN2hiZMWBqjWLJFL9bav7Zi1obR9_hvo7X5RWbVH4fe6YTrMyk4f8v5af8OfU7dB_9brLB9yRQwGUPOJe8o76yBACud8zDhjgRlbfY4XiPIo01Q8MOK3AFQSnTpMBUi")</f>
        <v>https://recruiter.shine.com/resume/download/?resumeid=gAAAAABbk2ULhUN2hiZMWBqjWLJFL9bav7Zi1obR9_hvo7X5RWbVH4fe6YTrMyk4f8v5af8OfU7dB_9brLB9yRQwGUPOJe8o76yBACud8zDhjgRlbfY4XiPIo01Q8MOK3AFQSnTpMBUi</v>
      </c>
    </row>
    <row r="21" spans="1:25" ht="39.950000000000003" customHeight="1">
      <c r="A21">
        <v>17</v>
      </c>
      <c r="B21" t="s">
        <v>273</v>
      </c>
      <c r="C21" t="s">
        <v>274</v>
      </c>
      <c r="D21" t="s">
        <v>275</v>
      </c>
      <c r="E21" t="s">
        <v>276</v>
      </c>
      <c r="F21" t="s">
        <v>29</v>
      </c>
      <c r="G21" t="s">
        <v>29</v>
      </c>
      <c r="H21" t="s">
        <v>31</v>
      </c>
      <c r="I21" t="s">
        <v>277</v>
      </c>
      <c r="J21" t="s">
        <v>278</v>
      </c>
      <c r="K21" t="s">
        <v>279</v>
      </c>
      <c r="L21" t="s">
        <v>88</v>
      </c>
      <c r="M21" t="s">
        <v>222</v>
      </c>
      <c r="N21" t="s">
        <v>280</v>
      </c>
      <c r="O21" t="s">
        <v>186</v>
      </c>
      <c r="P21" t="s">
        <v>73</v>
      </c>
      <c r="Q21" t="s">
        <v>123</v>
      </c>
      <c r="R21" t="s">
        <v>124</v>
      </c>
      <c r="S21" t="s">
        <v>188</v>
      </c>
      <c r="T21" t="s">
        <v>281</v>
      </c>
      <c r="U21" t="s">
        <v>43</v>
      </c>
      <c r="V21" t="s">
        <v>282</v>
      </c>
      <c r="W21" t="s">
        <v>283</v>
      </c>
      <c r="Y21" t="str">
        <f>HYPERLINK("https://recruiter.shine.com/resume/download/?resumeid=gAAAAABbk2UNezNstQw8_vI40I21dd94Uv1cyFsNMA2KyvieOHP3Oo1C5itKrqRt6NSfKRH283OVZl0PagL6szZf3EK3jYsq1c3Xycq4uWY82rXj0MIcAiuTgFSDsWEOt9fzCJaUKN7YCqK25TO7lzuBQYsgZTUzxw==")</f>
        <v>https://recruiter.shine.com/resume/download/?resumeid=gAAAAABbk2UNezNstQw8_vI40I21dd94Uv1cyFsNMA2KyvieOHP3Oo1C5itKrqRt6NSfKRH283OVZl0PagL6szZf3EK3jYsq1c3Xycq4uWY82rXj0MIcAiuTgFSDsWEOt9fzCJaUKN7YCqK25TO7lzuBQYsgZTUzxw==</v>
      </c>
    </row>
    <row r="22" spans="1:25" ht="39.950000000000003" customHeight="1">
      <c r="A22">
        <v>18</v>
      </c>
      <c r="B22" t="s">
        <v>284</v>
      </c>
      <c r="D22" t="s">
        <v>285</v>
      </c>
      <c r="E22" t="s">
        <v>286</v>
      </c>
      <c r="F22" t="s">
        <v>29</v>
      </c>
      <c r="G22" t="s">
        <v>29</v>
      </c>
      <c r="H22" t="s">
        <v>31</v>
      </c>
      <c r="I22" t="s">
        <v>287</v>
      </c>
      <c r="J22" t="s">
        <v>288</v>
      </c>
      <c r="K22" t="s">
        <v>289</v>
      </c>
      <c r="L22" t="s">
        <v>290</v>
      </c>
      <c r="M22" t="s">
        <v>238</v>
      </c>
      <c r="N22" t="s">
        <v>291</v>
      </c>
      <c r="O22" t="s">
        <v>56</v>
      </c>
      <c r="P22" t="s">
        <v>39</v>
      </c>
      <c r="Q22" t="s">
        <v>90</v>
      </c>
      <c r="R22" t="s">
        <v>292</v>
      </c>
      <c r="S22" t="s">
        <v>188</v>
      </c>
      <c r="T22" t="s">
        <v>227</v>
      </c>
      <c r="U22" t="s">
        <v>43</v>
      </c>
      <c r="V22" t="s">
        <v>293</v>
      </c>
      <c r="W22" t="s">
        <v>293</v>
      </c>
      <c r="Y22" t="str">
        <f>HYPERLINK("https://recruiter.shine.com/resume/download/?resumeid=gAAAAABbk2UOKitPiyNa9UNkVWdPBmGARtNdo9dKHdKH7hKzIAvVjWlUIlbaCqLEQ0oyrOWY6ffKGSmDdKkrkYdWxxU5ePWTCl1izUMcevXNCUr9sA44uz19TC3hmzuuZlzzWfIx7JHBS1bYwt4o0y5KLmm4TrdZSpC43ANBMPzxdrz9iFQHnYI=")</f>
        <v>https://recruiter.shine.com/resume/download/?resumeid=gAAAAABbk2UOKitPiyNa9UNkVWdPBmGARtNdo9dKHdKH7hKzIAvVjWlUIlbaCqLEQ0oyrOWY6ffKGSmDdKkrkYdWxxU5ePWTCl1izUMcevXNCUr9sA44uz19TC3hmzuuZlzzWfIx7JHBS1bYwt4o0y5KLmm4TrdZSpC43ANBMPzxdrz9iFQHnYI=</v>
      </c>
    </row>
    <row r="23" spans="1:25" ht="39.950000000000003" customHeight="1">
      <c r="A23">
        <v>19</v>
      </c>
      <c r="B23" t="s">
        <v>294</v>
      </c>
      <c r="C23" t="s">
        <v>295</v>
      </c>
      <c r="D23" t="s">
        <v>296</v>
      </c>
      <c r="E23" t="s">
        <v>297</v>
      </c>
      <c r="F23" t="s">
        <v>29</v>
      </c>
      <c r="G23" t="s">
        <v>298</v>
      </c>
      <c r="H23" t="s">
        <v>31</v>
      </c>
      <c r="I23" t="s">
        <v>117</v>
      </c>
      <c r="J23" t="s">
        <v>299</v>
      </c>
      <c r="K23" t="s">
        <v>300</v>
      </c>
      <c r="L23" t="s">
        <v>301</v>
      </c>
      <c r="M23" t="s">
        <v>105</v>
      </c>
      <c r="N23" t="s">
        <v>302</v>
      </c>
      <c r="O23" t="s">
        <v>157</v>
      </c>
      <c r="P23" t="s">
        <v>39</v>
      </c>
      <c r="Q23" t="s">
        <v>107</v>
      </c>
      <c r="R23" t="s">
        <v>225</v>
      </c>
      <c r="S23" t="s">
        <v>303</v>
      </c>
      <c r="T23" t="s">
        <v>304</v>
      </c>
      <c r="U23" t="s">
        <v>43</v>
      </c>
      <c r="V23" t="s">
        <v>305</v>
      </c>
      <c r="W23" t="s">
        <v>306</v>
      </c>
      <c r="Y23" t="str">
        <f>HYPERLINK("https://recruiter.shine.com/resume/download/?resumeid=gAAAAABbk2ULOCl9DEJRHVd1qU3cR-6X7Me8p7-o2603BwCd1nj2Xnl2d2XePaZ3kmN0hygI0fvGMocl8u7G59T8cIkXhntaoalb84p9C9WxUGL_PjIRMnY_TVQEtHFvf9m7PmXtx7Uq")</f>
        <v>https://recruiter.shine.com/resume/download/?resumeid=gAAAAABbk2ULOCl9DEJRHVd1qU3cR-6X7Me8p7-o2603BwCd1nj2Xnl2d2XePaZ3kmN0hygI0fvGMocl8u7G59T8cIkXhntaoalb84p9C9WxUGL_PjIRMnY_TVQEtHFvf9m7PmXtx7Uq</v>
      </c>
    </row>
    <row r="24" spans="1:25" ht="39.950000000000003" customHeight="1">
      <c r="A24">
        <v>20</v>
      </c>
      <c r="B24" t="s">
        <v>307</v>
      </c>
      <c r="C24" t="s">
        <v>308</v>
      </c>
      <c r="D24" t="s">
        <v>309</v>
      </c>
      <c r="E24" t="s">
        <v>310</v>
      </c>
      <c r="F24" t="s">
        <v>29</v>
      </c>
      <c r="G24" t="s">
        <v>311</v>
      </c>
      <c r="H24" t="s">
        <v>31</v>
      </c>
      <c r="I24" t="s">
        <v>168</v>
      </c>
      <c r="J24" t="s">
        <v>312</v>
      </c>
      <c r="K24" t="s">
        <v>313</v>
      </c>
      <c r="L24" t="s">
        <v>314</v>
      </c>
      <c r="M24" t="s">
        <v>315</v>
      </c>
      <c r="N24" t="s">
        <v>316</v>
      </c>
      <c r="O24" t="s">
        <v>186</v>
      </c>
      <c r="P24" t="s">
        <v>39</v>
      </c>
      <c r="Q24" t="s">
        <v>90</v>
      </c>
      <c r="R24" t="s">
        <v>317</v>
      </c>
      <c r="S24" t="s">
        <v>318</v>
      </c>
      <c r="T24" t="s">
        <v>110</v>
      </c>
      <c r="U24" t="s">
        <v>127</v>
      </c>
      <c r="V24" t="s">
        <v>319</v>
      </c>
      <c r="W24" t="s">
        <v>320</v>
      </c>
      <c r="Y24" t="str">
        <f>HYPERLINK("https://recruiter.shine.com/resume/download/?resumeid=gAAAAABbk2UM7b3bax1hB8z3RyuBHyNt7RleQ3dm4C0bSa8Inwnvnp8hTzyiAGyM2q5NOgtn_hVAQ7qB-W9LSN4Fch1hdcY0Oh3E6swth25yvG_v0ng23v-b86nDPh-CWjk3VaR13m8uLdxQzF38F5e_dfPmp3MqRw==")</f>
        <v>https://recruiter.shine.com/resume/download/?resumeid=gAAAAABbk2UM7b3bax1hB8z3RyuBHyNt7RleQ3dm4C0bSa8Inwnvnp8hTzyiAGyM2q5NOgtn_hVAQ7qB-W9LSN4Fch1hdcY0Oh3E6swth25yvG_v0ng23v-b86nDPh-CWjk3VaR13m8uLdxQzF38F5e_dfPmp3MqRw==</v>
      </c>
    </row>
    <row r="25" spans="1:25" ht="39.950000000000003" customHeight="1">
      <c r="A25">
        <v>21</v>
      </c>
      <c r="B25" t="s">
        <v>321</v>
      </c>
      <c r="C25" t="s">
        <v>322</v>
      </c>
      <c r="D25" t="s">
        <v>323</v>
      </c>
      <c r="E25" t="s">
        <v>324</v>
      </c>
      <c r="F25" t="s">
        <v>29</v>
      </c>
      <c r="G25" t="s">
        <v>29</v>
      </c>
      <c r="H25" t="s">
        <v>234</v>
      </c>
      <c r="I25" t="s">
        <v>325</v>
      </c>
      <c r="J25" t="s">
        <v>135</v>
      </c>
      <c r="K25" t="s">
        <v>326</v>
      </c>
      <c r="L25" t="s">
        <v>184</v>
      </c>
      <c r="M25" t="s">
        <v>238</v>
      </c>
      <c r="N25" t="s">
        <v>327</v>
      </c>
      <c r="O25" t="s">
        <v>56</v>
      </c>
      <c r="Q25" t="s">
        <v>90</v>
      </c>
      <c r="R25" t="s">
        <v>292</v>
      </c>
      <c r="S25" t="s">
        <v>328</v>
      </c>
      <c r="T25" t="s">
        <v>257</v>
      </c>
      <c r="U25" t="s">
        <v>43</v>
      </c>
      <c r="V25" t="s">
        <v>329</v>
      </c>
      <c r="W25" t="s">
        <v>329</v>
      </c>
      <c r="Y25" t="str">
        <f>HYPERLINK("https://recruiter.shine.com/resume/download/?resumeid=gAAAAABbk2UNqENWa6z9kgOb3ok9OqjmOtUW1XvvusjiroAUDMDsPzHCLARuWGz7uhJLZmw2Jr2oBKqSpZRaKyIsS2z7Gah9LlURzspKTBr8bHbwXsIZbMjGU0VXCIKEUW0Cj9Gzp0IhPiKaGa8NH0npXKLLp6VaFwQ30lV6UUZgsKooebdz3eI=")</f>
        <v>https://recruiter.shine.com/resume/download/?resumeid=gAAAAABbk2UNqENWa6z9kgOb3ok9OqjmOtUW1XvvusjiroAUDMDsPzHCLARuWGz7uhJLZmw2Jr2oBKqSpZRaKyIsS2z7Gah9LlURzspKTBr8bHbwXsIZbMjGU0VXCIKEUW0Cj9Gzp0IhPiKaGa8NH0npXKLLp6VaFwQ30lV6UUZgsKooebdz3eI=</v>
      </c>
    </row>
    <row r="26" spans="1:25" ht="39.950000000000003" customHeight="1">
      <c r="A26">
        <v>22</v>
      </c>
      <c r="B26" t="s">
        <v>330</v>
      </c>
      <c r="C26" t="s">
        <v>331</v>
      </c>
      <c r="D26" t="s">
        <v>332</v>
      </c>
      <c r="E26" t="s">
        <v>333</v>
      </c>
      <c r="F26" t="s">
        <v>29</v>
      </c>
      <c r="G26" t="s">
        <v>334</v>
      </c>
      <c r="H26" t="s">
        <v>31</v>
      </c>
      <c r="I26" t="s">
        <v>335</v>
      </c>
      <c r="J26" t="s">
        <v>336</v>
      </c>
      <c r="K26" t="s">
        <v>337</v>
      </c>
      <c r="L26" t="s">
        <v>338</v>
      </c>
      <c r="M26" t="s">
        <v>339</v>
      </c>
      <c r="N26" t="s">
        <v>340</v>
      </c>
      <c r="O26" t="s">
        <v>157</v>
      </c>
      <c r="P26" t="s">
        <v>73</v>
      </c>
      <c r="Q26" t="s">
        <v>107</v>
      </c>
      <c r="R26" t="s">
        <v>341</v>
      </c>
      <c r="S26" t="s">
        <v>342</v>
      </c>
      <c r="T26" t="s">
        <v>343</v>
      </c>
      <c r="U26" t="s">
        <v>43</v>
      </c>
      <c r="V26" t="s">
        <v>344</v>
      </c>
      <c r="W26" t="s">
        <v>345</v>
      </c>
      <c r="Y26" t="str">
        <f>HYPERLINK("https://recruiter.shine.com/resume/download/?resumeid=gAAAAABbk2ULNWOYDcsMX8Z0pMTIcaKKdPFIUEuifnKOPYsjsJxsbmjvTpSrNfCIzX4JwY9Yza-JjCLaw9za2dsBF-aMyWXGm_jL2RHKxfR8vbvl6ELLuJFNtGKyZKp8tjjGTlpaN1_Q")</f>
        <v>https://recruiter.shine.com/resume/download/?resumeid=gAAAAABbk2ULNWOYDcsMX8Z0pMTIcaKKdPFIUEuifnKOPYsjsJxsbmjvTpSrNfCIzX4JwY9Yza-JjCLaw9za2dsBF-aMyWXGm_jL2RHKxfR8vbvl6ELLuJFNtGKyZKp8tjjGTlpaN1_Q</v>
      </c>
    </row>
    <row r="27" spans="1:25" ht="39.950000000000003" customHeight="1">
      <c r="A27">
        <v>23</v>
      </c>
      <c r="B27" t="s">
        <v>346</v>
      </c>
      <c r="C27" t="s">
        <v>347</v>
      </c>
      <c r="D27" t="s">
        <v>348</v>
      </c>
      <c r="E27" t="s">
        <v>349</v>
      </c>
      <c r="F27" t="s">
        <v>29</v>
      </c>
      <c r="G27" t="s">
        <v>350</v>
      </c>
      <c r="H27" t="s">
        <v>31</v>
      </c>
      <c r="I27" t="s">
        <v>351</v>
      </c>
      <c r="J27" t="s">
        <v>352</v>
      </c>
      <c r="K27" t="s">
        <v>353</v>
      </c>
      <c r="L27" t="s">
        <v>354</v>
      </c>
      <c r="M27" t="s">
        <v>54</v>
      </c>
      <c r="N27" t="s">
        <v>355</v>
      </c>
      <c r="O27" t="s">
        <v>38</v>
      </c>
      <c r="P27" t="s">
        <v>39</v>
      </c>
      <c r="Q27" t="s">
        <v>58</v>
      </c>
      <c r="R27" t="s">
        <v>59</v>
      </c>
      <c r="S27" t="s">
        <v>202</v>
      </c>
      <c r="T27" t="s">
        <v>110</v>
      </c>
      <c r="U27" t="s">
        <v>43</v>
      </c>
      <c r="V27" t="s">
        <v>356</v>
      </c>
      <c r="W27" t="s">
        <v>357</v>
      </c>
      <c r="Y27" t="str">
        <f>HYPERLINK("https://recruiter.shine.com/resume/download/?resumeid=gAAAAABbk2UMZ-aeuxW5k3del1nygrbHeZtP_1OjWr-X78xS-EsetoxfD1JONU32_Qi7byt8B8_DZd-37RxVt5zFIApWL_6OGSU9-zwEkoPLjq5UqsapL8niLxUHWRsNvZGgyTuKGnnu4okRLEVddSBCTylK2paH6xeu41LzXWl4SCctvLfjv3Q=")</f>
        <v>https://recruiter.shine.com/resume/download/?resumeid=gAAAAABbk2UMZ-aeuxW5k3del1nygrbHeZtP_1OjWr-X78xS-EsetoxfD1JONU32_Qi7byt8B8_DZd-37RxVt5zFIApWL_6OGSU9-zwEkoPLjq5UqsapL8niLxUHWRsNvZGgyTuKGnnu4okRLEVddSBCTylK2paH6xeu41LzXWl4SCctvLfjv3Q=</v>
      </c>
    </row>
    <row r="28" spans="1:25" ht="39.950000000000003" customHeight="1">
      <c r="A28">
        <v>24</v>
      </c>
      <c r="B28" t="s">
        <v>358</v>
      </c>
      <c r="C28" t="s">
        <v>359</v>
      </c>
      <c r="D28" t="s">
        <v>360</v>
      </c>
      <c r="E28" t="s">
        <v>361</v>
      </c>
      <c r="F28" t="s">
        <v>29</v>
      </c>
      <c r="G28" t="s">
        <v>29</v>
      </c>
      <c r="H28" t="s">
        <v>31</v>
      </c>
      <c r="I28" t="s">
        <v>362</v>
      </c>
      <c r="J28" t="s">
        <v>135</v>
      </c>
      <c r="L28" t="s">
        <v>363</v>
      </c>
      <c r="M28" t="s">
        <v>364</v>
      </c>
      <c r="Q28" t="s">
        <v>365</v>
      </c>
      <c r="R28" t="s">
        <v>124</v>
      </c>
      <c r="S28" t="s">
        <v>188</v>
      </c>
      <c r="T28" t="s">
        <v>126</v>
      </c>
      <c r="U28" t="s">
        <v>43</v>
      </c>
      <c r="V28" t="s">
        <v>366</v>
      </c>
      <c r="W28" t="s">
        <v>367</v>
      </c>
      <c r="Y28" t="str">
        <f>HYPERLINK("https://recruiter.shine.com/resume/download/?resumeid=gAAAAABbk2UNvemD4q0aPaW1k4p1ZbM_Zo8YfScslelU_t1PMzR1bNeBsWbcf9Z2yMJlN1_7HxcYP3-o10BcBJs9Hj-xl9znQK_B6t3gjaFAiNZCAyUztndZ4Qz3GgPvSvbFe-t9lBGH6_vmkzvWbCcK-B_Y_vAkBM_Z6s7A-SesGyr6AWGQmbg=")</f>
        <v>https://recruiter.shine.com/resume/download/?resumeid=gAAAAABbk2UNvemD4q0aPaW1k4p1ZbM_Zo8YfScslelU_t1PMzR1bNeBsWbcf9Z2yMJlN1_7HxcYP3-o10BcBJs9Hj-xl9znQK_B6t3gjaFAiNZCAyUztndZ4Qz3GgPvSvbFe-t9lBGH6_vmkzvWbCcK-B_Y_vAkBM_Z6s7A-SesGyr6AWGQmbg=</v>
      </c>
    </row>
    <row r="29" spans="1:25" ht="39.950000000000003" customHeight="1">
      <c r="A29">
        <v>25</v>
      </c>
      <c r="B29" t="s">
        <v>368</v>
      </c>
      <c r="C29" t="s">
        <v>369</v>
      </c>
      <c r="D29" t="s">
        <v>370</v>
      </c>
      <c r="E29" t="s">
        <v>371</v>
      </c>
      <c r="F29" t="s">
        <v>29</v>
      </c>
      <c r="G29" t="s">
        <v>29</v>
      </c>
      <c r="H29" t="s">
        <v>31</v>
      </c>
      <c r="I29" t="s">
        <v>196</v>
      </c>
      <c r="J29" t="s">
        <v>372</v>
      </c>
      <c r="K29" t="s">
        <v>373</v>
      </c>
      <c r="L29" t="s">
        <v>184</v>
      </c>
      <c r="M29" t="s">
        <v>238</v>
      </c>
      <c r="N29" t="s">
        <v>374</v>
      </c>
      <c r="O29" t="s">
        <v>224</v>
      </c>
      <c r="P29" t="s">
        <v>73</v>
      </c>
      <c r="Q29" t="s">
        <v>90</v>
      </c>
      <c r="R29" t="s">
        <v>292</v>
      </c>
      <c r="S29" t="s">
        <v>188</v>
      </c>
      <c r="T29" t="s">
        <v>304</v>
      </c>
      <c r="U29" t="s">
        <v>43</v>
      </c>
      <c r="V29" t="s">
        <v>375</v>
      </c>
      <c r="W29" t="s">
        <v>376</v>
      </c>
      <c r="Y29" t="str">
        <f>HYPERLINK("https://recruiter.shine.com/resume/download/?resumeid=gAAAAABbk2UK42qoAU6F4_IEyniIRLdvJKC_ru3itWySc58yPrH371G8MCsorMLThW-_GHpXuVPqm8mYDC48l1gcfSliOImEf7nzsxbtTyK_O9PbhY2fcL-6vwmlc86dOqAIqIylNQFg")</f>
        <v>https://recruiter.shine.com/resume/download/?resumeid=gAAAAABbk2UK42qoAU6F4_IEyniIRLdvJKC_ru3itWySc58yPrH371G8MCsorMLThW-_GHpXuVPqm8mYDC48l1gcfSliOImEf7nzsxbtTyK_O9PbhY2fcL-6vwmlc86dOqAIqIylNQFg</v>
      </c>
    </row>
    <row r="30" spans="1:25" ht="39.950000000000003" customHeight="1">
      <c r="A30">
        <v>26</v>
      </c>
      <c r="B30" t="s">
        <v>377</v>
      </c>
      <c r="C30" t="s">
        <v>378</v>
      </c>
      <c r="D30" t="s">
        <v>379</v>
      </c>
      <c r="E30" t="s">
        <v>380</v>
      </c>
      <c r="F30" t="s">
        <v>29</v>
      </c>
      <c r="G30" t="s">
        <v>381</v>
      </c>
      <c r="H30" t="s">
        <v>31</v>
      </c>
      <c r="I30" t="s">
        <v>196</v>
      </c>
      <c r="J30" t="s">
        <v>299</v>
      </c>
      <c r="K30" t="s">
        <v>382</v>
      </c>
      <c r="L30" t="s">
        <v>120</v>
      </c>
      <c r="M30" t="s">
        <v>254</v>
      </c>
      <c r="N30" t="s">
        <v>383</v>
      </c>
      <c r="O30" t="s">
        <v>186</v>
      </c>
      <c r="P30" t="s">
        <v>57</v>
      </c>
      <c r="Q30" t="s">
        <v>74</v>
      </c>
      <c r="R30" t="s">
        <v>384</v>
      </c>
      <c r="S30" t="s">
        <v>385</v>
      </c>
      <c r="T30" t="s">
        <v>304</v>
      </c>
      <c r="U30" t="s">
        <v>43</v>
      </c>
      <c r="V30" t="s">
        <v>386</v>
      </c>
      <c r="W30" t="s">
        <v>387</v>
      </c>
      <c r="Y30" t="str">
        <f>HYPERLINK("https://recruiter.shine.com/resume/download/?resumeid=gAAAAABbk2UMwqHY8AwhmYoL4PLHMrke2fpM1kOK50MEKZHtyBFiXwfcUGYCXVBZ71wpdeM0uwEh3PeSaEgELOrWOf4IQ7NSODVA08yDZNUjLSKVIt_DH_vHp6Ixvqsdq3KV-zjY-i4pk7NW2tEhZMhjo0absye0_Q==")</f>
        <v>https://recruiter.shine.com/resume/download/?resumeid=gAAAAABbk2UMwqHY8AwhmYoL4PLHMrke2fpM1kOK50MEKZHtyBFiXwfcUGYCXVBZ71wpdeM0uwEh3PeSaEgELOrWOf4IQ7NSODVA08yDZNUjLSKVIt_DH_vHp6Ixvqsdq3KV-zjY-i4pk7NW2tEhZMhjo0absye0_Q==</v>
      </c>
    </row>
    <row r="31" spans="1:25" ht="39.950000000000003" customHeight="1">
      <c r="A31">
        <v>27</v>
      </c>
      <c r="B31" t="s">
        <v>388</v>
      </c>
      <c r="C31" t="s">
        <v>389</v>
      </c>
      <c r="D31" t="s">
        <v>390</v>
      </c>
      <c r="E31" t="s">
        <v>391</v>
      </c>
      <c r="F31" t="s">
        <v>29</v>
      </c>
      <c r="G31" t="s">
        <v>29</v>
      </c>
      <c r="H31" t="s">
        <v>31</v>
      </c>
      <c r="I31" t="s">
        <v>392</v>
      </c>
      <c r="J31" t="s">
        <v>393</v>
      </c>
      <c r="K31" t="s">
        <v>394</v>
      </c>
      <c r="L31" t="s">
        <v>88</v>
      </c>
      <c r="M31" t="s">
        <v>395</v>
      </c>
      <c r="N31" t="s">
        <v>396</v>
      </c>
      <c r="O31" t="s">
        <v>397</v>
      </c>
      <c r="Q31" t="s">
        <v>90</v>
      </c>
      <c r="R31" t="s">
        <v>91</v>
      </c>
      <c r="S31" t="s">
        <v>398</v>
      </c>
      <c r="T31" t="s">
        <v>399</v>
      </c>
      <c r="U31" t="s">
        <v>94</v>
      </c>
      <c r="V31" t="s">
        <v>400</v>
      </c>
      <c r="W31" t="s">
        <v>401</v>
      </c>
      <c r="Y31" t="str">
        <f>HYPERLINK("https://recruiter.shine.com/resume/download/?resumeid=gAAAAABbk2UOYK7lwKTRPBWjOp0Q0Fqy2m2pB7sgWQgVvoHdngPkCgirSMmgVpbIV2N4oez-JWBqLcPk0VshcW5178OM58W-nwtENmwqH2ehpJsOHGP0lIuzLMJjNqPj1xdz0gdbP-UZQspgGB3PGzT1wurTQsntQuv-Z4bTW0hp6lHtW6s7gf8=")</f>
        <v>https://recruiter.shine.com/resume/download/?resumeid=gAAAAABbk2UOYK7lwKTRPBWjOp0Q0Fqy2m2pB7sgWQgVvoHdngPkCgirSMmgVpbIV2N4oez-JWBqLcPk0VshcW5178OM58W-nwtENmwqH2ehpJsOHGP0lIuzLMJjNqPj1xdz0gdbP-UZQspgGB3PGzT1wurTQsntQuv-Z4bTW0hp6lHtW6s7gf8=</v>
      </c>
    </row>
    <row r="32" spans="1:25" ht="39.950000000000003" customHeight="1">
      <c r="A32">
        <v>28</v>
      </c>
      <c r="B32" t="s">
        <v>402</v>
      </c>
      <c r="C32" t="s">
        <v>403</v>
      </c>
      <c r="D32" t="s">
        <v>404</v>
      </c>
      <c r="E32" t="s">
        <v>405</v>
      </c>
      <c r="F32" t="s">
        <v>29</v>
      </c>
      <c r="G32" t="s">
        <v>406</v>
      </c>
      <c r="H32" t="s">
        <v>31</v>
      </c>
      <c r="I32" t="s">
        <v>407</v>
      </c>
      <c r="J32" t="s">
        <v>408</v>
      </c>
      <c r="K32" t="s">
        <v>409</v>
      </c>
      <c r="L32" t="s">
        <v>199</v>
      </c>
      <c r="M32" t="s">
        <v>410</v>
      </c>
      <c r="N32" t="s">
        <v>411</v>
      </c>
      <c r="O32" t="s">
        <v>38</v>
      </c>
      <c r="Q32" t="s">
        <v>412</v>
      </c>
      <c r="R32" t="s">
        <v>413</v>
      </c>
      <c r="S32" t="s">
        <v>414</v>
      </c>
      <c r="T32" t="s">
        <v>415</v>
      </c>
      <c r="U32" t="s">
        <v>43</v>
      </c>
      <c r="V32" t="s">
        <v>416</v>
      </c>
      <c r="W32" t="s">
        <v>417</v>
      </c>
      <c r="Y32" t="str">
        <f>HYPERLINK("https://recruiter.shine.com/resume/download/?resumeid=gAAAAABbk2UKlj9eTmnCx8KhXo-uO63rowDG9MGATNR8fwSGuyMpSJjXuG8wA8oVwKDdqmycTvUGtuk5EWfYMSGYsgiRFNf5JVXAdYRdxSYfOVoRT9YHUo6OH1adInL-drODXDVN8X1s")</f>
        <v>https://recruiter.shine.com/resume/download/?resumeid=gAAAAABbk2UKlj9eTmnCx8KhXo-uO63rowDG9MGATNR8fwSGuyMpSJjXuG8wA8oVwKDdqmycTvUGtuk5EWfYMSGYsgiRFNf5JVXAdYRdxSYfOVoRT9YHUo6OH1adInL-drODXDVN8X1s</v>
      </c>
    </row>
    <row r="33" spans="1:25" ht="39.950000000000003" customHeight="1">
      <c r="A33">
        <v>29</v>
      </c>
      <c r="B33" t="s">
        <v>418</v>
      </c>
      <c r="C33" t="s">
        <v>419</v>
      </c>
      <c r="D33" t="s">
        <v>420</v>
      </c>
      <c r="E33" t="s">
        <v>421</v>
      </c>
      <c r="F33" t="s">
        <v>29</v>
      </c>
      <c r="G33" t="s">
        <v>29</v>
      </c>
      <c r="H33" t="s">
        <v>31</v>
      </c>
      <c r="I33" t="s">
        <v>422</v>
      </c>
      <c r="J33" t="s">
        <v>423</v>
      </c>
      <c r="K33" t="s">
        <v>424</v>
      </c>
      <c r="L33" t="s">
        <v>425</v>
      </c>
      <c r="M33" t="s">
        <v>238</v>
      </c>
      <c r="N33" t="s">
        <v>426</v>
      </c>
      <c r="O33" t="s">
        <v>56</v>
      </c>
      <c r="P33" t="s">
        <v>39</v>
      </c>
      <c r="Q33" t="s">
        <v>90</v>
      </c>
      <c r="R33" t="s">
        <v>427</v>
      </c>
      <c r="S33" t="s">
        <v>428</v>
      </c>
      <c r="T33" t="s">
        <v>429</v>
      </c>
      <c r="U33" t="s">
        <v>43</v>
      </c>
      <c r="V33" t="s">
        <v>430</v>
      </c>
      <c r="W33" t="s">
        <v>431</v>
      </c>
      <c r="Y33" t="str">
        <f>HYPERLINK("https://recruiter.shine.com/resume/download/?resumeid=gAAAAABbk2UMXQ9A8wVI711vzhfDtrth5lUmfMvot7-EkpjxRC5wbSy9h8RWBJ0hwEK6L1ELGm3oYyvZVsfxUdbYZaO-KPiMNHmMRUulWbb-6Ds_qWNUwwWtnlfVFZ8V9oARt4ah502MPBWFnz9iR0aW3iA0d0fjmQ==")</f>
        <v>https://recruiter.shine.com/resume/download/?resumeid=gAAAAABbk2UMXQ9A8wVI711vzhfDtrth5lUmfMvot7-EkpjxRC5wbSy9h8RWBJ0hwEK6L1ELGm3oYyvZVsfxUdbYZaO-KPiMNHmMRUulWbb-6Ds_qWNUwwWtnlfVFZ8V9oARt4ah502MPBWFnz9iR0aW3iA0d0fjmQ==</v>
      </c>
    </row>
    <row r="34" spans="1:25" ht="39.950000000000003" customHeight="1">
      <c r="A34">
        <v>30</v>
      </c>
      <c r="B34" t="s">
        <v>432</v>
      </c>
      <c r="C34" t="s">
        <v>433</v>
      </c>
      <c r="D34" t="s">
        <v>434</v>
      </c>
      <c r="E34" t="s">
        <v>435</v>
      </c>
      <c r="F34" t="s">
        <v>29</v>
      </c>
      <c r="G34" t="s">
        <v>29</v>
      </c>
      <c r="H34" t="s">
        <v>31</v>
      </c>
      <c r="I34" t="s">
        <v>436</v>
      </c>
      <c r="J34" t="s">
        <v>437</v>
      </c>
      <c r="K34" t="s">
        <v>438</v>
      </c>
      <c r="L34" t="s">
        <v>184</v>
      </c>
      <c r="M34" t="s">
        <v>238</v>
      </c>
      <c r="N34" t="s">
        <v>439</v>
      </c>
      <c r="O34" t="s">
        <v>186</v>
      </c>
      <c r="P34" t="s">
        <v>140</v>
      </c>
      <c r="Q34" t="s">
        <v>123</v>
      </c>
      <c r="R34" t="s">
        <v>124</v>
      </c>
      <c r="S34" t="s">
        <v>440</v>
      </c>
      <c r="T34" t="s">
        <v>441</v>
      </c>
      <c r="U34" t="s">
        <v>43</v>
      </c>
      <c r="V34" t="s">
        <v>442</v>
      </c>
      <c r="W34" t="s">
        <v>443</v>
      </c>
      <c r="Y34" t="str">
        <f>HYPERLINK("https://recruiter.shine.com/resume/download/?resumeid=gAAAAABbk2UOk2CWUN-uO3LH3CFa18BrnYSOTC0NVk4AaZXWT7TL69jAiG7SU3C43oPU9fdC5lmNLzjdlICZdMUkdjHVFboJ3JmzjU0XyTfJpGT5V1ZskReuVsTw07j56YFysi0TrR_GP78FWxb5BIKBNSm7yhgN4A==")</f>
        <v>https://recruiter.shine.com/resume/download/?resumeid=gAAAAABbk2UOk2CWUN-uO3LH3CFa18BrnYSOTC0NVk4AaZXWT7TL69jAiG7SU3C43oPU9fdC5lmNLzjdlICZdMUkdjHVFboJ3JmzjU0XyTfJpGT5V1ZskReuVsTw07j56YFysi0TrR_GP78FWxb5BIKBNSm7yhgN4A==</v>
      </c>
    </row>
    <row r="35" spans="1:25" ht="39.950000000000003" customHeight="1">
      <c r="A35">
        <v>31</v>
      </c>
      <c r="B35" t="s">
        <v>444</v>
      </c>
      <c r="C35" t="s">
        <v>445</v>
      </c>
      <c r="D35" t="s">
        <v>446</v>
      </c>
      <c r="E35" t="s">
        <v>447</v>
      </c>
      <c r="F35" t="s">
        <v>29</v>
      </c>
      <c r="G35" t="s">
        <v>29</v>
      </c>
      <c r="H35" t="s">
        <v>31</v>
      </c>
      <c r="I35" t="s">
        <v>448</v>
      </c>
      <c r="J35" t="s">
        <v>336</v>
      </c>
      <c r="K35" t="s">
        <v>449</v>
      </c>
      <c r="L35" t="s">
        <v>450</v>
      </c>
      <c r="M35" t="s">
        <v>238</v>
      </c>
      <c r="N35" t="s">
        <v>451</v>
      </c>
      <c r="O35" t="s">
        <v>38</v>
      </c>
      <c r="Q35" t="s">
        <v>90</v>
      </c>
      <c r="R35" t="s">
        <v>91</v>
      </c>
      <c r="S35" t="s">
        <v>452</v>
      </c>
      <c r="U35" t="s">
        <v>94</v>
      </c>
      <c r="V35" t="s">
        <v>453</v>
      </c>
      <c r="W35" t="s">
        <v>454</v>
      </c>
      <c r="Y35" t="str">
        <f>HYPERLINK("https://recruiter.shine.com/resume/download/?resumeid=gAAAAABbk2ULzQbsHZSCefLIlKUan62hKkmWFQuO3tFWSOCCypHpOoaskyj0q2DG3pdOj4ES-C7POFwYXQLRpT-T1F063LyvleLeWK2NtqWo_dh033TjAE_tbdrpXA7vnYz9-C8M7G8d")</f>
        <v>https://recruiter.shine.com/resume/download/?resumeid=gAAAAABbk2ULzQbsHZSCefLIlKUan62hKkmWFQuO3tFWSOCCypHpOoaskyj0q2DG3pdOj4ES-C7POFwYXQLRpT-T1F063LyvleLeWK2NtqWo_dh033TjAE_tbdrpXA7vnYz9-C8M7G8d</v>
      </c>
    </row>
    <row r="36" spans="1:25" ht="39.950000000000003" customHeight="1">
      <c r="A36">
        <v>32</v>
      </c>
      <c r="B36" t="s">
        <v>455</v>
      </c>
      <c r="C36" t="s">
        <v>456</v>
      </c>
      <c r="D36" t="s">
        <v>457</v>
      </c>
      <c r="E36" t="s">
        <v>458</v>
      </c>
      <c r="F36" t="s">
        <v>29</v>
      </c>
      <c r="G36" t="s">
        <v>459</v>
      </c>
      <c r="H36" t="s">
        <v>234</v>
      </c>
      <c r="I36" t="s">
        <v>460</v>
      </c>
      <c r="J36" t="s">
        <v>135</v>
      </c>
      <c r="K36" t="s">
        <v>461</v>
      </c>
      <c r="L36" t="s">
        <v>462</v>
      </c>
      <c r="M36" t="s">
        <v>463</v>
      </c>
      <c r="N36" t="s">
        <v>464</v>
      </c>
      <c r="O36" t="s">
        <v>186</v>
      </c>
      <c r="Q36" t="s">
        <v>90</v>
      </c>
      <c r="R36" t="s">
        <v>465</v>
      </c>
      <c r="S36" t="s">
        <v>466</v>
      </c>
      <c r="T36" t="s">
        <v>126</v>
      </c>
      <c r="U36" t="s">
        <v>43</v>
      </c>
      <c r="V36" t="s">
        <v>467</v>
      </c>
      <c r="W36" t="s">
        <v>467</v>
      </c>
      <c r="Y36" t="str">
        <f>HYPERLINK("https://recruiter.shine.com/resume/download/?resumeid=gAAAAABbk2UMacOCkH_bYyrgZJgX_0tl86Oi7iHvSAxoAxdlHWc2wUjGAwpZUrziQ0hnsXn5IhSO3L7fmwqZ7Cr1PerxDZ13PvwMU5PqOSvr5mPl9bIugEWamc07lbbz7WwzDNeaNjYGJf8CwFM3LzVeIP2NSESqWjrWonhre-d6n3ZhKxg-T4U=")</f>
        <v>https://recruiter.shine.com/resume/download/?resumeid=gAAAAABbk2UMacOCkH_bYyrgZJgX_0tl86Oi7iHvSAxoAxdlHWc2wUjGAwpZUrziQ0hnsXn5IhSO3L7fmwqZ7Cr1PerxDZ13PvwMU5PqOSvr5mPl9bIugEWamc07lbbz7WwzDNeaNjYGJf8CwFM3LzVeIP2NSESqWjrWonhre-d6n3ZhKxg-T4U=</v>
      </c>
    </row>
    <row r="37" spans="1:25" ht="39.950000000000003" customHeight="1">
      <c r="A37">
        <v>33</v>
      </c>
      <c r="B37" t="s">
        <v>468</v>
      </c>
      <c r="D37" t="s">
        <v>469</v>
      </c>
      <c r="E37" t="s">
        <v>470</v>
      </c>
      <c r="F37" t="s">
        <v>249</v>
      </c>
      <c r="G37" t="s">
        <v>249</v>
      </c>
      <c r="H37" t="s">
        <v>31</v>
      </c>
      <c r="I37" t="s">
        <v>85</v>
      </c>
      <c r="J37" t="s">
        <v>51</v>
      </c>
      <c r="K37" t="s">
        <v>471</v>
      </c>
      <c r="L37" t="s">
        <v>472</v>
      </c>
      <c r="M37" t="s">
        <v>473</v>
      </c>
      <c r="N37" t="s">
        <v>474</v>
      </c>
      <c r="O37" t="s">
        <v>475</v>
      </c>
      <c r="Q37" t="s">
        <v>40</v>
      </c>
      <c r="R37" t="s">
        <v>476</v>
      </c>
      <c r="S37" t="s">
        <v>188</v>
      </c>
      <c r="T37" t="s">
        <v>144</v>
      </c>
      <c r="U37" t="s">
        <v>43</v>
      </c>
      <c r="V37" t="s">
        <v>477</v>
      </c>
      <c r="W37" t="s">
        <v>478</v>
      </c>
      <c r="Y37" t="str">
        <f>HYPERLINK("https://recruiter.shine.com/resume/download/?resumeid=gAAAAABbk2UO52EMLxnM7_YxbO-gdA0sROAglb_CKiUvsTT6Yqsnl3r0DUL-pNeFR0ngO-74cCyJyH9XsArxaaicw2QLnCCgVhoikLI-xGr_iYl_1ABo9qSQZHlA5VU2StRftGyokJ5kzm7_z4bRYtIErOWOUapiYkxbsoPHyYBs6B6XsiXjRdo=")</f>
        <v>https://recruiter.shine.com/resume/download/?resumeid=gAAAAABbk2UO52EMLxnM7_YxbO-gdA0sROAglb_CKiUvsTT6Yqsnl3r0DUL-pNeFR0ngO-74cCyJyH9XsArxaaicw2QLnCCgVhoikLI-xGr_iYl_1ABo9qSQZHlA5VU2StRftGyokJ5kzm7_z4bRYtIErOWOUapiYkxbsoPHyYBs6B6XsiXjRdo=</v>
      </c>
    </row>
    <row r="38" spans="1:25" ht="39.950000000000003" customHeight="1">
      <c r="A38">
        <v>34</v>
      </c>
      <c r="B38" t="s">
        <v>479</v>
      </c>
      <c r="C38" t="s">
        <v>480</v>
      </c>
      <c r="D38" t="s">
        <v>481</v>
      </c>
      <c r="E38" t="s">
        <v>482</v>
      </c>
      <c r="F38" t="s">
        <v>29</v>
      </c>
      <c r="G38" t="s">
        <v>29</v>
      </c>
      <c r="H38" t="s">
        <v>31</v>
      </c>
      <c r="I38" t="s">
        <v>483</v>
      </c>
      <c r="J38" t="s">
        <v>484</v>
      </c>
      <c r="K38" t="s">
        <v>485</v>
      </c>
      <c r="L38" t="s">
        <v>486</v>
      </c>
      <c r="M38" t="s">
        <v>487</v>
      </c>
      <c r="N38" t="s">
        <v>488</v>
      </c>
      <c r="O38" t="s">
        <v>38</v>
      </c>
      <c r="P38" t="s">
        <v>73</v>
      </c>
      <c r="Q38" t="s">
        <v>489</v>
      </c>
      <c r="R38" t="s">
        <v>490</v>
      </c>
      <c r="S38" t="s">
        <v>188</v>
      </c>
      <c r="T38" t="s">
        <v>304</v>
      </c>
      <c r="U38" t="s">
        <v>43</v>
      </c>
      <c r="V38" t="s">
        <v>491</v>
      </c>
      <c r="W38" t="s">
        <v>492</v>
      </c>
      <c r="Y38" t="str">
        <f>HYPERLINK("https://recruiter.shine.com/resume/download/?resumeid=gAAAAABbk2UKuvdEHoJtbB5PPJroGEyU7ttchaPW5ju33itgDuj3I9u8G5XuDroKWrn3PJN43FVHmG0SHZaF_uBkWib4imPm1x7w8c2kXk2HTCXmhVzJ29GUIvYOJXWicDEdR1D5OMWr")</f>
        <v>https://recruiter.shine.com/resume/download/?resumeid=gAAAAABbk2UKuvdEHoJtbB5PPJroGEyU7ttchaPW5ju33itgDuj3I9u8G5XuDroKWrn3PJN43FVHmG0SHZaF_uBkWib4imPm1x7w8c2kXk2HTCXmhVzJ29GUIvYOJXWicDEdR1D5OMWr</v>
      </c>
    </row>
    <row r="39" spans="1:25" ht="39.950000000000003" customHeight="1">
      <c r="A39">
        <v>35</v>
      </c>
      <c r="B39" t="s">
        <v>493</v>
      </c>
      <c r="C39" t="s">
        <v>494</v>
      </c>
      <c r="D39" t="s">
        <v>495</v>
      </c>
      <c r="E39" t="s">
        <v>496</v>
      </c>
      <c r="F39" t="s">
        <v>29</v>
      </c>
      <c r="G39" t="s">
        <v>30</v>
      </c>
      <c r="H39" t="s">
        <v>31</v>
      </c>
      <c r="I39" t="s">
        <v>362</v>
      </c>
      <c r="J39" t="s">
        <v>135</v>
      </c>
      <c r="L39" t="s">
        <v>363</v>
      </c>
      <c r="M39" t="s">
        <v>364</v>
      </c>
      <c r="Q39" t="s">
        <v>107</v>
      </c>
      <c r="R39" t="s">
        <v>159</v>
      </c>
      <c r="S39" t="s">
        <v>497</v>
      </c>
      <c r="T39" t="s">
        <v>110</v>
      </c>
      <c r="U39" t="s">
        <v>43</v>
      </c>
      <c r="V39" t="s">
        <v>498</v>
      </c>
      <c r="W39" t="s">
        <v>499</v>
      </c>
      <c r="Y39" t="str">
        <f>HYPERLINK("https://recruiter.shine.com/resume/download/?resumeid=gAAAAABbk2UMF5CHFni0C-ZQ_0tI-37396OTemu4CK2piOpGLQvtbLiJVKbKxh0nkJytpm9OwpQhA_W5xiDATXcthpgFyReyRtx0FsO2GKy8ZhSkC-I4jXJMMBhl0VEmKs-_OjU7P_iRenb-BEfUIF-V7Lu9ALc9aT4y2_gud-getvlzE_lTdzo=")</f>
        <v>https://recruiter.shine.com/resume/download/?resumeid=gAAAAABbk2UMF5CHFni0C-ZQ_0tI-37396OTemu4CK2piOpGLQvtbLiJVKbKxh0nkJytpm9OwpQhA_W5xiDATXcthpgFyReyRtx0FsO2GKy8ZhSkC-I4jXJMMBhl0VEmKs-_OjU7P_iRenb-BEfUIF-V7Lu9ALc9aT4y2_gud-getvlzE_lTdzo=</v>
      </c>
    </row>
    <row r="40" spans="1:25" ht="39.950000000000003" customHeight="1">
      <c r="A40">
        <v>36</v>
      </c>
      <c r="B40" t="s">
        <v>500</v>
      </c>
      <c r="C40" t="s">
        <v>501</v>
      </c>
      <c r="D40" t="s">
        <v>502</v>
      </c>
      <c r="E40" t="s">
        <v>503</v>
      </c>
      <c r="F40" t="s">
        <v>249</v>
      </c>
      <c r="G40" t="s">
        <v>504</v>
      </c>
      <c r="H40" t="s">
        <v>31</v>
      </c>
      <c r="I40" t="s">
        <v>505</v>
      </c>
      <c r="J40" t="s">
        <v>506</v>
      </c>
      <c r="K40" t="s">
        <v>507</v>
      </c>
      <c r="L40" t="s">
        <v>290</v>
      </c>
      <c r="M40" t="s">
        <v>238</v>
      </c>
      <c r="N40" t="s">
        <v>508</v>
      </c>
      <c r="O40" t="s">
        <v>56</v>
      </c>
      <c r="P40" t="s">
        <v>73</v>
      </c>
      <c r="Q40" t="s">
        <v>90</v>
      </c>
      <c r="R40" t="s">
        <v>292</v>
      </c>
      <c r="S40" t="s">
        <v>509</v>
      </c>
      <c r="T40" t="s">
        <v>126</v>
      </c>
      <c r="U40" t="s">
        <v>43</v>
      </c>
      <c r="V40" t="s">
        <v>510</v>
      </c>
      <c r="W40" t="s">
        <v>510</v>
      </c>
      <c r="Y40" t="str">
        <f>HYPERLINK("https://recruiter.shine.com/resume/download/?resumeid=gAAAAABbk2UONGKa5KTSJh9k7KcjZriQlaH4QEsSLEuRxjtxu6r-p6NhMppe9xycJF9_l_GVIHzDHaJ09BKUltZD78NdZqTx-wVMnv3WrLC3acduv2211I4jrcyugUjqbRDNHSTeRTaE244tbzyMCAMMcCsM0zgosw==")</f>
        <v>https://recruiter.shine.com/resume/download/?resumeid=gAAAAABbk2UONGKa5KTSJh9k7KcjZriQlaH4QEsSLEuRxjtxu6r-p6NhMppe9xycJF9_l_GVIHzDHaJ09BKUltZD78NdZqTx-wVMnv3WrLC3acduv2211I4jrcyugUjqbRDNHSTeRTaE244tbzyMCAMMcCsM0zgosw==</v>
      </c>
    </row>
    <row r="41" spans="1:25" ht="39.950000000000003" customHeight="1">
      <c r="A41">
        <v>37</v>
      </c>
      <c r="B41" t="s">
        <v>511</v>
      </c>
      <c r="C41" t="s">
        <v>512</v>
      </c>
      <c r="D41" t="s">
        <v>513</v>
      </c>
      <c r="E41" t="s">
        <v>514</v>
      </c>
      <c r="F41" t="s">
        <v>29</v>
      </c>
      <c r="G41" t="s">
        <v>515</v>
      </c>
      <c r="H41" t="s">
        <v>31</v>
      </c>
      <c r="I41" t="s">
        <v>516</v>
      </c>
      <c r="J41" t="s">
        <v>517</v>
      </c>
      <c r="K41" t="s">
        <v>518</v>
      </c>
      <c r="L41" t="s">
        <v>519</v>
      </c>
      <c r="M41" t="s">
        <v>121</v>
      </c>
      <c r="N41" t="s">
        <v>520</v>
      </c>
      <c r="O41" t="s">
        <v>186</v>
      </c>
      <c r="P41" t="s">
        <v>57</v>
      </c>
      <c r="Q41" t="s">
        <v>158</v>
      </c>
      <c r="R41" t="s">
        <v>521</v>
      </c>
      <c r="S41" t="s">
        <v>522</v>
      </c>
      <c r="T41" t="s">
        <v>227</v>
      </c>
      <c r="U41" t="s">
        <v>94</v>
      </c>
      <c r="V41" t="s">
        <v>523</v>
      </c>
      <c r="W41" t="s">
        <v>524</v>
      </c>
      <c r="Y41" t="str">
        <f>HYPERLINK("https://recruiter.shine.com/resume/download/?resumeid=gAAAAABbk2UKSQw0HLhjryLps2C7wE9jqHgq7PbWZESNqyt4iUERAW_d2VoondAdUa_vrCoKVb8oOvBt8vs0LgqFIbvMYxJVPdHrFmJmJRqiq_2z5f95R9T4n6hR6-UEvfaMkOQQHOqj")</f>
        <v>https://recruiter.shine.com/resume/download/?resumeid=gAAAAABbk2UKSQw0HLhjryLps2C7wE9jqHgq7PbWZESNqyt4iUERAW_d2VoondAdUa_vrCoKVb8oOvBt8vs0LgqFIbvMYxJVPdHrFmJmJRqiq_2z5f95R9T4n6hR6-UEvfaMkOQQHOqj</v>
      </c>
    </row>
    <row r="42" spans="1:25" ht="39.950000000000003" customHeight="1">
      <c r="A42">
        <v>38</v>
      </c>
      <c r="B42" t="s">
        <v>525</v>
      </c>
      <c r="C42" t="s">
        <v>526</v>
      </c>
      <c r="D42" t="s">
        <v>527</v>
      </c>
      <c r="E42" t="s">
        <v>528</v>
      </c>
      <c r="F42" t="s">
        <v>29</v>
      </c>
      <c r="G42" t="s">
        <v>529</v>
      </c>
      <c r="H42" t="s">
        <v>234</v>
      </c>
      <c r="I42" t="s">
        <v>530</v>
      </c>
      <c r="J42" t="s">
        <v>531</v>
      </c>
      <c r="K42" t="s">
        <v>532</v>
      </c>
      <c r="L42" t="s">
        <v>533</v>
      </c>
      <c r="M42" t="s">
        <v>238</v>
      </c>
      <c r="N42" t="s">
        <v>534</v>
      </c>
      <c r="O42" t="s">
        <v>186</v>
      </c>
      <c r="Q42" t="s">
        <v>535</v>
      </c>
      <c r="R42" t="s">
        <v>536</v>
      </c>
      <c r="S42" t="s">
        <v>537</v>
      </c>
      <c r="T42" t="s">
        <v>110</v>
      </c>
      <c r="U42" t="s">
        <v>43</v>
      </c>
      <c r="V42" t="s">
        <v>538</v>
      </c>
      <c r="W42" t="s">
        <v>539</v>
      </c>
      <c r="Y42" t="str">
        <f>HYPERLINK("https://recruiter.shine.com/resume/download/?resumeid=gAAAAABbk2UMHQmXAzo1ZW8KcCV_1Vk-bLcAMrW-cLd1lXXLOLN0F67cOz1dUFxkdkcrtzQEA9H8kiLSnWbfUNTMi5WLe1tye_xtvSGb6-vsn3WN_YJVJV0tR8l75ZUuagvqGGTzXKzIXft_2XUacUflfvipL7ve9tJX5m0P_7dA8PUnlwdpkJg=")</f>
        <v>https://recruiter.shine.com/resume/download/?resumeid=gAAAAABbk2UMHQmXAzo1ZW8KcCV_1Vk-bLcAMrW-cLd1lXXLOLN0F67cOz1dUFxkdkcrtzQEA9H8kiLSnWbfUNTMi5WLe1tye_xtvSGb6-vsn3WN_YJVJV0tR8l75ZUuagvqGGTzXKzIXft_2XUacUflfvipL7ve9tJX5m0P_7dA8PUnlwdpkJg=</v>
      </c>
    </row>
    <row r="43" spans="1:25" ht="39.950000000000003" customHeight="1">
      <c r="A43">
        <v>39</v>
      </c>
      <c r="B43" t="s">
        <v>540</v>
      </c>
      <c r="D43" t="s">
        <v>541</v>
      </c>
      <c r="E43" t="s">
        <v>542</v>
      </c>
      <c r="F43" t="s">
        <v>29</v>
      </c>
      <c r="G43" t="s">
        <v>67</v>
      </c>
      <c r="H43" t="s">
        <v>31</v>
      </c>
      <c r="I43" t="s">
        <v>543</v>
      </c>
      <c r="J43" t="s">
        <v>251</v>
      </c>
      <c r="K43" t="s">
        <v>544</v>
      </c>
      <c r="L43" t="s">
        <v>88</v>
      </c>
      <c r="M43" t="s">
        <v>36</v>
      </c>
      <c r="N43" t="s">
        <v>545</v>
      </c>
      <c r="O43" t="s">
        <v>186</v>
      </c>
      <c r="Q43" t="s">
        <v>158</v>
      </c>
      <c r="R43" t="s">
        <v>546</v>
      </c>
      <c r="S43" t="s">
        <v>547</v>
      </c>
      <c r="T43" t="s">
        <v>175</v>
      </c>
      <c r="U43" t="s">
        <v>43</v>
      </c>
      <c r="V43" t="s">
        <v>548</v>
      </c>
      <c r="W43" t="s">
        <v>549</v>
      </c>
      <c r="Y43" t="str">
        <f>HYPERLINK("https://recruiter.shine.com/resume/download/?resumeid=gAAAAABbk2UNZ6kH4hIE17DR9baDL1clpRbunf2iks9XP9YlGStAoiHxSpRpVx3tIwp7_bP2pAIGwVi4NMK0VR5ScXyGSRIWVoQCH_4pvXnNa9xOHrrnmi38cXMbp1_3moCPoXPV_X1ZTIU5i617686_OPzfQ-ob1QDwIeNKPaYVmJcciwnwO5M=")</f>
        <v>https://recruiter.shine.com/resume/download/?resumeid=gAAAAABbk2UNZ6kH4hIE17DR9baDL1clpRbunf2iks9XP9YlGStAoiHxSpRpVx3tIwp7_bP2pAIGwVi4NMK0VR5ScXyGSRIWVoQCH_4pvXnNa9xOHrrnmi38cXMbp1_3moCPoXPV_X1ZTIU5i617686_OPzfQ-ob1QDwIeNKPaYVmJcciwnwO5M=</v>
      </c>
    </row>
    <row r="44" spans="1:25" ht="39.950000000000003" customHeight="1">
      <c r="A44">
        <v>40</v>
      </c>
      <c r="B44" t="s">
        <v>550</v>
      </c>
      <c r="C44" t="s">
        <v>551</v>
      </c>
      <c r="D44" t="s">
        <v>552</v>
      </c>
      <c r="E44" t="s">
        <v>553</v>
      </c>
      <c r="F44" t="s">
        <v>29</v>
      </c>
      <c r="G44" t="s">
        <v>29</v>
      </c>
      <c r="H44" t="s">
        <v>31</v>
      </c>
      <c r="I44" t="s">
        <v>554</v>
      </c>
      <c r="J44" t="s">
        <v>555</v>
      </c>
      <c r="K44" t="s">
        <v>556</v>
      </c>
      <c r="L44" t="s">
        <v>266</v>
      </c>
      <c r="M44" t="s">
        <v>105</v>
      </c>
      <c r="N44" t="s">
        <v>557</v>
      </c>
      <c r="O44" t="s">
        <v>558</v>
      </c>
      <c r="P44" t="s">
        <v>39</v>
      </c>
      <c r="Q44" t="s">
        <v>158</v>
      </c>
      <c r="R44" t="s">
        <v>559</v>
      </c>
      <c r="S44" t="s">
        <v>560</v>
      </c>
      <c r="T44" t="s">
        <v>561</v>
      </c>
      <c r="U44" t="s">
        <v>43</v>
      </c>
      <c r="V44" t="s">
        <v>562</v>
      </c>
      <c r="W44" t="s">
        <v>563</v>
      </c>
      <c r="Y44" t="str">
        <f>HYPERLINK("https://recruiter.shine.com/resume/download/?resumeid=gAAAAABbk2ULbEvMAH0Y0_SgmTaPZnE9lOFRbMiBISoGMkJdoimkBtZAO0fkhQ4AaPt3p0yuYOoIxtOwewwuTbGDxF_1igYZnbHvYbtl3fehsDuc-VDwsQzWbpVkFoK3H1o9AbiQq_7wFfuC3SBNzfY3PV1gQuwalQ==")</f>
        <v>https://recruiter.shine.com/resume/download/?resumeid=gAAAAABbk2ULbEvMAH0Y0_SgmTaPZnE9lOFRbMiBISoGMkJdoimkBtZAO0fkhQ4AaPt3p0yuYOoIxtOwewwuTbGDxF_1igYZnbHvYbtl3fehsDuc-VDwsQzWbpVkFoK3H1o9AbiQq_7wFfuC3SBNzfY3PV1gQuwalQ==</v>
      </c>
    </row>
    <row r="45" spans="1:25" ht="39.950000000000003" customHeight="1">
      <c r="A45">
        <v>41</v>
      </c>
      <c r="B45" t="s">
        <v>564</v>
      </c>
      <c r="C45" t="s">
        <v>565</v>
      </c>
      <c r="D45" t="s">
        <v>566</v>
      </c>
      <c r="E45" t="s">
        <v>567</v>
      </c>
      <c r="F45" t="s">
        <v>29</v>
      </c>
      <c r="G45" t="s">
        <v>30</v>
      </c>
      <c r="H45" t="s">
        <v>31</v>
      </c>
      <c r="I45" t="s">
        <v>568</v>
      </c>
      <c r="J45" t="s">
        <v>569</v>
      </c>
      <c r="K45" t="s">
        <v>570</v>
      </c>
      <c r="L45" t="s">
        <v>266</v>
      </c>
      <c r="M45" t="s">
        <v>105</v>
      </c>
      <c r="N45" t="s">
        <v>571</v>
      </c>
      <c r="O45" t="s">
        <v>572</v>
      </c>
      <c r="P45" t="s">
        <v>57</v>
      </c>
      <c r="Q45" t="s">
        <v>107</v>
      </c>
      <c r="R45" t="s">
        <v>573</v>
      </c>
      <c r="S45" t="s">
        <v>574</v>
      </c>
      <c r="T45" t="s">
        <v>441</v>
      </c>
      <c r="U45" t="s">
        <v>127</v>
      </c>
      <c r="V45" t="s">
        <v>575</v>
      </c>
      <c r="W45" t="s">
        <v>576</v>
      </c>
      <c r="Y45" t="str">
        <f>HYPERLINK("https://recruiter.shine.com/resume/download/?resumeid=gAAAAABbk2UMJYWVdwaHDrK4RjGTJG_V33cMzE0fXkKy4VIlQDZtp1xQ6EzyNb7ITWtzAVD1QyDLHip5wOIJdTaA5P5gjqaOrYWD-BJBPT6hzJiNg51of3CMhzrhraB0jtNjzAw0wtcXdy-AFuDkyOPunh8672e6FA==")</f>
        <v>https://recruiter.shine.com/resume/download/?resumeid=gAAAAABbk2UMJYWVdwaHDrK4RjGTJG_V33cMzE0fXkKy4VIlQDZtp1xQ6EzyNb7ITWtzAVD1QyDLHip5wOIJdTaA5P5gjqaOrYWD-BJBPT6hzJiNg51of3CMhzrhraB0jtNjzAw0wtcXdy-AFuDkyOPunh8672e6FA==</v>
      </c>
    </row>
    <row r="46" spans="1:25" ht="39.950000000000003" customHeight="1">
      <c r="A46">
        <v>42</v>
      </c>
      <c r="B46" t="s">
        <v>577</v>
      </c>
      <c r="D46" t="s">
        <v>578</v>
      </c>
      <c r="E46" t="s">
        <v>579</v>
      </c>
      <c r="F46" t="s">
        <v>29</v>
      </c>
      <c r="G46" t="s">
        <v>29</v>
      </c>
      <c r="H46" t="s">
        <v>31</v>
      </c>
      <c r="I46" t="s">
        <v>168</v>
      </c>
      <c r="J46" t="s">
        <v>580</v>
      </c>
      <c r="K46" t="s">
        <v>581</v>
      </c>
      <c r="L46" t="s">
        <v>582</v>
      </c>
      <c r="M46" t="s">
        <v>583</v>
      </c>
      <c r="N46" t="s">
        <v>584</v>
      </c>
      <c r="O46" t="s">
        <v>585</v>
      </c>
      <c r="Q46" t="s">
        <v>40</v>
      </c>
      <c r="R46" t="s">
        <v>41</v>
      </c>
      <c r="S46" t="s">
        <v>586</v>
      </c>
      <c r="T46" t="s">
        <v>587</v>
      </c>
      <c r="U46" t="s">
        <v>43</v>
      </c>
      <c r="V46" t="s">
        <v>588</v>
      </c>
      <c r="W46" t="s">
        <v>589</v>
      </c>
      <c r="Y46" t="str">
        <f>HYPERLINK("https://recruiter.shine.com/resume/download/?resumeid=gAAAAABbk2UOOfncyHPzw5ga_kj0d4730bUHmrQ0Fy7ixHHceiZiI4sk0jc4_C4_dQZySWkrHGF3_9qYiVHgtMTU6okc5730DZ3ZUjxPBWLgaNDcuphZjBPGECPtAuIsATtwUOfp4K1GK66ufF15ALj8xcZL7bKmcA==")</f>
        <v>https://recruiter.shine.com/resume/download/?resumeid=gAAAAABbk2UOOfncyHPzw5ga_kj0d4730bUHmrQ0Fy7ixHHceiZiI4sk0jc4_C4_dQZySWkrHGF3_9qYiVHgtMTU6okc5730DZ3ZUjxPBWLgaNDcuphZjBPGECPtAuIsATtwUOfp4K1GK66ufF15ALj8xcZL7bKmcA==</v>
      </c>
    </row>
    <row r="47" spans="1:25" ht="39.950000000000003" customHeight="1">
      <c r="A47">
        <v>43</v>
      </c>
      <c r="B47" t="s">
        <v>590</v>
      </c>
      <c r="C47" t="s">
        <v>591</v>
      </c>
      <c r="D47" t="s">
        <v>592</v>
      </c>
      <c r="E47" t="s">
        <v>593</v>
      </c>
      <c r="F47" t="s">
        <v>29</v>
      </c>
      <c r="G47" t="s">
        <v>67</v>
      </c>
      <c r="I47" t="s">
        <v>196</v>
      </c>
      <c r="J47" t="s">
        <v>594</v>
      </c>
      <c r="K47" t="s">
        <v>595</v>
      </c>
      <c r="L47" t="s">
        <v>596</v>
      </c>
      <c r="M47" t="s">
        <v>339</v>
      </c>
      <c r="N47" t="s">
        <v>597</v>
      </c>
      <c r="O47" t="s">
        <v>224</v>
      </c>
      <c r="P47" t="s">
        <v>73</v>
      </c>
      <c r="Q47" t="s">
        <v>74</v>
      </c>
      <c r="R47" t="s">
        <v>341</v>
      </c>
      <c r="S47" t="s">
        <v>598</v>
      </c>
      <c r="T47" t="s">
        <v>441</v>
      </c>
      <c r="U47" t="s">
        <v>43</v>
      </c>
      <c r="V47" t="s">
        <v>599</v>
      </c>
      <c r="W47" t="s">
        <v>599</v>
      </c>
      <c r="Y47" t="str">
        <f>HYPERLINK("https://recruiter.shine.com/resume/download/?resumeid=gAAAAABbk2ULQiSGCs4WFgiEQyg6GcSj627wx12Iz89of1ooFYLjN-k13SamypS1_2pdapePdA3EU8DG5_p1MDqaEeezGN7TEUyyZEHAkjfGOtDmCF5avYHxcZWtgTzVlpPTlarlbUvx")</f>
        <v>https://recruiter.shine.com/resume/download/?resumeid=gAAAAABbk2ULQiSGCs4WFgiEQyg6GcSj627wx12Iz89of1ooFYLjN-k13SamypS1_2pdapePdA3EU8DG5_p1MDqaEeezGN7TEUyyZEHAkjfGOtDmCF5avYHxcZWtgTzVlpPTlarlbUvx</v>
      </c>
    </row>
    <row r="48" spans="1:25" ht="39.950000000000003" customHeight="1">
      <c r="A48">
        <v>44</v>
      </c>
      <c r="B48" t="s">
        <v>600</v>
      </c>
      <c r="C48" t="s">
        <v>601</v>
      </c>
      <c r="D48" t="s">
        <v>602</v>
      </c>
      <c r="E48" t="s">
        <v>603</v>
      </c>
      <c r="F48" t="s">
        <v>29</v>
      </c>
      <c r="G48" t="s">
        <v>29</v>
      </c>
      <c r="H48" t="s">
        <v>31</v>
      </c>
      <c r="I48" t="s">
        <v>604</v>
      </c>
      <c r="J48" t="s">
        <v>312</v>
      </c>
      <c r="K48" t="s">
        <v>605</v>
      </c>
      <c r="L48" t="s">
        <v>606</v>
      </c>
      <c r="M48" t="s">
        <v>105</v>
      </c>
      <c r="N48" t="s">
        <v>607</v>
      </c>
      <c r="O48" t="s">
        <v>186</v>
      </c>
      <c r="P48" t="s">
        <v>57</v>
      </c>
      <c r="Q48" t="s">
        <v>107</v>
      </c>
      <c r="R48" t="s">
        <v>559</v>
      </c>
      <c r="S48" t="s">
        <v>608</v>
      </c>
      <c r="T48" t="s">
        <v>110</v>
      </c>
      <c r="U48" t="s">
        <v>43</v>
      </c>
      <c r="V48" t="s">
        <v>609</v>
      </c>
      <c r="W48" t="s">
        <v>610</v>
      </c>
      <c r="Y48" t="str">
        <f>HYPERLINK("https://recruiter.shine.com/resume/download/?resumeid=gAAAAABbk2UMsqWQzbFQ_KY3ep_poPV44KRO1ClbCqcB85zNguFcnFDiUsZ6hrJbTbLa8Ltsx7Byvqo7lqsqp6XHvZk7Ao7SFahCUDpQfbi3TQYnEMiNZa8nSt-uKn75jO3O9pG-y19iVcS-eOCbqLambO0s2eBHjw==")</f>
        <v>https://recruiter.shine.com/resume/download/?resumeid=gAAAAABbk2UMsqWQzbFQ_KY3ep_poPV44KRO1ClbCqcB85zNguFcnFDiUsZ6hrJbTbLa8Ltsx7Byvqo7lqsqp6XHvZk7Ao7SFahCUDpQfbi3TQYnEMiNZa8nSt-uKn75jO3O9pG-y19iVcS-eOCbqLambO0s2eBHjw==</v>
      </c>
    </row>
    <row r="49" spans="1:25" ht="39.950000000000003" customHeight="1">
      <c r="A49">
        <v>45</v>
      </c>
      <c r="B49" t="s">
        <v>611</v>
      </c>
      <c r="D49" t="s">
        <v>612</v>
      </c>
      <c r="E49" t="s">
        <v>613</v>
      </c>
      <c r="F49" t="s">
        <v>29</v>
      </c>
      <c r="G49" t="s">
        <v>67</v>
      </c>
      <c r="I49" t="s">
        <v>362</v>
      </c>
      <c r="J49" t="s">
        <v>135</v>
      </c>
      <c r="L49" t="s">
        <v>363</v>
      </c>
      <c r="M49" t="s">
        <v>364</v>
      </c>
      <c r="V49" t="s">
        <v>614</v>
      </c>
      <c r="W49" t="s">
        <v>615</v>
      </c>
      <c r="Y49" t="str">
        <f>HYPERLINK("https://recruiter.shine.com/resume/download/?resumeid=gAAAAABbk2UNEpcrIrDW0l3phYa7yRUrh0FRT3fPm30HA49r-K-LLuYwi-zppZ6mH4VfvhI7oP7mIy65IaVGtjmxNg5IzkG3Mcni5QYaTtfU7bFkl2MPbMabd3f-BC6KgnnYlfSW8dnHCv7ZZzbxVq-CODEG9xwUKA==")</f>
        <v>https://recruiter.shine.com/resume/download/?resumeid=gAAAAABbk2UNEpcrIrDW0l3phYa7yRUrh0FRT3fPm30HA49r-K-LLuYwi-zppZ6mH4VfvhI7oP7mIy65IaVGtjmxNg5IzkG3Mcni5QYaTtfU7bFkl2MPbMabd3f-BC6KgnnYlfSW8dnHCv7ZZzbxVq-CODEG9xwUKA==</v>
      </c>
    </row>
    <row r="50" spans="1:25" ht="39.950000000000003" customHeight="1">
      <c r="A50">
        <v>46</v>
      </c>
      <c r="B50" t="s">
        <v>616</v>
      </c>
      <c r="C50" t="s">
        <v>617</v>
      </c>
      <c r="D50" t="s">
        <v>618</v>
      </c>
      <c r="E50" t="s">
        <v>619</v>
      </c>
      <c r="F50" t="s">
        <v>249</v>
      </c>
      <c r="G50" t="s">
        <v>620</v>
      </c>
      <c r="H50" t="s">
        <v>31</v>
      </c>
      <c r="I50" t="s">
        <v>362</v>
      </c>
      <c r="J50" t="s">
        <v>135</v>
      </c>
      <c r="K50" t="s">
        <v>621</v>
      </c>
      <c r="L50" t="s">
        <v>155</v>
      </c>
      <c r="M50" t="s">
        <v>622</v>
      </c>
      <c r="N50" t="s">
        <v>623</v>
      </c>
      <c r="O50" t="s">
        <v>186</v>
      </c>
      <c r="Q50" t="s">
        <v>107</v>
      </c>
      <c r="R50" t="s">
        <v>559</v>
      </c>
      <c r="S50" t="s">
        <v>624</v>
      </c>
      <c r="T50" t="s">
        <v>625</v>
      </c>
      <c r="U50" t="s">
        <v>43</v>
      </c>
      <c r="V50" t="s">
        <v>626</v>
      </c>
      <c r="W50" t="s">
        <v>627</v>
      </c>
      <c r="Y50" t="str">
        <f>HYPERLINK("https://recruiter.shine.com/resume/download/?resumeid=gAAAAABbk2UKpFSJJ0KgF7_bwpdlmcennlT1-x7idwi385K1jongsdNBr_KpPBVm-BtYw7M909--PfgPtWr9rajd55e5qLYotqNs59H-Az-QNsY_-yFAlAUHQDdIcuNvSJCcIiCpL5Ju")</f>
        <v>https://recruiter.shine.com/resume/download/?resumeid=gAAAAABbk2UKpFSJJ0KgF7_bwpdlmcennlT1-x7idwi385K1jongsdNBr_KpPBVm-BtYw7M909--PfgPtWr9rajd55e5qLYotqNs59H-Az-QNsY_-yFAlAUHQDdIcuNvSJCcIiCpL5Ju</v>
      </c>
    </row>
    <row r="51" spans="1:25" ht="39.950000000000003" customHeight="1">
      <c r="A51">
        <v>47</v>
      </c>
      <c r="B51" t="s">
        <v>628</v>
      </c>
      <c r="C51" t="s">
        <v>629</v>
      </c>
      <c r="D51" t="s">
        <v>630</v>
      </c>
      <c r="E51" t="s">
        <v>631</v>
      </c>
      <c r="F51" t="s">
        <v>29</v>
      </c>
      <c r="G51" t="s">
        <v>632</v>
      </c>
      <c r="H51" t="s">
        <v>31</v>
      </c>
      <c r="I51" t="s">
        <v>633</v>
      </c>
      <c r="J51" t="s">
        <v>135</v>
      </c>
      <c r="K51" t="s">
        <v>634</v>
      </c>
      <c r="L51" t="s">
        <v>137</v>
      </c>
      <c r="M51" t="s">
        <v>172</v>
      </c>
      <c r="N51" t="s">
        <v>635</v>
      </c>
      <c r="O51" t="s">
        <v>186</v>
      </c>
      <c r="Q51" t="s">
        <v>40</v>
      </c>
      <c r="R51" t="s">
        <v>476</v>
      </c>
      <c r="S51" t="s">
        <v>636</v>
      </c>
      <c r="T51" t="s">
        <v>415</v>
      </c>
      <c r="U51" t="s">
        <v>43</v>
      </c>
      <c r="V51" t="s">
        <v>637</v>
      </c>
      <c r="W51" t="s">
        <v>638</v>
      </c>
      <c r="Y51" t="str">
        <f>HYPERLINK("https://recruiter.shine.com/resume/download/?resumeid=gAAAAABbk2UM8YjFB9voD_7tc02A1k_nPCty5FO8zUt2BAk-PxBPPdkc6ZeYKdFh52IOP8AWHjvPk8u0lkYBG6Y5A7diYVBeqFGB0JEm_C1S7655XxjA3D10d8dHYa4IRvi9ZBKcaE8CvNsCuRSQnb1oeuylc_e0lQ==")</f>
        <v>https://recruiter.shine.com/resume/download/?resumeid=gAAAAABbk2UM8YjFB9voD_7tc02A1k_nPCty5FO8zUt2BAk-PxBPPdkc6ZeYKdFh52IOP8AWHjvPk8u0lkYBG6Y5A7diYVBeqFGB0JEm_C1S7655XxjA3D10d8dHYa4IRvi9ZBKcaE8CvNsCuRSQnb1oeuylc_e0lQ==</v>
      </c>
    </row>
    <row r="52" spans="1:25" ht="39.950000000000003" customHeight="1">
      <c r="A52">
        <v>48</v>
      </c>
      <c r="B52" t="s">
        <v>639</v>
      </c>
      <c r="D52" t="s">
        <v>640</v>
      </c>
      <c r="E52" t="s">
        <v>641</v>
      </c>
      <c r="F52" t="s">
        <v>29</v>
      </c>
      <c r="G52" t="s">
        <v>406</v>
      </c>
      <c r="H52" t="s">
        <v>31</v>
      </c>
      <c r="I52" t="s">
        <v>362</v>
      </c>
      <c r="J52" t="s">
        <v>135</v>
      </c>
      <c r="L52" t="s">
        <v>363</v>
      </c>
      <c r="M52" t="s">
        <v>364</v>
      </c>
      <c r="Q52" t="s">
        <v>107</v>
      </c>
      <c r="R52" t="s">
        <v>642</v>
      </c>
      <c r="S52" t="s">
        <v>643</v>
      </c>
      <c r="T52" t="s">
        <v>126</v>
      </c>
      <c r="U52" t="s">
        <v>43</v>
      </c>
      <c r="V52" t="s">
        <v>644</v>
      </c>
      <c r="W52" t="s">
        <v>645</v>
      </c>
      <c r="Y52" t="str">
        <f>HYPERLINK("https://recruiter.shine.com/resume/download/?resumeid=gAAAAABbk2UOTMBqosWDEWiipr2MrlPOM2MwvWCDdMfMLqKZQLx6Z28EwLUPqkTLpfJrjW8gDG6QEP9bLaLcLYDMtF3zx855svuxswxBoi8wkPm1yO8xpIkog8JyoY-2B7IIk7g92e53pC4V99BFEGsmH8rzUSE1o8ym-PJxP5qRnpJLQBn7Klw=")</f>
        <v>https://recruiter.shine.com/resume/download/?resumeid=gAAAAABbk2UOTMBqosWDEWiipr2MrlPOM2MwvWCDdMfMLqKZQLx6Z28EwLUPqkTLpfJrjW8gDG6QEP9bLaLcLYDMtF3zx855svuxswxBoi8wkPm1yO8xpIkog8JyoY-2B7IIk7g92e53pC4V99BFEGsmH8rzUSE1o8ym-PJxP5qRnpJLQBn7Klw=</v>
      </c>
    </row>
    <row r="53" spans="1:25" ht="39.950000000000003" customHeight="1">
      <c r="A53">
        <v>49</v>
      </c>
      <c r="B53" t="s">
        <v>646</v>
      </c>
      <c r="C53" t="s">
        <v>647</v>
      </c>
      <c r="D53" t="s">
        <v>648</v>
      </c>
      <c r="E53" t="s">
        <v>649</v>
      </c>
      <c r="F53" t="s">
        <v>29</v>
      </c>
      <c r="G53" t="s">
        <v>406</v>
      </c>
      <c r="H53" t="s">
        <v>31</v>
      </c>
      <c r="I53" t="s">
        <v>650</v>
      </c>
      <c r="J53" t="s">
        <v>651</v>
      </c>
      <c r="K53" t="s">
        <v>652</v>
      </c>
      <c r="L53" t="s">
        <v>653</v>
      </c>
      <c r="M53" t="s">
        <v>121</v>
      </c>
      <c r="N53" t="s">
        <v>654</v>
      </c>
      <c r="O53" t="s">
        <v>585</v>
      </c>
      <c r="P53" t="s">
        <v>39</v>
      </c>
      <c r="Q53" t="s">
        <v>158</v>
      </c>
      <c r="R53" t="s">
        <v>476</v>
      </c>
      <c r="S53" t="s">
        <v>655</v>
      </c>
      <c r="T53" t="s">
        <v>304</v>
      </c>
      <c r="U53" t="s">
        <v>43</v>
      </c>
      <c r="V53" t="s">
        <v>656</v>
      </c>
      <c r="W53" t="s">
        <v>657</v>
      </c>
      <c r="Y53" t="str">
        <f>HYPERLINK("https://recruiter.shine.com/resume/download/?resumeid=gAAAAABbk2UK1uEYDrI54oGGMzs1SAUAaSihDuIeWkggOGnevwxWt3gxyFZ9iPHee7TaWR5MeX4k2teACgVdy1mRhhHq0Zj7WfKriZpVOD9USYD-2GQHIbj43v4DPyWQHnCbeAbvhur7")</f>
        <v>https://recruiter.shine.com/resume/download/?resumeid=gAAAAABbk2UK1uEYDrI54oGGMzs1SAUAaSihDuIeWkggOGnevwxWt3gxyFZ9iPHee7TaWR5MeX4k2teACgVdy1mRhhHq0Zj7WfKriZpVOD9USYD-2GQHIbj43v4DPyWQHnCbeAbvhur7</v>
      </c>
    </row>
    <row r="54" spans="1:25" ht="39.950000000000003" customHeight="1">
      <c r="A54">
        <v>50</v>
      </c>
      <c r="B54" t="s">
        <v>658</v>
      </c>
      <c r="C54" t="s">
        <v>659</v>
      </c>
      <c r="D54" t="s">
        <v>660</v>
      </c>
      <c r="E54" t="s">
        <v>661</v>
      </c>
      <c r="F54" t="s">
        <v>29</v>
      </c>
      <c r="G54" t="s">
        <v>30</v>
      </c>
      <c r="H54" t="s">
        <v>31</v>
      </c>
      <c r="I54" t="s">
        <v>662</v>
      </c>
      <c r="J54" t="s">
        <v>251</v>
      </c>
      <c r="K54" t="s">
        <v>663</v>
      </c>
      <c r="L54" t="s">
        <v>664</v>
      </c>
      <c r="M54" t="s">
        <v>54</v>
      </c>
      <c r="N54" t="s">
        <v>665</v>
      </c>
      <c r="O54" t="s">
        <v>186</v>
      </c>
      <c r="P54" t="s">
        <v>73</v>
      </c>
      <c r="Q54" t="s">
        <v>58</v>
      </c>
      <c r="R54" t="s">
        <v>59</v>
      </c>
      <c r="S54" t="s">
        <v>666</v>
      </c>
      <c r="T54" t="s">
        <v>110</v>
      </c>
      <c r="U54" t="s">
        <v>43</v>
      </c>
      <c r="V54" t="s">
        <v>667</v>
      </c>
      <c r="W54" t="s">
        <v>668</v>
      </c>
      <c r="Y54" t="str">
        <f>HYPERLINK("https://recruiter.shine.com/resume/download/?resumeid=gAAAAABbk2UNFjDAbTMcVBjqJpKUz0RGCYY_iPWtNW1oczOz3sRddWMTE0X36BoGjgDXO202I4Q36piRHcENWd8Sk5sFjT8KUXdNahGBW2ikUJxw9UmJNz8flhQ1VOHaB_c21aRDY-YwKQMbdkpe-YUoAYSwHFeGJO-KVFWSnKZai10dDHO4uU0=")</f>
        <v>https://recruiter.shine.com/resume/download/?resumeid=gAAAAABbk2UNFjDAbTMcVBjqJpKUz0RGCYY_iPWtNW1oczOz3sRddWMTE0X36BoGjgDXO202I4Q36piRHcENWd8Sk5sFjT8KUXdNahGBW2ikUJxw9UmJNz8flhQ1VOHaB_c21aRDY-YwKQMbdkpe-YUoAYSwHFeGJO-KVFWSnKZai10dDHO4uU0=</v>
      </c>
    </row>
    <row r="55" spans="1:25" ht="39.950000000000003" customHeight="1">
      <c r="A55">
        <v>51</v>
      </c>
      <c r="B55" t="s">
        <v>669</v>
      </c>
      <c r="C55" t="s">
        <v>670</v>
      </c>
      <c r="D55" t="s">
        <v>671</v>
      </c>
      <c r="E55" t="s">
        <v>672</v>
      </c>
      <c r="F55" t="s">
        <v>29</v>
      </c>
      <c r="G55" t="s">
        <v>29</v>
      </c>
      <c r="H55" t="s">
        <v>31</v>
      </c>
      <c r="I55" t="s">
        <v>673</v>
      </c>
      <c r="J55" t="s">
        <v>674</v>
      </c>
      <c r="K55" t="s">
        <v>675</v>
      </c>
      <c r="L55" t="s">
        <v>155</v>
      </c>
      <c r="M55" t="s">
        <v>105</v>
      </c>
      <c r="N55" t="s">
        <v>676</v>
      </c>
      <c r="O55" t="s">
        <v>475</v>
      </c>
      <c r="P55" t="s">
        <v>39</v>
      </c>
      <c r="Q55" t="s">
        <v>107</v>
      </c>
      <c r="R55" t="s">
        <v>559</v>
      </c>
      <c r="S55" t="s">
        <v>677</v>
      </c>
      <c r="T55" t="s">
        <v>175</v>
      </c>
      <c r="U55" t="s">
        <v>43</v>
      </c>
      <c r="V55" t="s">
        <v>678</v>
      </c>
      <c r="W55" t="s">
        <v>679</v>
      </c>
      <c r="Y55" t="str">
        <f>HYPERLINK("https://recruiter.shine.com/resume/download/?resumeid=gAAAAABbk2UObFitVU8q_N0quxAZF19cQ4eQgrA1CKE4e6a9TDpIwa-4AoQ07e2VyA3yjbHSkfHFCj8zBY1YDzN_ET_WgMiKpB1SXn9_E5D2Suy5b0VZKAcNStQrkzcPMlRQ-fv6bwyZx-8TK4RJ1SqziVk2jk6vRNChPLHa8521DlAdE-yN5LM=")</f>
        <v>https://recruiter.shine.com/resume/download/?resumeid=gAAAAABbk2UObFitVU8q_N0quxAZF19cQ4eQgrA1CKE4e6a9TDpIwa-4AoQ07e2VyA3yjbHSkfHFCj8zBY1YDzN_ET_WgMiKpB1SXn9_E5D2Suy5b0VZKAcNStQrkzcPMlRQ-fv6bwyZx-8TK4RJ1SqziVk2jk6vRNChPLHa8521DlAdE-yN5LM=</v>
      </c>
    </row>
    <row r="56" spans="1:25" ht="39.950000000000003" customHeight="1">
      <c r="A56">
        <v>52</v>
      </c>
      <c r="B56" t="s">
        <v>680</v>
      </c>
      <c r="D56" t="s">
        <v>681</v>
      </c>
      <c r="E56" t="s">
        <v>682</v>
      </c>
      <c r="F56" t="s">
        <v>29</v>
      </c>
      <c r="G56" t="s">
        <v>29</v>
      </c>
      <c r="H56" t="s">
        <v>31</v>
      </c>
      <c r="I56" t="s">
        <v>152</v>
      </c>
      <c r="J56" t="s">
        <v>506</v>
      </c>
      <c r="K56" t="s">
        <v>683</v>
      </c>
      <c r="L56" t="s">
        <v>266</v>
      </c>
      <c r="M56" t="s">
        <v>684</v>
      </c>
      <c r="N56" t="s">
        <v>685</v>
      </c>
      <c r="O56" t="s">
        <v>186</v>
      </c>
      <c r="P56" t="s">
        <v>140</v>
      </c>
      <c r="Q56" t="s">
        <v>365</v>
      </c>
      <c r="R56" t="s">
        <v>476</v>
      </c>
      <c r="S56" t="s">
        <v>686</v>
      </c>
      <c r="T56" t="s">
        <v>687</v>
      </c>
      <c r="U56" t="s">
        <v>43</v>
      </c>
      <c r="V56" t="s">
        <v>688</v>
      </c>
      <c r="W56" t="s">
        <v>689</v>
      </c>
      <c r="Y56" t="str">
        <f>HYPERLINK("https://recruiter.shine.com/resume/download/?resumeid=gAAAAABbk2UKywAj8AZAzvZCVLKgQ7yuHwchdQi5RrBl_zk3073_HZcRMnVIFWa7-9w5m4fQe6rUMfm5y7NMv-M2NpqJXlrHRGzwh0RFrQUuvjqmoq9Zydy6ir-wJevvxtPYRPTvtcDJ")</f>
        <v>https://recruiter.shine.com/resume/download/?resumeid=gAAAAABbk2UKywAj8AZAzvZCVLKgQ7yuHwchdQi5RrBl_zk3073_HZcRMnVIFWa7-9w5m4fQe6rUMfm5y7NMv-M2NpqJXlrHRGzwh0RFrQUuvjqmoq9Zydy6ir-wJevvxtPYRPTvtcDJ</v>
      </c>
    </row>
    <row r="57" spans="1:25" ht="39.950000000000003" customHeight="1">
      <c r="A57">
        <v>53</v>
      </c>
      <c r="B57" t="s">
        <v>690</v>
      </c>
      <c r="C57" t="s">
        <v>691</v>
      </c>
      <c r="D57" t="s">
        <v>692</v>
      </c>
      <c r="E57" t="s">
        <v>693</v>
      </c>
      <c r="F57" t="s">
        <v>29</v>
      </c>
      <c r="G57" t="s">
        <v>694</v>
      </c>
      <c r="H57" t="s">
        <v>31</v>
      </c>
      <c r="I57" t="s">
        <v>695</v>
      </c>
      <c r="J57" t="s">
        <v>506</v>
      </c>
      <c r="K57" t="s">
        <v>696</v>
      </c>
      <c r="L57" t="s">
        <v>697</v>
      </c>
      <c r="M57" t="s">
        <v>697</v>
      </c>
      <c r="N57" t="s">
        <v>698</v>
      </c>
      <c r="O57" t="s">
        <v>38</v>
      </c>
      <c r="P57" t="s">
        <v>140</v>
      </c>
      <c r="Q57" t="s">
        <v>699</v>
      </c>
      <c r="R57" t="s">
        <v>59</v>
      </c>
      <c r="S57" t="s">
        <v>188</v>
      </c>
      <c r="T57" t="s">
        <v>227</v>
      </c>
      <c r="U57" t="s">
        <v>43</v>
      </c>
      <c r="V57" t="s">
        <v>700</v>
      </c>
      <c r="W57" t="s">
        <v>701</v>
      </c>
      <c r="Y57" t="str">
        <f>HYPERLINK("https://recruiter.shine.com/resume/download/?resumeid=gAAAAABbk2UNLIZF5NHc8T-xjmm1Ti_-33eAH0rrU3xzzAEBA3Y2rW9ylxus_6kOtp3j4BbKip2UvplljqIAqeNdLCx0NopmwWBAwfTygPczWxLEgMkQ6Ivgj3abf7Tu_XfMIz0D3sZgzQBQXDtN4Yz8EfNM6CPuyTWxqSc0uxWE1z8i1-EYLCQ=")</f>
        <v>https://recruiter.shine.com/resume/download/?resumeid=gAAAAABbk2UNLIZF5NHc8T-xjmm1Ti_-33eAH0rrU3xzzAEBA3Y2rW9ylxus_6kOtp3j4BbKip2UvplljqIAqeNdLCx0NopmwWBAwfTygPczWxLEgMkQ6Ivgj3abf7Tu_XfMIz0D3sZgzQBQXDtN4Yz8EfNM6CPuyTWxqSc0uxWE1z8i1-EYLCQ=</v>
      </c>
    </row>
    <row r="58" spans="1:25" ht="39.950000000000003" customHeight="1">
      <c r="A58">
        <v>54</v>
      </c>
      <c r="B58" t="s">
        <v>702</v>
      </c>
      <c r="D58" t="s">
        <v>703</v>
      </c>
      <c r="E58" t="s">
        <v>704</v>
      </c>
      <c r="F58" t="s">
        <v>29</v>
      </c>
      <c r="G58" t="s">
        <v>29</v>
      </c>
      <c r="H58" t="s">
        <v>31</v>
      </c>
      <c r="I58" t="s">
        <v>134</v>
      </c>
      <c r="J58" t="s">
        <v>705</v>
      </c>
      <c r="K58" t="s">
        <v>706</v>
      </c>
      <c r="L58" t="s">
        <v>120</v>
      </c>
      <c r="M58" t="s">
        <v>707</v>
      </c>
      <c r="N58" t="s">
        <v>708</v>
      </c>
      <c r="O58" t="s">
        <v>475</v>
      </c>
      <c r="P58" t="s">
        <v>73</v>
      </c>
      <c r="Q58" t="s">
        <v>40</v>
      </c>
      <c r="R58" t="s">
        <v>476</v>
      </c>
      <c r="S58" t="s">
        <v>188</v>
      </c>
      <c r="T58" t="s">
        <v>415</v>
      </c>
      <c r="U58" t="s">
        <v>43</v>
      </c>
      <c r="V58" t="s">
        <v>709</v>
      </c>
      <c r="W58" t="s">
        <v>710</v>
      </c>
      <c r="Y58" t="str">
        <f>HYPERLINK("https://recruiter.shine.com/resume/download/?resumeid=gAAAAABbk2UO_Nc_OHTfO-rmwHR3l8AJbecdguDCuliBIOzeiLQ8AkVoBmcjMof_5rfbTsM4Fvy4OSd1RwzeaRGWvqjU0kBU8FGfL8RdD3Fhvqp0yAWR-M4VChzg9GbYzCJdjJrtMlGj2v2Iz6wsYGhYxdbEmWwG8KSTtq4-cdzKs1OUFHGyL30=")</f>
        <v>https://recruiter.shine.com/resume/download/?resumeid=gAAAAABbk2UO_Nc_OHTfO-rmwHR3l8AJbecdguDCuliBIOzeiLQ8AkVoBmcjMof_5rfbTsM4Fvy4OSd1RwzeaRGWvqjU0kBU8FGfL8RdD3Fhvqp0yAWR-M4VChzg9GbYzCJdjJrtMlGj2v2Iz6wsYGhYxdbEmWwG8KSTtq4-cdzKs1OUFHGyL30=</v>
      </c>
    </row>
    <row r="59" spans="1:25" ht="39.950000000000003" customHeight="1">
      <c r="A59">
        <v>55</v>
      </c>
      <c r="B59" t="s">
        <v>711</v>
      </c>
      <c r="D59" t="s">
        <v>712</v>
      </c>
      <c r="E59" t="s">
        <v>713</v>
      </c>
      <c r="F59" t="s">
        <v>29</v>
      </c>
      <c r="G59" t="s">
        <v>67</v>
      </c>
      <c r="I59" t="s">
        <v>714</v>
      </c>
      <c r="J59" t="s">
        <v>715</v>
      </c>
      <c r="K59" t="s">
        <v>716</v>
      </c>
      <c r="L59" t="s">
        <v>184</v>
      </c>
      <c r="M59" t="s">
        <v>717</v>
      </c>
      <c r="N59" t="s">
        <v>718</v>
      </c>
      <c r="O59" t="s">
        <v>224</v>
      </c>
      <c r="Q59" t="s">
        <v>123</v>
      </c>
      <c r="R59" t="s">
        <v>124</v>
      </c>
      <c r="S59" t="s">
        <v>188</v>
      </c>
      <c r="U59" t="s">
        <v>43</v>
      </c>
      <c r="V59" t="s">
        <v>719</v>
      </c>
      <c r="W59" t="s">
        <v>719</v>
      </c>
      <c r="Y59" t="str">
        <f>HYPERLINK("https://recruiter.shine.com/resume/download/?resumeid=gAAAAABbk2ULc52vzbr-gnc_ip1Ps9WDUWo0U77_JP8DdQFAtnAb_ngT0QYtSLHx35IDU7bRVXAH9Im_VG5pHvlGwd6k_AFz7T3-8kyZ8JIC135jdWy8t3_yhmAcnpzWCLjnzsbt6okY")</f>
        <v>https://recruiter.shine.com/resume/download/?resumeid=gAAAAABbk2ULc52vzbr-gnc_ip1Ps9WDUWo0U77_JP8DdQFAtnAb_ngT0QYtSLHx35IDU7bRVXAH9Im_VG5pHvlGwd6k_AFz7T3-8kyZ8JIC135jdWy8t3_yhmAcnpzWCLjnzsbt6okY</v>
      </c>
    </row>
    <row r="60" spans="1:25" ht="39.950000000000003" customHeight="1">
      <c r="A60">
        <v>56</v>
      </c>
      <c r="B60" t="s">
        <v>720</v>
      </c>
      <c r="C60" t="s">
        <v>721</v>
      </c>
      <c r="D60" t="s">
        <v>722</v>
      </c>
      <c r="E60" t="s">
        <v>723</v>
      </c>
      <c r="F60" t="s">
        <v>29</v>
      </c>
      <c r="G60" t="s">
        <v>724</v>
      </c>
      <c r="H60" t="s">
        <v>31</v>
      </c>
      <c r="I60" t="s">
        <v>725</v>
      </c>
      <c r="J60" t="s">
        <v>118</v>
      </c>
      <c r="K60" t="s">
        <v>726</v>
      </c>
      <c r="L60" t="s">
        <v>486</v>
      </c>
      <c r="M60" t="s">
        <v>238</v>
      </c>
      <c r="N60" t="s">
        <v>727</v>
      </c>
      <c r="O60" t="s">
        <v>186</v>
      </c>
      <c r="P60" t="s">
        <v>39</v>
      </c>
      <c r="Q60" t="s">
        <v>90</v>
      </c>
      <c r="R60" t="s">
        <v>292</v>
      </c>
      <c r="S60" t="s">
        <v>188</v>
      </c>
      <c r="T60" t="s">
        <v>126</v>
      </c>
      <c r="U60" t="s">
        <v>43</v>
      </c>
      <c r="V60" t="s">
        <v>728</v>
      </c>
      <c r="W60" t="s">
        <v>729</v>
      </c>
      <c r="Y60" t="str">
        <f>HYPERLINK("https://recruiter.shine.com/resume/download/?resumeid=gAAAAABbk2UMvvfrXG8wLmh98nXaCeuO_o5iUqOI5iXvSOm7u7J5zFZTDnVWazCov4k2-tn11uoHuXJkeyXRKGS2KnHslemynGCbiwkSvUI9Hu41O4aKpYs-Iyk7H5UUIYC8JY5CgBGtEwHqk6KrWokcgiD9L0EhwA==")</f>
        <v>https://recruiter.shine.com/resume/download/?resumeid=gAAAAABbk2UMvvfrXG8wLmh98nXaCeuO_o5iUqOI5iXvSOm7u7J5zFZTDnVWazCov4k2-tn11uoHuXJkeyXRKGS2KnHslemynGCbiwkSvUI9Hu41O4aKpYs-Iyk7H5UUIYC8JY5CgBGtEwHqk6KrWokcgiD9L0EhwA==</v>
      </c>
    </row>
    <row r="61" spans="1:25" ht="39.950000000000003" customHeight="1">
      <c r="A61">
        <v>57</v>
      </c>
      <c r="B61" t="s">
        <v>730</v>
      </c>
      <c r="C61" t="s">
        <v>731</v>
      </c>
      <c r="D61" t="s">
        <v>732</v>
      </c>
      <c r="E61" t="s">
        <v>733</v>
      </c>
      <c r="F61" t="s">
        <v>29</v>
      </c>
      <c r="G61" t="s">
        <v>29</v>
      </c>
      <c r="H61" t="s">
        <v>234</v>
      </c>
      <c r="I61" t="s">
        <v>734</v>
      </c>
      <c r="J61" t="s">
        <v>735</v>
      </c>
      <c r="K61" t="s">
        <v>736</v>
      </c>
      <c r="L61" t="s">
        <v>425</v>
      </c>
      <c r="M61" t="s">
        <v>238</v>
      </c>
      <c r="N61" t="s">
        <v>737</v>
      </c>
      <c r="O61" t="s">
        <v>186</v>
      </c>
      <c r="P61" t="s">
        <v>73</v>
      </c>
      <c r="Q61" t="s">
        <v>90</v>
      </c>
      <c r="R61" t="s">
        <v>427</v>
      </c>
      <c r="S61" t="s">
        <v>738</v>
      </c>
      <c r="T61" t="s">
        <v>441</v>
      </c>
      <c r="U61" t="s">
        <v>43</v>
      </c>
      <c r="V61" t="s">
        <v>739</v>
      </c>
      <c r="W61" t="s">
        <v>740</v>
      </c>
      <c r="Y61" t="str">
        <f>HYPERLINK("https://recruiter.shine.com/resume/download/?resumeid=gAAAAABbk2UOF28tX-teVjV9z8fn-2XoLL8tiCZkFv88UCLOC3u3duFU8I0siXTlTcDHYeB9OhIkcwcUqTZckGm8V3hOeJJCp-_-kOeob2FHqbFO8dTccoNnxT3aPsCAlGuZL2qop2P_NzHo-Tp6oHxSn_GL5I9itg==")</f>
        <v>https://recruiter.shine.com/resume/download/?resumeid=gAAAAABbk2UOF28tX-teVjV9z8fn-2XoLL8tiCZkFv88UCLOC3u3duFU8I0siXTlTcDHYeB9OhIkcwcUqTZckGm8V3hOeJJCp-_-kOeob2FHqbFO8dTccoNnxT3aPsCAlGuZL2qop2P_NzHo-Tp6oHxSn_GL5I9itg==</v>
      </c>
    </row>
    <row r="62" spans="1:25" ht="39.950000000000003" customHeight="1">
      <c r="A62">
        <v>58</v>
      </c>
      <c r="B62" t="s">
        <v>741</v>
      </c>
      <c r="C62" t="s">
        <v>742</v>
      </c>
      <c r="D62" t="s">
        <v>743</v>
      </c>
      <c r="E62" t="s">
        <v>744</v>
      </c>
      <c r="F62" t="s">
        <v>29</v>
      </c>
      <c r="G62" t="s">
        <v>29</v>
      </c>
      <c r="H62" t="s">
        <v>31</v>
      </c>
      <c r="I62" t="s">
        <v>85</v>
      </c>
      <c r="J62" t="s">
        <v>745</v>
      </c>
      <c r="K62" t="s">
        <v>337</v>
      </c>
      <c r="L62" t="s">
        <v>746</v>
      </c>
      <c r="M62" t="s">
        <v>473</v>
      </c>
      <c r="N62" t="s">
        <v>747</v>
      </c>
      <c r="O62" t="s">
        <v>224</v>
      </c>
      <c r="P62" t="s">
        <v>39</v>
      </c>
      <c r="Q62" t="s">
        <v>489</v>
      </c>
      <c r="R62" t="s">
        <v>490</v>
      </c>
      <c r="S62" t="s">
        <v>748</v>
      </c>
      <c r="U62" t="s">
        <v>43</v>
      </c>
      <c r="V62" t="s">
        <v>749</v>
      </c>
      <c r="W62" t="s">
        <v>750</v>
      </c>
      <c r="Y62" t="str">
        <f>HYPERLINK("https://recruiter.shine.com/resume/download/?resumeid=gAAAAABbk2UKA4Sif2yZYd06BcmBtwiTzG3PEFjx4UzThMaUntZ9olW8Wz26eVLk_Azw391odIRZm3Fy4P7mdPO71lqxWGwwIOH40HmvuM1ZVJwhp7qUBX3yGsMbDnxBPZ0DQaKHvN4g")</f>
        <v>https://recruiter.shine.com/resume/download/?resumeid=gAAAAABbk2UKA4Sif2yZYd06BcmBtwiTzG3PEFjx4UzThMaUntZ9olW8Wz26eVLk_Azw391odIRZm3Fy4P7mdPO71lqxWGwwIOH40HmvuM1ZVJwhp7qUBX3yGsMbDnxBPZ0DQaKHvN4g</v>
      </c>
    </row>
    <row r="63" spans="1:25" ht="39.950000000000003" customHeight="1">
      <c r="A63">
        <v>59</v>
      </c>
      <c r="B63" t="s">
        <v>751</v>
      </c>
      <c r="C63" t="s">
        <v>752</v>
      </c>
      <c r="D63" t="s">
        <v>753</v>
      </c>
      <c r="E63" t="s">
        <v>754</v>
      </c>
      <c r="F63" t="s">
        <v>29</v>
      </c>
      <c r="G63" t="s">
        <v>29</v>
      </c>
      <c r="H63" t="s">
        <v>31</v>
      </c>
      <c r="I63" t="s">
        <v>755</v>
      </c>
      <c r="J63" t="s">
        <v>169</v>
      </c>
      <c r="K63" t="s">
        <v>756</v>
      </c>
      <c r="L63" t="s">
        <v>120</v>
      </c>
      <c r="M63" t="s">
        <v>757</v>
      </c>
      <c r="N63" t="s">
        <v>758</v>
      </c>
      <c r="O63" t="s">
        <v>759</v>
      </c>
      <c r="P63" t="s">
        <v>57</v>
      </c>
      <c r="Q63" t="s">
        <v>40</v>
      </c>
      <c r="R63" t="s">
        <v>760</v>
      </c>
      <c r="S63" t="s">
        <v>188</v>
      </c>
      <c r="T63" t="s">
        <v>761</v>
      </c>
      <c r="U63" t="s">
        <v>43</v>
      </c>
      <c r="V63" t="s">
        <v>762</v>
      </c>
      <c r="W63" t="s">
        <v>763</v>
      </c>
      <c r="Y63" t="str">
        <f>HYPERLINK("https://recruiter.shine.com/resume/download/?resumeid=gAAAAABbk2UMQzxKeAYylI2Imm4WK2t_5Ftdr3MccdKbxCr0uzYq5n7jSEQQvtA-M63g2nlpynfavA5ZjrXE9jxP_sb2kl2SGZG93cyDPQjVEdgPLUF6h_tq7bAiqBbYiYq6pb686Bemwo6knozJJmwx03HJStCr-8e9cB2C2MUZ5nvvEfhAKa0=")</f>
        <v>https://recruiter.shine.com/resume/download/?resumeid=gAAAAABbk2UMQzxKeAYylI2Imm4WK2t_5Ftdr3MccdKbxCr0uzYq5n7jSEQQvtA-M63g2nlpynfavA5ZjrXE9jxP_sb2kl2SGZG93cyDPQjVEdgPLUF6h_tq7bAiqBbYiYq6pb686Bemwo6knozJJmwx03HJStCr-8e9cB2C2MUZ5nvvEfhAKa0=</v>
      </c>
    </row>
    <row r="64" spans="1:25" ht="39.950000000000003" customHeight="1">
      <c r="A64">
        <v>60</v>
      </c>
      <c r="B64" t="s">
        <v>764</v>
      </c>
      <c r="C64" t="s">
        <v>765</v>
      </c>
      <c r="D64" t="s">
        <v>766</v>
      </c>
      <c r="E64" t="s">
        <v>767</v>
      </c>
      <c r="F64" t="s">
        <v>29</v>
      </c>
      <c r="G64" t="s">
        <v>29</v>
      </c>
      <c r="H64" t="s">
        <v>31</v>
      </c>
      <c r="I64" t="s">
        <v>68</v>
      </c>
      <c r="J64" t="s">
        <v>768</v>
      </c>
      <c r="K64" t="s">
        <v>769</v>
      </c>
      <c r="L64" t="s">
        <v>266</v>
      </c>
      <c r="M64" t="s">
        <v>105</v>
      </c>
      <c r="N64" t="s">
        <v>770</v>
      </c>
      <c r="O64" t="s">
        <v>56</v>
      </c>
      <c r="P64" t="s">
        <v>771</v>
      </c>
      <c r="Q64" t="s">
        <v>158</v>
      </c>
      <c r="R64" t="s">
        <v>341</v>
      </c>
      <c r="S64" t="s">
        <v>772</v>
      </c>
      <c r="T64" t="s">
        <v>773</v>
      </c>
      <c r="U64" t="s">
        <v>43</v>
      </c>
      <c r="V64" t="s">
        <v>774</v>
      </c>
      <c r="W64" t="s">
        <v>775</v>
      </c>
      <c r="Y64" t="str">
        <f>HYPERLINK("https://recruiter.shine.com/resume/download/?resumeid=gAAAAABbk2UO12O-C5MRckS_Llb8Q4gTwMtcGYp0WNtRo1QpkydpDeWt3u2SU6758ttTyI1G42vtuPaXcmmABzO6JJWf2yr_1RJ84M3ESnG1_vnSYXCe-DB8e02EmlkVNZm3CnIx5AWD")</f>
        <v>https://recruiter.shine.com/resume/download/?resumeid=gAAAAABbk2UO12O-C5MRckS_Llb8Q4gTwMtcGYp0WNtRo1QpkydpDeWt3u2SU6758ttTyI1G42vtuPaXcmmABzO6JJWf2yr_1RJ84M3ESnG1_vnSYXCe-DB8e02EmlkVNZm3CnIx5AWD</v>
      </c>
    </row>
    <row r="65" spans="1:25" ht="39.950000000000003" customHeight="1">
      <c r="A65">
        <v>61</v>
      </c>
      <c r="B65" t="s">
        <v>776</v>
      </c>
      <c r="C65" t="s">
        <v>777</v>
      </c>
      <c r="D65" t="s">
        <v>778</v>
      </c>
      <c r="E65" t="s">
        <v>779</v>
      </c>
      <c r="F65" t="s">
        <v>29</v>
      </c>
      <c r="G65" t="s">
        <v>780</v>
      </c>
      <c r="H65" t="s">
        <v>234</v>
      </c>
      <c r="I65" t="s">
        <v>208</v>
      </c>
      <c r="J65" t="s">
        <v>781</v>
      </c>
      <c r="K65" t="s">
        <v>210</v>
      </c>
      <c r="L65" t="s">
        <v>171</v>
      </c>
      <c r="M65" t="s">
        <v>172</v>
      </c>
      <c r="N65" t="s">
        <v>782</v>
      </c>
      <c r="O65" t="s">
        <v>56</v>
      </c>
      <c r="Q65" t="s">
        <v>783</v>
      </c>
      <c r="R65" t="s">
        <v>91</v>
      </c>
      <c r="S65" t="s">
        <v>784</v>
      </c>
      <c r="T65" t="s">
        <v>687</v>
      </c>
      <c r="U65" t="s">
        <v>43</v>
      </c>
      <c r="V65" t="s">
        <v>785</v>
      </c>
      <c r="W65" t="s">
        <v>785</v>
      </c>
      <c r="Y65" t="str">
        <f>HYPERLINK("https://recruiter.shine.com/resume/download/?resumeid=gAAAAABbk2UK9KIcIGGg4Y459VOFH6y5_xqcTTmiURHWJyl-q_k1trX18kU5XwhPClVmR7ZqQZryupSgd1ixDDW2ykJmkwkIQTvplHulLRGWuGUJ8pbHaxu6qfbVXc6_Yzn8sv0xoqns")</f>
        <v>https://recruiter.shine.com/resume/download/?resumeid=gAAAAABbk2UK9KIcIGGg4Y459VOFH6y5_xqcTTmiURHWJyl-q_k1trX18kU5XwhPClVmR7ZqQZryupSgd1ixDDW2ykJmkwkIQTvplHulLRGWuGUJ8pbHaxu6qfbVXc6_Yzn8sv0xoqns</v>
      </c>
    </row>
    <row r="66" spans="1:25" ht="39.950000000000003" customHeight="1">
      <c r="A66">
        <v>62</v>
      </c>
      <c r="B66" t="s">
        <v>786</v>
      </c>
      <c r="C66" t="s">
        <v>787</v>
      </c>
      <c r="D66" t="s">
        <v>788</v>
      </c>
      <c r="E66" t="s">
        <v>789</v>
      </c>
      <c r="F66" t="s">
        <v>29</v>
      </c>
      <c r="G66" t="s">
        <v>790</v>
      </c>
      <c r="H66" t="s">
        <v>31</v>
      </c>
      <c r="I66" t="s">
        <v>791</v>
      </c>
      <c r="J66" t="s">
        <v>792</v>
      </c>
      <c r="K66" t="s">
        <v>793</v>
      </c>
      <c r="L66" t="s">
        <v>794</v>
      </c>
      <c r="M66" t="s">
        <v>684</v>
      </c>
      <c r="N66" t="s">
        <v>795</v>
      </c>
      <c r="O66" t="s">
        <v>186</v>
      </c>
      <c r="Q66" t="s">
        <v>158</v>
      </c>
      <c r="R66" t="s">
        <v>559</v>
      </c>
      <c r="S66" t="s">
        <v>796</v>
      </c>
      <c r="T66" t="s">
        <v>304</v>
      </c>
      <c r="U66" t="s">
        <v>43</v>
      </c>
      <c r="V66" t="s">
        <v>797</v>
      </c>
      <c r="W66" t="s">
        <v>797</v>
      </c>
      <c r="Y66" t="str">
        <f>HYPERLINK("https://recruiter.shine.com/resume/download/?resumeid=gAAAAABbk2UMDmbyC_rRpmPfGutfmAR4a7cKA5qdxbjPml4qSSzbKGd0uowc7wfiClhKRfjgjVRSivP1ktG1f1gTHZWaP6DIbOs_0c6sdjyEvU8ccTJyc-gXvcA21cYSg7jlIiKPqj_5SO-Cw56pzYlBN-9CyZvWpA==")</f>
        <v>https://recruiter.shine.com/resume/download/?resumeid=gAAAAABbk2UMDmbyC_rRpmPfGutfmAR4a7cKA5qdxbjPml4qSSzbKGd0uowc7wfiClhKRfjgjVRSivP1ktG1f1gTHZWaP6DIbOs_0c6sdjyEvU8ccTJyc-gXvcA21cYSg7jlIiKPqj_5SO-Cw56pzYlBN-9CyZvWpA==</v>
      </c>
    </row>
    <row r="67" spans="1:25" ht="39.950000000000003" customHeight="1">
      <c r="A67">
        <v>63</v>
      </c>
      <c r="B67" t="s">
        <v>798</v>
      </c>
      <c r="D67" t="s">
        <v>799</v>
      </c>
      <c r="E67" t="s">
        <v>800</v>
      </c>
      <c r="F67" t="s">
        <v>29</v>
      </c>
      <c r="G67" t="s">
        <v>29</v>
      </c>
      <c r="H67" t="s">
        <v>31</v>
      </c>
      <c r="I67" t="s">
        <v>152</v>
      </c>
      <c r="J67" t="s">
        <v>801</v>
      </c>
      <c r="K67" t="s">
        <v>802</v>
      </c>
      <c r="L67" t="s">
        <v>120</v>
      </c>
      <c r="M67" t="s">
        <v>138</v>
      </c>
      <c r="N67" t="s">
        <v>803</v>
      </c>
      <c r="O67" t="s">
        <v>804</v>
      </c>
      <c r="Q67" t="s">
        <v>90</v>
      </c>
      <c r="R67" t="s">
        <v>292</v>
      </c>
      <c r="S67" t="s">
        <v>805</v>
      </c>
      <c r="T67" t="s">
        <v>687</v>
      </c>
      <c r="U67" t="s">
        <v>43</v>
      </c>
      <c r="V67" t="s">
        <v>806</v>
      </c>
      <c r="W67" t="s">
        <v>807</v>
      </c>
      <c r="Y67" t="str">
        <f>HYPERLINK("https://recruiter.shine.com/resume/download/?resumeid=gAAAAABbk2UOyqDS4UpfV_Dlx7Q_ss2I33kwqy1BekuIigO5Vdo8wwHQQDCfVnFRM22R1PBIF-M76Df46i2CBapgF9FBOA9NUB1APyYl5i_scZMADPU3ALrc_g1TGEUzty4zhyWy-TqJXsAwxDUAAoz8zn1nYkzk7vP6Ur9jPOtE-EjRqDVH0KY=")</f>
        <v>https://recruiter.shine.com/resume/download/?resumeid=gAAAAABbk2UOyqDS4UpfV_Dlx7Q_ss2I33kwqy1BekuIigO5Vdo8wwHQQDCfVnFRM22R1PBIF-M76Df46i2CBapgF9FBOA9NUB1APyYl5i_scZMADPU3ALrc_g1TGEUzty4zhyWy-TqJXsAwxDUAAoz8zn1nYkzk7vP6Ur9jPOtE-EjRqDVH0KY=</v>
      </c>
    </row>
    <row r="68" spans="1:25" ht="39.950000000000003" customHeight="1">
      <c r="A68">
        <v>64</v>
      </c>
      <c r="B68" t="s">
        <v>808</v>
      </c>
      <c r="C68" t="s">
        <v>809</v>
      </c>
      <c r="D68" t="s">
        <v>810</v>
      </c>
      <c r="E68" t="s">
        <v>811</v>
      </c>
      <c r="F68" t="s">
        <v>29</v>
      </c>
      <c r="G68" t="s">
        <v>812</v>
      </c>
      <c r="H68" t="s">
        <v>31</v>
      </c>
      <c r="I68" t="s">
        <v>32</v>
      </c>
      <c r="J68" t="s">
        <v>336</v>
      </c>
      <c r="K68" t="s">
        <v>813</v>
      </c>
      <c r="L68" t="s">
        <v>814</v>
      </c>
      <c r="M68" t="s">
        <v>121</v>
      </c>
      <c r="N68" t="s">
        <v>815</v>
      </c>
      <c r="O68" t="s">
        <v>186</v>
      </c>
      <c r="P68" t="s">
        <v>140</v>
      </c>
      <c r="Q68" t="s">
        <v>412</v>
      </c>
      <c r="R68" t="s">
        <v>413</v>
      </c>
      <c r="S68" t="s">
        <v>816</v>
      </c>
      <c r="T68" t="s">
        <v>817</v>
      </c>
      <c r="U68" t="s">
        <v>43</v>
      </c>
      <c r="V68" t="s">
        <v>818</v>
      </c>
      <c r="W68" t="s">
        <v>819</v>
      </c>
      <c r="Y68" t="str">
        <f>HYPERLINK("https://recruiter.shine.com/resume/download/?resumeid=gAAAAABbk2UL1paGe9Xj_89cNAEJtruZvcNbmUD2JyynEx02bwS48lgIO3uq-VYy4cttJ-BZcovqh4dVET7nHop3WIChHXtDg6Q21xlNhd-VRmxAwGhwSdG54rz2bSk0FR_g6zcYFm1B48baqUrtAhWVgJMMYx01MQ==")</f>
        <v>https://recruiter.shine.com/resume/download/?resumeid=gAAAAABbk2UL1paGe9Xj_89cNAEJtruZvcNbmUD2JyynEx02bwS48lgIO3uq-VYy4cttJ-BZcovqh4dVET7nHop3WIChHXtDg6Q21xlNhd-VRmxAwGhwSdG54rz2bSk0FR_g6zcYFm1B48baqUrtAhWVgJMMYx01MQ==</v>
      </c>
    </row>
    <row r="69" spans="1:25" ht="39.950000000000003" customHeight="1">
      <c r="A69">
        <v>65</v>
      </c>
      <c r="B69" t="s">
        <v>820</v>
      </c>
      <c r="C69" t="s">
        <v>821</v>
      </c>
      <c r="D69" t="s">
        <v>822</v>
      </c>
      <c r="E69" t="s">
        <v>823</v>
      </c>
      <c r="F69" t="s">
        <v>29</v>
      </c>
      <c r="G69" t="s">
        <v>824</v>
      </c>
      <c r="H69" t="s">
        <v>31</v>
      </c>
      <c r="I69" t="s">
        <v>825</v>
      </c>
      <c r="J69" t="s">
        <v>278</v>
      </c>
      <c r="K69" t="s">
        <v>826</v>
      </c>
      <c r="L69" t="s">
        <v>171</v>
      </c>
      <c r="M69" t="s">
        <v>827</v>
      </c>
      <c r="N69" t="s">
        <v>828</v>
      </c>
      <c r="O69" t="s">
        <v>186</v>
      </c>
      <c r="P69" t="s">
        <v>39</v>
      </c>
      <c r="Q69" t="s">
        <v>40</v>
      </c>
      <c r="R69" t="s">
        <v>829</v>
      </c>
      <c r="S69" t="s">
        <v>830</v>
      </c>
      <c r="T69" t="s">
        <v>110</v>
      </c>
      <c r="U69" t="s">
        <v>43</v>
      </c>
      <c r="V69" t="s">
        <v>831</v>
      </c>
      <c r="W69" t="s">
        <v>831</v>
      </c>
      <c r="Y69" t="str">
        <f>HYPERLINK("https://recruiter.shine.com/resume/download/?resumeid=gAAAAABbk2UNsFRX2PWVBHC60C7KBIBEw_zYgIeKByf540R8vqbeAAfMVN4_xTMQfG34S3__h-qijbqTD6BNiM-_kIUzaWHBs-JhJU4vK28w7OXw5-stAiiwPbLwVRupXXDFN4ZFCdSx6e3PxIIpvtPdemXAlKzAwg==")</f>
        <v>https://recruiter.shine.com/resume/download/?resumeid=gAAAAABbk2UNsFRX2PWVBHC60C7KBIBEw_zYgIeKByf540R8vqbeAAfMVN4_xTMQfG34S3__h-qijbqTD6BNiM-_kIUzaWHBs-JhJU4vK28w7OXw5-stAiiwPbLwVRupXXDFN4ZFCdSx6e3PxIIpvtPdemXAlKzAwg==</v>
      </c>
    </row>
    <row r="70" spans="1:25" ht="39.950000000000003" customHeight="1">
      <c r="A70">
        <v>66</v>
      </c>
      <c r="B70" t="s">
        <v>832</v>
      </c>
      <c r="C70" t="s">
        <v>833</v>
      </c>
      <c r="D70" t="s">
        <v>834</v>
      </c>
      <c r="E70" t="s">
        <v>835</v>
      </c>
      <c r="F70" t="s">
        <v>29</v>
      </c>
      <c r="G70" t="s">
        <v>29</v>
      </c>
      <c r="H70" t="s">
        <v>31</v>
      </c>
      <c r="I70" t="s">
        <v>836</v>
      </c>
      <c r="J70" t="s">
        <v>169</v>
      </c>
      <c r="K70" t="s">
        <v>837</v>
      </c>
      <c r="L70" t="s">
        <v>462</v>
      </c>
      <c r="M70" t="s">
        <v>36</v>
      </c>
      <c r="N70" t="s">
        <v>838</v>
      </c>
      <c r="O70" t="s">
        <v>585</v>
      </c>
      <c r="P70" t="s">
        <v>73</v>
      </c>
      <c r="Q70" t="s">
        <v>90</v>
      </c>
      <c r="R70" t="s">
        <v>465</v>
      </c>
      <c r="S70" t="s">
        <v>839</v>
      </c>
      <c r="T70" t="s">
        <v>110</v>
      </c>
      <c r="U70" t="s">
        <v>43</v>
      </c>
      <c r="V70" t="s">
        <v>840</v>
      </c>
      <c r="W70" t="s">
        <v>841</v>
      </c>
      <c r="Y70" t="str">
        <f>HYPERLINK("https://recruiter.shine.com/resume/download/?resumeid=gAAAAABbk2UNgrvfpgi51SnwORz7Su6AxeZBaKxEoe8VIw2fuYn-efdwWfHxPOQ3-0zosOdbsxMkw-ll2ymN9I0G6YPvx7B1pRJbMBaOG1_cNXrDgXtRIjT5rf7MhakGIDMHC5yyWWoyL9l7rZOBhv3qEM1r0Nb3OhNbNxoC8JOigi1poY0GRXs=")</f>
        <v>https://recruiter.shine.com/resume/download/?resumeid=gAAAAABbk2UNgrvfpgi51SnwORz7Su6AxeZBaKxEoe8VIw2fuYn-efdwWfHxPOQ3-0zosOdbsxMkw-ll2ymN9I0G6YPvx7B1pRJbMBaOG1_cNXrDgXtRIjT5rf7MhakGIDMHC5yyWWoyL9l7rZOBhv3qEM1r0Nb3OhNbNxoC8JOigi1poY0GRXs=</v>
      </c>
    </row>
    <row r="71" spans="1:25" ht="39.950000000000003" customHeight="1">
      <c r="A71">
        <v>67</v>
      </c>
      <c r="B71" t="s">
        <v>842</v>
      </c>
      <c r="C71" t="s">
        <v>843</v>
      </c>
      <c r="D71" t="s">
        <v>844</v>
      </c>
      <c r="E71" t="s">
        <v>845</v>
      </c>
      <c r="F71" t="s">
        <v>29</v>
      </c>
      <c r="G71" t="s">
        <v>67</v>
      </c>
      <c r="H71" t="s">
        <v>31</v>
      </c>
      <c r="I71" t="s">
        <v>32</v>
      </c>
      <c r="J71" t="s">
        <v>169</v>
      </c>
      <c r="K71" t="s">
        <v>846</v>
      </c>
      <c r="L71" t="s">
        <v>35</v>
      </c>
      <c r="M71" t="s">
        <v>684</v>
      </c>
      <c r="N71" t="s">
        <v>847</v>
      </c>
      <c r="O71" t="s">
        <v>848</v>
      </c>
      <c r="P71" t="s">
        <v>73</v>
      </c>
      <c r="Q71" t="s">
        <v>849</v>
      </c>
      <c r="R71" t="s">
        <v>536</v>
      </c>
      <c r="S71" t="s">
        <v>850</v>
      </c>
      <c r="T71" t="s">
        <v>851</v>
      </c>
      <c r="U71" t="s">
        <v>43</v>
      </c>
      <c r="V71" t="s">
        <v>852</v>
      </c>
      <c r="W71" t="s">
        <v>853</v>
      </c>
      <c r="Y71" t="str">
        <f>HYPERLINK("https://recruiter.shine.com/resume/download/?resumeid=gAAAAABbk2UKCfUkOte_qr0UyUtUkf7V47-GyreNRfpj-M-NH-Z45vSgTY0fZDo8So_Cd4eTD5KTYlMnRQAprSDROAdlgB2SrsLm3a5kU3wM16cYnFNA9jKbcmo7b3Z1H2G1OvtJACtg")</f>
        <v>https://recruiter.shine.com/resume/download/?resumeid=gAAAAABbk2UKCfUkOte_qr0UyUtUkf7V47-GyreNRfpj-M-NH-Z45vSgTY0fZDo8So_Cd4eTD5KTYlMnRQAprSDROAdlgB2SrsLm3a5kU3wM16cYnFNA9jKbcmo7b3Z1H2G1OvtJACtg</v>
      </c>
    </row>
    <row r="72" spans="1:25" ht="39.950000000000003" customHeight="1">
      <c r="A72">
        <v>68</v>
      </c>
      <c r="B72" t="s">
        <v>854</v>
      </c>
      <c r="C72" t="s">
        <v>855</v>
      </c>
      <c r="D72" t="s">
        <v>856</v>
      </c>
      <c r="E72" t="s">
        <v>857</v>
      </c>
      <c r="F72" t="s">
        <v>858</v>
      </c>
      <c r="G72" t="s">
        <v>859</v>
      </c>
      <c r="H72" t="s">
        <v>31</v>
      </c>
      <c r="I72" t="s">
        <v>860</v>
      </c>
      <c r="J72" t="s">
        <v>861</v>
      </c>
      <c r="K72" t="s">
        <v>862</v>
      </c>
      <c r="L72" t="s">
        <v>266</v>
      </c>
      <c r="M72" t="s">
        <v>339</v>
      </c>
      <c r="N72" t="s">
        <v>863</v>
      </c>
      <c r="O72" t="s">
        <v>56</v>
      </c>
      <c r="P72" t="s">
        <v>73</v>
      </c>
      <c r="Q72" t="s">
        <v>107</v>
      </c>
      <c r="R72" t="s">
        <v>864</v>
      </c>
      <c r="S72" t="s">
        <v>865</v>
      </c>
      <c r="T72" t="s">
        <v>110</v>
      </c>
      <c r="U72" t="s">
        <v>43</v>
      </c>
      <c r="V72" t="s">
        <v>866</v>
      </c>
      <c r="W72" t="s">
        <v>867</v>
      </c>
      <c r="Y72" t="str">
        <f>HYPERLINK("https://recruiter.shine.com/resume/download/?resumeid=gAAAAABbk2UMlvYaPtbqJTPwIzgssKmXcdn1PVFl8bn51GkwtK4_GPefC86k3C2Dgy-ZN5mB26h-tpew4UOrtsIIHM57fafYRxIgW26EjcgYOO_dyVQOG1XTRndK1dOP83oVgFvbvFYJP6tsu_cZFPhh_SeHfYTVVQ==")</f>
        <v>https://recruiter.shine.com/resume/download/?resumeid=gAAAAABbk2UMlvYaPtbqJTPwIzgssKmXcdn1PVFl8bn51GkwtK4_GPefC86k3C2Dgy-ZN5mB26h-tpew4UOrtsIIHM57fafYRxIgW26EjcgYOO_dyVQOG1XTRndK1dOP83oVgFvbvFYJP6tsu_cZFPhh_SeHfYTVVQ==</v>
      </c>
    </row>
    <row r="73" spans="1:25" ht="39.950000000000003" customHeight="1">
      <c r="A73">
        <v>69</v>
      </c>
      <c r="B73" t="s">
        <v>868</v>
      </c>
      <c r="D73" t="s">
        <v>869</v>
      </c>
      <c r="E73" t="s">
        <v>870</v>
      </c>
      <c r="F73" t="s">
        <v>29</v>
      </c>
      <c r="G73" t="s">
        <v>29</v>
      </c>
      <c r="H73" t="s">
        <v>31</v>
      </c>
      <c r="I73" t="s">
        <v>32</v>
      </c>
      <c r="J73" t="s">
        <v>871</v>
      </c>
      <c r="K73" t="s">
        <v>756</v>
      </c>
      <c r="L73" t="s">
        <v>155</v>
      </c>
      <c r="M73" t="s">
        <v>105</v>
      </c>
      <c r="N73" t="s">
        <v>872</v>
      </c>
      <c r="O73" t="s">
        <v>397</v>
      </c>
      <c r="P73" t="s">
        <v>57</v>
      </c>
      <c r="Q73" t="s">
        <v>58</v>
      </c>
      <c r="R73" t="s">
        <v>41</v>
      </c>
      <c r="S73" t="s">
        <v>873</v>
      </c>
      <c r="T73" t="s">
        <v>874</v>
      </c>
      <c r="U73" t="s">
        <v>43</v>
      </c>
      <c r="V73" t="s">
        <v>875</v>
      </c>
      <c r="W73" t="s">
        <v>876</v>
      </c>
      <c r="Y73" t="str">
        <f>HYPERLINK("https://recruiter.shine.com/resume/download/?resumeid=gAAAAABbk2UNx_MPoNBo1gUDvkoLuau-ERnomm6I0U-c2Byf22_L8oR0UK5Krqfbn0-OQAZuvNBiCBCbBLrZ9_7l8TGfh7lhZz6A2kNF3X0lNS2hu1HZTeCQ6PANF_9Ewb7EWSdLOVrTXAlDz0caecGhrobSzE0PHjrdoTiqTMOdXUqGIaX8w6A=")</f>
        <v>https://recruiter.shine.com/resume/download/?resumeid=gAAAAABbk2UNx_MPoNBo1gUDvkoLuau-ERnomm6I0U-c2Byf22_L8oR0UK5Krqfbn0-OQAZuvNBiCBCbBLrZ9_7l8TGfh7lhZz6A2kNF3X0lNS2hu1HZTeCQ6PANF_9Ewb7EWSdLOVrTXAlDz0caecGhrobSzE0PHjrdoTiqTMOdXUqGIaX8w6A=</v>
      </c>
    </row>
    <row r="74" spans="1:25" ht="39.950000000000003" customHeight="1">
      <c r="A74">
        <v>70</v>
      </c>
      <c r="B74" t="s">
        <v>877</v>
      </c>
      <c r="C74" t="s">
        <v>878</v>
      </c>
      <c r="D74" t="s">
        <v>879</v>
      </c>
      <c r="E74" t="s">
        <v>880</v>
      </c>
      <c r="F74" t="s">
        <v>29</v>
      </c>
      <c r="G74" t="s">
        <v>881</v>
      </c>
      <c r="H74" t="s">
        <v>31</v>
      </c>
      <c r="I74" t="s">
        <v>85</v>
      </c>
      <c r="J74" t="s">
        <v>882</v>
      </c>
      <c r="K74" t="s">
        <v>883</v>
      </c>
      <c r="L74" t="s">
        <v>450</v>
      </c>
      <c r="M74" t="s">
        <v>884</v>
      </c>
      <c r="N74" t="s">
        <v>885</v>
      </c>
      <c r="O74" t="s">
        <v>157</v>
      </c>
      <c r="P74" t="s">
        <v>73</v>
      </c>
      <c r="Q74" t="s">
        <v>90</v>
      </c>
      <c r="R74" t="s">
        <v>91</v>
      </c>
      <c r="S74" t="s">
        <v>886</v>
      </c>
      <c r="T74" t="s">
        <v>887</v>
      </c>
      <c r="U74" t="s">
        <v>43</v>
      </c>
      <c r="V74" t="s">
        <v>888</v>
      </c>
      <c r="W74" t="s">
        <v>889</v>
      </c>
      <c r="Y74" t="str">
        <f>HYPERLINK("https://recruiter.shine.com/resume/download/?resumeid=gAAAAABbk2ULb0GzqNhdebYt3aCuXAYS-S7U5Uk5hUbT5NrN5fB-nrkjeSgsCe7fCJz3t7z6S-EjlWfcg3kJN3K2mKReXfEB4nKbNMQ19KD8X6nvTxot4hgQAkKkU3JXBTbe7wpEPLym")</f>
        <v>https://recruiter.shine.com/resume/download/?resumeid=gAAAAABbk2ULb0GzqNhdebYt3aCuXAYS-S7U5Uk5hUbT5NrN5fB-nrkjeSgsCe7fCJz3t7z6S-EjlWfcg3kJN3K2mKReXfEB4nKbNMQ19KD8X6nvTxot4hgQAkKkU3JXBTbe7wpEPLym</v>
      </c>
    </row>
    <row r="75" spans="1:25" ht="39.950000000000003" customHeight="1">
      <c r="A75">
        <v>71</v>
      </c>
      <c r="B75" t="s">
        <v>890</v>
      </c>
      <c r="C75" t="s">
        <v>891</v>
      </c>
      <c r="D75" t="s">
        <v>892</v>
      </c>
      <c r="E75" t="s">
        <v>893</v>
      </c>
      <c r="F75" t="s">
        <v>29</v>
      </c>
      <c r="G75" t="s">
        <v>894</v>
      </c>
      <c r="H75" t="s">
        <v>31</v>
      </c>
      <c r="I75" t="s">
        <v>604</v>
      </c>
      <c r="J75" t="s">
        <v>506</v>
      </c>
      <c r="K75" t="s">
        <v>895</v>
      </c>
      <c r="L75" t="s">
        <v>664</v>
      </c>
      <c r="M75" t="s">
        <v>54</v>
      </c>
      <c r="N75" t="s">
        <v>896</v>
      </c>
      <c r="O75" t="s">
        <v>38</v>
      </c>
      <c r="P75" t="s">
        <v>201</v>
      </c>
      <c r="Q75" t="s">
        <v>58</v>
      </c>
      <c r="R75" t="s">
        <v>897</v>
      </c>
      <c r="S75" t="s">
        <v>898</v>
      </c>
      <c r="T75" t="s">
        <v>110</v>
      </c>
      <c r="U75" t="s">
        <v>43</v>
      </c>
      <c r="V75" t="s">
        <v>899</v>
      </c>
      <c r="W75" t="s">
        <v>900</v>
      </c>
      <c r="Y75" t="str">
        <f>HYPERLINK("https://recruiter.shine.com/resume/download/?resumeid=gAAAAABbk2UMwzeBl89ChRyBJz05VLPr1VHrMMH0zdr93HdeMc65ipt44Y9wRczZYF3IXAtTzMighMFexFE8U4WTe-Q6zazOn71MTXWyj5b7Pjnsdz2geqJeh7T35s9fndOpQ8abAFYcfpos30sEsuzgvGJt7JaBDYcD2tVH305NiD62HwwYXuk=")</f>
        <v>https://recruiter.shine.com/resume/download/?resumeid=gAAAAABbk2UMwzeBl89ChRyBJz05VLPr1VHrMMH0zdr93HdeMc65ipt44Y9wRczZYF3IXAtTzMighMFexFE8U4WTe-Q6zazOn71MTXWyj5b7Pjnsdz2geqJeh7T35s9fndOpQ8abAFYcfpos30sEsuzgvGJt7JaBDYcD2tVH305NiD62HwwYXuk=</v>
      </c>
    </row>
    <row r="76" spans="1:25" ht="39.950000000000003" customHeight="1">
      <c r="A76">
        <v>72</v>
      </c>
      <c r="B76" t="s">
        <v>901</v>
      </c>
      <c r="C76" t="s">
        <v>902</v>
      </c>
      <c r="D76" t="s">
        <v>903</v>
      </c>
      <c r="E76" t="s">
        <v>904</v>
      </c>
      <c r="F76" t="s">
        <v>29</v>
      </c>
      <c r="G76" t="s">
        <v>724</v>
      </c>
      <c r="H76" t="s">
        <v>31</v>
      </c>
      <c r="I76" t="s">
        <v>905</v>
      </c>
      <c r="J76" t="s">
        <v>569</v>
      </c>
      <c r="K76" t="s">
        <v>906</v>
      </c>
      <c r="L76" t="s">
        <v>155</v>
      </c>
      <c r="M76" t="s">
        <v>105</v>
      </c>
      <c r="N76" t="s">
        <v>907</v>
      </c>
      <c r="O76" t="s">
        <v>186</v>
      </c>
      <c r="P76" t="s">
        <v>201</v>
      </c>
      <c r="Q76" t="s">
        <v>107</v>
      </c>
      <c r="R76" t="s">
        <v>864</v>
      </c>
      <c r="S76" t="s">
        <v>908</v>
      </c>
      <c r="T76" t="s">
        <v>441</v>
      </c>
      <c r="U76" t="s">
        <v>43</v>
      </c>
      <c r="V76" t="s">
        <v>909</v>
      </c>
      <c r="W76" t="s">
        <v>909</v>
      </c>
      <c r="Y76" t="str">
        <f>HYPERLINK("https://recruiter.shine.com/resume/download/?resumeid=gAAAAABbk2UNC8YVR84uB-o1rUtaTYCZE-TL2pg-KT_ZpYKbW6IltLLf89DBVmGTSAICtsfM5XwNuFkRrYZF5ihc8H927cn9zzR000v8-iTlikyKqmkap-cJ1FoXiV5E8KCukceHAxijzvyDvCmJIuDtt6RBDML-jbrclJJbGQpdTdIyPeREmlM=")</f>
        <v>https://recruiter.shine.com/resume/download/?resumeid=gAAAAABbk2UNC8YVR84uB-o1rUtaTYCZE-TL2pg-KT_ZpYKbW6IltLLf89DBVmGTSAICtsfM5XwNuFkRrYZF5ihc8H927cn9zzR000v8-iTlikyKqmkap-cJ1FoXiV5E8KCukceHAxijzvyDvCmJIuDtt6RBDML-jbrclJJbGQpdTdIyPeREmlM=</v>
      </c>
    </row>
    <row r="77" spans="1:25" ht="39.950000000000003" customHeight="1">
      <c r="A77">
        <v>73</v>
      </c>
      <c r="B77" t="s">
        <v>910</v>
      </c>
      <c r="C77" t="s">
        <v>911</v>
      </c>
      <c r="D77" t="s">
        <v>912</v>
      </c>
      <c r="E77" t="s">
        <v>913</v>
      </c>
      <c r="F77" t="s">
        <v>29</v>
      </c>
      <c r="G77" t="s">
        <v>29</v>
      </c>
      <c r="H77" t="s">
        <v>31</v>
      </c>
      <c r="I77" t="s">
        <v>914</v>
      </c>
      <c r="J77" t="s">
        <v>437</v>
      </c>
      <c r="K77" t="s">
        <v>915</v>
      </c>
      <c r="L77" t="s">
        <v>35</v>
      </c>
      <c r="M77" t="s">
        <v>238</v>
      </c>
      <c r="N77" t="s">
        <v>916</v>
      </c>
      <c r="O77" t="s">
        <v>56</v>
      </c>
      <c r="P77" t="s">
        <v>201</v>
      </c>
      <c r="Q77" t="s">
        <v>187</v>
      </c>
      <c r="R77" t="s">
        <v>124</v>
      </c>
      <c r="S77" t="s">
        <v>188</v>
      </c>
      <c r="U77" t="s">
        <v>43</v>
      </c>
      <c r="V77" t="s">
        <v>917</v>
      </c>
      <c r="W77" t="s">
        <v>917</v>
      </c>
      <c r="Y77" t="str">
        <f>HYPERLINK("https://recruiter.shine.com/resume/download/?resumeid=gAAAAABbk2ULzARFohXFQFugKPWwK0a9TCb2pGDrSNZ9RjR5HSRgvOfYI43L-8MgFcLUaS3vAOPHZbczwW70wL7oCH_FOXyL8jaFf83pttGJkooYgnKYbuC8sFcM3w6bwzGLYOWPtuWV")</f>
        <v>https://recruiter.shine.com/resume/download/?resumeid=gAAAAABbk2ULzARFohXFQFugKPWwK0a9TCb2pGDrSNZ9RjR5HSRgvOfYI43L-8MgFcLUaS3vAOPHZbczwW70wL7oCH_FOXyL8jaFf83pttGJkooYgnKYbuC8sFcM3w6bwzGLYOWPtuWV</v>
      </c>
    </row>
    <row r="78" spans="1:25" ht="39.950000000000003" customHeight="1">
      <c r="A78">
        <v>74</v>
      </c>
      <c r="B78" t="s">
        <v>918</v>
      </c>
      <c r="C78" t="s">
        <v>919</v>
      </c>
      <c r="D78" t="s">
        <v>920</v>
      </c>
      <c r="E78" t="s">
        <v>921</v>
      </c>
      <c r="F78" t="s">
        <v>249</v>
      </c>
      <c r="G78" t="s">
        <v>922</v>
      </c>
      <c r="H78" t="s">
        <v>234</v>
      </c>
      <c r="I78" t="s">
        <v>923</v>
      </c>
      <c r="J78" t="s">
        <v>135</v>
      </c>
      <c r="K78" t="s">
        <v>924</v>
      </c>
      <c r="L78" t="s">
        <v>925</v>
      </c>
      <c r="M78" t="s">
        <v>138</v>
      </c>
      <c r="N78" t="s">
        <v>926</v>
      </c>
      <c r="O78" t="s">
        <v>38</v>
      </c>
      <c r="Q78" t="s">
        <v>783</v>
      </c>
      <c r="R78" t="s">
        <v>927</v>
      </c>
      <c r="S78" t="s">
        <v>928</v>
      </c>
      <c r="T78" t="s">
        <v>625</v>
      </c>
      <c r="U78" t="s">
        <v>43</v>
      </c>
      <c r="V78" t="s">
        <v>929</v>
      </c>
      <c r="W78" t="s">
        <v>930</v>
      </c>
      <c r="Y78" t="str">
        <f>HYPERLINK("https://recruiter.shine.com/resume/download/?resumeid=gAAAAABbk2UMCHi5Ww_0PSo-AH9k8aK_3Syyl0ggNYlcgmHwg0eqyk4EoDlLEKWuoh21i4LuIx5oiJlGpPPn3dBrhgtwrO47TASMcXV4e7GB77mq3CxBA3jQYZNe2Yy0ryj6ukCn2Mc_ar_LyWm-nhUR6sISzwLdPw==")</f>
        <v>https://recruiter.shine.com/resume/download/?resumeid=gAAAAABbk2UMCHi5Ww_0PSo-AH9k8aK_3Syyl0ggNYlcgmHwg0eqyk4EoDlLEKWuoh21i4LuIx5oiJlGpPPn3dBrhgtwrO47TASMcXV4e7GB77mq3CxBA3jQYZNe2Yy0ryj6ukCn2Mc_ar_LyWm-nhUR6sISzwLdPw==</v>
      </c>
    </row>
    <row r="79" spans="1:25" ht="39.950000000000003" customHeight="1">
      <c r="A79">
        <v>75</v>
      </c>
      <c r="B79" t="s">
        <v>931</v>
      </c>
      <c r="C79" t="s">
        <v>932</v>
      </c>
      <c r="D79" t="s">
        <v>933</v>
      </c>
      <c r="E79" t="s">
        <v>934</v>
      </c>
      <c r="F79" t="s">
        <v>29</v>
      </c>
      <c r="G79" t="s">
        <v>29</v>
      </c>
      <c r="H79" t="s">
        <v>31</v>
      </c>
      <c r="I79" t="s">
        <v>32</v>
      </c>
      <c r="J79" t="s">
        <v>935</v>
      </c>
      <c r="K79" t="s">
        <v>936</v>
      </c>
      <c r="L79" t="s">
        <v>937</v>
      </c>
      <c r="M79" t="s">
        <v>938</v>
      </c>
      <c r="N79" t="s">
        <v>939</v>
      </c>
      <c r="O79" t="s">
        <v>475</v>
      </c>
      <c r="P79" t="s">
        <v>940</v>
      </c>
      <c r="Q79" t="s">
        <v>40</v>
      </c>
      <c r="R79" t="s">
        <v>41</v>
      </c>
      <c r="S79" t="s">
        <v>188</v>
      </c>
      <c r="T79" t="s">
        <v>941</v>
      </c>
      <c r="U79" t="s">
        <v>43</v>
      </c>
      <c r="V79" t="s">
        <v>942</v>
      </c>
      <c r="W79" t="s">
        <v>943</v>
      </c>
      <c r="Y79" t="str">
        <f>HYPERLINK("https://recruiter.shine.com/resume/download/?resumeid=gAAAAABbk2UOnJ_sJnjtxJnTjTQj3J8DupxkzMO-8Su-NR9jG821zcYtK-cijKEx5V4z-qiBeR_Fkb7pnH1hnoO3T7cgUy3-Yej_F7Jwii6KZVIFEWRgBfvpEMAbGaXDk9tWoOB9V8PB2un6qe3FaQHx5S6ACDsRU0q9BApcbtpLBjESKd-UqGw=")</f>
        <v>https://recruiter.shine.com/resume/download/?resumeid=gAAAAABbk2UOnJ_sJnjtxJnTjTQj3J8DupxkzMO-8Su-NR9jG821zcYtK-cijKEx5V4z-qiBeR_Fkb7pnH1hnoO3T7cgUy3-Yej_F7Jwii6KZVIFEWRgBfvpEMAbGaXDk9tWoOB9V8PB2un6qe3FaQHx5S6ACDsRU0q9BApcbtpLBjESKd-UqGw=</v>
      </c>
    </row>
    <row r="80" spans="1:25" ht="39.950000000000003" customHeight="1">
      <c r="A80">
        <v>76</v>
      </c>
      <c r="B80" t="s">
        <v>944</v>
      </c>
      <c r="C80" t="s">
        <v>945</v>
      </c>
      <c r="D80" t="s">
        <v>946</v>
      </c>
      <c r="E80" t="s">
        <v>947</v>
      </c>
      <c r="F80" t="s">
        <v>29</v>
      </c>
      <c r="G80" t="s">
        <v>67</v>
      </c>
      <c r="H80" t="s">
        <v>31</v>
      </c>
      <c r="I80" t="s">
        <v>208</v>
      </c>
      <c r="J80" t="s">
        <v>948</v>
      </c>
      <c r="K80" t="s">
        <v>949</v>
      </c>
      <c r="L80" t="s">
        <v>314</v>
      </c>
      <c r="M80" t="s">
        <v>254</v>
      </c>
      <c r="N80" t="s">
        <v>950</v>
      </c>
      <c r="O80" t="s">
        <v>56</v>
      </c>
      <c r="P80" t="s">
        <v>73</v>
      </c>
      <c r="Q80" t="s">
        <v>107</v>
      </c>
      <c r="R80" t="s">
        <v>864</v>
      </c>
      <c r="S80" t="s">
        <v>951</v>
      </c>
      <c r="T80" t="s">
        <v>227</v>
      </c>
      <c r="U80" t="s">
        <v>43</v>
      </c>
      <c r="V80" t="s">
        <v>952</v>
      </c>
      <c r="W80" t="s">
        <v>952</v>
      </c>
      <c r="Y80" t="str">
        <f>HYPERLINK("https://recruiter.shine.com/resume/download/?resumeid=gAAAAABbk2UL1_0SpziVfSip6TOtPxKd-bQkPWNp1_bH9Uj8XniAOH3E9enTeQ4KI3BkFxPintR3flQXGyZ_HcwpNsk6VRNTHWBDmNPlscsTcTa8UsKOSi4nU7fT5l83TtCf8CfMtH63jMxMWSrTdLIOAPg59-siLA==")</f>
        <v>https://recruiter.shine.com/resume/download/?resumeid=gAAAAABbk2UL1_0SpziVfSip6TOtPxKd-bQkPWNp1_bH9Uj8XniAOH3E9enTeQ4KI3BkFxPintR3flQXGyZ_HcwpNsk6VRNTHWBDmNPlscsTcTa8UsKOSi4nU7fT5l83TtCf8CfMtH63jMxMWSrTdLIOAPg59-siLA==</v>
      </c>
    </row>
    <row r="81" spans="1:25" ht="39.950000000000003" customHeight="1">
      <c r="A81">
        <v>77</v>
      </c>
      <c r="B81" t="s">
        <v>953</v>
      </c>
      <c r="C81" t="s">
        <v>954</v>
      </c>
      <c r="D81" t="s">
        <v>955</v>
      </c>
      <c r="E81" t="s">
        <v>956</v>
      </c>
      <c r="F81" t="s">
        <v>29</v>
      </c>
      <c r="G81" t="s">
        <v>957</v>
      </c>
      <c r="H81" t="s">
        <v>234</v>
      </c>
      <c r="I81" t="s">
        <v>958</v>
      </c>
      <c r="J81" t="s">
        <v>959</v>
      </c>
      <c r="K81" t="s">
        <v>960</v>
      </c>
      <c r="L81" t="s">
        <v>354</v>
      </c>
      <c r="M81" t="s">
        <v>339</v>
      </c>
      <c r="N81" t="s">
        <v>961</v>
      </c>
      <c r="O81" t="s">
        <v>38</v>
      </c>
      <c r="P81" t="s">
        <v>57</v>
      </c>
      <c r="Q81" t="s">
        <v>783</v>
      </c>
      <c r="R81" t="s">
        <v>559</v>
      </c>
      <c r="S81" t="s">
        <v>962</v>
      </c>
      <c r="T81" t="s">
        <v>441</v>
      </c>
      <c r="U81" t="s">
        <v>43</v>
      </c>
      <c r="V81" t="s">
        <v>963</v>
      </c>
      <c r="W81" t="s">
        <v>964</v>
      </c>
      <c r="Y81" t="str">
        <f>HYPERLINK("https://recruiter.shine.com/resume/download/?resumeid=gAAAAABbk2UMbVepqZAhhjl_1LrNFCtkEos9I4otxeRPz8D6SUKX1FHG2n3KyKW81Y1lSypsmhdTetd-6vKBz1WcXnNaMrPk8Rny-cAi3ex95VXQbcZpU3qbQO3yXjM7uNOh-I3215WUHiOS3KXDWy52-M0DhNIPnQ==")</f>
        <v>https://recruiter.shine.com/resume/download/?resumeid=gAAAAABbk2UMbVepqZAhhjl_1LrNFCtkEos9I4otxeRPz8D6SUKX1FHG2n3KyKW81Y1lSypsmhdTetd-6vKBz1WcXnNaMrPk8Rny-cAi3ex95VXQbcZpU3qbQO3yXjM7uNOh-I3215WUHiOS3KXDWy52-M0DhNIPnQ==</v>
      </c>
    </row>
    <row r="82" spans="1:25" ht="39.950000000000003" customHeight="1">
      <c r="A82">
        <v>78</v>
      </c>
      <c r="B82" t="s">
        <v>965</v>
      </c>
      <c r="D82" t="s">
        <v>966</v>
      </c>
      <c r="E82" t="s">
        <v>967</v>
      </c>
      <c r="F82" t="s">
        <v>29</v>
      </c>
      <c r="G82" t="s">
        <v>29</v>
      </c>
      <c r="H82" t="s">
        <v>234</v>
      </c>
      <c r="I82" t="s">
        <v>968</v>
      </c>
      <c r="J82" t="s">
        <v>531</v>
      </c>
      <c r="K82" t="s">
        <v>969</v>
      </c>
      <c r="L82" t="s">
        <v>970</v>
      </c>
      <c r="M82" t="s">
        <v>121</v>
      </c>
      <c r="N82" t="s">
        <v>971</v>
      </c>
      <c r="O82" t="s">
        <v>56</v>
      </c>
      <c r="Q82" t="s">
        <v>783</v>
      </c>
      <c r="R82" t="s">
        <v>972</v>
      </c>
      <c r="S82" t="s">
        <v>973</v>
      </c>
      <c r="T82" t="s">
        <v>429</v>
      </c>
      <c r="U82" t="s">
        <v>43</v>
      </c>
      <c r="V82" t="s">
        <v>974</v>
      </c>
      <c r="W82" t="s">
        <v>974</v>
      </c>
      <c r="Y82" t="str">
        <f>HYPERLINK("https://recruiter.shine.com/resume/download/?resumeid=gAAAAABbk2UO2WfuXaC7I_z749s6XSKQtsTQ_NPfCGH7spMBoeDFjCsOuMavCH4mHaQnSj_CYJuZnCTo3OrYueJnwWahyiiBrjApRiZdgnPNMxqaVAdOp0E1dLawzM-rkonWh2Qp2DMGMBwLHYpwRKrfa_HUCeMXJE9LPxHGHDapCZzzRJOudJs=")</f>
        <v>https://recruiter.shine.com/resume/download/?resumeid=gAAAAABbk2UO2WfuXaC7I_z749s6XSKQtsTQ_NPfCGH7spMBoeDFjCsOuMavCH4mHaQnSj_CYJuZnCTo3OrYueJnwWahyiiBrjApRiZdgnPNMxqaVAdOp0E1dLawzM-rkonWh2Qp2DMGMBwLHYpwRKrfa_HUCeMXJE9LPxHGHDapCZzzRJOudJs=</v>
      </c>
    </row>
    <row r="83" spans="1:25" ht="39.950000000000003" customHeight="1">
      <c r="A83">
        <v>79</v>
      </c>
      <c r="B83" t="s">
        <v>975</v>
      </c>
      <c r="C83" t="s">
        <v>976</v>
      </c>
      <c r="D83" t="s">
        <v>977</v>
      </c>
      <c r="E83" t="s">
        <v>978</v>
      </c>
      <c r="F83" t="s">
        <v>29</v>
      </c>
      <c r="G83" t="s">
        <v>979</v>
      </c>
      <c r="H83" t="s">
        <v>31</v>
      </c>
      <c r="I83" t="s">
        <v>714</v>
      </c>
      <c r="J83" t="s">
        <v>801</v>
      </c>
      <c r="K83" t="s">
        <v>980</v>
      </c>
      <c r="L83" t="s">
        <v>199</v>
      </c>
      <c r="M83" t="s">
        <v>684</v>
      </c>
      <c r="N83" t="s">
        <v>981</v>
      </c>
      <c r="O83" t="s">
        <v>585</v>
      </c>
      <c r="P83" t="s">
        <v>57</v>
      </c>
      <c r="Q83" t="s">
        <v>107</v>
      </c>
      <c r="R83" t="s">
        <v>341</v>
      </c>
      <c r="S83" t="s">
        <v>188</v>
      </c>
      <c r="T83" t="s">
        <v>773</v>
      </c>
      <c r="U83" t="s">
        <v>43</v>
      </c>
      <c r="V83" t="s">
        <v>982</v>
      </c>
      <c r="W83" t="s">
        <v>983</v>
      </c>
      <c r="Y83" t="str">
        <f>HYPERLINK("https://recruiter.shine.com/resume/download/?resumeid=gAAAAABbk2ULe5nRsZHIhNC3HSP9mcFyUJuzOJz2FcqHY9YkCu5hl248D9U36gW2K2pN7IH6eSYfrW5VCCMtjUNMZlr8Y6PaTlsaaXYUgJ4f_6vFCLegpn7jgVTob-9ViU7oxuJlR-Sw")</f>
        <v>https://recruiter.shine.com/resume/download/?resumeid=gAAAAABbk2ULe5nRsZHIhNC3HSP9mcFyUJuzOJz2FcqHY9YkCu5hl248D9U36gW2K2pN7IH6eSYfrW5VCCMtjUNMZlr8Y6PaTlsaaXYUgJ4f_6vFCLegpn7jgVTob-9ViU7oxuJlR-Sw</v>
      </c>
    </row>
    <row r="84" spans="1:25" ht="39.950000000000003" customHeight="1">
      <c r="A84">
        <v>80</v>
      </c>
      <c r="B84" t="s">
        <v>984</v>
      </c>
      <c r="C84" t="s">
        <v>985</v>
      </c>
      <c r="D84" t="s">
        <v>986</v>
      </c>
      <c r="E84" t="s">
        <v>987</v>
      </c>
      <c r="F84" t="s">
        <v>29</v>
      </c>
      <c r="G84" t="s">
        <v>29</v>
      </c>
      <c r="H84" t="s">
        <v>31</v>
      </c>
      <c r="I84" t="s">
        <v>604</v>
      </c>
      <c r="J84" t="s">
        <v>988</v>
      </c>
      <c r="K84" t="s">
        <v>989</v>
      </c>
      <c r="L84" t="s">
        <v>120</v>
      </c>
      <c r="M84" t="s">
        <v>121</v>
      </c>
      <c r="N84" t="s">
        <v>990</v>
      </c>
      <c r="O84" t="s">
        <v>38</v>
      </c>
      <c r="P84" t="s">
        <v>57</v>
      </c>
      <c r="Q84" t="s">
        <v>90</v>
      </c>
      <c r="R84" t="s">
        <v>317</v>
      </c>
      <c r="S84" t="s">
        <v>991</v>
      </c>
      <c r="T84" t="s">
        <v>110</v>
      </c>
      <c r="U84" t="s">
        <v>43</v>
      </c>
      <c r="V84" t="s">
        <v>992</v>
      </c>
      <c r="W84" t="s">
        <v>992</v>
      </c>
      <c r="Y84" t="str">
        <f>HYPERLINK("https://recruiter.shine.com/resume/download/?resumeid=gAAAAABbk2UNmnGCpZkl-1SLLr7O-YMqLV7eHrdWm21bLbVWSHdIvppFJ-hjEYmGOCzXMlPOQOwu_3-kVDgP6ixmi6Q1rfc1q28KmZdtm-hZ6IpDnAOZey4Sr2IltOkCozVv-S-2-uuZZTvnxw_chvv6SdbTdQFLpA==")</f>
        <v>https://recruiter.shine.com/resume/download/?resumeid=gAAAAABbk2UNmnGCpZkl-1SLLr7O-YMqLV7eHrdWm21bLbVWSHdIvppFJ-hjEYmGOCzXMlPOQOwu_3-kVDgP6ixmi6Q1rfc1q28KmZdtm-hZ6IpDnAOZey4Sr2IltOkCozVv-S-2-uuZZTvnxw_chvv6SdbTdQFLpA==</v>
      </c>
    </row>
    <row r="85" spans="1:25" ht="39.950000000000003" customHeight="1">
      <c r="A85">
        <v>81</v>
      </c>
      <c r="B85" t="s">
        <v>993</v>
      </c>
      <c r="C85" t="s">
        <v>994</v>
      </c>
      <c r="D85" t="s">
        <v>995</v>
      </c>
      <c r="E85" t="s">
        <v>996</v>
      </c>
      <c r="F85" t="s">
        <v>29</v>
      </c>
      <c r="G85" t="s">
        <v>997</v>
      </c>
      <c r="H85" t="s">
        <v>31</v>
      </c>
      <c r="I85" t="s">
        <v>998</v>
      </c>
      <c r="J85" t="s">
        <v>781</v>
      </c>
      <c r="K85" t="s">
        <v>999</v>
      </c>
      <c r="L85" t="s">
        <v>794</v>
      </c>
      <c r="M85" t="s">
        <v>884</v>
      </c>
      <c r="N85" t="s">
        <v>1000</v>
      </c>
      <c r="O85" t="s">
        <v>186</v>
      </c>
      <c r="Q85" t="s">
        <v>107</v>
      </c>
      <c r="R85" t="s">
        <v>341</v>
      </c>
      <c r="S85" t="s">
        <v>1001</v>
      </c>
      <c r="T85" t="s">
        <v>429</v>
      </c>
      <c r="U85" t="s">
        <v>43</v>
      </c>
      <c r="V85" t="s">
        <v>1002</v>
      </c>
      <c r="W85" t="s">
        <v>1003</v>
      </c>
      <c r="Y85" t="str">
        <f>HYPERLINK("https://recruiter.shine.com/resume/download/?resumeid=gAAAAABbk2UOZOvdayUMyzbd7dgz7Aj6fErKuwQczcOTwpqAMPS6Z-0MIyp3hcKCwFpAIvyJd4y8r2USKcxVH2nKur56L0jdOsdn7rg2difLosGJICaE7Yvk8IcbKxrG2wlyWf009Z6AZUAwRUiY4lwiK0UuIy3t3BVOFUXo62thWjqNsTJss5Y=")</f>
        <v>https://recruiter.shine.com/resume/download/?resumeid=gAAAAABbk2UOZOvdayUMyzbd7dgz7Aj6fErKuwQczcOTwpqAMPS6Z-0MIyp3hcKCwFpAIvyJd4y8r2USKcxVH2nKur56L0jdOsdn7rg2difLosGJICaE7Yvk8IcbKxrG2wlyWf009Z6AZUAwRUiY4lwiK0UuIy3t3BVOFUXo62thWjqNsTJss5Y=</v>
      </c>
    </row>
    <row r="86" spans="1:25" ht="39.950000000000003" customHeight="1">
      <c r="A86">
        <v>82</v>
      </c>
      <c r="B86" t="s">
        <v>1004</v>
      </c>
      <c r="C86" t="s">
        <v>1005</v>
      </c>
      <c r="D86" t="s">
        <v>1006</v>
      </c>
      <c r="E86" t="s">
        <v>1007</v>
      </c>
      <c r="F86" t="s">
        <v>29</v>
      </c>
      <c r="G86" t="s">
        <v>1008</v>
      </c>
      <c r="H86" t="s">
        <v>31</v>
      </c>
      <c r="I86" t="s">
        <v>1009</v>
      </c>
      <c r="J86" t="s">
        <v>135</v>
      </c>
      <c r="K86" t="s">
        <v>1010</v>
      </c>
      <c r="L86" t="s">
        <v>450</v>
      </c>
      <c r="M86" t="s">
        <v>463</v>
      </c>
      <c r="N86" t="s">
        <v>1011</v>
      </c>
      <c r="O86" t="s">
        <v>56</v>
      </c>
      <c r="P86" t="s">
        <v>39</v>
      </c>
      <c r="Q86" t="s">
        <v>90</v>
      </c>
      <c r="R86" t="s">
        <v>91</v>
      </c>
      <c r="S86" t="s">
        <v>1012</v>
      </c>
      <c r="T86" t="s">
        <v>227</v>
      </c>
      <c r="U86" t="s">
        <v>43</v>
      </c>
      <c r="V86" t="s">
        <v>1013</v>
      </c>
      <c r="W86" t="s">
        <v>1014</v>
      </c>
      <c r="Y86" t="str">
        <f>HYPERLINK("https://recruiter.shine.com/resume/download/?resumeid=gAAAAABbk2ULUFbCOXC7hTmZlFE9mdL_6ggqTypgzte-5-RYPSLtc65YlEMJxkld0fzlTij4e-DTTly9BWP3WdLi0VM0fic54mKGTZKMceGEevLVTa_ZDiiuVZz7NkX75NfHUSYFqsU7")</f>
        <v>https://recruiter.shine.com/resume/download/?resumeid=gAAAAABbk2ULUFbCOXC7hTmZlFE9mdL_6ggqTypgzte-5-RYPSLtc65YlEMJxkld0fzlTij4e-DTTly9BWP3WdLi0VM0fic54mKGTZKMceGEevLVTa_ZDiiuVZz7NkX75NfHUSYFqsU7</v>
      </c>
    </row>
    <row r="87" spans="1:25" ht="39.950000000000003" customHeight="1">
      <c r="A87">
        <v>83</v>
      </c>
      <c r="B87" t="s">
        <v>1015</v>
      </c>
      <c r="C87" t="s">
        <v>1016</v>
      </c>
      <c r="D87" t="s">
        <v>1017</v>
      </c>
      <c r="E87" t="s">
        <v>1018</v>
      </c>
      <c r="F87" t="s">
        <v>29</v>
      </c>
      <c r="G87" t="s">
        <v>29</v>
      </c>
      <c r="H87" t="s">
        <v>31</v>
      </c>
      <c r="I87" t="s">
        <v>1019</v>
      </c>
      <c r="J87" t="s">
        <v>506</v>
      </c>
      <c r="K87" t="s">
        <v>1020</v>
      </c>
      <c r="L87" t="s">
        <v>88</v>
      </c>
      <c r="M87" t="s">
        <v>473</v>
      </c>
      <c r="N87" t="s">
        <v>1021</v>
      </c>
      <c r="O87" t="s">
        <v>186</v>
      </c>
      <c r="P87" t="s">
        <v>39</v>
      </c>
      <c r="Q87" t="s">
        <v>187</v>
      </c>
      <c r="R87" t="s">
        <v>124</v>
      </c>
      <c r="S87" t="s">
        <v>1022</v>
      </c>
      <c r="T87" t="s">
        <v>429</v>
      </c>
      <c r="U87" t="s">
        <v>43</v>
      </c>
      <c r="V87" t="s">
        <v>1023</v>
      </c>
      <c r="W87" t="s">
        <v>1024</v>
      </c>
      <c r="Y87" t="str">
        <f>HYPERLINK("https://recruiter.shine.com/resume/download/?resumeid=gAAAAABbk2UMIjr163eROcDGr9sqd0dkonVoZ3_S8k7U6Q1yazTPu8laGssfFyQ9M_D3JuwdSqtoVtSIFquApt6zKfcfVyRd9-OHaeg_loLMwYdjitd3jHtMJpwIZQaAvBgAc9gxZncXEx1UocD9qMI4isr4H_TB6teStycarbqkFpUxEngwnBY=")</f>
        <v>https://recruiter.shine.com/resume/download/?resumeid=gAAAAABbk2UMIjr163eROcDGr9sqd0dkonVoZ3_S8k7U6Q1yazTPu8laGssfFyQ9M_D3JuwdSqtoVtSIFquApt6zKfcfVyRd9-OHaeg_loLMwYdjitd3jHtMJpwIZQaAvBgAc9gxZncXEx1UocD9qMI4isr4H_TB6teStycarbqkFpUxEngwnBY=</v>
      </c>
    </row>
    <row r="88" spans="1:25" ht="39.950000000000003" customHeight="1">
      <c r="A88">
        <v>84</v>
      </c>
      <c r="B88" t="s">
        <v>1025</v>
      </c>
      <c r="D88" t="s">
        <v>1026</v>
      </c>
      <c r="E88" t="s">
        <v>1027</v>
      </c>
      <c r="F88" t="s">
        <v>29</v>
      </c>
      <c r="G88" t="s">
        <v>29</v>
      </c>
      <c r="H88" t="s">
        <v>31</v>
      </c>
      <c r="I88" t="s">
        <v>32</v>
      </c>
      <c r="J88" t="s">
        <v>1028</v>
      </c>
      <c r="K88" t="s">
        <v>1029</v>
      </c>
      <c r="L88" t="s">
        <v>266</v>
      </c>
      <c r="M88" t="s">
        <v>105</v>
      </c>
      <c r="N88" t="s">
        <v>1030</v>
      </c>
      <c r="O88" t="s">
        <v>56</v>
      </c>
      <c r="Q88" t="s">
        <v>107</v>
      </c>
      <c r="R88" t="s">
        <v>108</v>
      </c>
      <c r="S88" t="s">
        <v>1031</v>
      </c>
      <c r="T88" t="s">
        <v>343</v>
      </c>
      <c r="U88" t="s">
        <v>43</v>
      </c>
      <c r="V88" t="s">
        <v>1032</v>
      </c>
      <c r="W88" t="s">
        <v>1033</v>
      </c>
      <c r="Y88" t="str">
        <f>HYPERLINK("https://recruiter.shine.com/resume/download/?resumeid=gAAAAABbk2UOjDkYkQiZ8y3s43QRowy3I9rqgOQXnPvYt5tMEKC6AwZpHiJ-giLIhuivGko9HrlLFqXTJZxCslSeoIO__5NRjvriFEPAHMIyTdyA3BM7bz1O2YhPtsJGwMrHKeJGDfy4fbSMOYB9ebu3YkVYkDeEsw==")</f>
        <v>https://recruiter.shine.com/resume/download/?resumeid=gAAAAABbk2UOjDkYkQiZ8y3s43QRowy3I9rqgOQXnPvYt5tMEKC6AwZpHiJ-giLIhuivGko9HrlLFqXTJZxCslSeoIO__5NRjvriFEPAHMIyTdyA3BM7bz1O2YhPtsJGwMrHKeJGDfy4fbSMOYB9ebu3YkVYkDeEsw==</v>
      </c>
    </row>
    <row r="89" spans="1:25" ht="39.950000000000003" customHeight="1">
      <c r="A89">
        <v>85</v>
      </c>
      <c r="B89" t="s">
        <v>1034</v>
      </c>
      <c r="C89" t="s">
        <v>1035</v>
      </c>
      <c r="D89" t="s">
        <v>1036</v>
      </c>
      <c r="E89" t="s">
        <v>1037</v>
      </c>
      <c r="F89" t="s">
        <v>29</v>
      </c>
      <c r="G89" t="s">
        <v>29</v>
      </c>
      <c r="H89" t="s">
        <v>31</v>
      </c>
      <c r="I89" t="s">
        <v>1038</v>
      </c>
      <c r="J89" t="s">
        <v>251</v>
      </c>
      <c r="K89" t="s">
        <v>989</v>
      </c>
      <c r="L89" t="s">
        <v>533</v>
      </c>
      <c r="M89" t="s">
        <v>1039</v>
      </c>
      <c r="N89" t="s">
        <v>1040</v>
      </c>
      <c r="O89" t="s">
        <v>1041</v>
      </c>
      <c r="P89" t="s">
        <v>57</v>
      </c>
      <c r="Q89" t="s">
        <v>849</v>
      </c>
      <c r="R89" t="s">
        <v>536</v>
      </c>
      <c r="S89" t="s">
        <v>1042</v>
      </c>
      <c r="T89" t="s">
        <v>126</v>
      </c>
      <c r="U89" t="s">
        <v>43</v>
      </c>
      <c r="V89" t="s">
        <v>1043</v>
      </c>
      <c r="W89" t="s">
        <v>1044</v>
      </c>
      <c r="Y89" t="str">
        <f>HYPERLINK("https://recruiter.shine.com/resume/download/?resumeid=gAAAAABbk2ULepkkXwyPCacdQxTVgoIjDJB6DkcERxWyZhvp0gUFa-Fw0dt731Q_VEA0eMWHm9dybfCwX6fD9ciH1lk_Bk6PTat4n2FbzDtcv3VTwyDV0CoYm6dD6JXPbXgOg7hHSl_4")</f>
        <v>https://recruiter.shine.com/resume/download/?resumeid=gAAAAABbk2ULepkkXwyPCacdQxTVgoIjDJB6DkcERxWyZhvp0gUFa-Fw0dt731Q_VEA0eMWHm9dybfCwX6fD9ciH1lk_Bk6PTat4n2FbzDtcv3VTwyDV0CoYm6dD6JXPbXgOg7hHSl_4</v>
      </c>
    </row>
    <row r="90" spans="1:25" ht="39.950000000000003" customHeight="1">
      <c r="A90">
        <v>86</v>
      </c>
      <c r="B90" t="s">
        <v>1045</v>
      </c>
      <c r="C90" t="s">
        <v>1046</v>
      </c>
      <c r="D90" t="s">
        <v>1047</v>
      </c>
      <c r="E90" t="s">
        <v>1048</v>
      </c>
      <c r="F90" t="s">
        <v>29</v>
      </c>
      <c r="G90" t="s">
        <v>1049</v>
      </c>
      <c r="H90" t="s">
        <v>31</v>
      </c>
      <c r="I90" t="s">
        <v>860</v>
      </c>
      <c r="J90" t="s">
        <v>1050</v>
      </c>
      <c r="K90" t="s">
        <v>1051</v>
      </c>
      <c r="L90" t="s">
        <v>664</v>
      </c>
      <c r="M90" t="s">
        <v>884</v>
      </c>
      <c r="N90" t="s">
        <v>1052</v>
      </c>
      <c r="O90" t="s">
        <v>186</v>
      </c>
      <c r="Q90" t="s">
        <v>107</v>
      </c>
      <c r="R90" t="s">
        <v>341</v>
      </c>
      <c r="S90" t="s">
        <v>1053</v>
      </c>
      <c r="T90" t="s">
        <v>441</v>
      </c>
      <c r="U90" t="s">
        <v>43</v>
      </c>
      <c r="V90" t="s">
        <v>1054</v>
      </c>
      <c r="W90" t="s">
        <v>1055</v>
      </c>
      <c r="Y90" t="str">
        <f>HYPERLINK("https://recruiter.shine.com/resume/download/?resumeid=gAAAAABbk2UMUrdgz9s1GZ2u-tsXseRoNpngdrkr4NRPixCdd-yE8rPpjSaK3NhxpKtS_Stavyguzw8N41614cPaRJjwkUk7j1YqDIkhiOwKvny-k_C9nUeHm6MNxNouaaGV9caiYc92GV-J8eAj-hZ1bv_2qrCk9Q==")</f>
        <v>https://recruiter.shine.com/resume/download/?resumeid=gAAAAABbk2UMUrdgz9s1GZ2u-tsXseRoNpngdrkr4NRPixCdd-yE8rPpjSaK3NhxpKtS_Stavyguzw8N41614cPaRJjwkUk7j1YqDIkhiOwKvny-k_C9nUeHm6MNxNouaaGV9caiYc92GV-J8eAj-hZ1bv_2qrCk9Q==</v>
      </c>
    </row>
    <row r="91" spans="1:25" ht="39.950000000000003" customHeight="1">
      <c r="A91">
        <v>87</v>
      </c>
      <c r="B91" t="s">
        <v>1056</v>
      </c>
      <c r="D91" t="s">
        <v>1057</v>
      </c>
      <c r="E91" t="s">
        <v>1058</v>
      </c>
      <c r="F91" t="s">
        <v>29</v>
      </c>
      <c r="G91" t="s">
        <v>29</v>
      </c>
      <c r="H91" t="s">
        <v>31</v>
      </c>
      <c r="I91" t="s">
        <v>1059</v>
      </c>
      <c r="J91" t="s">
        <v>1060</v>
      </c>
      <c r="K91" t="s">
        <v>1061</v>
      </c>
      <c r="L91" t="s">
        <v>266</v>
      </c>
      <c r="M91" t="s">
        <v>105</v>
      </c>
      <c r="N91" t="s">
        <v>1062</v>
      </c>
      <c r="O91" t="s">
        <v>1063</v>
      </c>
      <c r="Q91" t="s">
        <v>158</v>
      </c>
      <c r="R91" t="s">
        <v>559</v>
      </c>
      <c r="S91" t="s">
        <v>1064</v>
      </c>
      <c r="T91" t="s">
        <v>1065</v>
      </c>
      <c r="U91" t="s">
        <v>43</v>
      </c>
      <c r="V91" t="s">
        <v>1066</v>
      </c>
      <c r="W91" t="s">
        <v>1067</v>
      </c>
      <c r="Y91" t="str">
        <f>HYPERLINK("https://recruiter.shine.com/resume/download/?resumeid=gAAAAABbk2UO8q-yawP3ZM30VUVFsFKWchnNm2yRQ1KaCsl6zRn5LvuRHBb9tI5N0b8E1vpDhtnBp_9Omy4f-1FKM-dNig7HYxgLswpfrNxS8PhPI603xhlqBdoAtgA6KlRF0fA_CtYsrRNYHCrxIPUo7gwtCzFGaA==")</f>
        <v>https://recruiter.shine.com/resume/download/?resumeid=gAAAAABbk2UO8q-yawP3ZM30VUVFsFKWchnNm2yRQ1KaCsl6zRn5LvuRHBb9tI5N0b8E1vpDhtnBp_9Omy4f-1FKM-dNig7HYxgLswpfrNxS8PhPI603xhlqBdoAtgA6KlRF0fA_CtYsrRNYHCrxIPUo7gwtCzFGaA==</v>
      </c>
    </row>
    <row r="92" spans="1:25" ht="39.950000000000003" customHeight="1">
      <c r="A92">
        <v>88</v>
      </c>
      <c r="B92" t="s">
        <v>1068</v>
      </c>
      <c r="C92" t="s">
        <v>1069</v>
      </c>
      <c r="D92" t="s">
        <v>1070</v>
      </c>
      <c r="E92" t="s">
        <v>1071</v>
      </c>
      <c r="F92" t="s">
        <v>29</v>
      </c>
      <c r="G92" t="s">
        <v>29</v>
      </c>
      <c r="H92" t="s">
        <v>31</v>
      </c>
      <c r="I92" t="s">
        <v>1072</v>
      </c>
      <c r="J92" t="s">
        <v>988</v>
      </c>
      <c r="K92" t="s">
        <v>1073</v>
      </c>
      <c r="L92" t="s">
        <v>120</v>
      </c>
      <c r="M92" t="s">
        <v>238</v>
      </c>
      <c r="N92" t="s">
        <v>1074</v>
      </c>
      <c r="O92" t="s">
        <v>157</v>
      </c>
      <c r="P92" t="s">
        <v>771</v>
      </c>
      <c r="Q92" t="s">
        <v>90</v>
      </c>
      <c r="R92" t="s">
        <v>292</v>
      </c>
      <c r="S92" t="s">
        <v>1075</v>
      </c>
      <c r="T92" t="s">
        <v>415</v>
      </c>
      <c r="U92" t="s">
        <v>43</v>
      </c>
      <c r="V92" t="s">
        <v>1076</v>
      </c>
      <c r="W92" t="s">
        <v>1077</v>
      </c>
      <c r="Y92" t="str">
        <f>HYPERLINK("https://recruiter.shine.com/resume/download/?resumeid=gAAAAABbk2UL_MLoADB_fc0cO1aWV1128u1C31iJ-x3GAj8eiLtcsTQ4uBtyi3-wlmo6IevmWrUB2NRGuGOCvOBc0HpPgdbETXE5KUJl49j0YpnP8bgZ9b_ciEPuKRSDMNBWQTRc-Lrd")</f>
        <v>https://recruiter.shine.com/resume/download/?resumeid=gAAAAABbk2UL_MLoADB_fc0cO1aWV1128u1C31iJ-x3GAj8eiLtcsTQ4uBtyi3-wlmo6IevmWrUB2NRGuGOCvOBc0HpPgdbETXE5KUJl49j0YpnP8bgZ9b_ciEPuKRSDMNBWQTRc-Lrd</v>
      </c>
    </row>
    <row r="93" spans="1:25" ht="39.950000000000003" customHeight="1">
      <c r="A93">
        <v>89</v>
      </c>
      <c r="B93" t="s">
        <v>1078</v>
      </c>
      <c r="D93" t="s">
        <v>1079</v>
      </c>
      <c r="E93" t="s">
        <v>1080</v>
      </c>
      <c r="F93" t="s">
        <v>29</v>
      </c>
      <c r="G93" t="s">
        <v>29</v>
      </c>
      <c r="H93" t="s">
        <v>31</v>
      </c>
      <c r="I93" t="s">
        <v>568</v>
      </c>
      <c r="J93" t="s">
        <v>1081</v>
      </c>
      <c r="K93" t="s">
        <v>1082</v>
      </c>
      <c r="L93" t="s">
        <v>596</v>
      </c>
      <c r="M93" t="s">
        <v>1083</v>
      </c>
      <c r="N93" t="s">
        <v>1084</v>
      </c>
      <c r="O93" t="s">
        <v>224</v>
      </c>
      <c r="Q93" t="s">
        <v>107</v>
      </c>
      <c r="R93" t="s">
        <v>559</v>
      </c>
      <c r="S93" t="s">
        <v>1085</v>
      </c>
      <c r="T93" t="s">
        <v>773</v>
      </c>
      <c r="U93" t="s">
        <v>43</v>
      </c>
      <c r="V93" t="s">
        <v>1086</v>
      </c>
      <c r="W93" t="s">
        <v>1087</v>
      </c>
      <c r="Y93" t="str">
        <f>HYPERLINK("https://recruiter.shine.com/resume/download/?resumeid=gAAAAABbk2UMR6xYePLcEh3yK8P0x_T3OmJYoudFQ0Ip-ohtWeSB3b7MiKt3YdRLbgZ65fiCNp7TWKanc1QvtmvLQs16Y3n_eWz35lNu_V6oagGawmyLaF3MrVymtsTYJZlCwu99vTrxam81vL-HWG2uxX1GOaPRIw==")</f>
        <v>https://recruiter.shine.com/resume/download/?resumeid=gAAAAABbk2UMR6xYePLcEh3yK8P0x_T3OmJYoudFQ0Ip-ohtWeSB3b7MiKt3YdRLbgZ65fiCNp7TWKanc1QvtmvLQs16Y3n_eWz35lNu_V6oagGawmyLaF3MrVymtsTYJZlCwu99vTrxam81vL-HWG2uxX1GOaPRIw==</v>
      </c>
    </row>
    <row r="94" spans="1:25" ht="39.950000000000003" customHeight="1">
      <c r="A94">
        <v>90</v>
      </c>
      <c r="B94" t="s">
        <v>1088</v>
      </c>
      <c r="C94" t="s">
        <v>1089</v>
      </c>
      <c r="D94" t="s">
        <v>1090</v>
      </c>
      <c r="E94" t="s">
        <v>1091</v>
      </c>
      <c r="F94" t="s">
        <v>29</v>
      </c>
      <c r="G94" t="s">
        <v>1092</v>
      </c>
      <c r="H94" t="s">
        <v>31</v>
      </c>
      <c r="I94" t="s">
        <v>1093</v>
      </c>
      <c r="J94" t="s">
        <v>51</v>
      </c>
      <c r="K94" t="s">
        <v>1094</v>
      </c>
      <c r="L94" t="s">
        <v>664</v>
      </c>
      <c r="M94" t="s">
        <v>707</v>
      </c>
      <c r="N94" t="s">
        <v>1095</v>
      </c>
      <c r="O94" t="s">
        <v>186</v>
      </c>
      <c r="P94" t="s">
        <v>57</v>
      </c>
      <c r="Q94" t="s">
        <v>107</v>
      </c>
      <c r="R94" t="s">
        <v>341</v>
      </c>
      <c r="S94" t="s">
        <v>1096</v>
      </c>
      <c r="T94" t="s">
        <v>429</v>
      </c>
      <c r="U94" t="s">
        <v>43</v>
      </c>
      <c r="V94" t="s">
        <v>1097</v>
      </c>
      <c r="W94" t="s">
        <v>1098</v>
      </c>
      <c r="Y94" t="str">
        <f>HYPERLINK("https://recruiter.shine.com/resume/download/?resumeid=gAAAAABbk2UOTHHLJOmfw9yUDf5jK9jV-X312WTXmZAQegybupgFZ0z--AjJbkZ9Dr6Gy_zOg_BYvuzEaxyZusqKwLf1ja3-5MkQ_OGCVpflY8G7qbpRMSI_XyHDhseuzoWnThjb6tD84r1OBvgcLfUfGfsMixkYUDfzTxAsxfCeAOJKyfMlb2g=")</f>
        <v>https://recruiter.shine.com/resume/download/?resumeid=gAAAAABbk2UOTHHLJOmfw9yUDf5jK9jV-X312WTXmZAQegybupgFZ0z--AjJbkZ9Dr6Gy_zOg_BYvuzEaxyZusqKwLf1ja3-5MkQ_OGCVpflY8G7qbpRMSI_XyHDhseuzoWnThjb6tD84r1OBvgcLfUfGfsMixkYUDfzTxAsxfCeAOJKyfMlb2g=</v>
      </c>
    </row>
    <row r="95" spans="1:25" ht="39.950000000000003" customHeight="1">
      <c r="A95">
        <v>91</v>
      </c>
      <c r="B95" t="s">
        <v>1099</v>
      </c>
      <c r="C95" t="s">
        <v>1100</v>
      </c>
      <c r="D95" t="s">
        <v>1101</v>
      </c>
      <c r="E95" t="s">
        <v>1102</v>
      </c>
      <c r="F95" t="s">
        <v>29</v>
      </c>
      <c r="G95" t="s">
        <v>29</v>
      </c>
      <c r="H95" t="s">
        <v>31</v>
      </c>
      <c r="I95" t="s">
        <v>85</v>
      </c>
      <c r="J95" t="s">
        <v>86</v>
      </c>
      <c r="K95" t="s">
        <v>1103</v>
      </c>
      <c r="L95" t="s">
        <v>266</v>
      </c>
      <c r="M95" t="s">
        <v>684</v>
      </c>
      <c r="N95" t="s">
        <v>1104</v>
      </c>
      <c r="O95" t="s">
        <v>157</v>
      </c>
      <c r="P95" t="s">
        <v>140</v>
      </c>
      <c r="Q95" t="s">
        <v>412</v>
      </c>
      <c r="R95" t="s">
        <v>41</v>
      </c>
      <c r="S95" t="s">
        <v>1105</v>
      </c>
      <c r="U95" t="s">
        <v>43</v>
      </c>
      <c r="V95" t="s">
        <v>1106</v>
      </c>
      <c r="W95" t="s">
        <v>1107</v>
      </c>
      <c r="Y95" t="str">
        <f>HYPERLINK("https://recruiter.shine.com/resume/download/?resumeid=gAAAAABbk2UKiVFN5vRyn6AhKwfV_pzenorCbpbGkdn3yNkt1YvVqaQWNMC_gFzDbPKfLUgWINCvx6w0K_tropqiZ-c8Z9BwWp6Ni1Tj0-tMjniCzEaLQ_Ghb4PINHlU6O9XDEFFh2AVjPMY-9aL1t9pbWJrVE3teg==")</f>
        <v>https://recruiter.shine.com/resume/download/?resumeid=gAAAAABbk2UKiVFN5vRyn6AhKwfV_pzenorCbpbGkdn3yNkt1YvVqaQWNMC_gFzDbPKfLUgWINCvx6w0K_tropqiZ-c8Z9BwWp6Ni1Tj0-tMjniCzEaLQ_Ghb4PINHlU6O9XDEFFh2AVjPMY-9aL1t9pbWJrVE3teg==</v>
      </c>
    </row>
    <row r="96" spans="1:25" ht="39.950000000000003" customHeight="1">
      <c r="A96">
        <v>92</v>
      </c>
      <c r="B96" t="s">
        <v>1108</v>
      </c>
      <c r="C96" t="s">
        <v>1109</v>
      </c>
      <c r="D96" t="s">
        <v>1110</v>
      </c>
      <c r="E96" t="s">
        <v>1111</v>
      </c>
      <c r="F96" t="s">
        <v>29</v>
      </c>
      <c r="G96" t="s">
        <v>30</v>
      </c>
      <c r="H96" t="s">
        <v>234</v>
      </c>
      <c r="I96" t="s">
        <v>1112</v>
      </c>
      <c r="J96" t="s">
        <v>408</v>
      </c>
      <c r="K96" t="s">
        <v>1113</v>
      </c>
      <c r="L96" t="s">
        <v>266</v>
      </c>
      <c r="M96" t="s">
        <v>36</v>
      </c>
      <c r="N96" t="s">
        <v>1114</v>
      </c>
      <c r="O96" t="s">
        <v>224</v>
      </c>
      <c r="P96" t="s">
        <v>140</v>
      </c>
      <c r="Q96" t="s">
        <v>107</v>
      </c>
      <c r="R96" t="s">
        <v>159</v>
      </c>
      <c r="S96" t="s">
        <v>1115</v>
      </c>
      <c r="T96" t="s">
        <v>415</v>
      </c>
      <c r="U96" t="s">
        <v>43</v>
      </c>
      <c r="V96" t="s">
        <v>1116</v>
      </c>
      <c r="W96" t="s">
        <v>1117</v>
      </c>
      <c r="Y96" t="str">
        <f>HYPERLINK("https://recruiter.shine.com/resume/download/?resumeid=gAAAAABbk2UMahgNUxcvvD1l5abbTA9ebIdMH5jURnSqlgR7p4ADLDyrkdZYqmpdl2vRGiWRwAnitUsi2gfm0NiAd10b9XkAR3ZLim8p0_mhLgiNCEvM_9ou2aDEHLbE2f1rVqELfm63vejMvrNY45oPF9GUFfFmA9JYZsC2O7-pBCvrJjwXllI=")</f>
        <v>https://recruiter.shine.com/resume/download/?resumeid=gAAAAABbk2UMahgNUxcvvD1l5abbTA9ebIdMH5jURnSqlgR7p4ADLDyrkdZYqmpdl2vRGiWRwAnitUsi2gfm0NiAd10b9XkAR3ZLim8p0_mhLgiNCEvM_9ou2aDEHLbE2f1rVqELfm63vejMvrNY45oPF9GUFfFmA9JYZsC2O7-pBCvrJjwXllI=</v>
      </c>
    </row>
    <row r="97" spans="1:25" ht="39.950000000000003" customHeight="1">
      <c r="A97">
        <v>93</v>
      </c>
      <c r="B97" t="s">
        <v>1118</v>
      </c>
      <c r="C97" t="s">
        <v>1119</v>
      </c>
      <c r="D97" t="s">
        <v>1120</v>
      </c>
      <c r="E97" t="s">
        <v>1121</v>
      </c>
      <c r="F97" t="s">
        <v>29</v>
      </c>
      <c r="G97" t="s">
        <v>29</v>
      </c>
      <c r="H97" t="s">
        <v>234</v>
      </c>
      <c r="I97" t="s">
        <v>1122</v>
      </c>
      <c r="J97" t="s">
        <v>506</v>
      </c>
      <c r="K97" t="s">
        <v>1123</v>
      </c>
      <c r="L97" t="s">
        <v>171</v>
      </c>
      <c r="M97" t="s">
        <v>1124</v>
      </c>
      <c r="N97" t="s">
        <v>1125</v>
      </c>
      <c r="O97" t="s">
        <v>186</v>
      </c>
      <c r="P97" t="s">
        <v>771</v>
      </c>
      <c r="Q97" t="s">
        <v>90</v>
      </c>
      <c r="R97" t="s">
        <v>91</v>
      </c>
      <c r="S97" t="s">
        <v>1126</v>
      </c>
      <c r="T97" t="s">
        <v>126</v>
      </c>
      <c r="U97" t="s">
        <v>43</v>
      </c>
      <c r="V97" t="s">
        <v>1127</v>
      </c>
      <c r="W97" t="s">
        <v>1128</v>
      </c>
      <c r="Y97" t="str">
        <f>HYPERLINK("https://recruiter.shine.com/resume/download/?resumeid=gAAAAABbk2UO2p-KnS-IAGY3C0-YUJ1xNVpa1NBmqx-vymj7WfvoP3FMUFIqjNPVk0ACBQAd7-3azAbd935q6K6qQIp4IwkTsdwyTe3-HwyGg5fLcdyW85Urq1EwvYX66Z9aL20VQhDEplx6bxipdJAOQk6uCITbQw==")</f>
        <v>https://recruiter.shine.com/resume/download/?resumeid=gAAAAABbk2UO2p-KnS-IAGY3C0-YUJ1xNVpa1NBmqx-vymj7WfvoP3FMUFIqjNPVk0ACBQAd7-3azAbd935q6K6qQIp4IwkTsdwyTe3-HwyGg5fLcdyW85Urq1EwvYX66Z9aL20VQhDEplx6bxipdJAOQk6uCITbQw==</v>
      </c>
    </row>
    <row r="98" spans="1:25" ht="39.950000000000003" customHeight="1">
      <c r="A98">
        <v>94</v>
      </c>
      <c r="B98" t="s">
        <v>1129</v>
      </c>
      <c r="C98" t="s">
        <v>1130</v>
      </c>
      <c r="D98" t="s">
        <v>1131</v>
      </c>
      <c r="E98" t="s">
        <v>1132</v>
      </c>
      <c r="F98" t="s">
        <v>29</v>
      </c>
      <c r="G98" t="s">
        <v>67</v>
      </c>
      <c r="H98" t="s">
        <v>31</v>
      </c>
      <c r="I98" t="s">
        <v>448</v>
      </c>
      <c r="J98" t="s">
        <v>1133</v>
      </c>
      <c r="K98" t="s">
        <v>1134</v>
      </c>
      <c r="L98" t="s">
        <v>88</v>
      </c>
      <c r="M98" t="s">
        <v>238</v>
      </c>
      <c r="N98" t="s">
        <v>1135</v>
      </c>
      <c r="O98" t="s">
        <v>38</v>
      </c>
      <c r="P98" t="s">
        <v>57</v>
      </c>
      <c r="Q98" t="s">
        <v>123</v>
      </c>
      <c r="R98" t="s">
        <v>124</v>
      </c>
      <c r="S98" t="s">
        <v>1136</v>
      </c>
      <c r="T98" t="s">
        <v>1137</v>
      </c>
      <c r="U98" t="s">
        <v>43</v>
      </c>
      <c r="V98" t="s">
        <v>1138</v>
      </c>
      <c r="W98" t="s">
        <v>1139</v>
      </c>
      <c r="Y98" t="str">
        <f>HYPERLINK("https://recruiter.shine.com/resume/download/?resumeid=gAAAAABbk2UL6YW_L-k9xz4pgrBZ6hFCvrl5BKwoaS27aQfYA9xeBgdQrZ3aI_bAnoFJaBwTa9aPeWGvwXT8CTb1R8AS1DZhI9m-x4Q6OTz7i045twV-sWPlr78GFoC7rDcNeBJxSHlJ")</f>
        <v>https://recruiter.shine.com/resume/download/?resumeid=gAAAAABbk2UL6YW_L-k9xz4pgrBZ6hFCvrl5BKwoaS27aQfYA9xeBgdQrZ3aI_bAnoFJaBwTa9aPeWGvwXT8CTb1R8AS1DZhI9m-x4Q6OTz7i045twV-sWPlr78GFoC7rDcNeBJxSHlJ</v>
      </c>
    </row>
    <row r="99" spans="1:25" ht="39.950000000000003" customHeight="1">
      <c r="A99">
        <v>95</v>
      </c>
      <c r="B99" t="s">
        <v>1140</v>
      </c>
      <c r="C99" t="s">
        <v>1141</v>
      </c>
      <c r="D99" t="s">
        <v>1142</v>
      </c>
      <c r="E99" t="s">
        <v>1143</v>
      </c>
      <c r="F99" t="s">
        <v>29</v>
      </c>
      <c r="G99" t="s">
        <v>30</v>
      </c>
      <c r="H99" t="s">
        <v>31</v>
      </c>
      <c r="I99" t="s">
        <v>734</v>
      </c>
      <c r="J99" t="s">
        <v>1144</v>
      </c>
      <c r="K99" t="s">
        <v>1145</v>
      </c>
      <c r="L99" t="s">
        <v>664</v>
      </c>
      <c r="M99" t="s">
        <v>36</v>
      </c>
      <c r="N99" t="s">
        <v>1146</v>
      </c>
      <c r="O99" t="s">
        <v>186</v>
      </c>
      <c r="P99" t="s">
        <v>57</v>
      </c>
      <c r="Q99" t="s">
        <v>158</v>
      </c>
      <c r="R99" t="s">
        <v>341</v>
      </c>
      <c r="S99" t="s">
        <v>1147</v>
      </c>
      <c r="T99" t="s">
        <v>110</v>
      </c>
      <c r="U99" t="s">
        <v>43</v>
      </c>
      <c r="V99" t="s">
        <v>1148</v>
      </c>
      <c r="W99" t="s">
        <v>1149</v>
      </c>
      <c r="Y99" t="str">
        <f>HYPERLINK("https://recruiter.shine.com/resume/download/?resumeid=gAAAAABbk2UMu0Zv_tqeig3UzSDcv5TN04Yi9UX-ysvXIssKepwbx907ezCYDwmt469FB4p8pCp5LeN4GXdFeMLsYxtpw-DLCG6ANJZ76DamA89SzzkaSIXB4UImR0GJAwjMmtdacr9NCwbhAwGrmk7PQFtxsngBHnMCqNJZEZhd8vrfFK2jiW0=")</f>
        <v>https://recruiter.shine.com/resume/download/?resumeid=gAAAAABbk2UMu0Zv_tqeig3UzSDcv5TN04Yi9UX-ysvXIssKepwbx907ezCYDwmt469FB4p8pCp5LeN4GXdFeMLsYxtpw-DLCG6ANJZ76DamA89SzzkaSIXB4UImR0GJAwjMmtdacr9NCwbhAwGrmk7PQFtxsngBHnMCqNJZEZhd8vrfFK2jiW0=</v>
      </c>
    </row>
    <row r="100" spans="1:25" ht="39.950000000000003" customHeight="1">
      <c r="A100">
        <v>96</v>
      </c>
      <c r="B100" t="s">
        <v>1150</v>
      </c>
      <c r="C100" t="s">
        <v>1151</v>
      </c>
      <c r="D100" t="s">
        <v>1152</v>
      </c>
      <c r="E100" t="s">
        <v>1153</v>
      </c>
      <c r="F100" t="s">
        <v>249</v>
      </c>
      <c r="G100" t="s">
        <v>1154</v>
      </c>
      <c r="H100" t="s">
        <v>31</v>
      </c>
      <c r="I100" t="s">
        <v>1155</v>
      </c>
      <c r="J100" t="s">
        <v>251</v>
      </c>
      <c r="K100" t="s">
        <v>1156</v>
      </c>
      <c r="L100" t="s">
        <v>184</v>
      </c>
      <c r="M100" t="s">
        <v>622</v>
      </c>
      <c r="N100" t="s">
        <v>1157</v>
      </c>
      <c r="O100" t="s">
        <v>157</v>
      </c>
      <c r="P100" t="s">
        <v>140</v>
      </c>
      <c r="Q100" t="s">
        <v>123</v>
      </c>
      <c r="R100" t="s">
        <v>124</v>
      </c>
      <c r="S100" t="s">
        <v>188</v>
      </c>
      <c r="T100" t="s">
        <v>77</v>
      </c>
      <c r="U100" t="s">
        <v>43</v>
      </c>
      <c r="V100" t="s">
        <v>1158</v>
      </c>
      <c r="W100" t="s">
        <v>1159</v>
      </c>
      <c r="Y100" t="str">
        <f>HYPERLINK("https://recruiter.shine.com/resume/download/?resumeid=gAAAAABbk2UORDbm31U-xnFShRIkhenBYlupkdmwSo88WLK80brhoCWsfwVJltki76QEy8ihwChVxRmOvUvDCwhWxq1Et0lbwKvbrEzbOcZRFY4kf8isvKTBDjrmRLRyOzdzfTaThKBpKnxhlw3y2DiBfCg9qHWMFA==")</f>
        <v>https://recruiter.shine.com/resume/download/?resumeid=gAAAAABbk2UORDbm31U-xnFShRIkhenBYlupkdmwSo88WLK80brhoCWsfwVJltki76QEy8ihwChVxRmOvUvDCwhWxq1Et0lbwKvbrEzbOcZRFY4kf8isvKTBDjrmRLRyOzdzfTaThKBpKnxhlw3y2DiBfCg9qHWMFA==</v>
      </c>
    </row>
    <row r="101" spans="1:25" ht="39.950000000000003" customHeight="1">
      <c r="A101">
        <v>97</v>
      </c>
      <c r="B101" t="s">
        <v>1160</v>
      </c>
      <c r="C101" t="s">
        <v>1161</v>
      </c>
      <c r="D101" t="s">
        <v>1162</v>
      </c>
      <c r="E101" t="s">
        <v>1163</v>
      </c>
      <c r="F101" t="s">
        <v>29</v>
      </c>
      <c r="G101" t="s">
        <v>1164</v>
      </c>
      <c r="H101" t="s">
        <v>31</v>
      </c>
      <c r="I101" t="s">
        <v>1165</v>
      </c>
      <c r="J101" t="s">
        <v>1166</v>
      </c>
      <c r="K101" t="s">
        <v>1167</v>
      </c>
      <c r="L101" t="s">
        <v>486</v>
      </c>
      <c r="M101" t="s">
        <v>238</v>
      </c>
      <c r="N101" t="s">
        <v>1168</v>
      </c>
      <c r="O101" t="s">
        <v>475</v>
      </c>
      <c r="P101" t="s">
        <v>39</v>
      </c>
      <c r="Q101" t="s">
        <v>187</v>
      </c>
      <c r="R101" t="s">
        <v>124</v>
      </c>
      <c r="S101" t="s">
        <v>1169</v>
      </c>
      <c r="T101" t="s">
        <v>227</v>
      </c>
      <c r="U101" t="s">
        <v>127</v>
      </c>
      <c r="V101" t="s">
        <v>1170</v>
      </c>
      <c r="W101" t="s">
        <v>1171</v>
      </c>
      <c r="Y101" t="str">
        <f>HYPERLINK("https://recruiter.shine.com/resume/download/?resumeid=gAAAAABbk2ULvr-zNunCig0ogT4JvlY9W_BNDMKiv3nRMhL22HmTZ_ofpxBDsNJ-GBRBlpS4aVHqmG3x-WQ6dmo2b0pc9qbNn7W-Yk-pMwAsNJCJQ0LaBtCHyOFQX_OQoRtJZM_Raszs")</f>
        <v>https://recruiter.shine.com/resume/download/?resumeid=gAAAAABbk2ULvr-zNunCig0ogT4JvlY9W_BNDMKiv3nRMhL22HmTZ_ofpxBDsNJ-GBRBlpS4aVHqmG3x-WQ6dmo2b0pc9qbNn7W-Yk-pMwAsNJCJQ0LaBtCHyOFQX_OQoRtJZM_Raszs</v>
      </c>
    </row>
    <row r="102" spans="1:25" ht="39.950000000000003" customHeight="1">
      <c r="A102">
        <v>98</v>
      </c>
      <c r="B102" t="s">
        <v>1172</v>
      </c>
      <c r="C102" t="s">
        <v>1173</v>
      </c>
      <c r="D102" t="s">
        <v>1174</v>
      </c>
      <c r="E102" t="s">
        <v>1175</v>
      </c>
      <c r="F102" t="s">
        <v>29</v>
      </c>
      <c r="G102" t="s">
        <v>29</v>
      </c>
      <c r="H102" t="s">
        <v>234</v>
      </c>
      <c r="I102" t="s">
        <v>998</v>
      </c>
      <c r="J102" t="s">
        <v>408</v>
      </c>
      <c r="K102" t="s">
        <v>1176</v>
      </c>
      <c r="L102" t="s">
        <v>266</v>
      </c>
      <c r="M102" t="s">
        <v>105</v>
      </c>
      <c r="N102" t="s">
        <v>1177</v>
      </c>
      <c r="O102" t="s">
        <v>224</v>
      </c>
      <c r="P102" t="s">
        <v>268</v>
      </c>
      <c r="Q102" t="s">
        <v>107</v>
      </c>
      <c r="R102" t="s">
        <v>159</v>
      </c>
      <c r="S102" t="s">
        <v>1178</v>
      </c>
      <c r="T102" t="s">
        <v>761</v>
      </c>
      <c r="U102" t="s">
        <v>43</v>
      </c>
      <c r="V102" t="s">
        <v>1179</v>
      </c>
      <c r="W102" t="s">
        <v>1180</v>
      </c>
      <c r="Y102" t="str">
        <f>HYPERLINK("https://recruiter.shine.com/resume/download/?resumeid=gAAAAABbk2UMf0ja_AuOdKBRwXt8r3iel-XBl4ASwuspLwZn9RMIAiUVAP-xxZVaY_OUH4MARbBbCgeds1uNv8__Q-UaqI6YgosX74RIjV9b6v6QyWH5kec3jaKBuiP-x5awe365XWkxMQqJaGZR4wl8wRh4JXJJUw==")</f>
        <v>https://recruiter.shine.com/resume/download/?resumeid=gAAAAABbk2UMf0ja_AuOdKBRwXt8r3iel-XBl4ASwuspLwZn9RMIAiUVAP-xxZVaY_OUH4MARbBbCgeds1uNv8__Q-UaqI6YgosX74RIjV9b6v6QyWH5kec3jaKBuiP-x5awe365XWkxMQqJaGZR4wl8wRh4JXJJUw==</v>
      </c>
    </row>
    <row r="103" spans="1:25" ht="39.950000000000003" customHeight="1">
      <c r="A103">
        <v>99</v>
      </c>
      <c r="B103" t="s">
        <v>1181</v>
      </c>
      <c r="C103" t="s">
        <v>1182</v>
      </c>
      <c r="D103" t="s">
        <v>1183</v>
      </c>
      <c r="E103" t="s">
        <v>1184</v>
      </c>
      <c r="F103" t="s">
        <v>29</v>
      </c>
      <c r="G103" t="s">
        <v>29</v>
      </c>
      <c r="H103" t="s">
        <v>31</v>
      </c>
      <c r="I103" t="s">
        <v>1185</v>
      </c>
      <c r="J103" t="s">
        <v>1186</v>
      </c>
      <c r="K103" t="s">
        <v>1187</v>
      </c>
      <c r="L103" t="s">
        <v>120</v>
      </c>
      <c r="M103" t="s">
        <v>238</v>
      </c>
      <c r="N103" t="s">
        <v>1188</v>
      </c>
      <c r="O103" t="s">
        <v>585</v>
      </c>
      <c r="Q103" t="s">
        <v>90</v>
      </c>
      <c r="R103" t="s">
        <v>292</v>
      </c>
      <c r="S103" t="s">
        <v>1189</v>
      </c>
      <c r="T103" t="s">
        <v>61</v>
      </c>
      <c r="U103" t="s">
        <v>43</v>
      </c>
      <c r="V103" t="s">
        <v>1190</v>
      </c>
      <c r="W103" t="s">
        <v>1191</v>
      </c>
      <c r="Y103" t="str">
        <f>HYPERLINK("https://recruiter.shine.com/resume/download/?resumeid=gAAAAABbk2UOLPxOYYQ1RMV5LBZTSAPxgWIx6q6Xfx2IiErEPzY1kMjrJkySqmLSLh9LLGOyKzi8qKLyKAoM2lQeUO7L_vMdrFmANCX2NLK1s_2tA4j_5GdcMdfLPU2XYsQwfwaRlj7O2PK-1pldqwh2DESksOhLUQqfmgVcJ_925O5iVcGopic=")</f>
        <v>https://recruiter.shine.com/resume/download/?resumeid=gAAAAABbk2UOLPxOYYQ1RMV5LBZTSAPxgWIx6q6Xfx2IiErEPzY1kMjrJkySqmLSLh9LLGOyKzi8qKLyKAoM2lQeUO7L_vMdrFmANCX2NLK1s_2tA4j_5GdcMdfLPU2XYsQwfwaRlj7O2PK-1pldqwh2DESksOhLUQqfmgVcJ_925O5iVcGopic=</v>
      </c>
    </row>
    <row r="104" spans="1:25" ht="39.950000000000003" customHeight="1">
      <c r="A104">
        <v>100</v>
      </c>
      <c r="B104" t="s">
        <v>1192</v>
      </c>
      <c r="C104" t="s">
        <v>1193</v>
      </c>
      <c r="D104" t="s">
        <v>1194</v>
      </c>
      <c r="E104" t="s">
        <v>1195</v>
      </c>
      <c r="F104" t="s">
        <v>29</v>
      </c>
      <c r="G104" t="s">
        <v>1196</v>
      </c>
      <c r="H104" t="s">
        <v>31</v>
      </c>
      <c r="I104" t="s">
        <v>32</v>
      </c>
      <c r="J104" t="s">
        <v>1133</v>
      </c>
      <c r="K104" t="s">
        <v>1197</v>
      </c>
      <c r="L104" t="s">
        <v>266</v>
      </c>
      <c r="M104" t="s">
        <v>105</v>
      </c>
      <c r="N104" t="s">
        <v>1198</v>
      </c>
      <c r="O104" t="s">
        <v>38</v>
      </c>
      <c r="P104" t="s">
        <v>57</v>
      </c>
      <c r="Q104" t="s">
        <v>107</v>
      </c>
      <c r="R104" t="s">
        <v>159</v>
      </c>
      <c r="S104" t="s">
        <v>1199</v>
      </c>
      <c r="T104" t="s">
        <v>1200</v>
      </c>
      <c r="U104" t="s">
        <v>43</v>
      </c>
      <c r="V104" t="s">
        <v>1201</v>
      </c>
      <c r="W104" t="s">
        <v>1202</v>
      </c>
      <c r="Y104" t="str">
        <f>HYPERLINK("https://recruiter.shine.com/resume/download/?resumeid=gAAAAABbk2UKBOBJT2b-XB-qjbWfhtAUduaqJo5oDO61QhXpZ4G0ZDbx83Kt_Cckvfyyqb7euyc1BueJ0pnm4YuoR8RUq_fjaX9RVylGHaWX2f5PfEA3fliMSele8X5d62wZPJRACZp5l5NlK-kYl4Uj7zC0iFkrYg==")</f>
        <v>https://recruiter.shine.com/resume/download/?resumeid=gAAAAABbk2UKBOBJT2b-XB-qjbWfhtAUduaqJo5oDO61QhXpZ4G0ZDbx83Kt_Cckvfyyqb7euyc1BueJ0pnm4YuoR8RUq_fjaX9RVylGHaWX2f5PfEA3fliMSele8X5d62wZPJRACZp5l5NlK-kYl4Uj7zC0iFkrYg==</v>
      </c>
    </row>
    <row r="105" spans="1:25" ht="39.950000000000003" customHeight="1">
      <c r="A105">
        <v>101</v>
      </c>
      <c r="B105" t="s">
        <v>1203</v>
      </c>
      <c r="C105" t="s">
        <v>1204</v>
      </c>
      <c r="D105" t="s">
        <v>1205</v>
      </c>
      <c r="E105" t="s">
        <v>1206</v>
      </c>
      <c r="F105" t="s">
        <v>29</v>
      </c>
      <c r="G105" t="s">
        <v>1207</v>
      </c>
      <c r="H105" t="s">
        <v>31</v>
      </c>
      <c r="I105" t="s">
        <v>1208</v>
      </c>
      <c r="J105" t="s">
        <v>801</v>
      </c>
      <c r="K105" t="s">
        <v>1209</v>
      </c>
      <c r="L105" t="s">
        <v>664</v>
      </c>
      <c r="M105" t="s">
        <v>105</v>
      </c>
      <c r="N105" t="s">
        <v>156</v>
      </c>
      <c r="O105" t="s">
        <v>585</v>
      </c>
      <c r="P105" t="s">
        <v>39</v>
      </c>
      <c r="Q105" t="s">
        <v>107</v>
      </c>
      <c r="R105" t="s">
        <v>159</v>
      </c>
      <c r="S105" t="s">
        <v>1210</v>
      </c>
      <c r="T105" t="s">
        <v>110</v>
      </c>
      <c r="U105" t="s">
        <v>43</v>
      </c>
      <c r="V105" t="s">
        <v>1211</v>
      </c>
      <c r="W105" t="s">
        <v>1212</v>
      </c>
      <c r="Y105" t="str">
        <f>HYPERLINK("https://recruiter.shine.com/resume/download/?resumeid=gAAAAABbk2UMu3JHoNb5gc_x1zaC0Kz47a1IamP_3ZWBYUX7RpttzgwnrccPpgcoRvPRczg87RjeQ7HxP7dPRGuc0MOs-dCDvHFiKqepOMqrCmnotJpI8ozDwFl1y5r6FFfVyvu7OOVD8Jn8SNtBXcJ90Hw6cLXRFw==")</f>
        <v>https://recruiter.shine.com/resume/download/?resumeid=gAAAAABbk2UMu3JHoNb5gc_x1zaC0Kz47a1IamP_3ZWBYUX7RpttzgwnrccPpgcoRvPRczg87RjeQ7HxP7dPRGuc0MOs-dCDvHFiKqepOMqrCmnotJpI8ozDwFl1y5r6FFfVyvu7OOVD8Jn8SNtBXcJ90Hw6cLXRFw==</v>
      </c>
    </row>
    <row r="106" spans="1:25" ht="39.950000000000003" customHeight="1">
      <c r="A106">
        <v>102</v>
      </c>
      <c r="B106" t="s">
        <v>1213</v>
      </c>
      <c r="C106" t="s">
        <v>1214</v>
      </c>
      <c r="D106" t="s">
        <v>1215</v>
      </c>
      <c r="E106" t="s">
        <v>1216</v>
      </c>
      <c r="F106" t="s">
        <v>29</v>
      </c>
      <c r="G106" t="s">
        <v>29</v>
      </c>
      <c r="H106" t="s">
        <v>31</v>
      </c>
      <c r="I106" t="s">
        <v>362</v>
      </c>
      <c r="J106" t="s">
        <v>135</v>
      </c>
      <c r="L106" t="s">
        <v>363</v>
      </c>
      <c r="M106" t="s">
        <v>364</v>
      </c>
      <c r="Q106" t="s">
        <v>90</v>
      </c>
      <c r="R106" t="s">
        <v>91</v>
      </c>
      <c r="S106" t="s">
        <v>1217</v>
      </c>
      <c r="T106" t="s">
        <v>126</v>
      </c>
      <c r="U106" t="s">
        <v>43</v>
      </c>
      <c r="V106" t="s">
        <v>1218</v>
      </c>
      <c r="W106" t="s">
        <v>1219</v>
      </c>
      <c r="Y106" t="str">
        <f>HYPERLINK("https://recruiter.shine.com/resume/download/?resumeid=gAAAAABbk2UOZZQzovVLs8gRDawcXWqkSriuffqyqwEKlXf2MJJzsdzuMAV7m6GaR6OE2K_iDxaedAS7y4XuONpplIMBQSU7IppYcTdyd6t82SkWJE3w3YBwrl8AffIfjDzk6pc5Vq7Ss7EEcXFGnEnF2RyfOlaJOw==")</f>
        <v>https://recruiter.shine.com/resume/download/?resumeid=gAAAAABbk2UOZZQzovVLs8gRDawcXWqkSriuffqyqwEKlXf2MJJzsdzuMAV7m6GaR6OE2K_iDxaedAS7y4XuONpplIMBQSU7IppYcTdyd6t82SkWJE3w3YBwrl8AffIfjDzk6pc5Vq7Ss7EEcXFGnEnF2RyfOlaJOw==</v>
      </c>
    </row>
    <row r="107" spans="1:25" ht="39.950000000000003" customHeight="1">
      <c r="A107">
        <v>103</v>
      </c>
      <c r="B107" t="s">
        <v>1220</v>
      </c>
      <c r="C107" t="s">
        <v>1221</v>
      </c>
      <c r="D107" t="s">
        <v>1222</v>
      </c>
      <c r="E107" t="s">
        <v>1223</v>
      </c>
      <c r="F107" t="s">
        <v>29</v>
      </c>
      <c r="G107" t="s">
        <v>29</v>
      </c>
      <c r="H107" t="s">
        <v>31</v>
      </c>
      <c r="I107" t="s">
        <v>1224</v>
      </c>
      <c r="J107" t="s">
        <v>51</v>
      </c>
      <c r="K107" t="s">
        <v>1225</v>
      </c>
      <c r="L107" t="s">
        <v>596</v>
      </c>
      <c r="M107" t="s">
        <v>105</v>
      </c>
      <c r="N107" t="s">
        <v>1226</v>
      </c>
      <c r="O107" t="s">
        <v>157</v>
      </c>
      <c r="P107" t="s">
        <v>57</v>
      </c>
      <c r="Q107" t="s">
        <v>107</v>
      </c>
      <c r="R107" t="s">
        <v>559</v>
      </c>
      <c r="S107" t="s">
        <v>1227</v>
      </c>
      <c r="T107" t="s">
        <v>144</v>
      </c>
      <c r="U107" t="s">
        <v>43</v>
      </c>
      <c r="V107" t="s">
        <v>1228</v>
      </c>
      <c r="W107" t="s">
        <v>1228</v>
      </c>
      <c r="Y107" t="str">
        <f>HYPERLINK("https://recruiter.shine.com/resume/download/?resumeid=gAAAAABbk2ULJYaavn5bUTOcd8n_9uTNDZU0xZ8U9y1vnLaZ9btukEG1ZLDYhTlj_usariTOPqBVVXuibY6wDbb9Ixr99GJeDtxvaro81kHiMlxyV9PtduaF4xVKruyT1mGersdyJrko")</f>
        <v>https://recruiter.shine.com/resume/download/?resumeid=gAAAAABbk2ULJYaavn5bUTOcd8n_9uTNDZU0xZ8U9y1vnLaZ9btukEG1ZLDYhTlj_usariTOPqBVVXuibY6wDbb9Ixr99GJeDtxvaro81kHiMlxyV9PtduaF4xVKruyT1mGersdyJrko</v>
      </c>
    </row>
    <row r="108" spans="1:25" ht="39.950000000000003" customHeight="1">
      <c r="A108">
        <v>104</v>
      </c>
      <c r="B108" t="s">
        <v>1229</v>
      </c>
      <c r="C108" t="s">
        <v>1230</v>
      </c>
      <c r="D108" t="s">
        <v>1231</v>
      </c>
      <c r="E108" t="s">
        <v>1232</v>
      </c>
      <c r="F108" t="s">
        <v>29</v>
      </c>
      <c r="G108" t="s">
        <v>29</v>
      </c>
      <c r="H108" t="s">
        <v>31</v>
      </c>
      <c r="I108" t="s">
        <v>825</v>
      </c>
      <c r="J108" t="s">
        <v>437</v>
      </c>
      <c r="K108" t="s">
        <v>1233</v>
      </c>
      <c r="L108" t="s">
        <v>596</v>
      </c>
      <c r="M108" t="s">
        <v>121</v>
      </c>
      <c r="N108" t="s">
        <v>1234</v>
      </c>
      <c r="O108" t="s">
        <v>186</v>
      </c>
      <c r="Q108" t="s">
        <v>699</v>
      </c>
      <c r="R108" t="s">
        <v>1235</v>
      </c>
      <c r="S108" t="s">
        <v>1236</v>
      </c>
      <c r="U108" t="s">
        <v>43</v>
      </c>
      <c r="V108" t="s">
        <v>1237</v>
      </c>
      <c r="W108" t="s">
        <v>1238</v>
      </c>
      <c r="Y108" t="str">
        <f>HYPERLINK("https://recruiter.shine.com/resume/download/?resumeid=gAAAAABbk2UM4vzJPjcQ41jTogK0s1LwQzm1yzabpUZmoleBlXoGybRBwURcvn3h984i2Vjg_N5rPWCFMmj3JC4qIrKv_PXys7GwDFLq17tcbu7qteEDLq9gXXUyfYuOKYjRbNcc3y78tHYD8Q6US4_TOrFl70wwSw==")</f>
        <v>https://recruiter.shine.com/resume/download/?resumeid=gAAAAABbk2UM4vzJPjcQ41jTogK0s1LwQzm1yzabpUZmoleBlXoGybRBwURcvn3h984i2Vjg_N5rPWCFMmj3JC4qIrKv_PXys7GwDFLq17tcbu7qteEDLq9gXXUyfYuOKYjRbNcc3y78tHYD8Q6US4_TOrFl70wwSw==</v>
      </c>
    </row>
    <row r="109" spans="1:25" ht="39.950000000000003" customHeight="1">
      <c r="A109">
        <v>105</v>
      </c>
      <c r="B109" t="s">
        <v>1239</v>
      </c>
      <c r="D109" t="s">
        <v>1240</v>
      </c>
      <c r="E109" t="s">
        <v>1241</v>
      </c>
      <c r="F109" t="s">
        <v>29</v>
      </c>
      <c r="G109" t="s">
        <v>29</v>
      </c>
      <c r="H109" t="s">
        <v>31</v>
      </c>
      <c r="I109" t="s">
        <v>1242</v>
      </c>
      <c r="J109" t="s">
        <v>51</v>
      </c>
      <c r="K109" t="s">
        <v>1243</v>
      </c>
      <c r="L109" t="s">
        <v>596</v>
      </c>
      <c r="M109" t="s">
        <v>36</v>
      </c>
      <c r="N109" t="s">
        <v>1244</v>
      </c>
      <c r="O109" t="s">
        <v>1245</v>
      </c>
      <c r="Q109" t="s">
        <v>158</v>
      </c>
      <c r="R109" t="s">
        <v>341</v>
      </c>
      <c r="S109" t="s">
        <v>1246</v>
      </c>
      <c r="T109" t="s">
        <v>61</v>
      </c>
      <c r="U109" t="s">
        <v>43</v>
      </c>
      <c r="V109" t="s">
        <v>1247</v>
      </c>
      <c r="W109" t="s">
        <v>1248</v>
      </c>
      <c r="Y109" t="str">
        <f>HYPERLINK("https://recruiter.shine.com/resume/download/?resumeid=gAAAAABbk2UN4kJ9ogD-zyIetaQPZL-1jEwMrZAhuuJwETcZA0PU8vQE_1SHWRFd8BrFO7adfyb0uKmEnweqHAHC-0di-AVkqdWCspSi-DTg8fOW5Iu6S7rBq1BLwXt5xX4c9XB7bWILYQb1Y-12gF7dtK3nvM4MH18q1Lv2flqTvco6KorICS8=")</f>
        <v>https://recruiter.shine.com/resume/download/?resumeid=gAAAAABbk2UN4kJ9ogD-zyIetaQPZL-1jEwMrZAhuuJwETcZA0PU8vQE_1SHWRFd8BrFO7adfyb0uKmEnweqHAHC-0di-AVkqdWCspSi-DTg8fOW5Iu6S7rBq1BLwXt5xX4c9XB7bWILYQb1Y-12gF7dtK3nvM4MH18q1Lv2flqTvco6KorICS8=</v>
      </c>
    </row>
    <row r="110" spans="1:25" ht="39.950000000000003" customHeight="1">
      <c r="A110">
        <v>106</v>
      </c>
      <c r="B110" t="s">
        <v>1249</v>
      </c>
      <c r="C110" t="s">
        <v>1250</v>
      </c>
      <c r="D110" t="s">
        <v>1251</v>
      </c>
      <c r="E110" t="s">
        <v>1252</v>
      </c>
      <c r="F110" t="s">
        <v>29</v>
      </c>
      <c r="G110" t="s">
        <v>29</v>
      </c>
      <c r="H110" t="s">
        <v>31</v>
      </c>
      <c r="I110" t="s">
        <v>32</v>
      </c>
      <c r="J110" t="s">
        <v>1253</v>
      </c>
      <c r="K110" t="s">
        <v>1254</v>
      </c>
      <c r="L110" t="s">
        <v>1255</v>
      </c>
      <c r="M110" t="s">
        <v>395</v>
      </c>
      <c r="N110" t="s">
        <v>1256</v>
      </c>
      <c r="O110" t="s">
        <v>585</v>
      </c>
      <c r="P110" t="s">
        <v>771</v>
      </c>
      <c r="Q110" t="s">
        <v>40</v>
      </c>
      <c r="R110" t="s">
        <v>1257</v>
      </c>
      <c r="S110" t="s">
        <v>188</v>
      </c>
      <c r="T110" t="s">
        <v>817</v>
      </c>
      <c r="U110" t="s">
        <v>127</v>
      </c>
      <c r="V110" t="s">
        <v>1258</v>
      </c>
      <c r="W110" t="s">
        <v>1259</v>
      </c>
      <c r="Y110" t="str">
        <f>HYPERLINK("https://recruiter.shine.com/resume/download/?resumeid=gAAAAABbk2ULmE1z1bOeJ_4KIdDiNCRxQAayossoUI3G0c4RqDhHCzm0pp1Vh2ro5ohjdYPg54SQJ4bJFLLuMKy4giIcIPoJJCJaHfb7jewWHo9jrzZ4HvyLYzXsvvod1r5L3fmzUR02")</f>
        <v>https://recruiter.shine.com/resume/download/?resumeid=gAAAAABbk2ULmE1z1bOeJ_4KIdDiNCRxQAayossoUI3G0c4RqDhHCzm0pp1Vh2ro5ohjdYPg54SQJ4bJFLLuMKy4giIcIPoJJCJaHfb7jewWHo9jrzZ4HvyLYzXsvvod1r5L3fmzUR02</v>
      </c>
    </row>
    <row r="111" spans="1:25" ht="39.950000000000003" customHeight="1">
      <c r="A111">
        <v>107</v>
      </c>
      <c r="B111" t="s">
        <v>1260</v>
      </c>
      <c r="C111" t="s">
        <v>1261</v>
      </c>
      <c r="D111" t="s">
        <v>1262</v>
      </c>
      <c r="E111" t="s">
        <v>1263</v>
      </c>
      <c r="F111" t="s">
        <v>29</v>
      </c>
      <c r="G111" t="s">
        <v>1264</v>
      </c>
      <c r="H111" t="s">
        <v>31</v>
      </c>
      <c r="I111" t="s">
        <v>1265</v>
      </c>
      <c r="J111" t="s">
        <v>1081</v>
      </c>
      <c r="K111" t="s">
        <v>1266</v>
      </c>
      <c r="L111" t="s">
        <v>664</v>
      </c>
      <c r="M111" t="s">
        <v>105</v>
      </c>
      <c r="N111" t="s">
        <v>1267</v>
      </c>
      <c r="O111" t="s">
        <v>186</v>
      </c>
      <c r="P111" t="s">
        <v>57</v>
      </c>
      <c r="Q111" t="s">
        <v>90</v>
      </c>
      <c r="R111" t="s">
        <v>427</v>
      </c>
      <c r="S111" t="s">
        <v>1053</v>
      </c>
      <c r="T111" t="s">
        <v>61</v>
      </c>
      <c r="U111" t="s">
        <v>127</v>
      </c>
      <c r="V111" t="s">
        <v>1268</v>
      </c>
      <c r="W111" t="s">
        <v>1269</v>
      </c>
      <c r="Y111" t="str">
        <f>HYPERLINK("https://recruiter.shine.com/resume/download/?resumeid=gAAAAABbk2UMIGF6gOCm6IVgWTQ_UrToc4B1d_PjRW0gQxp9vDJo9bjNBNY31SgPM4DYMWl5fVIEjo8f_c9C5bEnoyUN4QPANLmQDxKnq3onJx-ujIwSm-w1N4Q76riISKIpoo89qnmouypn1--06hoB4DaWjXOH1iCvioYVN9VAp4-VRL0Vx3Q=")</f>
        <v>https://recruiter.shine.com/resume/download/?resumeid=gAAAAABbk2UMIGF6gOCm6IVgWTQ_UrToc4B1d_PjRW0gQxp9vDJo9bjNBNY31SgPM4DYMWl5fVIEjo8f_c9C5bEnoyUN4QPANLmQDxKnq3onJx-ujIwSm-w1N4Q76riISKIpoo89qnmouypn1--06hoB4DaWjXOH1iCvioYVN9VAp4-VRL0Vx3Q=</v>
      </c>
    </row>
    <row r="112" spans="1:25" ht="39.950000000000003" customHeight="1">
      <c r="A112">
        <v>108</v>
      </c>
      <c r="B112" t="s">
        <v>1270</v>
      </c>
      <c r="C112" t="s">
        <v>1271</v>
      </c>
      <c r="D112" t="s">
        <v>1272</v>
      </c>
      <c r="E112" t="s">
        <v>1273</v>
      </c>
      <c r="F112" t="s">
        <v>29</v>
      </c>
      <c r="G112" t="s">
        <v>100</v>
      </c>
      <c r="H112" t="s">
        <v>31</v>
      </c>
      <c r="I112" t="s">
        <v>662</v>
      </c>
      <c r="J112" t="s">
        <v>1186</v>
      </c>
      <c r="K112" t="s">
        <v>1274</v>
      </c>
      <c r="L112" t="s">
        <v>266</v>
      </c>
      <c r="M112" t="s">
        <v>339</v>
      </c>
      <c r="N112" t="s">
        <v>1275</v>
      </c>
      <c r="O112" t="s">
        <v>224</v>
      </c>
      <c r="P112" t="s">
        <v>57</v>
      </c>
      <c r="Q112" t="s">
        <v>107</v>
      </c>
      <c r="R112" t="s">
        <v>864</v>
      </c>
      <c r="S112" t="s">
        <v>1276</v>
      </c>
      <c r="T112" t="s">
        <v>429</v>
      </c>
      <c r="U112" t="s">
        <v>43</v>
      </c>
      <c r="V112" t="s">
        <v>1277</v>
      </c>
      <c r="W112" t="s">
        <v>1278</v>
      </c>
      <c r="Y112" t="str">
        <f>HYPERLINK("https://recruiter.shine.com/resume/download/?resumeid=gAAAAABbk2UO4fLK_tBN6Z6jQ1Zu_eGa9FOZFRxTo1XYx8HvIwahc7runueGsot2GbqE0CMIUpdDjWNEa7-jvKKNkD_EvDj7ftkkf85n9ScyHsrtsiGd8OCsI-t_cX1p8CVsKsIJ19guKzwEW95BwEu4xtJRpFeJzRB-fLUj5tQUUwKJRPdth_U=")</f>
        <v>https://recruiter.shine.com/resume/download/?resumeid=gAAAAABbk2UO4fLK_tBN6Z6jQ1Zu_eGa9FOZFRxTo1XYx8HvIwahc7runueGsot2GbqE0CMIUpdDjWNEa7-jvKKNkD_EvDj7ftkkf85n9ScyHsrtsiGd8OCsI-t_cX1p8CVsKsIJ19guKzwEW95BwEu4xtJRpFeJzRB-fLUj5tQUUwKJRPdth_U=</v>
      </c>
    </row>
    <row r="113" spans="1:25" ht="39.950000000000003" customHeight="1">
      <c r="A113">
        <v>109</v>
      </c>
      <c r="B113" t="s">
        <v>1279</v>
      </c>
      <c r="C113" t="s">
        <v>1280</v>
      </c>
      <c r="D113" t="s">
        <v>1281</v>
      </c>
      <c r="E113" t="s">
        <v>1282</v>
      </c>
      <c r="F113" t="s">
        <v>29</v>
      </c>
      <c r="G113" t="s">
        <v>29</v>
      </c>
      <c r="H113" t="s">
        <v>31</v>
      </c>
      <c r="I113" t="s">
        <v>152</v>
      </c>
      <c r="J113" t="s">
        <v>1283</v>
      </c>
      <c r="K113" t="s">
        <v>198</v>
      </c>
      <c r="L113" t="s">
        <v>35</v>
      </c>
      <c r="M113" t="s">
        <v>105</v>
      </c>
      <c r="N113" t="s">
        <v>1284</v>
      </c>
      <c r="O113" t="s">
        <v>38</v>
      </c>
      <c r="P113" t="s">
        <v>39</v>
      </c>
      <c r="Q113" t="s">
        <v>107</v>
      </c>
      <c r="R113" t="s">
        <v>546</v>
      </c>
      <c r="S113" t="s">
        <v>1285</v>
      </c>
      <c r="T113" t="s">
        <v>161</v>
      </c>
      <c r="U113" t="s">
        <v>94</v>
      </c>
      <c r="V113" t="s">
        <v>1286</v>
      </c>
      <c r="W113" t="s">
        <v>1287</v>
      </c>
      <c r="Y113" t="str">
        <f>HYPERLINK("https://recruiter.shine.com/resume/download/?resumeid=gAAAAABbk2ULcde_N6oBcEd9Il2WKKA17-5GQbQ2BYED4CneHh69ThyB3CHJm7Cfb__yCSF1OYwsDR15M0CsXb1oStIVgyw6rlAoyJhzzYSMWd0-P4DucBka7At3nf_C0LoL66scZ4bB")</f>
        <v>https://recruiter.shine.com/resume/download/?resumeid=gAAAAABbk2ULcde_N6oBcEd9Il2WKKA17-5GQbQ2BYED4CneHh69ThyB3CHJm7Cfb__yCSF1OYwsDR15M0CsXb1oStIVgyw6rlAoyJhzzYSMWd0-P4DucBka7At3nf_C0LoL66scZ4bB</v>
      </c>
    </row>
    <row r="114" spans="1:25" ht="39.950000000000003" customHeight="1">
      <c r="A114">
        <v>110</v>
      </c>
      <c r="B114" t="s">
        <v>1288</v>
      </c>
      <c r="C114" t="s">
        <v>1289</v>
      </c>
      <c r="D114" t="s">
        <v>1290</v>
      </c>
      <c r="E114" t="s">
        <v>1291</v>
      </c>
      <c r="F114" t="s">
        <v>29</v>
      </c>
      <c r="G114" t="s">
        <v>1292</v>
      </c>
      <c r="H114" t="s">
        <v>31</v>
      </c>
      <c r="I114" t="s">
        <v>1293</v>
      </c>
      <c r="J114" t="s">
        <v>1294</v>
      </c>
      <c r="K114" t="s">
        <v>1295</v>
      </c>
      <c r="L114" t="s">
        <v>88</v>
      </c>
      <c r="M114" t="s">
        <v>827</v>
      </c>
      <c r="N114" t="s">
        <v>1296</v>
      </c>
      <c r="O114" t="s">
        <v>186</v>
      </c>
      <c r="P114" t="s">
        <v>57</v>
      </c>
      <c r="Q114" t="s">
        <v>123</v>
      </c>
      <c r="R114" t="s">
        <v>124</v>
      </c>
      <c r="S114" t="s">
        <v>1297</v>
      </c>
      <c r="T114" t="s">
        <v>415</v>
      </c>
      <c r="U114" t="s">
        <v>43</v>
      </c>
      <c r="V114" t="s">
        <v>1298</v>
      </c>
      <c r="W114" t="s">
        <v>1299</v>
      </c>
      <c r="Y114" t="str">
        <f>HYPERLINK("https://recruiter.shine.com/resume/download/?resumeid=gAAAAABbk2UMT5tYRX9PgZ_fQ7QVCmV-zZ1VyiLc5I8JeUw9YPLRIp8WNhTBQZc6PlvWj4T5bkLgHn5Xd2ohHv3N6oEiztqltPXfF9CJyDmNc5sqnmNV6sm5YsV6vajVV_Xi857BmoufXj8tgEj8r2kvKUVuMD2n5-D2FKkfUztCWFy1u816CTk=")</f>
        <v>https://recruiter.shine.com/resume/download/?resumeid=gAAAAABbk2UMT5tYRX9PgZ_fQ7QVCmV-zZ1VyiLc5I8JeUw9YPLRIp8WNhTBQZc6PlvWj4T5bkLgHn5Xd2ohHv3N6oEiztqltPXfF9CJyDmNc5sqnmNV6sm5YsV6vajVV_Xi857BmoufXj8tgEj8r2kvKUVuMD2n5-D2FKkfUztCWFy1u816CTk=</v>
      </c>
    </row>
    <row r="115" spans="1:25" ht="39.950000000000003" customHeight="1">
      <c r="A115">
        <v>111</v>
      </c>
      <c r="B115" t="s">
        <v>1300</v>
      </c>
      <c r="D115" t="s">
        <v>1301</v>
      </c>
      <c r="E115" t="s">
        <v>1302</v>
      </c>
      <c r="F115" t="s">
        <v>29</v>
      </c>
      <c r="G115" t="s">
        <v>1303</v>
      </c>
      <c r="H115" t="s">
        <v>31</v>
      </c>
      <c r="I115" t="s">
        <v>998</v>
      </c>
      <c r="J115" t="s">
        <v>251</v>
      </c>
      <c r="K115" t="s">
        <v>1304</v>
      </c>
      <c r="L115" t="s">
        <v>596</v>
      </c>
      <c r="M115" t="s">
        <v>684</v>
      </c>
      <c r="N115" t="s">
        <v>1305</v>
      </c>
      <c r="O115" t="s">
        <v>186</v>
      </c>
      <c r="P115" t="s">
        <v>140</v>
      </c>
      <c r="Q115" t="s">
        <v>107</v>
      </c>
      <c r="R115" t="s">
        <v>341</v>
      </c>
      <c r="S115" t="s">
        <v>1306</v>
      </c>
      <c r="T115" t="s">
        <v>429</v>
      </c>
      <c r="U115" t="s">
        <v>43</v>
      </c>
      <c r="V115" t="s">
        <v>1307</v>
      </c>
      <c r="W115" t="s">
        <v>1308</v>
      </c>
      <c r="Y115" t="str">
        <f>HYPERLINK("https://recruiter.shine.com/resume/download/?resumeid=gAAAAABbk2UO13YgphCyjZ1XrJklW-H5BflU-jpgOfuYHgoLxzVp7HJ9RoCiA08Kjk87U7P30n3EAc0Cm6HVJu7mkQpOaDQ9IURnR1Ltjt-GLlebT7PQcTwdJG4RWTDrLdfOor8nJZ8c4irIrwy-vL8MwZOp3JcT-3FM-fU8IbICbcABUdCideY=")</f>
        <v>https://recruiter.shine.com/resume/download/?resumeid=gAAAAABbk2UO13YgphCyjZ1XrJklW-H5BflU-jpgOfuYHgoLxzVp7HJ9RoCiA08Kjk87U7P30n3EAc0Cm6HVJu7mkQpOaDQ9IURnR1Ltjt-GLlebT7PQcTwdJG4RWTDrLdfOor8nJZ8c4irIrwy-vL8MwZOp3JcT-3FM-fU8IbICbcABUdCideY=</v>
      </c>
    </row>
    <row r="116" spans="1:25" ht="39.950000000000003" customHeight="1">
      <c r="A116">
        <v>112</v>
      </c>
      <c r="B116" t="s">
        <v>1309</v>
      </c>
      <c r="C116" t="s">
        <v>1310</v>
      </c>
      <c r="D116" t="s">
        <v>1311</v>
      </c>
      <c r="E116" t="s">
        <v>1312</v>
      </c>
      <c r="F116" t="s">
        <v>29</v>
      </c>
      <c r="G116" t="s">
        <v>29</v>
      </c>
      <c r="H116" t="s">
        <v>31</v>
      </c>
      <c r="I116" t="s">
        <v>836</v>
      </c>
      <c r="J116" t="s">
        <v>801</v>
      </c>
      <c r="K116" t="s">
        <v>1313</v>
      </c>
      <c r="L116" t="s">
        <v>314</v>
      </c>
      <c r="M116" t="s">
        <v>395</v>
      </c>
      <c r="N116" t="s">
        <v>1314</v>
      </c>
      <c r="O116" t="s">
        <v>1245</v>
      </c>
      <c r="P116" t="s">
        <v>57</v>
      </c>
      <c r="Q116" t="s">
        <v>187</v>
      </c>
      <c r="R116" t="s">
        <v>124</v>
      </c>
      <c r="S116" t="s">
        <v>188</v>
      </c>
      <c r="T116" t="s">
        <v>399</v>
      </c>
      <c r="U116" t="s">
        <v>43</v>
      </c>
      <c r="V116" t="s">
        <v>1315</v>
      </c>
      <c r="W116" t="s">
        <v>1315</v>
      </c>
      <c r="Y116" t="str">
        <f>HYPERLINK("https://recruiter.shine.com/resume/download/?resumeid=gAAAAABbk2UL2PSojrwLPTULKrylqNVu4WMR59ny57SbMpVQdAe1JhjKPl8Keo3Bf_Tzfz-_JfsyL_3Vs7BAusz2lUrBXrtyZx3ZoMnoxjWPq4vgoauBm88SkFusZDzJ_M5i9-RWPt0v")</f>
        <v>https://recruiter.shine.com/resume/download/?resumeid=gAAAAABbk2UL2PSojrwLPTULKrylqNVu4WMR59ny57SbMpVQdAe1JhjKPl8Keo3Bf_Tzfz-_JfsyL_3Vs7BAusz2lUrBXrtyZx3ZoMnoxjWPq4vgoauBm88SkFusZDzJ_M5i9-RWPt0v</v>
      </c>
    </row>
    <row r="117" spans="1:25" ht="39.950000000000003" customHeight="1">
      <c r="A117">
        <v>113</v>
      </c>
      <c r="B117" t="s">
        <v>1316</v>
      </c>
      <c r="C117" t="s">
        <v>1317</v>
      </c>
      <c r="D117" t="s">
        <v>1318</v>
      </c>
      <c r="E117" t="s">
        <v>1319</v>
      </c>
      <c r="F117" t="s">
        <v>29</v>
      </c>
      <c r="G117" t="s">
        <v>29</v>
      </c>
      <c r="H117" t="s">
        <v>31</v>
      </c>
      <c r="I117" t="s">
        <v>836</v>
      </c>
      <c r="J117" t="s">
        <v>531</v>
      </c>
      <c r="K117" t="s">
        <v>1320</v>
      </c>
      <c r="L117" t="s">
        <v>290</v>
      </c>
      <c r="M117" t="s">
        <v>238</v>
      </c>
      <c r="N117" t="s">
        <v>1135</v>
      </c>
      <c r="O117" t="s">
        <v>56</v>
      </c>
      <c r="P117" t="s">
        <v>57</v>
      </c>
      <c r="Q117" t="s">
        <v>90</v>
      </c>
      <c r="R117" t="s">
        <v>91</v>
      </c>
      <c r="S117" t="s">
        <v>1321</v>
      </c>
      <c r="T117" t="s">
        <v>415</v>
      </c>
      <c r="U117" t="s">
        <v>43</v>
      </c>
      <c r="V117" t="s">
        <v>1322</v>
      </c>
      <c r="W117" t="s">
        <v>1323</v>
      </c>
      <c r="Y117" t="str">
        <f>HYPERLINK("https://recruiter.shine.com/resume/download/?resumeid=gAAAAABbk2UNQZE38dOmLQFfGM-rg52Q82tFuhoRH3wYYSEpEltFIE4wbD4CmEGClB1FpULrW5NNkMm4zMjLeSmBenhC4_cbU-mDigfGnrqPamV6OuVQ_zUit5hbj06A5USxZ2eUsvltYjvqGw2FFSYR9H0Kg7np0ReBejVDziF65jdNgFtKrBk=")</f>
        <v>https://recruiter.shine.com/resume/download/?resumeid=gAAAAABbk2UNQZE38dOmLQFfGM-rg52Q82tFuhoRH3wYYSEpEltFIE4wbD4CmEGClB1FpULrW5NNkMm4zMjLeSmBenhC4_cbU-mDigfGnrqPamV6OuVQ_zUit5hbj06A5USxZ2eUsvltYjvqGw2FFSYR9H0Kg7np0ReBejVDziF65jdNgFtKrBk=</v>
      </c>
    </row>
    <row r="118" spans="1:25" ht="39.950000000000003" customHeight="1">
      <c r="A118">
        <v>114</v>
      </c>
      <c r="B118" t="s">
        <v>1324</v>
      </c>
      <c r="D118" t="s">
        <v>1325</v>
      </c>
      <c r="E118" t="s">
        <v>1326</v>
      </c>
      <c r="F118" t="s">
        <v>29</v>
      </c>
      <c r="G118" t="s">
        <v>29</v>
      </c>
      <c r="H118" t="s">
        <v>31</v>
      </c>
      <c r="I118" t="s">
        <v>362</v>
      </c>
      <c r="J118" t="s">
        <v>135</v>
      </c>
      <c r="L118" t="s">
        <v>363</v>
      </c>
      <c r="M118" t="s">
        <v>364</v>
      </c>
      <c r="Q118" t="s">
        <v>365</v>
      </c>
      <c r="R118" t="s">
        <v>124</v>
      </c>
      <c r="S118" t="s">
        <v>1327</v>
      </c>
      <c r="T118" t="s">
        <v>304</v>
      </c>
      <c r="U118" t="s">
        <v>43</v>
      </c>
      <c r="V118" t="s">
        <v>1328</v>
      </c>
      <c r="W118" t="s">
        <v>1328</v>
      </c>
      <c r="Y118" t="str">
        <f>HYPERLINK("https://recruiter.shine.com/resume/download/?resumeid=gAAAAABbk2UNddNM5LDU2E3rL2Im3LPAc1Di78h3cOd5zuwCCgqJkeSbccsH7t-p7KkLifBXQakXEiYPtYmrIC0oifHDsNMdvSoGWnFUk32n8xziJaina5Jk1WiHJu5Rp-b1hLO74vul5XXvwRn0P_7mhE25D6Fyq92_Lc7sPM4EEVejhdwwLrc=")</f>
        <v>https://recruiter.shine.com/resume/download/?resumeid=gAAAAABbk2UNddNM5LDU2E3rL2Im3LPAc1Di78h3cOd5zuwCCgqJkeSbccsH7t-p7KkLifBXQakXEiYPtYmrIC0oifHDsNMdvSoGWnFUk32n8xziJaina5Jk1WiHJu5Rp-b1hLO74vul5XXvwRn0P_7mhE25D6Fyq92_Lc7sPM4EEVejhdwwLrc=</v>
      </c>
    </row>
    <row r="119" spans="1:25" ht="39.950000000000003" customHeight="1">
      <c r="A119">
        <v>115</v>
      </c>
      <c r="B119" t="s">
        <v>1329</v>
      </c>
      <c r="C119" t="s">
        <v>1330</v>
      </c>
      <c r="D119" t="s">
        <v>1331</v>
      </c>
      <c r="E119" t="s">
        <v>1332</v>
      </c>
      <c r="F119" t="s">
        <v>29</v>
      </c>
      <c r="G119" t="s">
        <v>1196</v>
      </c>
      <c r="H119" t="s">
        <v>31</v>
      </c>
      <c r="I119" t="s">
        <v>32</v>
      </c>
      <c r="J119" t="s">
        <v>1333</v>
      </c>
      <c r="K119" t="s">
        <v>1334</v>
      </c>
      <c r="L119" t="s">
        <v>462</v>
      </c>
      <c r="M119" t="s">
        <v>1335</v>
      </c>
      <c r="N119" t="s">
        <v>1336</v>
      </c>
      <c r="O119" t="s">
        <v>224</v>
      </c>
      <c r="Q119" t="s">
        <v>90</v>
      </c>
      <c r="R119" t="s">
        <v>317</v>
      </c>
      <c r="S119" t="s">
        <v>1337</v>
      </c>
      <c r="T119" t="s">
        <v>399</v>
      </c>
      <c r="U119" t="s">
        <v>43</v>
      </c>
      <c r="V119" t="s">
        <v>1338</v>
      </c>
      <c r="W119" t="s">
        <v>1339</v>
      </c>
      <c r="Y119" t="str">
        <f>HYPERLINK("https://recruiter.shine.com/resume/download/?resumeid=gAAAAABbk2UL4HHvPAKRz-BdrIwGXsQSCdVwGyte4UF8dD0oJ3WlDIejw0_LSzvPRXZMGaYU3Jd-73DfEurdaDFvL815ZkHZaYJDriGah1Jvn2rrADa6iApYqWvxyHupxQ2EMAD9J7Os")</f>
        <v>https://recruiter.shine.com/resume/download/?resumeid=gAAAAABbk2UL4HHvPAKRz-BdrIwGXsQSCdVwGyte4UF8dD0oJ3WlDIejw0_LSzvPRXZMGaYU3Jd-73DfEurdaDFvL815ZkHZaYJDriGah1Jvn2rrADa6iApYqWvxyHupxQ2EMAD9J7Os</v>
      </c>
    </row>
    <row r="120" spans="1:25" ht="39.950000000000003" customHeight="1">
      <c r="A120">
        <v>116</v>
      </c>
      <c r="B120" t="s">
        <v>1340</v>
      </c>
      <c r="C120" t="s">
        <v>1341</v>
      </c>
      <c r="D120" t="s">
        <v>1342</v>
      </c>
      <c r="E120" t="s">
        <v>1343</v>
      </c>
      <c r="F120" t="s">
        <v>29</v>
      </c>
      <c r="G120" t="s">
        <v>29</v>
      </c>
      <c r="H120" t="s">
        <v>31</v>
      </c>
      <c r="I120" t="s">
        <v>1344</v>
      </c>
      <c r="J120" t="s">
        <v>715</v>
      </c>
      <c r="K120" t="s">
        <v>1345</v>
      </c>
      <c r="L120" t="s">
        <v>155</v>
      </c>
      <c r="M120" t="s">
        <v>105</v>
      </c>
      <c r="N120" t="s">
        <v>1346</v>
      </c>
      <c r="O120" t="s">
        <v>38</v>
      </c>
      <c r="P120" t="s">
        <v>39</v>
      </c>
      <c r="Q120" t="s">
        <v>158</v>
      </c>
      <c r="R120" t="s">
        <v>341</v>
      </c>
      <c r="S120" t="s">
        <v>1347</v>
      </c>
      <c r="T120" t="s">
        <v>561</v>
      </c>
      <c r="U120" t="s">
        <v>43</v>
      </c>
      <c r="V120" t="s">
        <v>1348</v>
      </c>
      <c r="W120" t="s">
        <v>1349</v>
      </c>
      <c r="Y120" t="str">
        <f>HYPERLINK("https://recruiter.shine.com/resume/download/?resumeid=gAAAAABbk2UMUCHmgDNLJ7gZs195u9uTFs-RAeLNitf6_aIpSBAixIZLUGd8Or2EWT7hBs90Iq9xyAegamGgZdKhYDu-lZ0lSO53qwaF-DcRtuaEFmW2JK8UWSzeS_QDC04nRYA45SXapNoRPMDq4wxnzbWXhdFYaExBoNeC4agfR_3IunFfFHI=")</f>
        <v>https://recruiter.shine.com/resume/download/?resumeid=gAAAAABbk2UMUCHmgDNLJ7gZs195u9uTFs-RAeLNitf6_aIpSBAixIZLUGd8Or2EWT7hBs90Iq9xyAegamGgZdKhYDu-lZ0lSO53qwaF-DcRtuaEFmW2JK8UWSzeS_QDC04nRYA45SXapNoRPMDq4wxnzbWXhdFYaExBoNeC4agfR_3IunFfFHI=</v>
      </c>
    </row>
    <row r="121" spans="1:25" ht="39.950000000000003" customHeight="1">
      <c r="A121">
        <v>117</v>
      </c>
      <c r="B121" t="s">
        <v>1350</v>
      </c>
      <c r="C121" t="s">
        <v>1351</v>
      </c>
      <c r="D121" t="s">
        <v>1352</v>
      </c>
      <c r="E121" t="s">
        <v>1353</v>
      </c>
      <c r="F121" t="s">
        <v>29</v>
      </c>
      <c r="G121" t="s">
        <v>29</v>
      </c>
      <c r="H121" t="s">
        <v>31</v>
      </c>
      <c r="I121" t="s">
        <v>85</v>
      </c>
      <c r="J121" t="s">
        <v>1354</v>
      </c>
      <c r="K121" t="s">
        <v>1355</v>
      </c>
      <c r="L121" t="s">
        <v>746</v>
      </c>
      <c r="M121" t="s">
        <v>1356</v>
      </c>
      <c r="N121" t="s">
        <v>1357</v>
      </c>
      <c r="O121" t="s">
        <v>56</v>
      </c>
      <c r="P121" t="s">
        <v>140</v>
      </c>
      <c r="Q121" t="s">
        <v>123</v>
      </c>
      <c r="R121" t="s">
        <v>124</v>
      </c>
      <c r="S121" t="s">
        <v>1358</v>
      </c>
      <c r="T121" t="s">
        <v>561</v>
      </c>
      <c r="U121" t="s">
        <v>43</v>
      </c>
      <c r="V121" t="s">
        <v>1359</v>
      </c>
      <c r="W121" t="s">
        <v>1360</v>
      </c>
      <c r="Y121" t="str">
        <f>HYPERLINK("https://recruiter.shine.com/resume/download/?resumeid=gAAAAABbk2UOaH5He6qK5Fk4LqTLMvUo_VQN6vRSGEu-_y1Py5Gu-bq7WHztF1zqaUYXYSBSDh00yylzplaxlQXM4CduZxJI_FmHyodwV0yvCLtgcQR80RNx_1oBv-xjOuxH8WNLCrqH0IzFZb7Ydt8-1GQJtuO1Vg==")</f>
        <v>https://recruiter.shine.com/resume/download/?resumeid=gAAAAABbk2UOaH5He6qK5Fk4LqTLMvUo_VQN6vRSGEu-_y1Py5Gu-bq7WHztF1zqaUYXYSBSDh00yylzplaxlQXM4CduZxJI_FmHyodwV0yvCLtgcQR80RNx_1oBv-xjOuxH8WNLCrqH0IzFZb7Ydt8-1GQJtuO1Vg==</v>
      </c>
    </row>
    <row r="122" spans="1:25" ht="39.950000000000003" customHeight="1">
      <c r="A122">
        <v>118</v>
      </c>
      <c r="B122" t="s">
        <v>1361</v>
      </c>
      <c r="C122" t="s">
        <v>1362</v>
      </c>
      <c r="D122" t="s">
        <v>1363</v>
      </c>
      <c r="E122" t="s">
        <v>1364</v>
      </c>
      <c r="F122" t="s">
        <v>29</v>
      </c>
      <c r="G122" t="s">
        <v>29</v>
      </c>
      <c r="H122" t="s">
        <v>234</v>
      </c>
      <c r="I122" t="s">
        <v>1365</v>
      </c>
      <c r="J122" t="s">
        <v>299</v>
      </c>
      <c r="K122" t="s">
        <v>1366</v>
      </c>
      <c r="L122" t="s">
        <v>254</v>
      </c>
      <c r="M122" t="s">
        <v>254</v>
      </c>
      <c r="N122" t="s">
        <v>1367</v>
      </c>
      <c r="O122" t="s">
        <v>585</v>
      </c>
      <c r="P122" t="s">
        <v>73</v>
      </c>
      <c r="Q122" t="s">
        <v>90</v>
      </c>
      <c r="R122" t="s">
        <v>292</v>
      </c>
      <c r="S122" t="s">
        <v>1368</v>
      </c>
      <c r="T122" t="s">
        <v>227</v>
      </c>
      <c r="U122" t="s">
        <v>43</v>
      </c>
      <c r="V122" t="s">
        <v>1369</v>
      </c>
      <c r="W122" t="s">
        <v>1370</v>
      </c>
      <c r="Y122" t="str">
        <f>HYPERLINK("https://recruiter.shine.com/resume/download/?resumeid=gAAAAABbk2ULeCF-hCq3R1PfnVWC_09JYzcEcMCz_LXD-ZZd6u_7suHmiLFtjIDdTr9kjyT2OjC1mRFI9zDK91dEzyf7_83NwCvQr7az39nnBjApRO5j9lGB_NLHCyp58zscxQTq6osA")</f>
        <v>https://recruiter.shine.com/resume/download/?resumeid=gAAAAABbk2ULeCF-hCq3R1PfnVWC_09JYzcEcMCz_LXD-ZZd6u_7suHmiLFtjIDdTr9kjyT2OjC1mRFI9zDK91dEzyf7_83NwCvQr7az39nnBjApRO5j9lGB_NLHCyp58zscxQTq6osA</v>
      </c>
    </row>
    <row r="123" spans="1:25" ht="39.950000000000003" customHeight="1">
      <c r="A123">
        <v>119</v>
      </c>
      <c r="B123" t="s">
        <v>1371</v>
      </c>
      <c r="D123" t="s">
        <v>1372</v>
      </c>
      <c r="E123" t="s">
        <v>1373</v>
      </c>
      <c r="F123" t="s">
        <v>29</v>
      </c>
      <c r="G123" t="s">
        <v>29</v>
      </c>
      <c r="H123" t="s">
        <v>234</v>
      </c>
      <c r="I123" t="s">
        <v>1265</v>
      </c>
      <c r="J123" t="s">
        <v>153</v>
      </c>
      <c r="K123" t="s">
        <v>1374</v>
      </c>
      <c r="L123" t="s">
        <v>1375</v>
      </c>
      <c r="M123" t="s">
        <v>315</v>
      </c>
      <c r="N123" t="s">
        <v>1376</v>
      </c>
      <c r="O123" t="s">
        <v>1377</v>
      </c>
      <c r="P123" t="s">
        <v>73</v>
      </c>
      <c r="Q123" t="s">
        <v>1378</v>
      </c>
      <c r="R123" t="s">
        <v>1379</v>
      </c>
      <c r="S123" t="s">
        <v>1380</v>
      </c>
      <c r="T123" t="s">
        <v>61</v>
      </c>
      <c r="U123" t="s">
        <v>127</v>
      </c>
      <c r="V123" t="s">
        <v>1381</v>
      </c>
      <c r="W123" t="s">
        <v>1382</v>
      </c>
      <c r="Y123" t="str">
        <f>HYPERLINK("https://recruiter.shine.com/resume/download/?resumeid=gAAAAABbk2UML72vevoBaTUpB5Zui1dmqsLqMRwlIc1Wh6Nn-q8bKAWGsg6B3n-4UUo8s2rcUXoNvs8ucZn4QRTM38tHdSfOlh3l6Tbfvoke2vfwnup8oSWkhhC-OC9i-8zsWvMSSf8T_6AQJfV1WFb7SyHQ5DPUYCWXvjb1kGwT79Vcsk2dFXs=")</f>
        <v>https://recruiter.shine.com/resume/download/?resumeid=gAAAAABbk2UML72vevoBaTUpB5Zui1dmqsLqMRwlIc1Wh6Nn-q8bKAWGsg6B3n-4UUo8s2rcUXoNvs8ucZn4QRTM38tHdSfOlh3l6Tbfvoke2vfwnup8oSWkhhC-OC9i-8zsWvMSSf8T_6AQJfV1WFb7SyHQ5DPUYCWXvjb1kGwT79Vcsk2dFXs=</v>
      </c>
    </row>
    <row r="124" spans="1:25" ht="39.950000000000003" customHeight="1">
      <c r="A124">
        <v>120</v>
      </c>
      <c r="B124" t="s">
        <v>1383</v>
      </c>
      <c r="C124" t="s">
        <v>1384</v>
      </c>
      <c r="D124" t="s">
        <v>1385</v>
      </c>
      <c r="E124" t="s">
        <v>1386</v>
      </c>
      <c r="F124" t="s">
        <v>29</v>
      </c>
      <c r="G124" t="s">
        <v>29</v>
      </c>
      <c r="H124" t="s">
        <v>31</v>
      </c>
      <c r="I124" t="s">
        <v>1387</v>
      </c>
      <c r="J124" t="s">
        <v>1388</v>
      </c>
      <c r="K124" t="s">
        <v>1389</v>
      </c>
      <c r="L124" t="s">
        <v>1390</v>
      </c>
      <c r="M124" t="s">
        <v>105</v>
      </c>
      <c r="N124" t="s">
        <v>1391</v>
      </c>
      <c r="O124" t="s">
        <v>1392</v>
      </c>
      <c r="P124" t="s">
        <v>57</v>
      </c>
      <c r="Q124" t="s">
        <v>107</v>
      </c>
      <c r="R124" t="s">
        <v>559</v>
      </c>
      <c r="S124" t="s">
        <v>1393</v>
      </c>
      <c r="T124" t="s">
        <v>761</v>
      </c>
      <c r="U124" t="s">
        <v>43</v>
      </c>
      <c r="V124" t="s">
        <v>1394</v>
      </c>
      <c r="W124" t="s">
        <v>1395</v>
      </c>
      <c r="Y124" t="str">
        <f>HYPERLINK("https://recruiter.shine.com/resume/download/?resumeid=gAAAAABbk2UNMbzMsAc2lp9fBrUi8cdsUdegelk_tLrhEDE-L83oP9QX77CKVFTS1VTkH4wZzO8nOkpjtl1zuibQXxD9h5Wi_ZPhoru1G2uXaM5TKgdT2ZtKMVHOdzUE8ghC9ykBVzwfXLgjBXh8Zw4MkleR4SDQxA==")</f>
        <v>https://recruiter.shine.com/resume/download/?resumeid=gAAAAABbk2UNMbzMsAc2lp9fBrUi8cdsUdegelk_tLrhEDE-L83oP9QX77CKVFTS1VTkH4wZzO8nOkpjtl1zuibQXxD9h5Wi_ZPhoru1G2uXaM5TKgdT2ZtKMVHOdzUE8ghC9ykBVzwfXLgjBXh8Zw4MkleR4SDQxA==</v>
      </c>
    </row>
    <row r="125" spans="1:25" ht="39.950000000000003" customHeight="1">
      <c r="A125">
        <v>121</v>
      </c>
      <c r="B125" t="s">
        <v>1396</v>
      </c>
      <c r="C125" t="s">
        <v>1397</v>
      </c>
      <c r="D125" t="s">
        <v>1398</v>
      </c>
      <c r="E125" t="s">
        <v>1399</v>
      </c>
      <c r="F125" t="s">
        <v>29</v>
      </c>
      <c r="G125" t="s">
        <v>29</v>
      </c>
      <c r="I125" t="s">
        <v>714</v>
      </c>
      <c r="J125" t="s">
        <v>871</v>
      </c>
      <c r="K125" t="s">
        <v>1400</v>
      </c>
      <c r="L125" t="s">
        <v>338</v>
      </c>
      <c r="M125" t="s">
        <v>395</v>
      </c>
      <c r="N125" t="s">
        <v>1401</v>
      </c>
      <c r="O125" t="s">
        <v>475</v>
      </c>
      <c r="P125" t="s">
        <v>39</v>
      </c>
      <c r="Q125" t="s">
        <v>123</v>
      </c>
      <c r="R125" t="s">
        <v>124</v>
      </c>
      <c r="S125" t="s">
        <v>1402</v>
      </c>
      <c r="T125" t="s">
        <v>93</v>
      </c>
      <c r="U125" t="s">
        <v>43</v>
      </c>
      <c r="V125" t="s">
        <v>1403</v>
      </c>
      <c r="W125" t="s">
        <v>1404</v>
      </c>
      <c r="Y125" t="str">
        <f>HYPERLINK("https://recruiter.shine.com/resume/download/?resumeid=gAAAAABbk2UKawapbUh_Bj_diOGsIxROiCu7q0sxX9f-q6sbu7yiqs91Mc5ZxzAx7APTzPqmiU3Hi3LtCZ3y1oR7A_k0if5fuN1mB4a4U4GMQpofE-iSvH1U2Gla8NUMoD1ZwPKU_z1L")</f>
        <v>https://recruiter.shine.com/resume/download/?resumeid=gAAAAABbk2UKawapbUh_Bj_diOGsIxROiCu7q0sxX9f-q6sbu7yiqs91Mc5ZxzAx7APTzPqmiU3Hi3LtCZ3y1oR7A_k0if5fuN1mB4a4U4GMQpofE-iSvH1U2Gla8NUMoD1ZwPKU_z1L</v>
      </c>
    </row>
    <row r="126" spans="1:25" ht="39.950000000000003" customHeight="1">
      <c r="A126">
        <v>122</v>
      </c>
      <c r="B126" t="s">
        <v>1405</v>
      </c>
      <c r="D126" t="s">
        <v>1406</v>
      </c>
      <c r="E126" t="s">
        <v>1407</v>
      </c>
      <c r="F126" t="s">
        <v>29</v>
      </c>
      <c r="G126" t="s">
        <v>29</v>
      </c>
      <c r="H126" t="s">
        <v>31</v>
      </c>
      <c r="I126" t="s">
        <v>1408</v>
      </c>
      <c r="J126" t="s">
        <v>531</v>
      </c>
      <c r="K126" t="s">
        <v>1409</v>
      </c>
      <c r="L126" t="s">
        <v>664</v>
      </c>
      <c r="M126" t="s">
        <v>105</v>
      </c>
      <c r="N126" t="s">
        <v>1410</v>
      </c>
      <c r="O126" t="s">
        <v>475</v>
      </c>
      <c r="P126" t="s">
        <v>57</v>
      </c>
      <c r="Q126" t="s">
        <v>158</v>
      </c>
      <c r="R126" t="s">
        <v>341</v>
      </c>
      <c r="S126" t="s">
        <v>1411</v>
      </c>
      <c r="U126" t="s">
        <v>43</v>
      </c>
      <c r="V126" t="s">
        <v>1412</v>
      </c>
      <c r="W126" t="s">
        <v>1413</v>
      </c>
      <c r="Y126" t="str">
        <f>HYPERLINK("https://recruiter.shine.com/resume/download/?resumeid=gAAAAABbk2UMgk2bzPSzgVvyrmD6S_O0K9izd8uEl84IozWtJ-pchJe123BRSt_biAA2MGbJ5QcKNIDp_UnNDQbzx5hEa7CU6-CbL2eHgJgNQjjUqA4XPgDwLrbFPv-C-XKiDLWpTuufKxthghZ44R-D9Oe5VdMOWg==")</f>
        <v>https://recruiter.shine.com/resume/download/?resumeid=gAAAAABbk2UMgk2bzPSzgVvyrmD6S_O0K9izd8uEl84IozWtJ-pchJe123BRSt_biAA2MGbJ5QcKNIDp_UnNDQbzx5hEa7CU6-CbL2eHgJgNQjjUqA4XPgDwLrbFPv-C-XKiDLWpTuufKxthghZ44R-D9Oe5VdMOWg==</v>
      </c>
    </row>
    <row r="127" spans="1:25" ht="39.950000000000003" customHeight="1">
      <c r="A127">
        <v>123</v>
      </c>
      <c r="B127" t="s">
        <v>1414</v>
      </c>
      <c r="C127" t="s">
        <v>1415</v>
      </c>
      <c r="D127" t="s">
        <v>1416</v>
      </c>
      <c r="E127" t="s">
        <v>1417</v>
      </c>
      <c r="F127" t="s">
        <v>29</v>
      </c>
      <c r="G127" t="s">
        <v>1418</v>
      </c>
      <c r="H127" t="s">
        <v>31</v>
      </c>
      <c r="I127" t="s">
        <v>1419</v>
      </c>
      <c r="J127" t="s">
        <v>33</v>
      </c>
      <c r="K127" t="s">
        <v>1420</v>
      </c>
      <c r="L127" t="s">
        <v>596</v>
      </c>
      <c r="M127" t="s">
        <v>1124</v>
      </c>
      <c r="N127" t="s">
        <v>1421</v>
      </c>
      <c r="O127" t="s">
        <v>1422</v>
      </c>
      <c r="Q127" t="s">
        <v>107</v>
      </c>
      <c r="R127" t="s">
        <v>341</v>
      </c>
      <c r="S127" t="s">
        <v>1423</v>
      </c>
      <c r="T127" t="s">
        <v>304</v>
      </c>
      <c r="U127" t="s">
        <v>43</v>
      </c>
      <c r="V127" t="s">
        <v>1424</v>
      </c>
      <c r="W127" t="s">
        <v>1425</v>
      </c>
      <c r="Y127" t="str">
        <f>HYPERLINK("https://recruiter.shine.com/resume/download/?resumeid=gAAAAABbk2UOh8jQcwLy1cVSZzCBblP96wxafW47tyUSkkVyTPX0BnxJJdLq44j1V6UCi6rBaUsktsM1zjanQi5A_0ANyRpUvmozMj1WhZAjIf4W28fIBkmj_vPt56Z_TP-a16g5S43RtIUtlB6HWSodzcRlQAmBvA==")</f>
        <v>https://recruiter.shine.com/resume/download/?resumeid=gAAAAABbk2UOh8jQcwLy1cVSZzCBblP96wxafW47tyUSkkVyTPX0BnxJJdLq44j1V6UCi6rBaUsktsM1zjanQi5A_0ANyRpUvmozMj1WhZAjIf4W28fIBkmj_vPt56Z_TP-a16g5S43RtIUtlB6HWSodzcRlQAmBvA==</v>
      </c>
    </row>
    <row r="128" spans="1:25" ht="39.950000000000003" customHeight="1">
      <c r="A128">
        <v>124</v>
      </c>
      <c r="B128" t="s">
        <v>1426</v>
      </c>
      <c r="C128" t="s">
        <v>1427</v>
      </c>
      <c r="D128" t="s">
        <v>1428</v>
      </c>
      <c r="E128" t="s">
        <v>1429</v>
      </c>
      <c r="F128" t="s">
        <v>29</v>
      </c>
      <c r="G128" t="s">
        <v>29</v>
      </c>
      <c r="H128" t="s">
        <v>31</v>
      </c>
      <c r="I128" t="s">
        <v>714</v>
      </c>
      <c r="J128" t="s">
        <v>299</v>
      </c>
      <c r="K128" t="s">
        <v>989</v>
      </c>
      <c r="L128" t="s">
        <v>486</v>
      </c>
      <c r="M128" t="s">
        <v>717</v>
      </c>
      <c r="N128" t="s">
        <v>1430</v>
      </c>
      <c r="O128" t="s">
        <v>1245</v>
      </c>
      <c r="P128" t="s">
        <v>57</v>
      </c>
      <c r="Q128" t="s">
        <v>90</v>
      </c>
      <c r="R128" t="s">
        <v>292</v>
      </c>
      <c r="S128" t="s">
        <v>188</v>
      </c>
      <c r="T128" t="s">
        <v>415</v>
      </c>
      <c r="U128" t="s">
        <v>127</v>
      </c>
      <c r="V128" t="s">
        <v>1431</v>
      </c>
      <c r="W128" t="s">
        <v>1432</v>
      </c>
      <c r="Y128" t="str">
        <f>HYPERLINK("https://recruiter.shine.com/resume/download/?resumeid=gAAAAABbk2ULLaWNfS3IVmQwHrm3CfB00aYsRmBGwiHsBYKdRTatCQ7tsk51eRnNX6pFo3GTW29etGdlRSMkiaWhN2OyiUnoBhAd2u6o4cb9_6cOPxDio_7C077wWTERFdbrjhPMtzcurS6tGyxAkI9yqQyoUhKeEg==")</f>
        <v>https://recruiter.shine.com/resume/download/?resumeid=gAAAAABbk2ULLaWNfS3IVmQwHrm3CfB00aYsRmBGwiHsBYKdRTatCQ7tsk51eRnNX6pFo3GTW29etGdlRSMkiaWhN2OyiUnoBhAd2u6o4cb9_6cOPxDio_7C077wWTERFdbrjhPMtzcurS6tGyxAkI9yqQyoUhKeEg==</v>
      </c>
    </row>
    <row r="129" spans="1:25" ht="39.950000000000003" customHeight="1">
      <c r="A129">
        <v>125</v>
      </c>
      <c r="B129" t="s">
        <v>1433</v>
      </c>
      <c r="C129" t="s">
        <v>1434</v>
      </c>
      <c r="D129" t="s">
        <v>1435</v>
      </c>
      <c r="E129" t="s">
        <v>1436</v>
      </c>
      <c r="F129" t="s">
        <v>29</v>
      </c>
      <c r="G129" t="s">
        <v>1437</v>
      </c>
      <c r="H129" t="s">
        <v>31</v>
      </c>
      <c r="I129" t="s">
        <v>825</v>
      </c>
      <c r="J129" t="s">
        <v>801</v>
      </c>
      <c r="K129" t="s">
        <v>1438</v>
      </c>
      <c r="L129" t="s">
        <v>171</v>
      </c>
      <c r="M129" t="s">
        <v>36</v>
      </c>
      <c r="N129" t="s">
        <v>1439</v>
      </c>
      <c r="O129" t="s">
        <v>157</v>
      </c>
      <c r="P129" t="s">
        <v>57</v>
      </c>
      <c r="Q129" t="s">
        <v>158</v>
      </c>
      <c r="R129" t="s">
        <v>546</v>
      </c>
      <c r="S129" t="s">
        <v>1440</v>
      </c>
      <c r="T129" t="s">
        <v>61</v>
      </c>
      <c r="U129" t="s">
        <v>43</v>
      </c>
      <c r="V129" t="s">
        <v>1441</v>
      </c>
      <c r="W129" t="s">
        <v>1441</v>
      </c>
      <c r="Y129" t="str">
        <f>HYPERLINK("https://recruiter.shine.com/resume/download/?resumeid=gAAAAABbk2UNPgcYeAzVtwKIvahXYr7_JSRUqxICAicIsr0mT86146vY4jLZbEjX7v5d3ja76B8uYkKKAX7l_NqaiTN0uP4UGHST46474z2e1lrUi729G4re7ux2Ta7uAbdYN-WIUMtD6tBRKY06yxS0LT7Y8paWnw==")</f>
        <v>https://recruiter.shine.com/resume/download/?resumeid=gAAAAABbk2UNPgcYeAzVtwKIvahXYr7_JSRUqxICAicIsr0mT86146vY4jLZbEjX7v5d3ja76B8uYkKKAX7l_NqaiTN0uP4UGHST46474z2e1lrUi729G4re7ux2Ta7uAbdYN-WIUMtD6tBRKY06yxS0LT7Y8paWnw==</v>
      </c>
    </row>
    <row r="130" spans="1:25" ht="39.950000000000003" customHeight="1">
      <c r="A130">
        <v>126</v>
      </c>
      <c r="B130" t="s">
        <v>1442</v>
      </c>
      <c r="D130" t="s">
        <v>1443</v>
      </c>
      <c r="E130" t="s">
        <v>1444</v>
      </c>
      <c r="F130" t="s">
        <v>858</v>
      </c>
      <c r="G130" t="s">
        <v>858</v>
      </c>
      <c r="H130" t="s">
        <v>234</v>
      </c>
      <c r="I130" t="s">
        <v>998</v>
      </c>
      <c r="J130" t="s">
        <v>506</v>
      </c>
      <c r="K130" t="s">
        <v>1445</v>
      </c>
      <c r="L130" t="s">
        <v>486</v>
      </c>
      <c r="M130" t="s">
        <v>1446</v>
      </c>
      <c r="N130" t="s">
        <v>1447</v>
      </c>
      <c r="O130" t="s">
        <v>56</v>
      </c>
      <c r="Q130" t="s">
        <v>90</v>
      </c>
      <c r="R130" t="s">
        <v>292</v>
      </c>
      <c r="S130" t="s">
        <v>188</v>
      </c>
      <c r="T130" t="s">
        <v>429</v>
      </c>
      <c r="U130" t="s">
        <v>43</v>
      </c>
      <c r="V130" t="s">
        <v>1448</v>
      </c>
      <c r="W130" t="s">
        <v>1449</v>
      </c>
      <c r="Y130" t="str">
        <f>HYPERLINK("https://recruiter.shine.com/resume/download/?resumeid=gAAAAABbk2UOfwPfXgatgDD7nTeH2hvfjBEE5Rn2tT2yZZRaN_Lp8Isd4iuqqo5sC5D3ML2GZSHVzYHECCB4WiBoBKjcaCIAezk7X5gzy_C-KIF9r3JcnPGPZksTnGPfTg8ReLkgJRnqvyet1v2ZnYbbGh_kN8TEsA==")</f>
        <v>https://recruiter.shine.com/resume/download/?resumeid=gAAAAABbk2UOfwPfXgatgDD7nTeH2hvfjBEE5Rn2tT2yZZRaN_Lp8Isd4iuqqo5sC5D3ML2GZSHVzYHECCB4WiBoBKjcaCIAezk7X5gzy_C-KIF9r3JcnPGPZksTnGPfTg8ReLkgJRnqvyet1v2ZnYbbGh_kN8TEsA==</v>
      </c>
    </row>
    <row r="131" spans="1:25" ht="39.950000000000003" customHeight="1">
      <c r="A131">
        <v>127</v>
      </c>
      <c r="B131" t="s">
        <v>1450</v>
      </c>
      <c r="D131" t="s">
        <v>1451</v>
      </c>
      <c r="E131" t="s">
        <v>1452</v>
      </c>
      <c r="F131" t="s">
        <v>29</v>
      </c>
      <c r="G131" t="s">
        <v>1453</v>
      </c>
      <c r="H131" t="s">
        <v>31</v>
      </c>
      <c r="I131" t="s">
        <v>85</v>
      </c>
      <c r="J131" t="s">
        <v>312</v>
      </c>
      <c r="K131" t="s">
        <v>1454</v>
      </c>
      <c r="L131" t="s">
        <v>266</v>
      </c>
      <c r="M131" t="s">
        <v>105</v>
      </c>
      <c r="N131" t="s">
        <v>1455</v>
      </c>
      <c r="O131" t="s">
        <v>224</v>
      </c>
      <c r="Q131" t="s">
        <v>158</v>
      </c>
      <c r="R131" t="s">
        <v>864</v>
      </c>
      <c r="S131" t="s">
        <v>1456</v>
      </c>
      <c r="T131" t="s">
        <v>281</v>
      </c>
      <c r="U131" t="s">
        <v>43</v>
      </c>
      <c r="V131" t="s">
        <v>1457</v>
      </c>
      <c r="W131" t="s">
        <v>1458</v>
      </c>
      <c r="Y131" t="str">
        <f>HYPERLINK("https://recruiter.shine.com/resume/download/?resumeid=gAAAAABbk2ULm0mN8i8XXfPiT6akDpVC8VexUZzXrXD2qEG42hFxoLOGEaDjuUcaUem8bdh-4vbjOCOb1XLMZfo1lCC2T5LypyLMe91JntOo8hnYxBGe_pI_yF79uW9TW9xlf1a2kVmh")</f>
        <v>https://recruiter.shine.com/resume/download/?resumeid=gAAAAABbk2ULm0mN8i8XXfPiT6akDpVC8VexUZzXrXD2qEG42hFxoLOGEaDjuUcaUem8bdh-4vbjOCOb1XLMZfo1lCC2T5LypyLMe91JntOo8hnYxBGe_pI_yF79uW9TW9xlf1a2kVmh</v>
      </c>
    </row>
    <row r="132" spans="1:25" ht="39.950000000000003" customHeight="1">
      <c r="A132">
        <v>128</v>
      </c>
      <c r="B132" t="s">
        <v>1459</v>
      </c>
      <c r="C132" t="s">
        <v>1460</v>
      </c>
      <c r="D132" t="s">
        <v>1461</v>
      </c>
      <c r="E132" t="s">
        <v>1462</v>
      </c>
      <c r="F132" t="s">
        <v>29</v>
      </c>
      <c r="G132" t="s">
        <v>67</v>
      </c>
      <c r="H132" t="s">
        <v>31</v>
      </c>
      <c r="I132" t="s">
        <v>1463</v>
      </c>
      <c r="J132" t="s">
        <v>1464</v>
      </c>
      <c r="K132" t="s">
        <v>1465</v>
      </c>
      <c r="L132" t="s">
        <v>88</v>
      </c>
      <c r="M132" t="s">
        <v>222</v>
      </c>
      <c r="N132" t="s">
        <v>1466</v>
      </c>
      <c r="O132" t="s">
        <v>1041</v>
      </c>
      <c r="P132" t="s">
        <v>73</v>
      </c>
      <c r="Q132" t="s">
        <v>107</v>
      </c>
      <c r="R132" t="s">
        <v>341</v>
      </c>
      <c r="S132" t="s">
        <v>1467</v>
      </c>
      <c r="T132" t="s">
        <v>561</v>
      </c>
      <c r="U132" t="s">
        <v>43</v>
      </c>
      <c r="V132" t="s">
        <v>1468</v>
      </c>
      <c r="W132" t="s">
        <v>1469</v>
      </c>
      <c r="Y132" t="str">
        <f>HYPERLINK("https://recruiter.shine.com/resume/download/?resumeid=gAAAAABbk2UMxMcq3PRdL4AM5UxMCqpq0AuKKtz4MXJCVY6XvV3JKJ_YGMvgec1DMFghDOJY7rRmVsoE4qPyWPGJEXZ6IFZNhsX5zVkQDPP4VhhlKhngacy4-HJfhjk7TDuD-ShpYwQFpec2ts6sC_pZvxFCG2aD2Q==")</f>
        <v>https://recruiter.shine.com/resume/download/?resumeid=gAAAAABbk2UMxMcq3PRdL4AM5UxMCqpq0AuKKtz4MXJCVY6XvV3JKJ_YGMvgec1DMFghDOJY7rRmVsoE4qPyWPGJEXZ6IFZNhsX5zVkQDPP4VhhlKhngacy4-HJfhjk7TDuD-ShpYwQFpec2ts6sC_pZvxFCG2aD2Q==</v>
      </c>
    </row>
    <row r="133" spans="1:25" ht="39.950000000000003" customHeight="1">
      <c r="A133">
        <v>129</v>
      </c>
      <c r="B133" t="s">
        <v>1470</v>
      </c>
      <c r="C133" t="s">
        <v>1471</v>
      </c>
      <c r="D133" t="s">
        <v>1472</v>
      </c>
      <c r="E133" t="s">
        <v>1473</v>
      </c>
      <c r="F133" t="s">
        <v>29</v>
      </c>
      <c r="G133" t="s">
        <v>29</v>
      </c>
      <c r="H133" t="s">
        <v>31</v>
      </c>
      <c r="I133" t="s">
        <v>1474</v>
      </c>
      <c r="J133" t="s">
        <v>1475</v>
      </c>
      <c r="K133" t="s">
        <v>1476</v>
      </c>
      <c r="L133" t="s">
        <v>290</v>
      </c>
      <c r="M133" t="s">
        <v>238</v>
      </c>
      <c r="N133" t="s">
        <v>1477</v>
      </c>
      <c r="O133" t="s">
        <v>186</v>
      </c>
      <c r="Q133" t="s">
        <v>240</v>
      </c>
      <c r="R133" t="s">
        <v>241</v>
      </c>
      <c r="S133" t="s">
        <v>1478</v>
      </c>
      <c r="T133" t="s">
        <v>126</v>
      </c>
      <c r="U133" t="s">
        <v>43</v>
      </c>
      <c r="V133" t="s">
        <v>1479</v>
      </c>
      <c r="W133" t="s">
        <v>1480</v>
      </c>
      <c r="Y133" t="str">
        <f>HYPERLINK("https://recruiter.shine.com/resume/download/?resumeid=gAAAAABbk2UOq_RzdRULAzc4QG1U6-zUzufYu5fSrCI7CTQqJefHdgP9j4o2anc-MQ39w5ttSVycpgp0u9LJEgUlwEGFz1lgRAY3NPPzseaYcXgEKB1FX1khkHnVIXBF70Ft_U3XcneLz4RHdQuYWMLomvYfqVdKWg==")</f>
        <v>https://recruiter.shine.com/resume/download/?resumeid=gAAAAABbk2UOq_RzdRULAzc4QG1U6-zUzufYu5fSrCI7CTQqJefHdgP9j4o2anc-MQ39w5ttSVycpgp0u9LJEgUlwEGFz1lgRAY3NPPzseaYcXgEKB1FX1khkHnVIXBF70Ft_U3XcneLz4RHdQuYWMLomvYfqVdKWg==</v>
      </c>
    </row>
    <row r="134" spans="1:25" ht="39.950000000000003" customHeight="1">
      <c r="A134">
        <v>130</v>
      </c>
      <c r="B134" t="s">
        <v>1481</v>
      </c>
      <c r="C134" t="s">
        <v>1482</v>
      </c>
      <c r="D134" t="s">
        <v>1483</v>
      </c>
      <c r="E134" t="s">
        <v>1484</v>
      </c>
      <c r="F134" t="s">
        <v>29</v>
      </c>
      <c r="G134" t="s">
        <v>1485</v>
      </c>
      <c r="I134" t="s">
        <v>32</v>
      </c>
      <c r="J134" t="s">
        <v>935</v>
      </c>
      <c r="K134" t="s">
        <v>1486</v>
      </c>
      <c r="L134" t="s">
        <v>1487</v>
      </c>
      <c r="M134" t="s">
        <v>684</v>
      </c>
      <c r="N134" t="s">
        <v>1488</v>
      </c>
      <c r="O134" t="s">
        <v>585</v>
      </c>
      <c r="P134" t="s">
        <v>140</v>
      </c>
      <c r="Q134" t="s">
        <v>699</v>
      </c>
      <c r="R134" t="s">
        <v>59</v>
      </c>
      <c r="S134" t="s">
        <v>188</v>
      </c>
      <c r="T134" t="s">
        <v>941</v>
      </c>
      <c r="U134" t="s">
        <v>43</v>
      </c>
      <c r="V134" t="s">
        <v>1489</v>
      </c>
      <c r="W134" t="s">
        <v>1490</v>
      </c>
      <c r="Y134" t="str">
        <f>HYPERLINK("https://recruiter.shine.com/resume/download/?resumeid=gAAAAABbk2UKjGXDg-8FFhUsb2KyiE9XCRmkfFBiqipU63iLvf56JBTgXC8gGhjcrg99Uws_S4Q47MlB5H3lCA0Zoym8358J6lSDx1Y13Lmg8awsnRdqz0xPYtsL5yskoYDjLDnYWxx5")</f>
        <v>https://recruiter.shine.com/resume/download/?resumeid=gAAAAABbk2UKjGXDg-8FFhUsb2KyiE9XCRmkfFBiqipU63iLvf56JBTgXC8gGhjcrg99Uws_S4Q47MlB5H3lCA0Zoym8358J6lSDx1Y13Lmg8awsnRdqz0xPYtsL5yskoYDjLDnYWxx5</v>
      </c>
    </row>
    <row r="135" spans="1:25" ht="39.950000000000003" customHeight="1">
      <c r="A135">
        <v>131</v>
      </c>
      <c r="B135" t="s">
        <v>1491</v>
      </c>
      <c r="C135" t="s">
        <v>1492</v>
      </c>
      <c r="D135" t="s">
        <v>1493</v>
      </c>
      <c r="E135" t="s">
        <v>1494</v>
      </c>
      <c r="F135" t="s">
        <v>29</v>
      </c>
      <c r="G135" t="s">
        <v>1495</v>
      </c>
      <c r="H135" t="s">
        <v>31</v>
      </c>
      <c r="I135" t="s">
        <v>825</v>
      </c>
      <c r="J135" t="s">
        <v>102</v>
      </c>
      <c r="K135" t="s">
        <v>198</v>
      </c>
      <c r="L135" t="s">
        <v>266</v>
      </c>
      <c r="M135" t="s">
        <v>54</v>
      </c>
      <c r="N135" t="s">
        <v>1496</v>
      </c>
      <c r="O135" t="s">
        <v>56</v>
      </c>
      <c r="P135" t="s">
        <v>57</v>
      </c>
      <c r="Q135" t="s">
        <v>107</v>
      </c>
      <c r="R135" t="s">
        <v>108</v>
      </c>
      <c r="S135" t="s">
        <v>202</v>
      </c>
      <c r="T135" t="s">
        <v>304</v>
      </c>
      <c r="U135" t="s">
        <v>43</v>
      </c>
      <c r="V135" t="s">
        <v>1497</v>
      </c>
      <c r="W135" t="s">
        <v>1498</v>
      </c>
      <c r="Y135" t="str">
        <f>HYPERLINK("https://recruiter.shine.com/resume/download/?resumeid=gAAAAABbk2UME9p35ImJZoYHx3vNKoAgbgazKSwkrdqmqjzi3SyEVBAqd6JIvL3oEqiuJ2ngMPt_Wot0hh35n6jYZJ-Q3YNhbAupImaXJXiaSay_SPQ67ELW_SI-Nr32OxZRHtzFQvTHwgCw-wXoQE89sKA-vFd-hG_asU4Y_L-ApSH1ia4C1sU=")</f>
        <v>https://recruiter.shine.com/resume/download/?resumeid=gAAAAABbk2UME9p35ImJZoYHx3vNKoAgbgazKSwkrdqmqjzi3SyEVBAqd6JIvL3oEqiuJ2ngMPt_Wot0hh35n6jYZJ-Q3YNhbAupImaXJXiaSay_SPQ67ELW_SI-Nr32OxZRHtzFQvTHwgCw-wXoQE89sKA-vFd-hG_asU4Y_L-ApSH1ia4C1sU=</v>
      </c>
    </row>
    <row r="136" spans="1:25" ht="39.950000000000003" customHeight="1">
      <c r="A136">
        <v>132</v>
      </c>
      <c r="B136" t="s">
        <v>1499</v>
      </c>
      <c r="D136" t="s">
        <v>1500</v>
      </c>
      <c r="E136" t="s">
        <v>1501</v>
      </c>
      <c r="F136" t="s">
        <v>29</v>
      </c>
      <c r="G136" t="s">
        <v>29</v>
      </c>
      <c r="H136" t="s">
        <v>31</v>
      </c>
      <c r="I136" t="s">
        <v>1502</v>
      </c>
      <c r="J136" t="s">
        <v>1503</v>
      </c>
      <c r="K136" t="s">
        <v>1504</v>
      </c>
      <c r="L136" t="s">
        <v>266</v>
      </c>
      <c r="M136" t="s">
        <v>684</v>
      </c>
      <c r="N136" t="s">
        <v>1505</v>
      </c>
      <c r="O136" t="s">
        <v>1041</v>
      </c>
      <c r="Q136" t="s">
        <v>107</v>
      </c>
      <c r="R136" t="s">
        <v>341</v>
      </c>
      <c r="S136" t="s">
        <v>188</v>
      </c>
      <c r="T136" t="s">
        <v>887</v>
      </c>
      <c r="U136" t="s">
        <v>43</v>
      </c>
      <c r="V136" t="s">
        <v>1506</v>
      </c>
      <c r="W136" t="s">
        <v>1507</v>
      </c>
      <c r="Y136" t="str">
        <f>HYPERLINK("https://recruiter.shine.com/resume/download/?resumeid=gAAAAABbk2UOcEPKRD81epeQ1vR2iyI4CGYhEt86qGry6m6387aV6ml2DQ9sBsnBErqZmRVGNwPIoGKmrTDhMCF7ZaWVEBg6YW7cWIAVeiYrfDvVomnkeUkDPsXXmP579mhcaYnruV_ZucNczVMyslzqmVhezv933w==")</f>
        <v>https://recruiter.shine.com/resume/download/?resumeid=gAAAAABbk2UOcEPKRD81epeQ1vR2iyI4CGYhEt86qGry6m6387aV6ml2DQ9sBsnBErqZmRVGNwPIoGKmrTDhMCF7ZaWVEBg6YW7cWIAVeiYrfDvVomnkeUkDPsXXmP579mhcaYnruV_ZucNczVMyslzqmVhezv933w==</v>
      </c>
    </row>
    <row r="137" spans="1:25" ht="39.950000000000003" customHeight="1">
      <c r="A137">
        <v>133</v>
      </c>
      <c r="B137" t="s">
        <v>1508</v>
      </c>
      <c r="C137" t="s">
        <v>1509</v>
      </c>
      <c r="D137" t="s">
        <v>1510</v>
      </c>
      <c r="E137" t="s">
        <v>1511</v>
      </c>
      <c r="F137" t="s">
        <v>29</v>
      </c>
      <c r="G137" t="s">
        <v>1512</v>
      </c>
      <c r="H137" t="s">
        <v>31</v>
      </c>
      <c r="I137" t="s">
        <v>714</v>
      </c>
      <c r="J137" t="s">
        <v>1513</v>
      </c>
      <c r="K137" t="s">
        <v>1514</v>
      </c>
      <c r="L137" t="s">
        <v>338</v>
      </c>
      <c r="M137" t="s">
        <v>473</v>
      </c>
      <c r="N137" t="s">
        <v>1515</v>
      </c>
      <c r="O137" t="s">
        <v>186</v>
      </c>
      <c r="P137" t="s">
        <v>57</v>
      </c>
      <c r="Q137" t="s">
        <v>699</v>
      </c>
      <c r="R137" t="s">
        <v>41</v>
      </c>
      <c r="S137" t="s">
        <v>1516</v>
      </c>
      <c r="T137" t="s">
        <v>587</v>
      </c>
      <c r="U137" t="s">
        <v>43</v>
      </c>
      <c r="V137" t="s">
        <v>1517</v>
      </c>
      <c r="W137" t="s">
        <v>1518</v>
      </c>
      <c r="Y137" t="str">
        <f>HYPERLINK("https://recruiter.shine.com/resume/download/?resumeid=gAAAAABbk2ULe8PNbgCtEBlHg6MYmVK7XYQJGLoDbdPt9nr5sTokkwE-pMKlOfbsxKpnB05_c4oKnVtKv4h5-4wyzw2ovhPqBwG7FGPi9eV7y2wURio_pLKAkuDdUjZPT4Zvsmcyk1f-")</f>
        <v>https://recruiter.shine.com/resume/download/?resumeid=gAAAAABbk2ULe8PNbgCtEBlHg6MYmVK7XYQJGLoDbdPt9nr5sTokkwE-pMKlOfbsxKpnB05_c4oKnVtKv4h5-4wyzw2ovhPqBwG7FGPi9eV7y2wURio_pLKAkuDdUjZPT4Zvsmcyk1f-</v>
      </c>
    </row>
    <row r="138" spans="1:25" ht="39.950000000000003" customHeight="1">
      <c r="A138">
        <v>134</v>
      </c>
      <c r="B138" t="s">
        <v>1519</v>
      </c>
      <c r="C138" t="s">
        <v>1520</v>
      </c>
      <c r="D138" t="s">
        <v>1521</v>
      </c>
      <c r="E138" t="s">
        <v>1522</v>
      </c>
      <c r="F138" t="s">
        <v>29</v>
      </c>
      <c r="G138" t="s">
        <v>29</v>
      </c>
      <c r="H138" t="s">
        <v>234</v>
      </c>
      <c r="I138" t="s">
        <v>134</v>
      </c>
      <c r="J138" t="s">
        <v>251</v>
      </c>
      <c r="K138" t="s">
        <v>1523</v>
      </c>
      <c r="L138" t="s">
        <v>1524</v>
      </c>
      <c r="M138" t="s">
        <v>238</v>
      </c>
      <c r="N138" t="s">
        <v>1525</v>
      </c>
      <c r="O138" t="s">
        <v>56</v>
      </c>
      <c r="Q138" t="s">
        <v>365</v>
      </c>
      <c r="R138" t="s">
        <v>1526</v>
      </c>
      <c r="S138" t="s">
        <v>1527</v>
      </c>
      <c r="T138" t="s">
        <v>144</v>
      </c>
      <c r="U138" t="s">
        <v>43</v>
      </c>
      <c r="V138" t="s">
        <v>1528</v>
      </c>
      <c r="W138" t="s">
        <v>1529</v>
      </c>
      <c r="Y138" t="str">
        <f>HYPERLINK("https://recruiter.shine.com/resume/download/?resumeid=gAAAAABbk2UMsRt-iTZtHCBOJxVcb_NiPjXbfiLdXGMtStfnyi7ANGTyE_8j9aksGw2c4tEVnaxArRtc6way8P4FjVxTdaDT6eTLwQ__73yKvdeX7_tKVZkFhHTaFx1UIdICcKeeURkWRWxcF4RpJ8RZnjKLK6LZNAFbXhH8OHP-2wYkw_QuVro=")</f>
        <v>https://recruiter.shine.com/resume/download/?resumeid=gAAAAABbk2UMsRt-iTZtHCBOJxVcb_NiPjXbfiLdXGMtStfnyi7ANGTyE_8j9aksGw2c4tEVnaxArRtc6way8P4FjVxTdaDT6eTLwQ__73yKvdeX7_tKVZkFhHTaFx1UIdICcKeeURkWRWxcF4RpJ8RZnjKLK6LZNAFbXhH8OHP-2wYkw_QuVro=</v>
      </c>
    </row>
    <row r="139" spans="1:25" ht="39.950000000000003" customHeight="1">
      <c r="A139">
        <v>135</v>
      </c>
      <c r="B139" t="s">
        <v>1530</v>
      </c>
      <c r="C139" t="s">
        <v>1531</v>
      </c>
      <c r="D139" t="s">
        <v>1532</v>
      </c>
      <c r="E139" t="s">
        <v>1533</v>
      </c>
      <c r="F139" t="s">
        <v>29</v>
      </c>
      <c r="G139" t="s">
        <v>29</v>
      </c>
      <c r="H139" t="s">
        <v>234</v>
      </c>
      <c r="I139" t="s">
        <v>362</v>
      </c>
      <c r="J139" t="s">
        <v>135</v>
      </c>
      <c r="L139" t="s">
        <v>363</v>
      </c>
      <c r="M139" t="s">
        <v>364</v>
      </c>
      <c r="Q139" t="s">
        <v>107</v>
      </c>
      <c r="R139" t="s">
        <v>159</v>
      </c>
      <c r="S139" t="s">
        <v>1534</v>
      </c>
      <c r="T139" t="s">
        <v>625</v>
      </c>
      <c r="U139" t="s">
        <v>43</v>
      </c>
      <c r="V139" t="s">
        <v>1535</v>
      </c>
      <c r="W139" t="s">
        <v>1536</v>
      </c>
      <c r="Y139" t="str">
        <f>HYPERLINK("https://recruiter.shine.com/resume/download/?resumeid=gAAAAABbk2UOCUB-kWuAOJdLB_aGCFIvPjpaCPlnX1XDoXGOLxYbUN-UZgUmOnnYdedMpZrLLmjeF-qwJ8d56lv_5fann0luHbS2Ylrjy3nGDcQy5EmOKrSMoPAkWLFAM1ShvZhc9HzKj5leRdytCiXUrE5MyOexyRAiJs8jHr_WxVUnxJUjc-k=")</f>
        <v>https://recruiter.shine.com/resume/download/?resumeid=gAAAAABbk2UOCUB-kWuAOJdLB_aGCFIvPjpaCPlnX1XDoXGOLxYbUN-UZgUmOnnYdedMpZrLLmjeF-qwJ8d56lv_5fann0luHbS2Ylrjy3nGDcQy5EmOKrSMoPAkWLFAM1ShvZhc9HzKj5leRdytCiXUrE5MyOexyRAiJs8jHr_WxVUnxJUjc-k=</v>
      </c>
    </row>
    <row r="140" spans="1:25" ht="39.950000000000003" customHeight="1">
      <c r="A140">
        <v>136</v>
      </c>
      <c r="B140" t="s">
        <v>1537</v>
      </c>
      <c r="C140" t="s">
        <v>1538</v>
      </c>
      <c r="D140" t="s">
        <v>1539</v>
      </c>
      <c r="E140" t="s">
        <v>1540</v>
      </c>
      <c r="F140" t="s">
        <v>29</v>
      </c>
      <c r="G140" t="s">
        <v>1541</v>
      </c>
      <c r="H140" t="s">
        <v>31</v>
      </c>
      <c r="I140" t="s">
        <v>1542</v>
      </c>
      <c r="J140" t="s">
        <v>135</v>
      </c>
      <c r="K140" t="s">
        <v>1543</v>
      </c>
      <c r="L140" t="s">
        <v>171</v>
      </c>
      <c r="M140" t="s">
        <v>1356</v>
      </c>
      <c r="N140" t="s">
        <v>1544</v>
      </c>
      <c r="O140" t="s">
        <v>38</v>
      </c>
      <c r="P140" t="s">
        <v>57</v>
      </c>
      <c r="Q140" t="s">
        <v>1545</v>
      </c>
      <c r="R140" t="s">
        <v>142</v>
      </c>
      <c r="S140" t="s">
        <v>1546</v>
      </c>
      <c r="T140" t="s">
        <v>415</v>
      </c>
      <c r="U140" t="s">
        <v>94</v>
      </c>
      <c r="V140" t="s">
        <v>1547</v>
      </c>
      <c r="W140" t="s">
        <v>1548</v>
      </c>
      <c r="Y140" t="str">
        <f>HYPERLINK("https://recruiter.shine.com/resume/download/?resumeid=gAAAAABbk2UK4SimINC_sKOg78RaFMFc7XghLsjwJASvvCGk4AxkIjIcc6S-qQCwHOmf-et_XU2WhrCe3ph936B7lkJwpMMfsKHr82zOTx0oIo6vFoqDm9uxPk0U6ZOOsg5XhDSWL75H")</f>
        <v>https://recruiter.shine.com/resume/download/?resumeid=gAAAAABbk2UK4SimINC_sKOg78RaFMFc7XghLsjwJASvvCGk4AxkIjIcc6S-qQCwHOmf-et_XU2WhrCe3ph936B7lkJwpMMfsKHr82zOTx0oIo6vFoqDm9uxPk0U6ZOOsg5XhDSWL75H</v>
      </c>
    </row>
    <row r="141" spans="1:25" ht="39.950000000000003" customHeight="1">
      <c r="A141">
        <v>137</v>
      </c>
      <c r="B141" t="s">
        <v>1549</v>
      </c>
      <c r="C141" t="s">
        <v>1550</v>
      </c>
      <c r="D141" t="s">
        <v>1551</v>
      </c>
      <c r="E141" t="s">
        <v>1552</v>
      </c>
      <c r="F141" t="s">
        <v>29</v>
      </c>
      <c r="G141" t="s">
        <v>1553</v>
      </c>
      <c r="H141" t="s">
        <v>31</v>
      </c>
      <c r="I141" t="s">
        <v>1554</v>
      </c>
      <c r="J141" t="s">
        <v>1555</v>
      </c>
      <c r="K141" t="s">
        <v>1556</v>
      </c>
      <c r="L141" t="s">
        <v>184</v>
      </c>
      <c r="M141" t="s">
        <v>36</v>
      </c>
      <c r="N141" t="s">
        <v>1557</v>
      </c>
      <c r="O141" t="s">
        <v>56</v>
      </c>
      <c r="Q141" t="s">
        <v>90</v>
      </c>
      <c r="R141" t="s">
        <v>91</v>
      </c>
      <c r="S141" t="s">
        <v>1558</v>
      </c>
      <c r="U141" t="s">
        <v>43</v>
      </c>
      <c r="V141" t="s">
        <v>1559</v>
      </c>
      <c r="W141" t="s">
        <v>1560</v>
      </c>
      <c r="Y141" t="str">
        <f>HYPERLINK("https://recruiter.shine.com/resume/download/?resumeid=gAAAAABbk2UM4nvqZr-5DQdPQbuffDj6X1gP5hlEWRDmj4zlgGRCYYLBMXnONKkgG33kSEJIJra6Vx1_5DCKWM0wGA1JEpgMVA11nuqqTKA4r38dQvtbYVvZzojy_PXq0m9DrpFfQMlh")</f>
        <v>https://recruiter.shine.com/resume/download/?resumeid=gAAAAABbk2UM4nvqZr-5DQdPQbuffDj6X1gP5hlEWRDmj4zlgGRCYYLBMXnONKkgG33kSEJIJra6Vx1_5DCKWM0wGA1JEpgMVA11nuqqTKA4r38dQvtbYVvZzojy_PXq0m9DrpFfQMlh</v>
      </c>
    </row>
    <row r="142" spans="1:25" ht="39.950000000000003" customHeight="1">
      <c r="A142">
        <v>138</v>
      </c>
      <c r="B142" t="s">
        <v>1561</v>
      </c>
      <c r="D142" t="s">
        <v>1562</v>
      </c>
      <c r="E142" t="s">
        <v>1563</v>
      </c>
      <c r="F142" t="s">
        <v>29</v>
      </c>
      <c r="G142" t="s">
        <v>1564</v>
      </c>
      <c r="H142" t="s">
        <v>31</v>
      </c>
      <c r="I142" t="s">
        <v>1565</v>
      </c>
      <c r="J142" t="s">
        <v>1566</v>
      </c>
      <c r="K142" t="s">
        <v>1567</v>
      </c>
      <c r="L142" t="s">
        <v>266</v>
      </c>
      <c r="M142" t="s">
        <v>105</v>
      </c>
      <c r="N142" t="s">
        <v>1568</v>
      </c>
      <c r="O142" t="s">
        <v>1245</v>
      </c>
      <c r="P142" t="s">
        <v>73</v>
      </c>
      <c r="Q142" t="s">
        <v>74</v>
      </c>
      <c r="R142" t="s">
        <v>225</v>
      </c>
      <c r="S142" t="s">
        <v>1569</v>
      </c>
      <c r="T142" t="s">
        <v>227</v>
      </c>
      <c r="U142" t="s">
        <v>43</v>
      </c>
      <c r="V142" t="s">
        <v>1570</v>
      </c>
      <c r="W142" t="s">
        <v>1571</v>
      </c>
      <c r="Y142" t="str">
        <f>HYPERLINK("https://recruiter.shine.com/resume/download/?resumeid=gAAAAABbk2UNTzemiLBJjm-oq0kt2q4r3hadKT6XmDzjluOB7r6c6wwjURyUXF-FMEB2sMUzefCA-NDdWMmWpp1vy0XbfSxIQZBq4kM4_36mOartncmYiPOIEJFPAqbw6ukTV8HXu3B8imeL9F1g3hpXQIG9zwSPXHhnFqObbvnTfBZMDD_9a00=")</f>
        <v>https://recruiter.shine.com/resume/download/?resumeid=gAAAAABbk2UNTzemiLBJjm-oq0kt2q4r3hadKT6XmDzjluOB7r6c6wwjURyUXF-FMEB2sMUzefCA-NDdWMmWpp1vy0XbfSxIQZBq4kM4_36mOartncmYiPOIEJFPAqbw6ukTV8HXu3B8imeL9F1g3hpXQIG9zwSPXHhnFqObbvnTfBZMDD_9a00=</v>
      </c>
    </row>
    <row r="143" spans="1:25" ht="39.950000000000003" customHeight="1">
      <c r="A143">
        <v>139</v>
      </c>
      <c r="B143" t="s">
        <v>1572</v>
      </c>
      <c r="C143" t="s">
        <v>1573</v>
      </c>
      <c r="D143" t="s">
        <v>1574</v>
      </c>
      <c r="E143" t="s">
        <v>1575</v>
      </c>
      <c r="F143" t="s">
        <v>29</v>
      </c>
      <c r="G143" t="s">
        <v>1576</v>
      </c>
      <c r="H143" t="s">
        <v>31</v>
      </c>
      <c r="I143" t="s">
        <v>32</v>
      </c>
      <c r="J143" t="s">
        <v>1577</v>
      </c>
      <c r="K143" t="s">
        <v>1578</v>
      </c>
      <c r="L143" t="s">
        <v>88</v>
      </c>
      <c r="M143" t="s">
        <v>684</v>
      </c>
      <c r="N143" t="s">
        <v>1579</v>
      </c>
      <c r="O143" t="s">
        <v>56</v>
      </c>
      <c r="P143" t="s">
        <v>73</v>
      </c>
      <c r="Q143" t="s">
        <v>90</v>
      </c>
      <c r="R143" t="s">
        <v>91</v>
      </c>
      <c r="S143" t="s">
        <v>1580</v>
      </c>
      <c r="T143" t="s">
        <v>1137</v>
      </c>
      <c r="U143" t="s">
        <v>43</v>
      </c>
      <c r="V143" t="s">
        <v>1581</v>
      </c>
      <c r="W143" t="s">
        <v>1582</v>
      </c>
      <c r="Y143" t="str">
        <f>HYPERLINK("https://recruiter.shine.com/resume/download/?resumeid=gAAAAABbk2UK4vByiwRcub1b6lkccnYElPP1n7qJ2343sWVjxZ9eEMnOILmZrJK0qSBUQS-rmQlnkTkxlsodqlwV8GU1mZPzaT8U3RJNpAQHEIHaulrOhn3Zvd_HjRf8rFHE1fprjsvzo6Cjx8OBRNLOVcH4vdm8EA==")</f>
        <v>https://recruiter.shine.com/resume/download/?resumeid=gAAAAABbk2UK4vByiwRcub1b6lkccnYElPP1n7qJ2343sWVjxZ9eEMnOILmZrJK0qSBUQS-rmQlnkTkxlsodqlwV8GU1mZPzaT8U3RJNpAQHEIHaulrOhn3Zvd_HjRf8rFHE1fprjsvzo6Cjx8OBRNLOVcH4vdm8EA==</v>
      </c>
    </row>
    <row r="144" spans="1:25" ht="39.950000000000003" customHeight="1">
      <c r="A144">
        <v>140</v>
      </c>
      <c r="B144" t="s">
        <v>1583</v>
      </c>
      <c r="C144" t="s">
        <v>1584</v>
      </c>
      <c r="D144" t="s">
        <v>1585</v>
      </c>
      <c r="E144" t="s">
        <v>1586</v>
      </c>
      <c r="F144" t="s">
        <v>29</v>
      </c>
      <c r="G144" t="s">
        <v>30</v>
      </c>
      <c r="H144" t="s">
        <v>234</v>
      </c>
      <c r="I144" t="s">
        <v>362</v>
      </c>
      <c r="J144" t="s">
        <v>135</v>
      </c>
      <c r="L144" t="s">
        <v>363</v>
      </c>
      <c r="M144" t="s">
        <v>364</v>
      </c>
      <c r="Q144" t="s">
        <v>90</v>
      </c>
      <c r="R144" t="s">
        <v>292</v>
      </c>
      <c r="S144" t="s">
        <v>1587</v>
      </c>
      <c r="T144" t="s">
        <v>110</v>
      </c>
      <c r="U144" t="s">
        <v>43</v>
      </c>
      <c r="V144" t="s">
        <v>1588</v>
      </c>
      <c r="W144" t="s">
        <v>1589</v>
      </c>
      <c r="Y144" t="str">
        <f>HYPERLINK("https://recruiter.shine.com/resume/download/?resumeid=gAAAAABbk2UMJ3f_p28O56u9s9j_AC4sNBubwDp7P9oXxc9VEKf3NM8eHoE3IvW-WK2VZBjQ8giodSlFK0B7gq02h4fosAQOoCdXcEyTV43OFSh232IQ6M_5TujCU13oTNNTB82_F3TeBowxsf1v23-nvfY3TeWCsyh8YY4vk2PWJUtWnbMxouo=")</f>
        <v>https://recruiter.shine.com/resume/download/?resumeid=gAAAAABbk2UMJ3f_p28O56u9s9j_AC4sNBubwDp7P9oXxc9VEKf3NM8eHoE3IvW-WK2VZBjQ8giodSlFK0B7gq02h4fosAQOoCdXcEyTV43OFSh232IQ6M_5TujCU13oTNNTB82_F3TeBowxsf1v23-nvfY3TeWCsyh8YY4vk2PWJUtWnbMxouo=</v>
      </c>
    </row>
    <row r="145" spans="1:25" ht="39.950000000000003" customHeight="1">
      <c r="A145">
        <v>141</v>
      </c>
      <c r="B145" t="s">
        <v>1590</v>
      </c>
      <c r="D145" t="s">
        <v>1591</v>
      </c>
      <c r="E145" t="s">
        <v>1592</v>
      </c>
      <c r="F145" t="s">
        <v>29</v>
      </c>
      <c r="G145" t="s">
        <v>1593</v>
      </c>
      <c r="H145" t="s">
        <v>31</v>
      </c>
      <c r="I145" t="s">
        <v>362</v>
      </c>
      <c r="J145" t="s">
        <v>135</v>
      </c>
      <c r="L145" t="s">
        <v>363</v>
      </c>
      <c r="M145" t="s">
        <v>364</v>
      </c>
      <c r="Q145" t="s">
        <v>107</v>
      </c>
      <c r="R145" t="s">
        <v>225</v>
      </c>
      <c r="S145" t="s">
        <v>1594</v>
      </c>
      <c r="T145" t="s">
        <v>126</v>
      </c>
      <c r="U145" t="s">
        <v>43</v>
      </c>
      <c r="V145" t="s">
        <v>1595</v>
      </c>
      <c r="W145" t="s">
        <v>1595</v>
      </c>
      <c r="Y145" t="str">
        <f>HYPERLINK("https://recruiter.shine.com/resume/download/?resumeid=gAAAAABbk2UN-_7tvz8pfE5C3yzuKtLoByujwdEGjrmI80AhoMXsz-0ad-BApZkO8M-FgffKihNeM5PqPYLNjiDz_mEh_Z6PdxUO_poadAkYQIMKZ86-jyYb-PTZrH3KEPbE12OpyOCid1Nse3CLxyuamJIbnJIyj4aVSqhN2bal9UnyqGzfmP4=")</f>
        <v>https://recruiter.shine.com/resume/download/?resumeid=gAAAAABbk2UN-_7tvz8pfE5C3yzuKtLoByujwdEGjrmI80AhoMXsz-0ad-BApZkO8M-FgffKihNeM5PqPYLNjiDz_mEh_Z6PdxUO_poadAkYQIMKZ86-jyYb-PTZrH3KEPbE12OpyOCid1Nse3CLxyuamJIbnJIyj4aVSqhN2bal9UnyqGzfmP4=</v>
      </c>
    </row>
    <row r="146" spans="1:25" ht="39.950000000000003" customHeight="1">
      <c r="A146">
        <v>142</v>
      </c>
      <c r="B146" t="s">
        <v>1596</v>
      </c>
      <c r="D146" t="s">
        <v>1597</v>
      </c>
      <c r="E146" t="s">
        <v>1598</v>
      </c>
      <c r="F146" t="s">
        <v>29</v>
      </c>
      <c r="G146" t="s">
        <v>67</v>
      </c>
      <c r="H146" t="s">
        <v>234</v>
      </c>
      <c r="I146" t="s">
        <v>152</v>
      </c>
      <c r="J146" t="s">
        <v>1599</v>
      </c>
      <c r="K146" t="s">
        <v>1600</v>
      </c>
      <c r="L146" t="s">
        <v>171</v>
      </c>
      <c r="M146" t="s">
        <v>121</v>
      </c>
      <c r="N146" t="s">
        <v>1601</v>
      </c>
      <c r="O146" t="s">
        <v>157</v>
      </c>
      <c r="P146" t="s">
        <v>57</v>
      </c>
      <c r="Q146" t="s">
        <v>90</v>
      </c>
      <c r="R146" t="s">
        <v>91</v>
      </c>
      <c r="S146" t="s">
        <v>1602</v>
      </c>
      <c r="T146" t="s">
        <v>161</v>
      </c>
      <c r="U146" t="s">
        <v>43</v>
      </c>
      <c r="V146" t="s">
        <v>1603</v>
      </c>
      <c r="W146" t="s">
        <v>1603</v>
      </c>
      <c r="Y146" t="str">
        <f>HYPERLINK("https://recruiter.shine.com/resume/download/?resumeid=gAAAAABbk2UL7t_YLFtmnFofjXi05dnmiYAfhectvMcF5hChVEilW49DOTVwIWroiXiZSrKzIOTbzWq-_n72bJ-p0J1y2Gp8yLMcH2A2XD5gzEZNda_g9TdIzf8x_voUhb2zVx81n2Tv")</f>
        <v>https://recruiter.shine.com/resume/download/?resumeid=gAAAAABbk2UL7t_YLFtmnFofjXi05dnmiYAfhectvMcF5hChVEilW49DOTVwIWroiXiZSrKzIOTbzWq-_n72bJ-p0J1y2Gp8yLMcH2A2XD5gzEZNda_g9TdIzf8x_voUhb2zVx81n2Tv</v>
      </c>
    </row>
    <row r="147" spans="1:25" ht="39.950000000000003" customHeight="1">
      <c r="A147">
        <v>143</v>
      </c>
      <c r="B147" t="s">
        <v>1604</v>
      </c>
      <c r="C147" t="s">
        <v>1605</v>
      </c>
      <c r="D147" t="s">
        <v>1606</v>
      </c>
      <c r="E147" t="s">
        <v>1607</v>
      </c>
      <c r="F147" t="s">
        <v>29</v>
      </c>
      <c r="G147" t="s">
        <v>29</v>
      </c>
      <c r="H147" t="s">
        <v>31</v>
      </c>
      <c r="I147" t="s">
        <v>32</v>
      </c>
      <c r="J147" t="s">
        <v>1608</v>
      </c>
      <c r="K147" t="s">
        <v>1609</v>
      </c>
      <c r="L147" t="s">
        <v>266</v>
      </c>
      <c r="M147" t="s">
        <v>105</v>
      </c>
      <c r="N147" t="s">
        <v>1610</v>
      </c>
      <c r="O147" t="s">
        <v>585</v>
      </c>
      <c r="P147" t="s">
        <v>57</v>
      </c>
      <c r="Q147" t="s">
        <v>107</v>
      </c>
      <c r="R147" t="s">
        <v>559</v>
      </c>
      <c r="S147" t="s">
        <v>1611</v>
      </c>
      <c r="T147" t="s">
        <v>941</v>
      </c>
      <c r="U147" t="s">
        <v>43</v>
      </c>
      <c r="V147" t="s">
        <v>1612</v>
      </c>
      <c r="W147" t="s">
        <v>1613</v>
      </c>
      <c r="Y147" t="str">
        <f>HYPERLINK("https://recruiter.shine.com/resume/download/?resumeid=gAAAAABbk2UMGRNHkV3qc2sdVHcIwWrSKauPSDkGLy-xsm69Cveq9Jyey4nQulOLpJxyL9mBuFDgS4rU3putl1qwIODngF6Gce5ku4DOuyeMUWglzh4QFyjg3as9UXivN3vqmVAtynEzt1F37Gh0ltn4Br-sEAxKzg==")</f>
        <v>https://recruiter.shine.com/resume/download/?resumeid=gAAAAABbk2UMGRNHkV3qc2sdVHcIwWrSKauPSDkGLy-xsm69Cveq9Jyey4nQulOLpJxyL9mBuFDgS4rU3putl1qwIODngF6Gce5ku4DOuyeMUWglzh4QFyjg3as9UXivN3vqmVAtynEzt1F37Gh0ltn4Br-sEAxKzg==</v>
      </c>
    </row>
    <row r="148" spans="1:25" ht="39.950000000000003" customHeight="1">
      <c r="A148">
        <v>144</v>
      </c>
      <c r="B148" t="s">
        <v>1614</v>
      </c>
      <c r="D148" t="s">
        <v>1615</v>
      </c>
      <c r="E148" t="s">
        <v>1616</v>
      </c>
      <c r="F148" t="s">
        <v>29</v>
      </c>
      <c r="G148" t="s">
        <v>29</v>
      </c>
      <c r="I148" t="s">
        <v>362</v>
      </c>
      <c r="J148" t="s">
        <v>135</v>
      </c>
      <c r="L148" t="s">
        <v>363</v>
      </c>
      <c r="M148" t="s">
        <v>364</v>
      </c>
      <c r="Q148" t="s">
        <v>107</v>
      </c>
      <c r="R148" t="s">
        <v>341</v>
      </c>
      <c r="S148" t="s">
        <v>1617</v>
      </c>
      <c r="T148" t="s">
        <v>126</v>
      </c>
      <c r="U148" t="s">
        <v>43</v>
      </c>
      <c r="V148" t="s">
        <v>1618</v>
      </c>
      <c r="W148" t="s">
        <v>1619</v>
      </c>
      <c r="Y148" t="str">
        <f>HYPERLINK("https://recruiter.shine.com/resume/download/?resumeid=gAAAAABbk2UO7X2DzYyuL2SiZNF_NTnRXXvkEic2FowqJhoeY8MQmVnUg6AWG2p294u_HVZX9666xXipWLWZpbas9Dw4VasurqEB0LBGAApX4TmonWwB0IgBH0qQE7ErsPBTgWVUk1zOTmrWiE7A7nhcVzmgjm6LlQ==")</f>
        <v>https://recruiter.shine.com/resume/download/?resumeid=gAAAAABbk2UO7X2DzYyuL2SiZNF_NTnRXXvkEic2FowqJhoeY8MQmVnUg6AWG2p294u_HVZX9666xXipWLWZpbas9Dw4VasurqEB0LBGAApX4TmonWwB0IgBH0qQE7ErsPBTgWVUk1zOTmrWiE7A7nhcVzmgjm6LlQ==</v>
      </c>
    </row>
    <row r="149" spans="1:25" ht="39.950000000000003" customHeight="1">
      <c r="A149">
        <v>145</v>
      </c>
      <c r="B149" t="s">
        <v>1620</v>
      </c>
      <c r="C149" t="s">
        <v>1621</v>
      </c>
      <c r="D149" t="s">
        <v>1622</v>
      </c>
      <c r="E149" t="s">
        <v>1623</v>
      </c>
      <c r="F149" t="s">
        <v>29</v>
      </c>
      <c r="G149" t="s">
        <v>30</v>
      </c>
      <c r="H149" t="s">
        <v>31</v>
      </c>
      <c r="I149" t="s">
        <v>1624</v>
      </c>
      <c r="J149" t="s">
        <v>801</v>
      </c>
      <c r="K149" t="s">
        <v>1625</v>
      </c>
      <c r="L149" t="s">
        <v>171</v>
      </c>
      <c r="M149" t="s">
        <v>172</v>
      </c>
      <c r="N149" t="s">
        <v>1626</v>
      </c>
      <c r="O149" t="s">
        <v>186</v>
      </c>
      <c r="P149" t="s">
        <v>57</v>
      </c>
      <c r="Q149" t="s">
        <v>90</v>
      </c>
      <c r="R149" t="s">
        <v>1627</v>
      </c>
      <c r="S149" t="s">
        <v>1628</v>
      </c>
      <c r="T149" t="s">
        <v>625</v>
      </c>
      <c r="U149" t="s">
        <v>127</v>
      </c>
      <c r="V149" t="s">
        <v>1629</v>
      </c>
      <c r="W149" t="s">
        <v>1630</v>
      </c>
      <c r="Y149" t="str">
        <f>HYPERLINK("https://recruiter.shine.com/resume/download/?resumeid=gAAAAABbk2ULYbg3fkbVuFb-o-SffR2WaenOMVIT0w0f_5UckYKAUhjVux7yyQunlyL0wlmTQ8rMf8fxhdra3Dada9o4K4vskCKNHHqwCWD8qNzrEacjTUK6_X19z93gLqH-ermc5Voe")</f>
        <v>https://recruiter.shine.com/resume/download/?resumeid=gAAAAABbk2ULYbg3fkbVuFb-o-SffR2WaenOMVIT0w0f_5UckYKAUhjVux7yyQunlyL0wlmTQ8rMf8fxhdra3Dada9o4K4vskCKNHHqwCWD8qNzrEacjTUK6_X19z93gLqH-ermc5Voe</v>
      </c>
    </row>
    <row r="150" spans="1:25" ht="39.950000000000003" customHeight="1">
      <c r="A150">
        <v>146</v>
      </c>
      <c r="B150" t="s">
        <v>1631</v>
      </c>
      <c r="C150" t="s">
        <v>1632</v>
      </c>
      <c r="D150" t="s">
        <v>1633</v>
      </c>
      <c r="E150" t="s">
        <v>1634</v>
      </c>
      <c r="F150" t="s">
        <v>29</v>
      </c>
      <c r="G150" t="s">
        <v>67</v>
      </c>
      <c r="H150" t="s">
        <v>31</v>
      </c>
      <c r="I150" t="s">
        <v>860</v>
      </c>
      <c r="J150" t="s">
        <v>1635</v>
      </c>
      <c r="K150" t="s">
        <v>544</v>
      </c>
      <c r="L150" t="s">
        <v>184</v>
      </c>
      <c r="M150" t="s">
        <v>238</v>
      </c>
      <c r="N150" t="s">
        <v>1636</v>
      </c>
      <c r="O150" t="s">
        <v>585</v>
      </c>
      <c r="P150" t="s">
        <v>73</v>
      </c>
      <c r="Q150" t="s">
        <v>240</v>
      </c>
      <c r="R150" t="s">
        <v>241</v>
      </c>
      <c r="S150" t="s">
        <v>242</v>
      </c>
      <c r="T150" t="s">
        <v>61</v>
      </c>
      <c r="U150" t="s">
        <v>43</v>
      </c>
      <c r="V150" t="s">
        <v>1637</v>
      </c>
      <c r="W150" t="s">
        <v>1637</v>
      </c>
      <c r="Y150" t="str">
        <f>HYPERLINK("https://recruiter.shine.com/resume/download/?resumeid=gAAAAABbk2UN9jO7UTvXIwnbwTFadXb0H23GTq4IxR5j1mt85-LiwZ61ZU45-e4XSFaQhYBcf34ERObJ3uNEMHVGZqNJ7iXZb2vTkdPacgtzdWAk-IzrvoTjHNcu3TEP_Q6YKL0VDmki5Bve-qt2AKnbwTlM-4yf2EmXxr4GNOsBlhe-6xkd7gA=")</f>
        <v>https://recruiter.shine.com/resume/download/?resumeid=gAAAAABbk2UN9jO7UTvXIwnbwTFadXb0H23GTq4IxR5j1mt85-LiwZ61ZU45-e4XSFaQhYBcf34ERObJ3uNEMHVGZqNJ7iXZb2vTkdPacgtzdWAk-IzrvoTjHNcu3TEP_Q6YKL0VDmki5Bve-qt2AKnbwTlM-4yf2EmXxr4GNOsBlhe-6xkd7gA=</v>
      </c>
    </row>
    <row r="151" spans="1:25" ht="39.950000000000003" customHeight="1">
      <c r="A151">
        <v>147</v>
      </c>
      <c r="B151" t="s">
        <v>1638</v>
      </c>
      <c r="D151" t="s">
        <v>1639</v>
      </c>
      <c r="E151" t="s">
        <v>1640</v>
      </c>
      <c r="F151" t="s">
        <v>29</v>
      </c>
      <c r="G151" t="s">
        <v>29</v>
      </c>
      <c r="H151" t="s">
        <v>31</v>
      </c>
      <c r="I151" t="s">
        <v>725</v>
      </c>
      <c r="J151" t="s">
        <v>1641</v>
      </c>
      <c r="K151" t="s">
        <v>1642</v>
      </c>
      <c r="L151" t="s">
        <v>1643</v>
      </c>
      <c r="M151" t="s">
        <v>463</v>
      </c>
      <c r="N151" t="s">
        <v>1644</v>
      </c>
      <c r="O151" t="s">
        <v>38</v>
      </c>
      <c r="Q151" t="s">
        <v>40</v>
      </c>
      <c r="R151" t="s">
        <v>41</v>
      </c>
      <c r="S151" t="s">
        <v>1645</v>
      </c>
      <c r="T151" t="s">
        <v>110</v>
      </c>
      <c r="U151" t="s">
        <v>43</v>
      </c>
      <c r="V151" t="s">
        <v>1646</v>
      </c>
      <c r="W151" t="s">
        <v>1647</v>
      </c>
      <c r="Y151" t="str">
        <f>HYPERLINK("https://recruiter.shine.com/resume/download/?resumeid=gAAAAABbk2UOLv5t9jzQYFgEP5Ghsk6VKAVr8uij--a4kV-0dGYIyQST4DQein3Wk7NJx5gaKDXG8DUtKMXLKmIYI-CC90evfF26Ic1vsKBd5L0Lk83LngebC2VVE4dQz7K8LFmw109cn5A8-mSfclBU0PiEBL6Clw==")</f>
        <v>https://recruiter.shine.com/resume/download/?resumeid=gAAAAABbk2UOLv5t9jzQYFgEP5Ghsk6VKAVr8uij--a4kV-0dGYIyQST4DQein3Wk7NJx5gaKDXG8DUtKMXLKmIYI-CC90evfF26Ic1vsKBd5L0Lk83LngebC2VVE4dQz7K8LFmw109cn5A8-mSfclBU0PiEBL6Clw==</v>
      </c>
    </row>
    <row r="152" spans="1:25" ht="39.950000000000003" customHeight="1">
      <c r="A152">
        <v>148</v>
      </c>
      <c r="B152" t="s">
        <v>1648</v>
      </c>
      <c r="C152" t="s">
        <v>1649</v>
      </c>
      <c r="D152" t="s">
        <v>1650</v>
      </c>
      <c r="E152" t="s">
        <v>1651</v>
      </c>
      <c r="F152" t="s">
        <v>29</v>
      </c>
      <c r="G152" t="s">
        <v>29</v>
      </c>
      <c r="H152" t="s">
        <v>31</v>
      </c>
      <c r="I152" t="s">
        <v>1112</v>
      </c>
      <c r="J152" t="s">
        <v>51</v>
      </c>
      <c r="K152" t="s">
        <v>1652</v>
      </c>
      <c r="L152" t="s">
        <v>486</v>
      </c>
      <c r="M152" t="s">
        <v>238</v>
      </c>
      <c r="N152" t="s">
        <v>1653</v>
      </c>
      <c r="O152" t="s">
        <v>56</v>
      </c>
      <c r="P152" t="s">
        <v>57</v>
      </c>
      <c r="Q152" t="s">
        <v>90</v>
      </c>
      <c r="R152" t="s">
        <v>292</v>
      </c>
      <c r="S152" t="s">
        <v>1654</v>
      </c>
      <c r="T152" t="s">
        <v>415</v>
      </c>
      <c r="U152" t="s">
        <v>94</v>
      </c>
      <c r="V152" t="s">
        <v>1655</v>
      </c>
      <c r="W152" t="s">
        <v>1656</v>
      </c>
      <c r="Y152" t="str">
        <f>HYPERLINK("https://recruiter.shine.com/resume/download/?resumeid=gAAAAABbk2ULwToKTMttJ0lCfiqg4jqY0hTz1iaQeVXXwZBtufVKB8NnyqDA52ZfqCWAB8xUolzS5dsjvx2j2BxJWFdPEJ3XzMHbkCPrX38sbIn5ukKJhj3rLvI04Xkv_DcVL3ipppfh")</f>
        <v>https://recruiter.shine.com/resume/download/?resumeid=gAAAAABbk2ULwToKTMttJ0lCfiqg4jqY0hTz1iaQeVXXwZBtufVKB8NnyqDA52ZfqCWAB8xUolzS5dsjvx2j2BxJWFdPEJ3XzMHbkCPrX38sbIn5ukKJhj3rLvI04Xkv_DcVL3ipppfh</v>
      </c>
    </row>
    <row r="153" spans="1:25" ht="39.950000000000003" customHeight="1">
      <c r="A153">
        <v>149</v>
      </c>
      <c r="B153" t="s">
        <v>1657</v>
      </c>
      <c r="C153" t="s">
        <v>1658</v>
      </c>
      <c r="D153" t="s">
        <v>1659</v>
      </c>
      <c r="E153" t="s">
        <v>1660</v>
      </c>
      <c r="F153" t="s">
        <v>29</v>
      </c>
      <c r="G153" t="s">
        <v>29</v>
      </c>
      <c r="H153" t="s">
        <v>31</v>
      </c>
      <c r="I153" t="s">
        <v>85</v>
      </c>
      <c r="J153" t="s">
        <v>1661</v>
      </c>
      <c r="K153" t="s">
        <v>1662</v>
      </c>
      <c r="L153" t="s">
        <v>155</v>
      </c>
      <c r="M153" t="s">
        <v>1663</v>
      </c>
      <c r="N153" t="s">
        <v>1664</v>
      </c>
      <c r="O153" t="s">
        <v>186</v>
      </c>
      <c r="P153" t="s">
        <v>73</v>
      </c>
      <c r="Q153" t="s">
        <v>158</v>
      </c>
      <c r="R153" t="s">
        <v>1665</v>
      </c>
      <c r="S153" t="s">
        <v>1666</v>
      </c>
      <c r="T153" t="s">
        <v>61</v>
      </c>
      <c r="U153" t="s">
        <v>43</v>
      </c>
      <c r="V153" t="s">
        <v>1667</v>
      </c>
      <c r="W153" t="s">
        <v>1668</v>
      </c>
      <c r="Y153" t="str">
        <f>HYPERLINK("https://recruiter.shine.com/resume/download/?resumeid=gAAAAABbk2UMY8E9_XRTsz5BwJwWnSRHb2i1sPaK3O_7kfWhtwdGYXII6hdODqHqqWikdVHSWFFIPl6BzZikRr2OBVIUOuuDd6L3-vZOytYpJYx4mfMgY1ghZ0iBKf2fZARtdBvRAvUAuqT5JXXH23HeraJrcSTYpQ==")</f>
        <v>https://recruiter.shine.com/resume/download/?resumeid=gAAAAABbk2UMY8E9_XRTsz5BwJwWnSRHb2i1sPaK3O_7kfWhtwdGYXII6hdODqHqqWikdVHSWFFIPl6BzZikRr2OBVIUOuuDd6L3-vZOytYpJYx4mfMgY1ghZ0iBKf2fZARtdBvRAvUAuqT5JXXH23HeraJrcSTYpQ==</v>
      </c>
    </row>
    <row r="154" spans="1:25" ht="39.950000000000003" customHeight="1">
      <c r="A154">
        <v>150</v>
      </c>
      <c r="B154" t="s">
        <v>1669</v>
      </c>
      <c r="D154" t="s">
        <v>1670</v>
      </c>
      <c r="E154" t="s">
        <v>1671</v>
      </c>
      <c r="F154" t="s">
        <v>29</v>
      </c>
      <c r="G154" t="s">
        <v>29</v>
      </c>
      <c r="H154" t="s">
        <v>31</v>
      </c>
      <c r="I154" t="s">
        <v>1672</v>
      </c>
      <c r="J154" t="s">
        <v>506</v>
      </c>
      <c r="K154" t="s">
        <v>1673</v>
      </c>
      <c r="L154" t="s">
        <v>1674</v>
      </c>
      <c r="M154" t="s">
        <v>938</v>
      </c>
      <c r="N154" t="s">
        <v>1675</v>
      </c>
      <c r="O154" t="s">
        <v>186</v>
      </c>
      <c r="P154" t="s">
        <v>57</v>
      </c>
      <c r="Q154" t="s">
        <v>90</v>
      </c>
      <c r="R154" t="s">
        <v>1676</v>
      </c>
      <c r="S154" t="s">
        <v>1677</v>
      </c>
      <c r="T154" t="s">
        <v>126</v>
      </c>
      <c r="U154" t="s">
        <v>43</v>
      </c>
      <c r="V154" t="s">
        <v>1678</v>
      </c>
      <c r="W154" t="s">
        <v>1679</v>
      </c>
      <c r="Y154" t="str">
        <f>HYPERLINK("https://recruiter.shine.com/resume/download/?resumeid=gAAAAABbk2UOcSy1dWX00pX_tLalG_OV9FwHRm2QapVsjXFPUzvTrgQ9mCG6XQ83yVy6gah3oWxViNEfvxfV5DZvNwz8A4WqOFFr0sQ_DsajwlBOS9USFFZ_UbTIh9s9uVusjUhiRuptDj8BDt2PeH5402c9eWQq4g==")</f>
        <v>https://recruiter.shine.com/resume/download/?resumeid=gAAAAABbk2UOcSy1dWX00pX_tLalG_OV9FwHRm2QapVsjXFPUzvTrgQ9mCG6XQ83yVy6gah3oWxViNEfvxfV5DZvNwz8A4WqOFFr0sQ_DsajwlBOS9USFFZ_UbTIh9s9uVusjUhiRuptDj8BDt2PeH5402c9eWQq4g==</v>
      </c>
    </row>
    <row r="155" spans="1:25" ht="39.950000000000003" customHeight="1">
      <c r="A155">
        <v>151</v>
      </c>
      <c r="B155" t="s">
        <v>1680</v>
      </c>
      <c r="C155" t="s">
        <v>1681</v>
      </c>
      <c r="D155" t="s">
        <v>1682</v>
      </c>
      <c r="E155" t="s">
        <v>1683</v>
      </c>
      <c r="F155" t="s">
        <v>29</v>
      </c>
      <c r="G155" t="s">
        <v>1684</v>
      </c>
      <c r="H155" t="s">
        <v>234</v>
      </c>
      <c r="I155" t="s">
        <v>1685</v>
      </c>
      <c r="J155" t="s">
        <v>517</v>
      </c>
      <c r="K155" t="s">
        <v>1686</v>
      </c>
      <c r="L155" t="s">
        <v>88</v>
      </c>
      <c r="M155" t="s">
        <v>622</v>
      </c>
      <c r="N155" t="s">
        <v>1687</v>
      </c>
      <c r="O155" t="s">
        <v>186</v>
      </c>
      <c r="P155" t="s">
        <v>940</v>
      </c>
      <c r="Q155" t="s">
        <v>699</v>
      </c>
      <c r="R155" t="s">
        <v>41</v>
      </c>
      <c r="S155" t="s">
        <v>1688</v>
      </c>
      <c r="T155" t="s">
        <v>227</v>
      </c>
      <c r="U155" t="s">
        <v>43</v>
      </c>
      <c r="V155" t="s">
        <v>1689</v>
      </c>
      <c r="W155" t="s">
        <v>1689</v>
      </c>
      <c r="Y155" t="str">
        <f>HYPERLINK("https://recruiter.shine.com/resume/download/?resumeid=gAAAAABbk2ULVz5JbaNhBfOXTMypCv3y25fU3_qbMUSnm0Q_JSwC6pG00gPiXrJeBothu9VNCA1PWuOg6T4hkiEc6zOEaCd0UgjBdXny5I-tzBYr4weTa2BPUb5t6aKAXPeW0l12hCWA")</f>
        <v>https://recruiter.shine.com/resume/download/?resumeid=gAAAAABbk2ULVz5JbaNhBfOXTMypCv3y25fU3_qbMUSnm0Q_JSwC6pG00gPiXrJeBothu9VNCA1PWuOg6T4hkiEc6zOEaCd0UgjBdXny5I-tzBYr4weTa2BPUb5t6aKAXPeW0l12hCWA</v>
      </c>
    </row>
    <row r="156" spans="1:25" ht="39.950000000000003" customHeight="1">
      <c r="A156">
        <v>152</v>
      </c>
      <c r="B156" t="s">
        <v>1690</v>
      </c>
      <c r="C156" t="s">
        <v>1691</v>
      </c>
      <c r="D156" t="s">
        <v>1692</v>
      </c>
      <c r="E156" t="s">
        <v>1693</v>
      </c>
      <c r="F156" t="s">
        <v>29</v>
      </c>
      <c r="G156" t="s">
        <v>29</v>
      </c>
      <c r="H156" t="s">
        <v>234</v>
      </c>
      <c r="I156" t="s">
        <v>1685</v>
      </c>
      <c r="J156" t="s">
        <v>437</v>
      </c>
      <c r="K156" t="s">
        <v>1694</v>
      </c>
      <c r="L156" t="s">
        <v>254</v>
      </c>
      <c r="M156" t="s">
        <v>121</v>
      </c>
      <c r="N156" t="s">
        <v>990</v>
      </c>
      <c r="O156" t="s">
        <v>56</v>
      </c>
      <c r="P156" t="s">
        <v>201</v>
      </c>
      <c r="Q156" t="s">
        <v>489</v>
      </c>
      <c r="R156" t="s">
        <v>490</v>
      </c>
      <c r="S156" t="s">
        <v>1695</v>
      </c>
      <c r="T156" t="s">
        <v>144</v>
      </c>
      <c r="U156" t="s">
        <v>43</v>
      </c>
      <c r="V156" t="s">
        <v>1696</v>
      </c>
      <c r="W156" t="s">
        <v>1697</v>
      </c>
      <c r="Y156" t="str">
        <f>HYPERLINK("https://recruiter.shine.com/resume/download/?resumeid=gAAAAABbk2UMRWtz9GX5JRxdxMKITm1D8YMpfldP5szfAU0IvcT08b3yCsxdsl5LBXTJZ1nr-Eoi5Q-MMuYFHuiAzD-wBwqhxmBuY2-h-5x_XMJfs-6VtOe3-MeJ0lQFGzT4LqVJP_xd4KAe8_R8t78SedcJKkYT5A==")</f>
        <v>https://recruiter.shine.com/resume/download/?resumeid=gAAAAABbk2UMRWtz9GX5JRxdxMKITm1D8YMpfldP5szfAU0IvcT08b3yCsxdsl5LBXTJZ1nr-Eoi5Q-MMuYFHuiAzD-wBwqhxmBuY2-h-5x_XMJfs-6VtOe3-MeJ0lQFGzT4LqVJP_xd4KAe8_R8t78SedcJKkYT5A==</v>
      </c>
    </row>
    <row r="157" spans="1:25" ht="39.950000000000003" customHeight="1">
      <c r="A157">
        <v>153</v>
      </c>
      <c r="B157" t="s">
        <v>1698</v>
      </c>
      <c r="D157" t="s">
        <v>1699</v>
      </c>
      <c r="E157" t="s">
        <v>1700</v>
      </c>
      <c r="F157" t="s">
        <v>29</v>
      </c>
      <c r="G157" t="s">
        <v>29</v>
      </c>
      <c r="H157" t="s">
        <v>31</v>
      </c>
      <c r="I157" t="s">
        <v>362</v>
      </c>
      <c r="J157" t="s">
        <v>135</v>
      </c>
      <c r="L157" t="s">
        <v>363</v>
      </c>
      <c r="M157" t="s">
        <v>364</v>
      </c>
      <c r="Q157" t="s">
        <v>107</v>
      </c>
      <c r="R157" t="s">
        <v>559</v>
      </c>
      <c r="S157" t="s">
        <v>1701</v>
      </c>
      <c r="T157" t="s">
        <v>429</v>
      </c>
      <c r="U157" t="s">
        <v>43</v>
      </c>
      <c r="V157" t="s">
        <v>1702</v>
      </c>
      <c r="W157" t="s">
        <v>1703</v>
      </c>
      <c r="Y157" t="str">
        <f>HYPERLINK("https://recruiter.shine.com/resume/download/?resumeid=gAAAAABbk2UOYNqCzDtaFG5LJkvJNjcTMNEzOPeAGhrU_seg_mooVD3iDTqim9a-CEQO5-IIRG7lIfxShY5rs0cijl9qCgbfB313crWcc9XKcFLCuTbSdTBLAG2pLWmUqnWPAdm535NRwg12KRC7zfQdnMVMXe7uwGT80emjXwuEzIS2kNg66Cg=")</f>
        <v>https://recruiter.shine.com/resume/download/?resumeid=gAAAAABbk2UOYNqCzDtaFG5LJkvJNjcTMNEzOPeAGhrU_seg_mooVD3iDTqim9a-CEQO5-IIRG7lIfxShY5rs0cijl9qCgbfB313crWcc9XKcFLCuTbSdTBLAG2pLWmUqnWPAdm535NRwg12KRC7zfQdnMVMXe7uwGT80emjXwuEzIS2kNg66Cg=</v>
      </c>
    </row>
    <row r="158" spans="1:25" ht="39.950000000000003" customHeight="1">
      <c r="A158">
        <v>154</v>
      </c>
      <c r="B158" t="s">
        <v>1704</v>
      </c>
      <c r="C158" t="s">
        <v>1705</v>
      </c>
      <c r="D158" t="s">
        <v>1706</v>
      </c>
      <c r="E158" t="s">
        <v>1707</v>
      </c>
      <c r="F158" t="s">
        <v>29</v>
      </c>
      <c r="G158" t="s">
        <v>1708</v>
      </c>
      <c r="H158" t="s">
        <v>31</v>
      </c>
      <c r="I158" t="s">
        <v>1709</v>
      </c>
      <c r="J158" t="s">
        <v>1710</v>
      </c>
      <c r="K158" t="s">
        <v>1711</v>
      </c>
      <c r="L158" t="s">
        <v>1674</v>
      </c>
      <c r="M158" t="s">
        <v>36</v>
      </c>
      <c r="N158" t="s">
        <v>1712</v>
      </c>
      <c r="O158" t="s">
        <v>38</v>
      </c>
      <c r="P158" t="s">
        <v>57</v>
      </c>
      <c r="Q158" t="s">
        <v>90</v>
      </c>
      <c r="R158" t="s">
        <v>317</v>
      </c>
      <c r="S158" t="s">
        <v>1713</v>
      </c>
      <c r="T158" t="s">
        <v>175</v>
      </c>
      <c r="U158" t="s">
        <v>127</v>
      </c>
      <c r="V158" t="s">
        <v>1714</v>
      </c>
      <c r="W158" t="s">
        <v>1715</v>
      </c>
      <c r="Y158" t="str">
        <f>HYPERLINK("https://recruiter.shine.com/resume/download/?resumeid=gAAAAABbk2UL-cgW3IoddHBpyEiS0zMFlG8p6yeU8tJVi2lCMgk7kWPDMYtHPZoF7jgRybbxagPfAeZoL9YC4GKCRCTFMuWvyToFLzVr_QgVIcELnBKyJZVmMXpEtkra4YecHZ6Y2H8C")</f>
        <v>https://recruiter.shine.com/resume/download/?resumeid=gAAAAABbk2UL-cgW3IoddHBpyEiS0zMFlG8p6yeU8tJVi2lCMgk7kWPDMYtHPZoF7jgRybbxagPfAeZoL9YC4GKCRCTFMuWvyToFLzVr_QgVIcELnBKyJZVmMXpEtkra4YecHZ6Y2H8C</v>
      </c>
    </row>
    <row r="159" spans="1:25" ht="39.950000000000003" customHeight="1">
      <c r="A159">
        <v>155</v>
      </c>
      <c r="B159" t="s">
        <v>1716</v>
      </c>
      <c r="C159" t="s">
        <v>1717</v>
      </c>
      <c r="D159" t="s">
        <v>1718</v>
      </c>
      <c r="E159" t="s">
        <v>1719</v>
      </c>
      <c r="F159" t="s">
        <v>29</v>
      </c>
      <c r="G159" t="s">
        <v>1720</v>
      </c>
      <c r="H159" t="s">
        <v>31</v>
      </c>
      <c r="I159" t="s">
        <v>1721</v>
      </c>
      <c r="J159" t="s">
        <v>1722</v>
      </c>
      <c r="K159" t="s">
        <v>1723</v>
      </c>
      <c r="L159" t="s">
        <v>462</v>
      </c>
      <c r="M159" t="s">
        <v>105</v>
      </c>
      <c r="N159" t="s">
        <v>1724</v>
      </c>
      <c r="O159" t="s">
        <v>56</v>
      </c>
      <c r="P159" t="s">
        <v>57</v>
      </c>
      <c r="Q159" t="s">
        <v>90</v>
      </c>
      <c r="R159" t="s">
        <v>465</v>
      </c>
      <c r="S159" t="s">
        <v>886</v>
      </c>
      <c r="T159" t="s">
        <v>687</v>
      </c>
      <c r="U159" t="s">
        <v>43</v>
      </c>
      <c r="V159" t="s">
        <v>1725</v>
      </c>
      <c r="W159" t="s">
        <v>1726</v>
      </c>
      <c r="Y159" t="str">
        <f>HYPERLINK("https://recruiter.shine.com/resume/download/?resumeid=gAAAAABbk2UMqWG3FrnxifnWngiepQ4G9zhf6vzjOJyBhGjwtLDZFt24knErF8fqsoDTb-J2vXOPhc4N0K6GinCgXZd3MbyjITqiVpqy1y3cbyYozXqI4vLzvpjzhn7SuFMFhYi9CFALSjnIM0p2dTTGODkqpjL4Lowvhk-n03CotwIx9MRhQ1A=")</f>
        <v>https://recruiter.shine.com/resume/download/?resumeid=gAAAAABbk2UMqWG3FrnxifnWngiepQ4G9zhf6vzjOJyBhGjwtLDZFt24knErF8fqsoDTb-J2vXOPhc4N0K6GinCgXZd3MbyjITqiVpqy1y3cbyYozXqI4vLzvpjzhn7SuFMFhYi9CFALSjnIM0p2dTTGODkqpjL4Lowvhk-n03CotwIx9MRhQ1A=</v>
      </c>
    </row>
    <row r="160" spans="1:25" ht="39.950000000000003" customHeight="1">
      <c r="A160">
        <v>156</v>
      </c>
      <c r="B160" t="s">
        <v>1727</v>
      </c>
      <c r="C160" t="s">
        <v>1728</v>
      </c>
      <c r="D160" t="s">
        <v>1729</v>
      </c>
      <c r="E160" t="s">
        <v>1730</v>
      </c>
      <c r="F160" t="s">
        <v>249</v>
      </c>
      <c r="G160" t="s">
        <v>249</v>
      </c>
      <c r="H160" t="s">
        <v>31</v>
      </c>
      <c r="I160" t="s">
        <v>1731</v>
      </c>
      <c r="J160" t="s">
        <v>51</v>
      </c>
      <c r="K160" t="s">
        <v>1732</v>
      </c>
      <c r="L160" t="s">
        <v>266</v>
      </c>
      <c r="M160" t="s">
        <v>105</v>
      </c>
      <c r="N160" t="s">
        <v>1733</v>
      </c>
      <c r="O160" t="s">
        <v>186</v>
      </c>
      <c r="P160" t="s">
        <v>39</v>
      </c>
      <c r="Q160" t="s">
        <v>107</v>
      </c>
      <c r="R160" t="s">
        <v>864</v>
      </c>
      <c r="S160" t="s">
        <v>1734</v>
      </c>
      <c r="T160" t="s">
        <v>61</v>
      </c>
      <c r="U160" t="s">
        <v>43</v>
      </c>
      <c r="V160" t="s">
        <v>1735</v>
      </c>
      <c r="W160" t="s">
        <v>1736</v>
      </c>
      <c r="Y160" t="str">
        <f>HYPERLINK("https://recruiter.shine.com/resume/download/?resumeid=gAAAAABbk2UOB24fdysUSk5Dz5wLW_Zri1lqU_elyuROFD1OjidqBzHbdF3n7k7Iy2ChnQUmiemQWhEn-_00MUZ_n3QdbuheU0BGdj7Jm6zKseTuWXoXMyRrooGIJ2ogJy-RNWMx2rdgmFYVKW2c9k_S_5AU7YpywubZn_eYyNeu6H_IVkJ1Vmg=")</f>
        <v>https://recruiter.shine.com/resume/download/?resumeid=gAAAAABbk2UOB24fdysUSk5Dz5wLW_Zri1lqU_elyuROFD1OjidqBzHbdF3n7k7Iy2ChnQUmiemQWhEn-_00MUZ_n3QdbuheU0BGdj7Jm6zKseTuWXoXMyRrooGIJ2ogJy-RNWMx2rdgmFYVKW2c9k_S_5AU7YpywubZn_eYyNeu6H_IVkJ1Vmg=</v>
      </c>
    </row>
    <row r="161" spans="1:25" ht="39.950000000000003" customHeight="1">
      <c r="A161">
        <v>157</v>
      </c>
      <c r="B161" t="s">
        <v>1737</v>
      </c>
      <c r="C161" t="s">
        <v>1738</v>
      </c>
      <c r="D161" t="s">
        <v>1739</v>
      </c>
      <c r="E161" t="s">
        <v>1740</v>
      </c>
      <c r="F161" t="s">
        <v>29</v>
      </c>
      <c r="G161" t="s">
        <v>1741</v>
      </c>
      <c r="H161" t="s">
        <v>31</v>
      </c>
      <c r="I161" t="s">
        <v>32</v>
      </c>
      <c r="J161" t="s">
        <v>1742</v>
      </c>
      <c r="K161" t="s">
        <v>1743</v>
      </c>
      <c r="L161" t="s">
        <v>253</v>
      </c>
      <c r="M161" t="s">
        <v>238</v>
      </c>
      <c r="N161" t="s">
        <v>1744</v>
      </c>
      <c r="O161" t="s">
        <v>186</v>
      </c>
      <c r="P161" t="s">
        <v>57</v>
      </c>
      <c r="Q161" t="s">
        <v>849</v>
      </c>
      <c r="R161" t="s">
        <v>536</v>
      </c>
      <c r="S161" t="s">
        <v>1745</v>
      </c>
      <c r="T161" t="s">
        <v>1746</v>
      </c>
      <c r="U161" t="s">
        <v>94</v>
      </c>
      <c r="V161" t="s">
        <v>1747</v>
      </c>
      <c r="W161" t="s">
        <v>1748</v>
      </c>
      <c r="Y161" t="str">
        <f>HYPERLINK("https://recruiter.shine.com/resume/download/?resumeid=gAAAAABbk2ULd4k4gbs--oReb8D84resQvCMNUCgmtJO9KzDoJ3dPmbIy5Oeu-kpqENi5oHKSS_BkV587g8UeeAUqjbp77IlWRUV52EfDrjBVY9OjZ7lJPBd53ZP9yky-Ap-Wak45pjg")</f>
        <v>https://recruiter.shine.com/resume/download/?resumeid=gAAAAABbk2ULd4k4gbs--oReb8D84resQvCMNUCgmtJO9KzDoJ3dPmbIy5Oeu-kpqENi5oHKSS_BkV587g8UeeAUqjbp77IlWRUV52EfDrjBVY9OjZ7lJPBd53ZP9yky-Ap-Wak45pjg</v>
      </c>
    </row>
    <row r="162" spans="1:25" ht="39.950000000000003" customHeight="1">
      <c r="A162">
        <v>158</v>
      </c>
      <c r="B162" t="s">
        <v>1749</v>
      </c>
      <c r="C162" t="s">
        <v>1750</v>
      </c>
      <c r="D162" t="s">
        <v>1751</v>
      </c>
      <c r="E162" t="s">
        <v>1752</v>
      </c>
      <c r="F162" t="s">
        <v>29</v>
      </c>
      <c r="G162" t="s">
        <v>29</v>
      </c>
      <c r="H162" t="s">
        <v>31</v>
      </c>
      <c r="I162" t="s">
        <v>362</v>
      </c>
      <c r="J162" t="s">
        <v>135</v>
      </c>
      <c r="K162" t="s">
        <v>1753</v>
      </c>
      <c r="L162" t="s">
        <v>1754</v>
      </c>
      <c r="M162" t="s">
        <v>1755</v>
      </c>
      <c r="N162" t="s">
        <v>1756</v>
      </c>
      <c r="O162" t="s">
        <v>186</v>
      </c>
      <c r="Q162" t="s">
        <v>41</v>
      </c>
      <c r="R162" t="s">
        <v>1757</v>
      </c>
      <c r="S162" t="s">
        <v>1758</v>
      </c>
      <c r="T162" t="s">
        <v>625</v>
      </c>
      <c r="U162" t="s">
        <v>43</v>
      </c>
      <c r="V162" t="s">
        <v>1759</v>
      </c>
      <c r="W162" t="s">
        <v>1760</v>
      </c>
      <c r="Y162" t="str">
        <f>HYPERLINK("https://recruiter.shine.com/resume/download/?resumeid=gAAAAABbk2UMqE2qVyq42hqhRyDqwVNZ8WozqjXD7ZaQxXh4DJxRyozUEGq-tq8LZ8uaJkL36oPPYWjk9vsLchktecm-qGrGqXPf49aHlnCdFC0JIt3jVC6teiPXHAEFNh-h-91WWe8gS7w-71sBDsNdzeiDPdFEmw==")</f>
        <v>https://recruiter.shine.com/resume/download/?resumeid=gAAAAABbk2UMqE2qVyq42hqhRyDqwVNZ8WozqjXD7ZaQxXh4DJxRyozUEGq-tq8LZ8uaJkL36oPPYWjk9vsLchktecm-qGrGqXPf49aHlnCdFC0JIt3jVC6teiPXHAEFNh-h-91WWe8gS7w-71sBDsNdzeiDPdFEmw==</v>
      </c>
    </row>
    <row r="163" spans="1:25" ht="39.950000000000003" customHeight="1">
      <c r="A163">
        <v>159</v>
      </c>
      <c r="B163" t="s">
        <v>1761</v>
      </c>
      <c r="D163" t="s">
        <v>1762</v>
      </c>
      <c r="E163" t="s">
        <v>1763</v>
      </c>
      <c r="F163" t="s">
        <v>29</v>
      </c>
      <c r="G163" t="s">
        <v>29</v>
      </c>
      <c r="H163" t="s">
        <v>31</v>
      </c>
      <c r="I163" t="s">
        <v>32</v>
      </c>
      <c r="J163" t="s">
        <v>1028</v>
      </c>
      <c r="K163" t="s">
        <v>1764</v>
      </c>
      <c r="L163" t="s">
        <v>746</v>
      </c>
      <c r="M163" t="s">
        <v>1335</v>
      </c>
      <c r="N163" t="s">
        <v>1765</v>
      </c>
      <c r="O163" t="s">
        <v>38</v>
      </c>
      <c r="Q163" t="s">
        <v>90</v>
      </c>
      <c r="R163" t="s">
        <v>317</v>
      </c>
      <c r="S163" t="s">
        <v>1766</v>
      </c>
      <c r="T163" t="s">
        <v>874</v>
      </c>
      <c r="U163" t="s">
        <v>43</v>
      </c>
      <c r="V163" t="s">
        <v>1767</v>
      </c>
      <c r="W163" t="s">
        <v>1768</v>
      </c>
      <c r="Y163" t="str">
        <f>HYPERLINK("https://recruiter.shine.com/resume/download/?resumeid=gAAAAABbk2UOxu19Z3YbiAV-CVZ0SwqogRAWf52o_HrxWYCkyV0XfGUf5qJVgWRntGlbQi7D_2yzTghY-Jjub_WlbxiFGcxHIWMsMFoAIPpk7liWeXdJv-Cr89apYQbVjorhEDruZ9L7oT3RTYregPfd8eRZzNW_Iw==")</f>
        <v>https://recruiter.shine.com/resume/download/?resumeid=gAAAAABbk2UOxu19Z3YbiAV-CVZ0SwqogRAWf52o_HrxWYCkyV0XfGUf5qJVgWRntGlbQi7D_2yzTghY-Jjub_WlbxiFGcxHIWMsMFoAIPpk7liWeXdJv-Cr89apYQbVjorhEDruZ9L7oT3RTYregPfd8eRZzNW_Iw==</v>
      </c>
    </row>
    <row r="164" spans="1:25" ht="39.950000000000003" customHeight="1">
      <c r="A164">
        <v>160</v>
      </c>
      <c r="B164" t="s">
        <v>1769</v>
      </c>
      <c r="C164" t="s">
        <v>1770</v>
      </c>
      <c r="D164" t="s">
        <v>1771</v>
      </c>
      <c r="E164" t="s">
        <v>1772</v>
      </c>
      <c r="F164" t="s">
        <v>29</v>
      </c>
      <c r="G164" t="s">
        <v>1773</v>
      </c>
      <c r="H164" t="s">
        <v>31</v>
      </c>
      <c r="I164" t="s">
        <v>1774</v>
      </c>
      <c r="J164" t="s">
        <v>871</v>
      </c>
      <c r="K164" t="s">
        <v>1775</v>
      </c>
      <c r="L164" t="s">
        <v>1776</v>
      </c>
      <c r="M164" t="s">
        <v>938</v>
      </c>
      <c r="N164" t="s">
        <v>1777</v>
      </c>
      <c r="O164" t="s">
        <v>186</v>
      </c>
      <c r="P164" t="s">
        <v>940</v>
      </c>
      <c r="Q164" t="s">
        <v>123</v>
      </c>
      <c r="R164" t="s">
        <v>124</v>
      </c>
      <c r="S164" t="s">
        <v>188</v>
      </c>
      <c r="T164" t="s">
        <v>93</v>
      </c>
      <c r="U164" t="s">
        <v>43</v>
      </c>
      <c r="V164" t="s">
        <v>1778</v>
      </c>
      <c r="W164" t="s">
        <v>1779</v>
      </c>
      <c r="Y164" t="str">
        <f>HYPERLINK("https://recruiter.shine.com/resume/download/?resumeid=gAAAAABbk2UKLWVoS-qcpcMvGKCkpDL4RBotXrnSKY1bbGm-Jf8BuAEzYBURND9zdnOEIMV4yDVtk4a6QOqXCf-T972YDkNIIcdtxsTNg56BlwZvZeu9QVZeLao589H1cSYrMHaXoNhrINVtYG_RuPUqYNEDrTUycw==")</f>
        <v>https://recruiter.shine.com/resume/download/?resumeid=gAAAAABbk2UKLWVoS-qcpcMvGKCkpDL4RBotXrnSKY1bbGm-Jf8BuAEzYBURND9zdnOEIMV4yDVtk4a6QOqXCf-T972YDkNIIcdtxsTNg56BlwZvZeu9QVZeLao589H1cSYrMHaXoNhrINVtYG_RuPUqYNEDrTUycw==</v>
      </c>
    </row>
    <row r="165" spans="1:25" ht="39.950000000000003" customHeight="1">
      <c r="A165">
        <v>161</v>
      </c>
      <c r="B165" t="s">
        <v>1780</v>
      </c>
      <c r="C165" t="s">
        <v>1781</v>
      </c>
      <c r="D165" t="s">
        <v>1782</v>
      </c>
      <c r="E165" t="s">
        <v>1783</v>
      </c>
      <c r="F165" t="s">
        <v>29</v>
      </c>
      <c r="G165" t="s">
        <v>1784</v>
      </c>
      <c r="H165" t="s">
        <v>31</v>
      </c>
      <c r="I165" t="s">
        <v>825</v>
      </c>
      <c r="J165" t="s">
        <v>1785</v>
      </c>
      <c r="K165" t="s">
        <v>1786</v>
      </c>
      <c r="L165" t="s">
        <v>1787</v>
      </c>
      <c r="M165" t="s">
        <v>684</v>
      </c>
      <c r="N165" t="s">
        <v>1788</v>
      </c>
      <c r="O165" t="s">
        <v>186</v>
      </c>
      <c r="P165" t="s">
        <v>57</v>
      </c>
      <c r="Q165" t="s">
        <v>107</v>
      </c>
      <c r="R165" t="s">
        <v>341</v>
      </c>
      <c r="S165" t="s">
        <v>1789</v>
      </c>
      <c r="T165" t="s">
        <v>441</v>
      </c>
      <c r="U165" t="s">
        <v>43</v>
      </c>
      <c r="V165" t="s">
        <v>1790</v>
      </c>
      <c r="W165" t="s">
        <v>1791</v>
      </c>
      <c r="Y165" t="str">
        <f>HYPERLINK("https://recruiter.shine.com/resume/download/?resumeid=gAAAAABbk2UMSSUVjWyi8w2s5VyHCG3sO1JCLwTdy6-HAa5pOhQban0iqMHq1vBYXgm39J5r9_srvOIWVnQEsD9AIXyzfgfuveTlGVoLp5kjpPTVwwE7LbUYcoj6Mu9vpa-XEEWeXqEpp-rEvrqUoo7Zg81gjLvqrA==")</f>
        <v>https://recruiter.shine.com/resume/download/?resumeid=gAAAAABbk2UMSSUVjWyi8w2s5VyHCG3sO1JCLwTdy6-HAa5pOhQban0iqMHq1vBYXgm39J5r9_srvOIWVnQEsD9AIXyzfgfuveTlGVoLp5kjpPTVwwE7LbUYcoj6Mu9vpa-XEEWeXqEpp-rEvrqUoo7Zg81gjLvqrA==</v>
      </c>
    </row>
    <row r="166" spans="1:25" ht="39.950000000000003" customHeight="1">
      <c r="A166">
        <v>162</v>
      </c>
      <c r="B166" t="s">
        <v>1792</v>
      </c>
      <c r="C166" t="s">
        <v>1793</v>
      </c>
      <c r="D166" t="s">
        <v>1794</v>
      </c>
      <c r="E166" t="s">
        <v>1795</v>
      </c>
      <c r="F166" t="s">
        <v>29</v>
      </c>
      <c r="G166" t="s">
        <v>29</v>
      </c>
      <c r="H166" t="s">
        <v>234</v>
      </c>
      <c r="I166" t="s">
        <v>362</v>
      </c>
      <c r="J166" t="s">
        <v>135</v>
      </c>
      <c r="L166" t="s">
        <v>363</v>
      </c>
      <c r="M166" t="s">
        <v>364</v>
      </c>
      <c r="Q166" t="s">
        <v>240</v>
      </c>
      <c r="R166" t="s">
        <v>241</v>
      </c>
      <c r="S166" t="s">
        <v>1796</v>
      </c>
      <c r="T166" t="s">
        <v>126</v>
      </c>
      <c r="U166" t="s">
        <v>43</v>
      </c>
      <c r="V166" t="s">
        <v>1797</v>
      </c>
      <c r="W166" t="s">
        <v>1798</v>
      </c>
      <c r="Y166" t="str">
        <f>HYPERLINK("https://recruiter.shine.com/resume/download/?resumeid=gAAAAABbk2UOEhqK7sV_gEs3mWXDw8k_odJDiDPfCn7QR4EyrXEvQa-hz1thHQLidGHHWRJ9Hb9hCm_GXv_DrTVcHJeOqCqE_7-YnajXivCO_HdZPXl_FTE5RVYnhGCCiSYMEdemTPOxKVJYbDaepEKHNzVfgeTlGVJyQxQlvH3e9-xbOolI3E8=")</f>
        <v>https://recruiter.shine.com/resume/download/?resumeid=gAAAAABbk2UOEhqK7sV_gEs3mWXDw8k_odJDiDPfCn7QR4EyrXEvQa-hz1thHQLidGHHWRJ9Hb9hCm_GXv_DrTVcHJeOqCqE_7-YnajXivCO_HdZPXl_FTE5RVYnhGCCiSYMEdemTPOxKVJYbDaepEKHNzVfgeTlGVJyQxQlvH3e9-xbOolI3E8=</v>
      </c>
    </row>
    <row r="167" spans="1:25" ht="39.950000000000003" customHeight="1">
      <c r="A167">
        <v>163</v>
      </c>
      <c r="B167" t="s">
        <v>1799</v>
      </c>
      <c r="C167" t="s">
        <v>1800</v>
      </c>
      <c r="D167" t="s">
        <v>1801</v>
      </c>
      <c r="E167" t="s">
        <v>1802</v>
      </c>
      <c r="F167" t="s">
        <v>29</v>
      </c>
      <c r="G167" t="s">
        <v>1803</v>
      </c>
      <c r="H167" t="s">
        <v>31</v>
      </c>
      <c r="I167" t="s">
        <v>134</v>
      </c>
      <c r="J167" t="s">
        <v>1804</v>
      </c>
      <c r="K167" t="s">
        <v>1805</v>
      </c>
      <c r="L167" t="s">
        <v>1806</v>
      </c>
      <c r="M167" t="s">
        <v>1039</v>
      </c>
      <c r="N167" t="s">
        <v>1807</v>
      </c>
      <c r="O167" t="s">
        <v>157</v>
      </c>
      <c r="P167" t="s">
        <v>57</v>
      </c>
      <c r="Q167" t="s">
        <v>849</v>
      </c>
      <c r="R167" t="s">
        <v>536</v>
      </c>
      <c r="S167" t="s">
        <v>1808</v>
      </c>
      <c r="U167" t="s">
        <v>43</v>
      </c>
      <c r="V167" t="s">
        <v>1809</v>
      </c>
      <c r="W167" t="s">
        <v>1810</v>
      </c>
      <c r="Y167" t="str">
        <f>HYPERLINK("https://recruiter.shine.com/resume/download/?resumeid=gAAAAABbk2UKv2XeNaoCB60Ofru57JIMJ98eLkYSNG6sP6MB8GaMELdVLPMRER8SS_l4jcF7RsVANF9dEVzai1lMs68zf6A7aZmDtTmr6joZzOcL2-HnJ3M9IY1MYbIGU065hurzduaZ")</f>
        <v>https://recruiter.shine.com/resume/download/?resumeid=gAAAAABbk2UKv2XeNaoCB60Ofru57JIMJ98eLkYSNG6sP6MB8GaMELdVLPMRER8SS_l4jcF7RsVANF9dEVzai1lMs68zf6A7aZmDtTmr6joZzOcL2-HnJ3M9IY1MYbIGU065hurzduaZ</v>
      </c>
    </row>
    <row r="168" spans="1:25" ht="39.950000000000003" customHeight="1">
      <c r="A168">
        <v>164</v>
      </c>
      <c r="B168" t="s">
        <v>1811</v>
      </c>
      <c r="C168" t="s">
        <v>1812</v>
      </c>
      <c r="D168" t="s">
        <v>1813</v>
      </c>
      <c r="E168" t="s">
        <v>1814</v>
      </c>
      <c r="F168" t="s">
        <v>29</v>
      </c>
      <c r="G168" t="s">
        <v>1815</v>
      </c>
      <c r="H168" t="s">
        <v>31</v>
      </c>
      <c r="I168" t="s">
        <v>1709</v>
      </c>
      <c r="J168" t="s">
        <v>1816</v>
      </c>
      <c r="K168" t="s">
        <v>1817</v>
      </c>
      <c r="L168" t="s">
        <v>486</v>
      </c>
      <c r="M168" t="s">
        <v>463</v>
      </c>
      <c r="N168" t="s">
        <v>1818</v>
      </c>
      <c r="O168" t="s">
        <v>1041</v>
      </c>
      <c r="P168" t="s">
        <v>39</v>
      </c>
      <c r="Q168" t="s">
        <v>40</v>
      </c>
      <c r="R168" t="s">
        <v>760</v>
      </c>
      <c r="S168" t="s">
        <v>188</v>
      </c>
      <c r="T168" t="s">
        <v>429</v>
      </c>
      <c r="U168" t="s">
        <v>43</v>
      </c>
      <c r="V168" t="s">
        <v>1819</v>
      </c>
      <c r="W168" t="s">
        <v>1820</v>
      </c>
      <c r="Y168" t="str">
        <f>HYPERLINK("https://recruiter.shine.com/resume/download/?resumeid=gAAAAABbk2UMH2axqy8JDkCeuiv4KWX-VByFnJJLu5ugjEgbRM-UDLep8B9YyZoFcJQV4K-rHX2OrhPW3a8shW5UWOaHz81DI8vZ7CQoTtUE0ebr7w4cTWzGz-iHdm40lFe7vTg7qwcSz-nO5HPPsjOIjWhScbD45w==")</f>
        <v>https://recruiter.shine.com/resume/download/?resumeid=gAAAAABbk2UMH2axqy8JDkCeuiv4KWX-VByFnJJLu5ugjEgbRM-UDLep8B9YyZoFcJQV4K-rHX2OrhPW3a8shW5UWOaHz81DI8vZ7CQoTtUE0ebr7w4cTWzGz-iHdm40lFe7vTg7qwcSz-nO5HPPsjOIjWhScbD45w==</v>
      </c>
    </row>
    <row r="169" spans="1:25" ht="39.950000000000003" customHeight="1">
      <c r="A169">
        <v>165</v>
      </c>
      <c r="B169" t="s">
        <v>1821</v>
      </c>
      <c r="C169" t="s">
        <v>1822</v>
      </c>
      <c r="D169" t="s">
        <v>1823</v>
      </c>
      <c r="E169" t="s">
        <v>1824</v>
      </c>
      <c r="F169" t="s">
        <v>29</v>
      </c>
      <c r="G169" t="s">
        <v>1825</v>
      </c>
      <c r="H169" t="s">
        <v>31</v>
      </c>
      <c r="I169" t="s">
        <v>1826</v>
      </c>
      <c r="J169" t="s">
        <v>135</v>
      </c>
      <c r="K169" t="s">
        <v>1827</v>
      </c>
      <c r="L169" t="s">
        <v>266</v>
      </c>
      <c r="M169" t="s">
        <v>105</v>
      </c>
      <c r="N169" t="s">
        <v>1828</v>
      </c>
      <c r="O169" t="s">
        <v>585</v>
      </c>
      <c r="P169" t="s">
        <v>140</v>
      </c>
      <c r="Q169" t="s">
        <v>107</v>
      </c>
      <c r="R169" t="s">
        <v>341</v>
      </c>
      <c r="S169" t="s">
        <v>1829</v>
      </c>
      <c r="T169" t="s">
        <v>110</v>
      </c>
      <c r="U169" t="s">
        <v>43</v>
      </c>
      <c r="V169" t="s">
        <v>1830</v>
      </c>
      <c r="W169" t="s">
        <v>1831</v>
      </c>
      <c r="Y169" t="str">
        <f>HYPERLINK("https://recruiter.shine.com/resume/download/?resumeid=gAAAAABbk2UOWm235PrPbaa0-vWu5v7AhlvuJs-kNcBI3dAP2LRV--1h967UjSyIl9gUGFVKXJNzcvMIlVUIleQsN2fNP3npxEjOqs0d4b_EXr_ZeOMNJZQZfh4p00R1_iqI-7nIiyQD7-EMhATVOrRlP7WVgYRDeRoS2fgUWYAMvi4L4lTP71Y=")</f>
        <v>https://recruiter.shine.com/resume/download/?resumeid=gAAAAABbk2UOWm235PrPbaa0-vWu5v7AhlvuJs-kNcBI3dAP2LRV--1h967UjSyIl9gUGFVKXJNzcvMIlVUIleQsN2fNP3npxEjOqs0d4b_EXr_ZeOMNJZQZfh4p00R1_iqI-7nIiyQD7-EMhATVOrRlP7WVgYRDeRoS2fgUWYAMvi4L4lTP71Y=</v>
      </c>
    </row>
    <row r="170" spans="1:25" ht="39.950000000000003" customHeight="1">
      <c r="A170">
        <v>166</v>
      </c>
      <c r="B170" t="s">
        <v>1832</v>
      </c>
      <c r="C170" t="s">
        <v>1833</v>
      </c>
      <c r="D170" t="s">
        <v>1834</v>
      </c>
      <c r="E170" t="s">
        <v>1835</v>
      </c>
      <c r="F170" t="s">
        <v>29</v>
      </c>
      <c r="G170" t="s">
        <v>1836</v>
      </c>
      <c r="H170" t="s">
        <v>31</v>
      </c>
      <c r="I170" t="s">
        <v>1837</v>
      </c>
      <c r="J170" t="s">
        <v>1838</v>
      </c>
      <c r="K170" t="s">
        <v>1839</v>
      </c>
      <c r="L170" t="s">
        <v>664</v>
      </c>
      <c r="M170" t="s">
        <v>36</v>
      </c>
      <c r="N170" t="s">
        <v>1840</v>
      </c>
      <c r="O170" t="s">
        <v>186</v>
      </c>
      <c r="P170" t="s">
        <v>73</v>
      </c>
      <c r="Q170" t="s">
        <v>158</v>
      </c>
      <c r="R170" t="s">
        <v>341</v>
      </c>
      <c r="S170" t="s">
        <v>1841</v>
      </c>
      <c r="T170" t="s">
        <v>1842</v>
      </c>
      <c r="U170" t="s">
        <v>43</v>
      </c>
      <c r="V170" t="s">
        <v>1843</v>
      </c>
      <c r="W170" t="s">
        <v>1844</v>
      </c>
      <c r="Y170" t="str">
        <f>HYPERLINK("https://recruiter.shine.com/resume/download/?resumeid=gAAAAABbk2ULzWAZSTklaPnyKClk-FEsi36w4gYQd3h6ccI8y5sH1rSMsTgKSDe5NELQPBz7iC-XmyDZ1MzsFsPA2ulW4SLJksCbFpNBrgvKXVu-ikYp-xd6MwQk3_R9W3BldKd1OgCC")</f>
        <v>https://recruiter.shine.com/resume/download/?resumeid=gAAAAABbk2ULzWAZSTklaPnyKClk-FEsi36w4gYQd3h6ccI8y5sH1rSMsTgKSDe5NELQPBz7iC-XmyDZ1MzsFsPA2ulW4SLJksCbFpNBrgvKXVu-ikYp-xd6MwQk3_R9W3BldKd1OgCC</v>
      </c>
    </row>
    <row r="171" spans="1:25" ht="39.950000000000003" customHeight="1">
      <c r="A171">
        <v>167</v>
      </c>
      <c r="B171" t="s">
        <v>1845</v>
      </c>
      <c r="C171" t="s">
        <v>1846</v>
      </c>
      <c r="D171" t="s">
        <v>1847</v>
      </c>
      <c r="E171" t="s">
        <v>1848</v>
      </c>
      <c r="F171" t="s">
        <v>29</v>
      </c>
      <c r="G171" t="s">
        <v>1849</v>
      </c>
      <c r="H171" t="s">
        <v>31</v>
      </c>
      <c r="I171" t="s">
        <v>1721</v>
      </c>
      <c r="J171" t="s">
        <v>1850</v>
      </c>
      <c r="K171" t="s">
        <v>1851</v>
      </c>
      <c r="L171" t="s">
        <v>184</v>
      </c>
      <c r="M171" t="s">
        <v>105</v>
      </c>
      <c r="N171" t="s">
        <v>1852</v>
      </c>
      <c r="O171" t="s">
        <v>56</v>
      </c>
      <c r="P171" t="s">
        <v>140</v>
      </c>
      <c r="Q171" t="s">
        <v>123</v>
      </c>
      <c r="R171" t="s">
        <v>124</v>
      </c>
      <c r="S171" t="s">
        <v>188</v>
      </c>
      <c r="T171" t="s">
        <v>773</v>
      </c>
      <c r="U171" t="s">
        <v>43</v>
      </c>
      <c r="V171" t="s">
        <v>1853</v>
      </c>
      <c r="W171" t="s">
        <v>1854</v>
      </c>
      <c r="Y171" t="str">
        <f>HYPERLINK("https://recruiter.shine.com/resume/download/?resumeid=gAAAAABbk2UNVkfaOCLZqtEZkjnKZSi4CJ5TaRwjsY0y79qwiHH9D2fo32p8S0Y_csBuDhaRnFIpnOLYNbvatb0PjDYbejZpWWi3_BzmqWlVyuGRoJjukIok43FwSfaLSfIbi_glDUX9")</f>
        <v>https://recruiter.shine.com/resume/download/?resumeid=gAAAAABbk2UNVkfaOCLZqtEZkjnKZSi4CJ5TaRwjsY0y79qwiHH9D2fo32p8S0Y_csBuDhaRnFIpnOLYNbvatb0PjDYbejZpWWi3_BzmqWlVyuGRoJjukIok43FwSfaLSfIbi_glDUX9</v>
      </c>
    </row>
    <row r="172" spans="1:25" ht="39.950000000000003" customHeight="1">
      <c r="A172">
        <v>168</v>
      </c>
      <c r="B172" t="s">
        <v>1855</v>
      </c>
      <c r="D172" t="s">
        <v>1856</v>
      </c>
      <c r="E172" t="s">
        <v>1857</v>
      </c>
      <c r="F172" t="s">
        <v>29</v>
      </c>
      <c r="G172" t="s">
        <v>29</v>
      </c>
      <c r="H172" t="s">
        <v>31</v>
      </c>
      <c r="I172" t="s">
        <v>32</v>
      </c>
      <c r="J172" t="s">
        <v>792</v>
      </c>
      <c r="K172" t="s">
        <v>1858</v>
      </c>
      <c r="L172" t="s">
        <v>155</v>
      </c>
      <c r="M172" t="s">
        <v>105</v>
      </c>
      <c r="N172" t="s">
        <v>1859</v>
      </c>
      <c r="O172" t="s">
        <v>848</v>
      </c>
      <c r="P172" t="s">
        <v>57</v>
      </c>
      <c r="Q172" t="s">
        <v>107</v>
      </c>
      <c r="R172" t="s">
        <v>159</v>
      </c>
      <c r="S172" t="s">
        <v>1860</v>
      </c>
      <c r="T172" t="s">
        <v>1861</v>
      </c>
      <c r="U172" t="s">
        <v>43</v>
      </c>
      <c r="V172" t="s">
        <v>1862</v>
      </c>
      <c r="W172" t="s">
        <v>1863</v>
      </c>
      <c r="Y172" t="str">
        <f>HYPERLINK("https://recruiter.shine.com/resume/download/?resumeid=gAAAAABbk2UOTuhIfB8McBxwF7qvv6P6os_HOyRrjxN59ZkcjoNTIEPVCF_Ut1qe4qKKyKuHWougorLRrj7bwzQuRkfHSwxS45KPzuK0aU45DtZ_QR6lWhjrKZDBjTJx60vA5W7fX1ruYzMf81aTxLs8jSD0KCeSsw==")</f>
        <v>https://recruiter.shine.com/resume/download/?resumeid=gAAAAABbk2UOTuhIfB8McBxwF7qvv6P6os_HOyRrjxN59ZkcjoNTIEPVCF_Ut1qe4qKKyKuHWougorLRrj7bwzQuRkfHSwxS45KPzuK0aU45DtZ_QR6lWhjrKZDBjTJx60vA5W7fX1ruYzMf81aTxLs8jSD0KCeSsw==</v>
      </c>
    </row>
    <row r="173" spans="1:25" ht="39.950000000000003" customHeight="1">
      <c r="A173">
        <v>169</v>
      </c>
      <c r="B173" t="s">
        <v>1864</v>
      </c>
      <c r="D173" t="s">
        <v>1865</v>
      </c>
      <c r="E173" t="s">
        <v>1866</v>
      </c>
      <c r="F173" t="s">
        <v>29</v>
      </c>
      <c r="G173" t="s">
        <v>29</v>
      </c>
      <c r="I173" t="s">
        <v>168</v>
      </c>
      <c r="J173" t="s">
        <v>299</v>
      </c>
      <c r="K173" t="s">
        <v>1867</v>
      </c>
      <c r="L173" t="s">
        <v>199</v>
      </c>
      <c r="M173" t="s">
        <v>36</v>
      </c>
      <c r="N173" t="s">
        <v>1868</v>
      </c>
      <c r="O173" t="s">
        <v>38</v>
      </c>
      <c r="Q173" t="s">
        <v>107</v>
      </c>
      <c r="R173" t="s">
        <v>341</v>
      </c>
      <c r="S173" t="s">
        <v>1869</v>
      </c>
      <c r="U173" t="s">
        <v>43</v>
      </c>
      <c r="V173" t="s">
        <v>1870</v>
      </c>
      <c r="W173" t="s">
        <v>1871</v>
      </c>
      <c r="Y173" t="str">
        <f>HYPERLINK("https://recruiter.shine.com/resume/download/?resumeid=gAAAAABbk2UK0TdYubF4ryDdwpNq72WfkCKEQA8SObCjhh4RmBOmNLt_QmQrIxAuHNx_gxQAM7WuvPFKbBeqmbPBu9L4KRX1_fgmc9QDd03Dhp9QuxNSw_lo-PWLKdI-P8yE9QI75LQo")</f>
        <v>https://recruiter.shine.com/resume/download/?resumeid=gAAAAABbk2UK0TdYubF4ryDdwpNq72WfkCKEQA8SObCjhh4RmBOmNLt_QmQrIxAuHNx_gxQAM7WuvPFKbBeqmbPBu9L4KRX1_fgmc9QDd03Dhp9QuxNSw_lo-PWLKdI-P8yE9QI75LQo</v>
      </c>
    </row>
    <row r="174" spans="1:25" ht="39.950000000000003" customHeight="1">
      <c r="A174">
        <v>170</v>
      </c>
      <c r="B174" t="s">
        <v>1872</v>
      </c>
      <c r="C174" t="s">
        <v>1873</v>
      </c>
      <c r="D174" t="s">
        <v>1874</v>
      </c>
      <c r="E174" t="s">
        <v>1875</v>
      </c>
      <c r="F174" t="s">
        <v>29</v>
      </c>
      <c r="G174" t="s">
        <v>29</v>
      </c>
      <c r="H174" t="s">
        <v>31</v>
      </c>
      <c r="I174" t="s">
        <v>1876</v>
      </c>
      <c r="J174" t="s">
        <v>1877</v>
      </c>
      <c r="K174" t="s">
        <v>1878</v>
      </c>
      <c r="L174" t="s">
        <v>266</v>
      </c>
      <c r="M174" t="s">
        <v>105</v>
      </c>
      <c r="N174" t="s">
        <v>1879</v>
      </c>
      <c r="O174" t="s">
        <v>186</v>
      </c>
      <c r="P174" t="s">
        <v>201</v>
      </c>
      <c r="Q174" t="s">
        <v>1880</v>
      </c>
      <c r="R174" t="s">
        <v>1881</v>
      </c>
      <c r="S174" t="s">
        <v>1516</v>
      </c>
      <c r="T174" t="s">
        <v>61</v>
      </c>
      <c r="U174" t="s">
        <v>43</v>
      </c>
      <c r="V174" t="s">
        <v>1882</v>
      </c>
      <c r="W174" t="s">
        <v>1883</v>
      </c>
      <c r="Y174" t="str">
        <f>HYPERLINK("https://recruiter.shine.com/resume/download/?resumeid=gAAAAABbk2UNSRMhvqo0JtwVwlm3QVJrHSStVS3WEpLe6paTlHk2EGR9CFGDgUE3DpE5R59fb9nzs8zYpStpUT8AkKudew4RyGtaCxJSku2yEWm7dJvZPieLLI7FZxkDgoUwWtPZtAE4xApmiMiXmRpg1RpDkPjAnbAsV-gwBSJgQc9PcnALrJk=")</f>
        <v>https://recruiter.shine.com/resume/download/?resumeid=gAAAAABbk2UNSRMhvqo0JtwVwlm3QVJrHSStVS3WEpLe6paTlHk2EGR9CFGDgUE3DpE5R59fb9nzs8zYpStpUT8AkKudew4RyGtaCxJSku2yEWm7dJvZPieLLI7FZxkDgoUwWtPZtAE4xApmiMiXmRpg1RpDkPjAnbAsV-gwBSJgQc9PcnALrJk=</v>
      </c>
    </row>
    <row r="175" spans="1:25" ht="39.950000000000003" customHeight="1">
      <c r="A175">
        <v>171</v>
      </c>
      <c r="B175" t="s">
        <v>1884</v>
      </c>
      <c r="C175" t="s">
        <v>1885</v>
      </c>
      <c r="D175" t="s">
        <v>1886</v>
      </c>
      <c r="E175" t="s">
        <v>1887</v>
      </c>
      <c r="F175" t="s">
        <v>29</v>
      </c>
      <c r="G175" t="s">
        <v>29</v>
      </c>
      <c r="H175" t="s">
        <v>31</v>
      </c>
      <c r="I175" t="s">
        <v>998</v>
      </c>
      <c r="J175" t="s">
        <v>299</v>
      </c>
      <c r="K175" t="s">
        <v>1888</v>
      </c>
      <c r="L175" t="s">
        <v>1889</v>
      </c>
      <c r="M175" t="s">
        <v>138</v>
      </c>
      <c r="N175" t="s">
        <v>1890</v>
      </c>
      <c r="O175" t="s">
        <v>56</v>
      </c>
      <c r="Q175" t="s">
        <v>1891</v>
      </c>
      <c r="R175" t="s">
        <v>1892</v>
      </c>
      <c r="S175" t="s">
        <v>1893</v>
      </c>
      <c r="T175" t="s">
        <v>441</v>
      </c>
      <c r="U175" t="s">
        <v>43</v>
      </c>
      <c r="V175" t="s">
        <v>1894</v>
      </c>
      <c r="W175" t="s">
        <v>1895</v>
      </c>
      <c r="Y175" t="str">
        <f>HYPERLINK("https://recruiter.shine.com/resume/download/?resumeid=gAAAAABbk2UORmvU2TjytTkLOjbb45-UHy0eZbnFLZHPKCCZyoE7ER7373HmpgokoTWdcbNmaBX2Sv9lnf_PTy--PqIpePCboFjdBgXfb57ZS9KKo_qD7OpHdOz0cU3GoVSw6TjPoNE5XI9Vxfgy7a-ccLjfcLxurTShmTe3ly8XG8CbgrksfyM=")</f>
        <v>https://recruiter.shine.com/resume/download/?resumeid=gAAAAABbk2UORmvU2TjytTkLOjbb45-UHy0eZbnFLZHPKCCZyoE7ER7373HmpgokoTWdcbNmaBX2Sv9lnf_PTy--PqIpePCboFjdBgXfb57ZS9KKo_qD7OpHdOz0cU3GoVSw6TjPoNE5XI9Vxfgy7a-ccLjfcLxurTShmTe3ly8XG8CbgrksfyM=</v>
      </c>
    </row>
    <row r="176" spans="1:25" ht="39.950000000000003" customHeight="1">
      <c r="A176">
        <v>172</v>
      </c>
      <c r="B176" t="s">
        <v>1896</v>
      </c>
      <c r="D176" t="s">
        <v>1897</v>
      </c>
      <c r="E176" t="s">
        <v>1898</v>
      </c>
      <c r="F176" t="s">
        <v>29</v>
      </c>
      <c r="G176" t="s">
        <v>29</v>
      </c>
      <c r="H176" t="s">
        <v>31</v>
      </c>
      <c r="I176" t="s">
        <v>1899</v>
      </c>
      <c r="J176" t="s">
        <v>517</v>
      </c>
      <c r="K176" t="s">
        <v>1900</v>
      </c>
      <c r="L176" t="s">
        <v>301</v>
      </c>
      <c r="M176" t="s">
        <v>1901</v>
      </c>
      <c r="N176" t="s">
        <v>1902</v>
      </c>
      <c r="O176" t="s">
        <v>38</v>
      </c>
      <c r="P176" t="s">
        <v>57</v>
      </c>
      <c r="Q176" t="s">
        <v>1880</v>
      </c>
      <c r="R176" t="s">
        <v>427</v>
      </c>
      <c r="S176" t="s">
        <v>1903</v>
      </c>
      <c r="U176" t="s">
        <v>43</v>
      </c>
      <c r="V176" t="s">
        <v>1904</v>
      </c>
      <c r="W176" t="s">
        <v>1905</v>
      </c>
      <c r="Y176" t="str">
        <f>HYPERLINK("https://recruiter.shine.com/resume/download/?resumeid=gAAAAABbk2ULLdRLw3WBfAYrpo3kWIhdOxUXuiM8DX7k6VYfmMqrRGg59gfKIzH2gAYdWfK8FnZmJZkKCPe9mMaUJ1dFtbn2As4q-Qm3uV1M9nBQGFR1PRaxZbQbjMX1QgAoh8sLPhkk")</f>
        <v>https://recruiter.shine.com/resume/download/?resumeid=gAAAAABbk2ULLdRLw3WBfAYrpo3kWIhdOxUXuiM8DX7k6VYfmMqrRGg59gfKIzH2gAYdWfK8FnZmJZkKCPe9mMaUJ1dFtbn2As4q-Qm3uV1M9nBQGFR1PRaxZbQbjMX1QgAoh8sLPhkk</v>
      </c>
    </row>
    <row r="177" spans="1:25" ht="39.950000000000003" customHeight="1">
      <c r="A177">
        <v>173</v>
      </c>
      <c r="B177" t="s">
        <v>1906</v>
      </c>
      <c r="C177" t="s">
        <v>1907</v>
      </c>
      <c r="D177" t="s">
        <v>1908</v>
      </c>
      <c r="E177" t="s">
        <v>1563</v>
      </c>
      <c r="F177" t="s">
        <v>29</v>
      </c>
      <c r="G177" t="s">
        <v>1909</v>
      </c>
      <c r="H177" t="s">
        <v>31</v>
      </c>
      <c r="I177" t="s">
        <v>1721</v>
      </c>
      <c r="J177" t="s">
        <v>1566</v>
      </c>
      <c r="K177" t="s">
        <v>1910</v>
      </c>
      <c r="L177" t="s">
        <v>266</v>
      </c>
      <c r="M177" t="s">
        <v>339</v>
      </c>
      <c r="N177" t="s">
        <v>1568</v>
      </c>
      <c r="O177" t="s">
        <v>475</v>
      </c>
      <c r="P177" t="s">
        <v>73</v>
      </c>
      <c r="Q177" t="s">
        <v>74</v>
      </c>
      <c r="R177" t="s">
        <v>341</v>
      </c>
      <c r="S177" t="s">
        <v>1911</v>
      </c>
      <c r="T177" t="s">
        <v>227</v>
      </c>
      <c r="U177" t="s">
        <v>43</v>
      </c>
      <c r="V177" t="s">
        <v>1912</v>
      </c>
      <c r="W177" t="s">
        <v>1913</v>
      </c>
      <c r="Y177" t="str">
        <f>HYPERLINK("https://recruiter.shine.com/resume/download/?resumeid=gAAAAABbk2UMvye_pt_yuBuDeHuWRv4oMwNlVXPlEsLRX2o_wO7H0jRa2nVj1Zc27Y3ThwZLYXXJvz1SQVa7Jn6cL0U7X_G6fCf1T-V3MuWmojU19fUKrTiBifISCAhaF1iEUQWGhJg4wNnHTbo0eL6kr9Q45SFXdg==")</f>
        <v>https://recruiter.shine.com/resume/download/?resumeid=gAAAAABbk2UMvye_pt_yuBuDeHuWRv4oMwNlVXPlEsLRX2o_wO7H0jRa2nVj1Zc27Y3ThwZLYXXJvz1SQVa7Jn6cL0U7X_G6fCf1T-V3MuWmojU19fUKrTiBifISCAhaF1iEUQWGhJg4wNnHTbo0eL6kr9Q45SFXdg==</v>
      </c>
    </row>
    <row r="178" spans="1:25" ht="39.950000000000003" customHeight="1">
      <c r="A178">
        <v>174</v>
      </c>
      <c r="B178" t="s">
        <v>1914</v>
      </c>
      <c r="D178" t="s">
        <v>1915</v>
      </c>
      <c r="E178" t="s">
        <v>1916</v>
      </c>
      <c r="F178" t="s">
        <v>29</v>
      </c>
      <c r="G178" t="s">
        <v>29</v>
      </c>
      <c r="H178" t="s">
        <v>31</v>
      </c>
      <c r="I178" t="s">
        <v>836</v>
      </c>
      <c r="J178" t="s">
        <v>801</v>
      </c>
      <c r="K178" t="s">
        <v>1917</v>
      </c>
      <c r="L178" t="s">
        <v>1918</v>
      </c>
      <c r="M178" t="s">
        <v>473</v>
      </c>
      <c r="N178" t="s">
        <v>1919</v>
      </c>
      <c r="O178" t="s">
        <v>186</v>
      </c>
      <c r="Q178" t="s">
        <v>158</v>
      </c>
      <c r="R178" t="s">
        <v>159</v>
      </c>
      <c r="S178" t="s">
        <v>1920</v>
      </c>
      <c r="T178" t="s">
        <v>1921</v>
      </c>
      <c r="U178" t="s">
        <v>43</v>
      </c>
      <c r="V178" t="s">
        <v>1922</v>
      </c>
      <c r="W178" t="s">
        <v>1923</v>
      </c>
      <c r="Y178" t="str">
        <f>HYPERLINK("https://recruiter.shine.com/resume/download/?resumeid=gAAAAABbk2UNAOdms62IGW7XJJjoYKFpW14U9y7wq-OcM3xfHO4rG6Nr3S7-U4tM2QO7pPmuOi98BlR2skO0d7zz8f0rysh7DeJrwtCrytpV7bKj9erUM-P6ow9v-cS1vrzvQervv_Hfi-yxeWMXpqnoNYtrsyNN1w==")</f>
        <v>https://recruiter.shine.com/resume/download/?resumeid=gAAAAABbk2UNAOdms62IGW7XJJjoYKFpW14U9y7wq-OcM3xfHO4rG6Nr3S7-U4tM2QO7pPmuOi98BlR2skO0d7zz8f0rysh7DeJrwtCrytpV7bKj9erUM-P6ow9v-cS1vrzvQervv_Hfi-yxeWMXpqnoNYtrsyNN1w==</v>
      </c>
    </row>
    <row r="179" spans="1:25" ht="39.950000000000003" customHeight="1">
      <c r="A179">
        <v>175</v>
      </c>
      <c r="B179" t="s">
        <v>1924</v>
      </c>
      <c r="C179" t="s">
        <v>1925</v>
      </c>
      <c r="D179" t="s">
        <v>1926</v>
      </c>
      <c r="E179" t="s">
        <v>1927</v>
      </c>
      <c r="F179" t="s">
        <v>29</v>
      </c>
      <c r="G179" t="s">
        <v>30</v>
      </c>
      <c r="H179" t="s">
        <v>31</v>
      </c>
      <c r="I179" t="s">
        <v>152</v>
      </c>
      <c r="J179" t="s">
        <v>169</v>
      </c>
      <c r="K179" t="s">
        <v>1928</v>
      </c>
      <c r="L179" t="s">
        <v>155</v>
      </c>
      <c r="M179" t="s">
        <v>684</v>
      </c>
      <c r="N179" t="s">
        <v>1929</v>
      </c>
      <c r="O179" t="s">
        <v>186</v>
      </c>
      <c r="P179" t="s">
        <v>140</v>
      </c>
      <c r="Q179" t="s">
        <v>107</v>
      </c>
      <c r="R179" t="s">
        <v>108</v>
      </c>
      <c r="S179" t="s">
        <v>1930</v>
      </c>
      <c r="T179" t="s">
        <v>161</v>
      </c>
      <c r="U179" t="s">
        <v>43</v>
      </c>
      <c r="V179" t="s">
        <v>1931</v>
      </c>
      <c r="W179" t="s">
        <v>1932</v>
      </c>
      <c r="Y179" t="str">
        <f>HYPERLINK("https://recruiter.shine.com/resume/download/?resumeid=gAAAAABbk2ULKqQdWuQjLLsANJrWqo2HIkjvFYUJjybw7rLwTvqirtlU0c05iEyPdcYyVJRuaqhXTZ8VS-IJvLpY1c31M91_5PtDK20eQ4O_f1raq4PoLwfFqDX5MwADl_N5g8JzGlmG")</f>
        <v>https://recruiter.shine.com/resume/download/?resumeid=gAAAAABbk2ULKqQdWuQjLLsANJrWqo2HIkjvFYUJjybw7rLwTvqirtlU0c05iEyPdcYyVJRuaqhXTZ8VS-IJvLpY1c31M91_5PtDK20eQ4O_f1raq4PoLwfFqDX5MwADl_N5g8JzGlmG</v>
      </c>
    </row>
    <row r="180" spans="1:25" ht="39.950000000000003" customHeight="1">
      <c r="A180">
        <v>176</v>
      </c>
      <c r="B180" t="s">
        <v>1933</v>
      </c>
      <c r="C180" t="s">
        <v>1934</v>
      </c>
      <c r="D180" t="s">
        <v>1935</v>
      </c>
      <c r="E180" t="s">
        <v>1936</v>
      </c>
      <c r="F180" t="s">
        <v>29</v>
      </c>
      <c r="G180" t="s">
        <v>1937</v>
      </c>
      <c r="H180" t="s">
        <v>31</v>
      </c>
      <c r="I180" t="s">
        <v>392</v>
      </c>
      <c r="J180" t="s">
        <v>312</v>
      </c>
      <c r="K180" t="s">
        <v>1938</v>
      </c>
      <c r="L180" t="s">
        <v>664</v>
      </c>
      <c r="M180" t="s">
        <v>36</v>
      </c>
      <c r="N180" t="s">
        <v>1939</v>
      </c>
      <c r="O180" t="s">
        <v>804</v>
      </c>
      <c r="P180" t="s">
        <v>39</v>
      </c>
      <c r="Q180" t="s">
        <v>1880</v>
      </c>
      <c r="R180" t="s">
        <v>41</v>
      </c>
      <c r="S180" t="s">
        <v>1940</v>
      </c>
      <c r="T180" t="s">
        <v>227</v>
      </c>
      <c r="U180" t="s">
        <v>43</v>
      </c>
      <c r="V180" t="s">
        <v>1941</v>
      </c>
      <c r="W180" t="s">
        <v>1942</v>
      </c>
      <c r="Y180" t="str">
        <f>HYPERLINK("https://recruiter.shine.com/resume/download/?resumeid=gAAAAABbk2UMM8QE8qGrkgVYDTAeKZoal1xY1cqK0j0YJbXW5R9OoUqvrBfvB0Vfvbxp0-7BEzNbqRBtN92eNWXoJETW_d6qyk1EbsP89Z55sjZau9ApVPGrszDLVG6eYlJXhFMOBnFqdYZzNuaefHBxxRUlF8duD4PZAG-RbEIrHGhAwoEodjI=")</f>
        <v>https://recruiter.shine.com/resume/download/?resumeid=gAAAAABbk2UMM8QE8qGrkgVYDTAeKZoal1xY1cqK0j0YJbXW5R9OoUqvrBfvB0Vfvbxp0-7BEzNbqRBtN92eNWXoJETW_d6qyk1EbsP89Z55sjZau9ApVPGrszDLVG6eYlJXhFMOBnFqdYZzNuaefHBxxRUlF8duD4PZAG-RbEIrHGhAwoEodjI=</v>
      </c>
    </row>
    <row r="181" spans="1:25" ht="39.950000000000003" customHeight="1">
      <c r="A181">
        <v>177</v>
      </c>
      <c r="B181" t="s">
        <v>1943</v>
      </c>
      <c r="C181" t="s">
        <v>1944</v>
      </c>
      <c r="D181" t="s">
        <v>1945</v>
      </c>
      <c r="E181" t="s">
        <v>1946</v>
      </c>
      <c r="F181" t="s">
        <v>29</v>
      </c>
      <c r="G181" t="s">
        <v>29</v>
      </c>
      <c r="H181" t="s">
        <v>31</v>
      </c>
      <c r="I181" t="s">
        <v>362</v>
      </c>
      <c r="J181" t="s">
        <v>135</v>
      </c>
      <c r="L181" t="s">
        <v>363</v>
      </c>
      <c r="M181" t="s">
        <v>364</v>
      </c>
      <c r="Q181" t="s">
        <v>107</v>
      </c>
      <c r="R181" t="s">
        <v>546</v>
      </c>
      <c r="S181" t="s">
        <v>1947</v>
      </c>
      <c r="T181" t="s">
        <v>126</v>
      </c>
      <c r="U181" t="s">
        <v>43</v>
      </c>
      <c r="V181" t="s">
        <v>1948</v>
      </c>
      <c r="W181" t="s">
        <v>1949</v>
      </c>
      <c r="Y181" t="str">
        <f>HYPERLINK("https://recruiter.shine.com/resume/download/?resumeid=gAAAAABbk2UNSPGrHKI0J-Q4hHg_DRZ5tT2IOXzLuHacpwWGgM2uqsobxnPNDU_5dPpqX6-lLKcuqku4KuvmAI5-UZnvwsDKZTmQ2Plqchwsr80WuvzOrObr837mApf7J1ZmAEiyHpbHlzUwOeOZR37RQRU7PKt1wQ==")</f>
        <v>https://recruiter.shine.com/resume/download/?resumeid=gAAAAABbk2UNSPGrHKI0J-Q4hHg_DRZ5tT2IOXzLuHacpwWGgM2uqsobxnPNDU_5dPpqX6-lLKcuqku4KuvmAI5-UZnvwsDKZTmQ2Plqchwsr80WuvzOrObr837mApf7J1ZmAEiyHpbHlzUwOeOZR37RQRU7PKt1wQ==</v>
      </c>
    </row>
    <row r="182" spans="1:25" ht="39.950000000000003" customHeight="1">
      <c r="A182">
        <v>178</v>
      </c>
      <c r="B182" t="s">
        <v>1950</v>
      </c>
      <c r="D182" t="s">
        <v>1951</v>
      </c>
      <c r="E182" t="s">
        <v>1952</v>
      </c>
      <c r="F182" t="s">
        <v>29</v>
      </c>
      <c r="G182" t="s">
        <v>29</v>
      </c>
      <c r="H182" t="s">
        <v>31</v>
      </c>
      <c r="I182" t="s">
        <v>1953</v>
      </c>
      <c r="J182" t="s">
        <v>1954</v>
      </c>
      <c r="K182" t="s">
        <v>1955</v>
      </c>
      <c r="L182" t="s">
        <v>35</v>
      </c>
      <c r="M182" t="s">
        <v>684</v>
      </c>
      <c r="N182" t="s">
        <v>1956</v>
      </c>
      <c r="O182" t="s">
        <v>224</v>
      </c>
      <c r="P182" t="s">
        <v>73</v>
      </c>
      <c r="Q182" t="s">
        <v>1957</v>
      </c>
      <c r="R182" t="s">
        <v>1379</v>
      </c>
      <c r="S182" t="s">
        <v>1958</v>
      </c>
      <c r="U182" t="s">
        <v>43</v>
      </c>
      <c r="V182" t="s">
        <v>1959</v>
      </c>
      <c r="W182" t="s">
        <v>1960</v>
      </c>
      <c r="Y182" t="str">
        <f>HYPERLINK("https://recruiter.shine.com/resume/download/?resumeid=gAAAAABbk2UL2LACLXljz8h7zDxxDZCxhwn74nT-K8JCN3c5Zu1U3vqRfWSEdAv1yqVhHWDv0xwxIr4TROqUDPtpxK9PyRqPpo9XFSUVhkyZwE9NQD9K7_O9boQahUJnog1ZyKS8O1lu")</f>
        <v>https://recruiter.shine.com/resume/download/?resumeid=gAAAAABbk2UL2LACLXljz8h7zDxxDZCxhwn74nT-K8JCN3c5Zu1U3vqRfWSEdAv1yqVhHWDv0xwxIr4TROqUDPtpxK9PyRqPpo9XFSUVhkyZwE9NQD9K7_O9boQahUJnog1ZyKS8O1lu</v>
      </c>
    </row>
    <row r="183" spans="1:25" ht="39.950000000000003" customHeight="1">
      <c r="A183">
        <v>179</v>
      </c>
      <c r="B183" t="s">
        <v>1961</v>
      </c>
      <c r="C183" t="s">
        <v>1962</v>
      </c>
      <c r="D183" t="s">
        <v>1963</v>
      </c>
      <c r="E183" t="s">
        <v>1964</v>
      </c>
      <c r="F183" t="s">
        <v>858</v>
      </c>
      <c r="G183" t="s">
        <v>1965</v>
      </c>
      <c r="H183" t="s">
        <v>234</v>
      </c>
      <c r="I183" t="s">
        <v>1966</v>
      </c>
      <c r="J183" t="s">
        <v>781</v>
      </c>
      <c r="K183" t="s">
        <v>1910</v>
      </c>
      <c r="L183" t="s">
        <v>88</v>
      </c>
      <c r="M183" t="s">
        <v>238</v>
      </c>
      <c r="N183" t="s">
        <v>1967</v>
      </c>
      <c r="O183" t="s">
        <v>186</v>
      </c>
      <c r="P183" t="s">
        <v>73</v>
      </c>
      <c r="Q183" t="s">
        <v>90</v>
      </c>
      <c r="R183" t="s">
        <v>91</v>
      </c>
      <c r="S183" t="s">
        <v>1968</v>
      </c>
      <c r="U183" t="s">
        <v>43</v>
      </c>
      <c r="V183" t="s">
        <v>1969</v>
      </c>
      <c r="W183" t="s">
        <v>1970</v>
      </c>
      <c r="Y183" t="str">
        <f>HYPERLINK("https://recruiter.shine.com/resume/download/?resumeid=gAAAAABbk2UMKAo1njdwNUoio8eBuMSIQ8kVK0tqvveoCDyBFP9Z9Q2VUVNy1CcRyzg5LHUaCevdQnAWQgvPDjUh0qL-AUQB__nMUkMQtWjivb2d32ssM1dQZvDibDJP5mfGPA2pKQ3527dkvC1flyc4qyNfAoi2xsTMxbIUMf9ZP3xgr7KyAfA=")</f>
        <v>https://recruiter.shine.com/resume/download/?resumeid=gAAAAABbk2UMKAo1njdwNUoio8eBuMSIQ8kVK0tqvveoCDyBFP9Z9Q2VUVNy1CcRyzg5LHUaCevdQnAWQgvPDjUh0qL-AUQB__nMUkMQtWjivb2d32ssM1dQZvDibDJP5mfGPA2pKQ3527dkvC1flyc4qyNfAoi2xsTMxbIUMf9ZP3xgr7KyAfA=</v>
      </c>
    </row>
    <row r="184" spans="1:25" ht="39.950000000000003" customHeight="1">
      <c r="A184">
        <v>180</v>
      </c>
      <c r="B184" t="s">
        <v>1971</v>
      </c>
      <c r="C184" t="s">
        <v>1972</v>
      </c>
      <c r="D184" t="s">
        <v>1973</v>
      </c>
      <c r="E184" t="s">
        <v>1974</v>
      </c>
      <c r="F184" t="s">
        <v>29</v>
      </c>
      <c r="G184" t="s">
        <v>1975</v>
      </c>
      <c r="H184" t="s">
        <v>31</v>
      </c>
      <c r="I184" t="s">
        <v>32</v>
      </c>
      <c r="J184" t="s">
        <v>393</v>
      </c>
      <c r="K184" t="s">
        <v>1976</v>
      </c>
      <c r="L184" t="s">
        <v>664</v>
      </c>
      <c r="M184" t="s">
        <v>707</v>
      </c>
      <c r="N184" t="s">
        <v>1977</v>
      </c>
      <c r="O184" t="s">
        <v>186</v>
      </c>
      <c r="P184" t="s">
        <v>39</v>
      </c>
      <c r="Q184" t="s">
        <v>90</v>
      </c>
      <c r="R184" t="s">
        <v>465</v>
      </c>
      <c r="S184" t="s">
        <v>1978</v>
      </c>
      <c r="T184" t="s">
        <v>415</v>
      </c>
      <c r="U184" t="s">
        <v>43</v>
      </c>
      <c r="V184" t="s">
        <v>1979</v>
      </c>
      <c r="W184" t="s">
        <v>1980</v>
      </c>
      <c r="Y184" t="str">
        <f>HYPERLINK("https://recruiter.shine.com/resume/download/?resumeid=gAAAAABbk2UOgUE7coxvQi7y814lAnkZAPBOkr_bsh6cO7MTphUmhubzXbdWYB7WsES_BNti1OgqtDkccCMmfbYw-zsXCkCCtfCh9EsslqmyhOFrWG02NLK611TNtX5tk6NLYb9q5Ld0ChcySPQ0onee287qfMQ9SlsoT3vDemv8_9Ko8XZQ6Cc=")</f>
        <v>https://recruiter.shine.com/resume/download/?resumeid=gAAAAABbk2UOgUE7coxvQi7y814lAnkZAPBOkr_bsh6cO7MTphUmhubzXbdWYB7WsES_BNti1OgqtDkccCMmfbYw-zsXCkCCtfCh9EsslqmyhOFrWG02NLK611TNtX5tk6NLYb9q5Ld0ChcySPQ0onee287qfMQ9SlsoT3vDemv8_9Ko8XZQ6Cc=</v>
      </c>
    </row>
    <row r="185" spans="1:25" ht="39.950000000000003" customHeight="1">
      <c r="A185">
        <v>181</v>
      </c>
      <c r="B185" t="s">
        <v>1981</v>
      </c>
      <c r="C185" t="s">
        <v>1982</v>
      </c>
      <c r="D185" t="s">
        <v>1983</v>
      </c>
      <c r="E185" t="s">
        <v>1984</v>
      </c>
      <c r="F185" t="s">
        <v>29</v>
      </c>
      <c r="G185" t="s">
        <v>1985</v>
      </c>
      <c r="H185" t="s">
        <v>31</v>
      </c>
      <c r="I185" t="s">
        <v>1986</v>
      </c>
      <c r="J185" t="s">
        <v>235</v>
      </c>
      <c r="K185" t="s">
        <v>595</v>
      </c>
      <c r="L185" t="s">
        <v>290</v>
      </c>
      <c r="M185" t="s">
        <v>238</v>
      </c>
      <c r="N185" t="s">
        <v>1987</v>
      </c>
      <c r="O185" t="s">
        <v>186</v>
      </c>
      <c r="Q185" t="s">
        <v>90</v>
      </c>
      <c r="R185" t="s">
        <v>292</v>
      </c>
      <c r="S185" t="s">
        <v>1988</v>
      </c>
      <c r="T185" t="s">
        <v>61</v>
      </c>
      <c r="U185" t="s">
        <v>43</v>
      </c>
      <c r="V185" t="s">
        <v>1989</v>
      </c>
      <c r="W185" t="s">
        <v>1990</v>
      </c>
      <c r="Y185" t="str">
        <f>HYPERLINK("https://recruiter.shine.com/resume/download/?resumeid=gAAAAABbk2ULg1eJmcO4wwGWvh8KDEYu40MMtH4Q8c8l-PiTCvvikLI0ExuMca8huGS1fbJxMV77EnNx5X76Ug_1ROA5Y72AhFU7QHFHLF5o4b6SNi_86MuDWqpz8Pt-QXKFEY9s3jxo")</f>
        <v>https://recruiter.shine.com/resume/download/?resumeid=gAAAAABbk2ULg1eJmcO4wwGWvh8KDEYu40MMtH4Q8c8l-PiTCvvikLI0ExuMca8huGS1fbJxMV77EnNx5X76Ug_1ROA5Y72AhFU7QHFHLF5o4b6SNi_86MuDWqpz8Pt-QXKFEY9s3jxo</v>
      </c>
    </row>
    <row r="186" spans="1:25" ht="39.950000000000003" customHeight="1">
      <c r="A186">
        <v>182</v>
      </c>
      <c r="B186" t="s">
        <v>1991</v>
      </c>
      <c r="C186" t="s">
        <v>1992</v>
      </c>
      <c r="D186" t="s">
        <v>1993</v>
      </c>
      <c r="E186" t="s">
        <v>1994</v>
      </c>
      <c r="F186" t="s">
        <v>29</v>
      </c>
      <c r="G186" t="s">
        <v>1995</v>
      </c>
      <c r="H186" t="s">
        <v>31</v>
      </c>
      <c r="I186" t="s">
        <v>1996</v>
      </c>
      <c r="J186" t="s">
        <v>235</v>
      </c>
      <c r="K186" t="s">
        <v>1997</v>
      </c>
      <c r="L186" t="s">
        <v>266</v>
      </c>
      <c r="M186" t="s">
        <v>105</v>
      </c>
      <c r="N186" t="s">
        <v>1998</v>
      </c>
      <c r="O186" t="s">
        <v>38</v>
      </c>
      <c r="P186" t="s">
        <v>940</v>
      </c>
      <c r="Q186" t="s">
        <v>107</v>
      </c>
      <c r="R186" t="s">
        <v>559</v>
      </c>
      <c r="S186" t="s">
        <v>1999</v>
      </c>
      <c r="T186" t="s">
        <v>161</v>
      </c>
      <c r="U186" t="s">
        <v>43</v>
      </c>
      <c r="V186" t="s">
        <v>2000</v>
      </c>
      <c r="W186" t="s">
        <v>2001</v>
      </c>
      <c r="Y186" t="str">
        <f>HYPERLINK("https://recruiter.shine.com/resume/download/?resumeid=gAAAAABbk2UMDwKHsNiuKSxdcHC4Zd8tifMGSZowSFJogOSQ7WweVEaRFT89VsQvaB7CDaa2cna8YWWAmW0kcgTLBP_CjKcKQqGdBj3L2ZGf6vZOHyWOMr-EWgWmgmY_RqtfzMPvGSPX4Alda0MIYd40YBB2fk3h5Q==")</f>
        <v>https://recruiter.shine.com/resume/download/?resumeid=gAAAAABbk2UMDwKHsNiuKSxdcHC4Zd8tifMGSZowSFJogOSQ7WweVEaRFT89VsQvaB7CDaa2cna8YWWAmW0kcgTLBP_CjKcKQqGdBj3L2ZGf6vZOHyWOMr-EWgWmgmY_RqtfzMPvGSPX4Alda0MIYd40YBB2fk3h5Q==</v>
      </c>
    </row>
    <row r="187" spans="1:25" ht="39.950000000000003" customHeight="1">
      <c r="A187">
        <v>183</v>
      </c>
      <c r="B187" t="s">
        <v>2002</v>
      </c>
      <c r="C187" t="s">
        <v>2003</v>
      </c>
      <c r="D187" t="s">
        <v>2004</v>
      </c>
      <c r="E187" t="s">
        <v>2005</v>
      </c>
      <c r="F187" t="s">
        <v>29</v>
      </c>
      <c r="G187" t="s">
        <v>2006</v>
      </c>
      <c r="H187" t="s">
        <v>31</v>
      </c>
      <c r="I187" t="s">
        <v>32</v>
      </c>
      <c r="J187" t="s">
        <v>2007</v>
      </c>
      <c r="K187" t="s">
        <v>2008</v>
      </c>
      <c r="L187" t="s">
        <v>88</v>
      </c>
      <c r="M187" t="s">
        <v>36</v>
      </c>
      <c r="N187" t="s">
        <v>2009</v>
      </c>
      <c r="O187" t="s">
        <v>1377</v>
      </c>
      <c r="P187" t="s">
        <v>57</v>
      </c>
      <c r="Q187" t="s">
        <v>90</v>
      </c>
      <c r="R187" t="s">
        <v>91</v>
      </c>
      <c r="S187" t="s">
        <v>2010</v>
      </c>
      <c r="T187" t="s">
        <v>441</v>
      </c>
      <c r="U187" t="s">
        <v>127</v>
      </c>
      <c r="V187" t="s">
        <v>2011</v>
      </c>
      <c r="W187" t="s">
        <v>2011</v>
      </c>
      <c r="Y187" t="str">
        <f>HYPERLINK("https://recruiter.shine.com/resume/download/?resumeid=gAAAAABbk2UOlWq2qaYyzPtUfwqunO5-XvWB5OG1bDxmCKKag7Q9UAxZITaQX9qe5nFOF9SMynPiDuez_pGszmtpKpNuvw89TT-S1lBYxlZfg_oVSatNwhYcSm-4wxj5OoZDkkPOnr4S_nKQFyt2ks8njr_MHDrZt-yd2gkhmW1FzqJDT4iowDE=")</f>
        <v>https://recruiter.shine.com/resume/download/?resumeid=gAAAAABbk2UOlWq2qaYyzPtUfwqunO5-XvWB5OG1bDxmCKKag7Q9UAxZITaQX9qe5nFOF9SMynPiDuez_pGszmtpKpNuvw89TT-S1lBYxlZfg_oVSatNwhYcSm-4wxj5OoZDkkPOnr4S_nKQFyt2ks8njr_MHDrZt-yd2gkhmW1FzqJDT4iowDE=</v>
      </c>
    </row>
    <row r="188" spans="1:25" ht="39.950000000000003" customHeight="1">
      <c r="A188">
        <v>184</v>
      </c>
      <c r="B188" t="s">
        <v>2012</v>
      </c>
      <c r="D188" t="s">
        <v>2013</v>
      </c>
      <c r="E188" t="s">
        <v>2014</v>
      </c>
      <c r="F188" t="s">
        <v>29</v>
      </c>
      <c r="G188" t="s">
        <v>2015</v>
      </c>
      <c r="I188" t="s">
        <v>68</v>
      </c>
      <c r="J188" t="s">
        <v>1081</v>
      </c>
      <c r="K188" t="s">
        <v>2016</v>
      </c>
      <c r="L188" t="s">
        <v>462</v>
      </c>
      <c r="M188" t="s">
        <v>487</v>
      </c>
      <c r="N188" t="s">
        <v>2017</v>
      </c>
      <c r="O188" t="s">
        <v>186</v>
      </c>
      <c r="P188" t="s">
        <v>140</v>
      </c>
      <c r="Q188" t="s">
        <v>90</v>
      </c>
      <c r="R188" t="s">
        <v>465</v>
      </c>
      <c r="S188" t="s">
        <v>2018</v>
      </c>
      <c r="U188" t="s">
        <v>94</v>
      </c>
      <c r="V188" t="s">
        <v>2019</v>
      </c>
      <c r="W188" t="s">
        <v>2020</v>
      </c>
      <c r="Y188" t="str">
        <f>HYPERLINK("https://recruiter.shine.com/resume/download/?resumeid=gAAAAABbk2UL2I67frTNCFVPd3h-CT5qv_ehrg9-8UE36-tNroL1POP7XIRn7MlZdgm7qEHiJUXSecxJ1sdgliPfEEm2SD4u53Aq7wxw2qr_PUd99SE-YbDwD-7FbK8OyYQTDyUn-zc4")</f>
        <v>https://recruiter.shine.com/resume/download/?resumeid=gAAAAABbk2UL2I67frTNCFVPd3h-CT5qv_ehrg9-8UE36-tNroL1POP7XIRn7MlZdgm7qEHiJUXSecxJ1sdgliPfEEm2SD4u53Aq7wxw2qr_PUd99SE-YbDwD-7FbK8OyYQTDyUn-zc4</v>
      </c>
    </row>
    <row r="189" spans="1:25" ht="39.950000000000003" customHeight="1">
      <c r="A189">
        <v>185</v>
      </c>
      <c r="B189" t="s">
        <v>2021</v>
      </c>
      <c r="C189" t="s">
        <v>2022</v>
      </c>
      <c r="D189" t="s">
        <v>2023</v>
      </c>
      <c r="E189" t="s">
        <v>2024</v>
      </c>
      <c r="F189" t="s">
        <v>29</v>
      </c>
      <c r="G189" t="s">
        <v>29</v>
      </c>
      <c r="H189" t="s">
        <v>31</v>
      </c>
      <c r="I189" t="s">
        <v>2025</v>
      </c>
      <c r="J189" t="s">
        <v>2026</v>
      </c>
      <c r="K189" t="s">
        <v>2027</v>
      </c>
      <c r="L189" t="s">
        <v>794</v>
      </c>
      <c r="M189" t="s">
        <v>684</v>
      </c>
      <c r="N189" t="s">
        <v>2028</v>
      </c>
      <c r="O189" t="s">
        <v>157</v>
      </c>
      <c r="P189" t="s">
        <v>57</v>
      </c>
      <c r="Q189" t="s">
        <v>58</v>
      </c>
      <c r="R189" t="s">
        <v>59</v>
      </c>
      <c r="S189" t="s">
        <v>2029</v>
      </c>
      <c r="T189" t="s">
        <v>61</v>
      </c>
      <c r="U189" t="s">
        <v>43</v>
      </c>
      <c r="V189" t="s">
        <v>2030</v>
      </c>
      <c r="W189" t="s">
        <v>2031</v>
      </c>
      <c r="Y189" t="str">
        <f>HYPERLINK("https://recruiter.shine.com/resume/download/?resumeid=gAAAAABbk2UM27lpQHt1108GiVq5cViz62agO_vRfOcOAd8KbZGJRQgdPSNfBPEDbUlCU0yhvPx824iK9vm3dMjcebumB7QpC-KfYHx0SsHKNo52nb9juanEM8pl6W6So-rLl4qu5EytgzqS3d7p-4-m3PpbLSYx9g==")</f>
        <v>https://recruiter.shine.com/resume/download/?resumeid=gAAAAABbk2UM27lpQHt1108GiVq5cViz62agO_vRfOcOAd8KbZGJRQgdPSNfBPEDbUlCU0yhvPx824iK9vm3dMjcebumB7QpC-KfYHx0SsHKNo52nb9juanEM8pl6W6So-rLl4qu5EytgzqS3d7p-4-m3PpbLSYx9g==</v>
      </c>
    </row>
    <row r="190" spans="1:25" ht="39.950000000000003" customHeight="1">
      <c r="A190">
        <v>186</v>
      </c>
      <c r="B190" t="s">
        <v>2032</v>
      </c>
      <c r="C190" t="s">
        <v>2033</v>
      </c>
      <c r="D190" t="s">
        <v>2034</v>
      </c>
      <c r="E190" t="s">
        <v>2035</v>
      </c>
      <c r="F190" t="s">
        <v>29</v>
      </c>
      <c r="G190" t="s">
        <v>29</v>
      </c>
      <c r="H190" t="s">
        <v>31</v>
      </c>
      <c r="I190" t="s">
        <v>362</v>
      </c>
      <c r="J190" t="s">
        <v>135</v>
      </c>
      <c r="L190" t="s">
        <v>363</v>
      </c>
      <c r="M190" t="s">
        <v>364</v>
      </c>
      <c r="Q190" t="s">
        <v>107</v>
      </c>
      <c r="R190" t="s">
        <v>559</v>
      </c>
      <c r="S190" t="s">
        <v>2036</v>
      </c>
      <c r="T190" t="s">
        <v>625</v>
      </c>
      <c r="U190" t="s">
        <v>43</v>
      </c>
      <c r="V190" t="s">
        <v>2037</v>
      </c>
      <c r="W190" t="s">
        <v>2038</v>
      </c>
      <c r="Y190" t="str">
        <f>HYPERLINK("https://recruiter.shine.com/resume/download/?resumeid=gAAAAABbk2UODwD894RZ8XXgWVbohD2DKuejtrN9iatEvqQQuE6qdGTyf3bkTGPoKDaxn4ODEcw0HomPHc6q2MRzRMm-MrFTxvcajNcZVnfYD4PbUMH4iLwsTaaD4hRI02jVo1fWQXkFkn7O1ZQjYYmDIQRvtre6w9f_RYlMcZaiyhtNbXIGmUU=")</f>
        <v>https://recruiter.shine.com/resume/download/?resumeid=gAAAAABbk2UODwD894RZ8XXgWVbohD2DKuejtrN9iatEvqQQuE6qdGTyf3bkTGPoKDaxn4ODEcw0HomPHc6q2MRzRMm-MrFTxvcajNcZVnfYD4PbUMH4iLwsTaaD4hRI02jVo1fWQXkFkn7O1ZQjYYmDIQRvtre6w9f_RYlMcZaiyhtNbXIGmUU=</v>
      </c>
    </row>
    <row r="191" spans="1:25" ht="39.950000000000003" customHeight="1">
      <c r="A191">
        <v>187</v>
      </c>
      <c r="B191" t="s">
        <v>2039</v>
      </c>
      <c r="C191" t="s">
        <v>308</v>
      </c>
      <c r="D191" t="s">
        <v>2040</v>
      </c>
      <c r="E191" t="s">
        <v>2041</v>
      </c>
      <c r="F191" t="s">
        <v>29</v>
      </c>
      <c r="G191" t="s">
        <v>2042</v>
      </c>
      <c r="H191" t="s">
        <v>31</v>
      </c>
      <c r="I191" t="s">
        <v>2043</v>
      </c>
      <c r="J191" t="s">
        <v>2044</v>
      </c>
      <c r="K191" t="s">
        <v>2045</v>
      </c>
      <c r="L191" t="s">
        <v>794</v>
      </c>
      <c r="M191" t="s">
        <v>105</v>
      </c>
      <c r="N191" t="s">
        <v>2046</v>
      </c>
      <c r="O191" t="s">
        <v>585</v>
      </c>
      <c r="P191" t="s">
        <v>73</v>
      </c>
      <c r="Q191" t="s">
        <v>74</v>
      </c>
      <c r="R191" t="s">
        <v>2047</v>
      </c>
      <c r="S191" t="s">
        <v>2048</v>
      </c>
      <c r="T191" t="s">
        <v>773</v>
      </c>
      <c r="U191" t="s">
        <v>43</v>
      </c>
      <c r="V191" t="s">
        <v>2049</v>
      </c>
      <c r="W191" t="s">
        <v>2050</v>
      </c>
      <c r="Y191" t="str">
        <f>HYPERLINK("https://recruiter.shine.com/resume/download/?resumeid=gAAAAABbk2UKHHom-zF_HdAK32FIAOmGNHylniWF8nH4x3fndm1zQEraK4e0rgpP4UiDQhyiRcQzFOSEXJprRNQeWU5-uSHpiJXH3UlhtdcfHFtliCbolVufmt3OeA8SWu41QfhJZymM")</f>
        <v>https://recruiter.shine.com/resume/download/?resumeid=gAAAAABbk2UKHHom-zF_HdAK32FIAOmGNHylniWF8nH4x3fndm1zQEraK4e0rgpP4UiDQhyiRcQzFOSEXJprRNQeWU5-uSHpiJXH3UlhtdcfHFtliCbolVufmt3OeA8SWu41QfhJZymM</v>
      </c>
    </row>
    <row r="192" spans="1:25" ht="39.950000000000003" customHeight="1">
      <c r="A192">
        <v>188</v>
      </c>
      <c r="B192" t="s">
        <v>2051</v>
      </c>
      <c r="C192" t="s">
        <v>2052</v>
      </c>
      <c r="D192" t="s">
        <v>2053</v>
      </c>
      <c r="E192" t="s">
        <v>2054</v>
      </c>
      <c r="F192" t="s">
        <v>29</v>
      </c>
      <c r="G192" t="s">
        <v>2055</v>
      </c>
      <c r="H192" t="s">
        <v>31</v>
      </c>
      <c r="I192" t="s">
        <v>362</v>
      </c>
      <c r="J192" t="s">
        <v>135</v>
      </c>
      <c r="L192" t="s">
        <v>363</v>
      </c>
      <c r="M192" t="s">
        <v>364</v>
      </c>
      <c r="Q192" t="s">
        <v>107</v>
      </c>
      <c r="R192" t="s">
        <v>642</v>
      </c>
      <c r="S192" t="s">
        <v>2056</v>
      </c>
      <c r="T192" t="s">
        <v>110</v>
      </c>
      <c r="U192" t="s">
        <v>43</v>
      </c>
      <c r="V192" t="s">
        <v>2057</v>
      </c>
      <c r="W192" t="s">
        <v>2057</v>
      </c>
      <c r="Y192" t="str">
        <f>HYPERLINK("https://recruiter.shine.com/resume/download/?resumeid=gAAAAABbk2UMHgaPg1q3geSqwj7XdJyGaVMqkKtBDLSMK8ss7tRevWj_NW5JASRIi2_4MBtjhoI78M-z4j_rnYQSTnsPoLPP7Ab5uNPoC5oOpcJ-LuEI1gegoqpd-eC9Ft38M59l_xWrWk8xgDK_8zS-GGVi6td0zg==")</f>
        <v>https://recruiter.shine.com/resume/download/?resumeid=gAAAAABbk2UMHgaPg1q3geSqwj7XdJyGaVMqkKtBDLSMK8ss7tRevWj_NW5JASRIi2_4MBtjhoI78M-z4j_rnYQSTnsPoLPP7Ab5uNPoC5oOpcJ-LuEI1gegoqpd-eC9Ft38M59l_xWrWk8xgDK_8zS-GGVi6td0zg==</v>
      </c>
    </row>
    <row r="193" spans="1:25" ht="39.950000000000003" customHeight="1">
      <c r="A193">
        <v>189</v>
      </c>
      <c r="B193" t="s">
        <v>2058</v>
      </c>
      <c r="C193" t="s">
        <v>2059</v>
      </c>
      <c r="D193" t="s">
        <v>2060</v>
      </c>
      <c r="E193" t="s">
        <v>2061</v>
      </c>
      <c r="F193" t="s">
        <v>858</v>
      </c>
      <c r="G193" t="s">
        <v>2062</v>
      </c>
      <c r="H193" t="s">
        <v>31</v>
      </c>
      <c r="I193" t="s">
        <v>860</v>
      </c>
      <c r="J193" t="s">
        <v>2063</v>
      </c>
      <c r="K193" t="s">
        <v>2064</v>
      </c>
      <c r="L193" t="s">
        <v>53</v>
      </c>
      <c r="M193" t="s">
        <v>1083</v>
      </c>
      <c r="N193" t="s">
        <v>2065</v>
      </c>
      <c r="O193" t="s">
        <v>186</v>
      </c>
      <c r="P193" t="s">
        <v>73</v>
      </c>
      <c r="Q193" t="s">
        <v>1880</v>
      </c>
      <c r="R193" t="s">
        <v>59</v>
      </c>
      <c r="S193" t="s">
        <v>2066</v>
      </c>
      <c r="T193" t="s">
        <v>625</v>
      </c>
      <c r="U193" t="s">
        <v>43</v>
      </c>
      <c r="V193" t="s">
        <v>2067</v>
      </c>
      <c r="W193" t="s">
        <v>2068</v>
      </c>
      <c r="Y193" t="str">
        <f>HYPERLINK("https://recruiter.shine.com/resume/download/?resumeid=gAAAAABbk2UOEobAJWfhXNZowDozYS1R7kLpAWBJWvCzXTw3mis5Pb5qHag6kWOTjpCfXGeKmYfvlpz49DR9wgpyG1ZdTT-DXh5aXlXvu3amECE0O0pLH3hTATVHBvFiIBcZauQSUU39ZA8Uz3eC8zfI6EuAcoftUZVs5naq0W-TQijzlpykdmI=")</f>
        <v>https://recruiter.shine.com/resume/download/?resumeid=gAAAAABbk2UOEobAJWfhXNZowDozYS1R7kLpAWBJWvCzXTw3mis5Pb5qHag6kWOTjpCfXGeKmYfvlpz49DR9wgpyG1ZdTT-DXh5aXlXvu3amECE0O0pLH3hTATVHBvFiIBcZauQSUU39ZA8Uz3eC8zfI6EuAcoftUZVs5naq0W-TQijzlpykdmI=</v>
      </c>
    </row>
    <row r="194" spans="1:25" ht="39.950000000000003" customHeight="1">
      <c r="A194">
        <v>190</v>
      </c>
      <c r="B194" t="s">
        <v>2069</v>
      </c>
      <c r="C194" t="s">
        <v>2070</v>
      </c>
      <c r="D194" t="s">
        <v>2071</v>
      </c>
      <c r="E194" t="s">
        <v>2072</v>
      </c>
      <c r="F194" t="s">
        <v>29</v>
      </c>
      <c r="G194" t="s">
        <v>2073</v>
      </c>
      <c r="H194" t="s">
        <v>31</v>
      </c>
      <c r="I194" t="s">
        <v>2074</v>
      </c>
      <c r="J194" t="s">
        <v>1742</v>
      </c>
      <c r="K194" t="s">
        <v>2075</v>
      </c>
      <c r="L194" t="s">
        <v>746</v>
      </c>
      <c r="M194" t="s">
        <v>238</v>
      </c>
      <c r="N194" t="s">
        <v>2076</v>
      </c>
      <c r="O194" t="s">
        <v>224</v>
      </c>
      <c r="P194" t="s">
        <v>57</v>
      </c>
      <c r="Q194" t="s">
        <v>1880</v>
      </c>
      <c r="R194" t="s">
        <v>91</v>
      </c>
      <c r="S194" t="s">
        <v>2077</v>
      </c>
      <c r="T194" t="s">
        <v>2078</v>
      </c>
      <c r="U194" t="s">
        <v>43</v>
      </c>
      <c r="V194" t="s">
        <v>2079</v>
      </c>
      <c r="W194" t="s">
        <v>2079</v>
      </c>
      <c r="Y194" t="str">
        <f>HYPERLINK("https://recruiter.shine.com/resume/download/?resumeid=gAAAAABbk2ULB4DAhWTTE0xAH1YyCPPxqThY8IqaCDEwmBpbaZzF0CJMHSAcv_xqDtC0nDG1exckoEipZ_dEbri9Yxa9s3-aRC6qetEvVKXifoFyp5j85UlsuDi1fqnVHEWYhF_i8vMq")</f>
        <v>https://recruiter.shine.com/resume/download/?resumeid=gAAAAABbk2ULB4DAhWTTE0xAH1YyCPPxqThY8IqaCDEwmBpbaZzF0CJMHSAcv_xqDtC0nDG1exckoEipZ_dEbri9Yxa9s3-aRC6qetEvVKXifoFyp5j85UlsuDi1fqnVHEWYhF_i8vMq</v>
      </c>
    </row>
    <row r="195" spans="1:25" ht="39.950000000000003" customHeight="1">
      <c r="A195">
        <v>191</v>
      </c>
      <c r="B195" t="s">
        <v>2080</v>
      </c>
      <c r="C195" t="s">
        <v>2081</v>
      </c>
      <c r="D195" t="s">
        <v>2082</v>
      </c>
      <c r="E195" t="s">
        <v>2083</v>
      </c>
      <c r="F195" t="s">
        <v>29</v>
      </c>
      <c r="G195" t="s">
        <v>30</v>
      </c>
      <c r="H195" t="s">
        <v>31</v>
      </c>
      <c r="I195" t="s">
        <v>85</v>
      </c>
      <c r="J195" t="s">
        <v>1785</v>
      </c>
      <c r="K195" t="s">
        <v>2084</v>
      </c>
      <c r="L195" t="s">
        <v>155</v>
      </c>
      <c r="M195" t="s">
        <v>105</v>
      </c>
      <c r="N195" t="s">
        <v>2085</v>
      </c>
      <c r="O195" t="s">
        <v>186</v>
      </c>
      <c r="P195" t="s">
        <v>268</v>
      </c>
      <c r="Q195" t="s">
        <v>158</v>
      </c>
      <c r="R195" t="s">
        <v>341</v>
      </c>
      <c r="S195" t="s">
        <v>2086</v>
      </c>
      <c r="T195" t="s">
        <v>281</v>
      </c>
      <c r="U195" t="s">
        <v>94</v>
      </c>
      <c r="V195" t="s">
        <v>2087</v>
      </c>
      <c r="W195" t="s">
        <v>2088</v>
      </c>
      <c r="Y195" t="str">
        <f>HYPERLINK("https://recruiter.shine.com/resume/download/?resumeid=gAAAAABbk2UMO174s__tH098tn_ME_OOjBAQK9x8x6L1OZGk9xKsBebLwySrZ2Xo07Ca5LUSdQndJbchlq7HTDJdf7B_GGg0oVhncdcM1coOv1q-9MvtIPWQ3OqVe9dGgGR-_e5TQCwQsgLzj8c1jkofnTbV-KlrZw==")</f>
        <v>https://recruiter.shine.com/resume/download/?resumeid=gAAAAABbk2UMO174s__tH098tn_ME_OOjBAQK9x8x6L1OZGk9xKsBebLwySrZ2Xo07Ca5LUSdQndJbchlq7HTDJdf7B_GGg0oVhncdcM1coOv1q-9MvtIPWQ3OqVe9dGgGR-_e5TQCwQsgLzj8c1jkofnTbV-KlrZw==</v>
      </c>
    </row>
    <row r="196" spans="1:25" ht="39.950000000000003" customHeight="1">
      <c r="A196">
        <v>192</v>
      </c>
      <c r="B196" t="s">
        <v>2089</v>
      </c>
      <c r="C196" t="s">
        <v>2090</v>
      </c>
      <c r="D196" t="s">
        <v>2091</v>
      </c>
      <c r="E196" t="s">
        <v>2092</v>
      </c>
      <c r="F196" t="s">
        <v>29</v>
      </c>
      <c r="G196" t="s">
        <v>30</v>
      </c>
      <c r="H196" t="s">
        <v>31</v>
      </c>
      <c r="I196" t="s">
        <v>362</v>
      </c>
      <c r="J196" t="s">
        <v>135</v>
      </c>
      <c r="L196" t="s">
        <v>363</v>
      </c>
      <c r="M196" t="s">
        <v>364</v>
      </c>
      <c r="Q196" t="s">
        <v>107</v>
      </c>
      <c r="R196" t="s">
        <v>341</v>
      </c>
      <c r="S196" t="s">
        <v>2093</v>
      </c>
      <c r="T196" t="s">
        <v>625</v>
      </c>
      <c r="U196" t="s">
        <v>43</v>
      </c>
      <c r="V196" t="s">
        <v>2094</v>
      </c>
      <c r="W196" t="s">
        <v>2095</v>
      </c>
      <c r="Y196" t="str">
        <f>HYPERLINK("https://recruiter.shine.com/resume/download/?resumeid=gAAAAABbk2UOgAw52qhmexBPgAmhvDVGw-kEg-tKUrYjFLclKUsQINWXiVWDjuoLT6wpqrvxmSTic_23KAtwLO2bn-_wqHlXhOQMU_QGhYFE-DnFpQIviM7bAMZwqD4i6-diiIUbFF0cgcZTpe-kZRGse84V3dnO5R_8-4khieJu5oUGVWL-66Q=")</f>
        <v>https://recruiter.shine.com/resume/download/?resumeid=gAAAAABbk2UOgAw52qhmexBPgAmhvDVGw-kEg-tKUrYjFLclKUsQINWXiVWDjuoLT6wpqrvxmSTic_23KAtwLO2bn-_wqHlXhOQMU_QGhYFE-DnFpQIviM7bAMZwqD4i6-diiIUbFF0cgcZTpe-kZRGse84V3dnO5R_8-4khieJu5oUGVWL-66Q=</v>
      </c>
    </row>
    <row r="197" spans="1:25" ht="39.950000000000003" customHeight="1">
      <c r="A197">
        <v>193</v>
      </c>
      <c r="B197" t="s">
        <v>2096</v>
      </c>
      <c r="C197" t="s">
        <v>2097</v>
      </c>
      <c r="D197" t="s">
        <v>2098</v>
      </c>
      <c r="E197" t="s">
        <v>2099</v>
      </c>
      <c r="F197" t="s">
        <v>29</v>
      </c>
      <c r="G197" t="s">
        <v>29</v>
      </c>
      <c r="H197" t="s">
        <v>31</v>
      </c>
      <c r="I197" t="s">
        <v>32</v>
      </c>
      <c r="J197" t="s">
        <v>2100</v>
      </c>
      <c r="K197" t="s">
        <v>2101</v>
      </c>
      <c r="L197" t="s">
        <v>35</v>
      </c>
      <c r="M197" t="s">
        <v>684</v>
      </c>
      <c r="N197" t="s">
        <v>2102</v>
      </c>
      <c r="O197" t="s">
        <v>475</v>
      </c>
      <c r="P197" t="s">
        <v>57</v>
      </c>
      <c r="Q197" t="s">
        <v>90</v>
      </c>
      <c r="R197" t="s">
        <v>465</v>
      </c>
      <c r="S197" t="s">
        <v>2103</v>
      </c>
      <c r="T197" t="s">
        <v>399</v>
      </c>
      <c r="U197" t="s">
        <v>127</v>
      </c>
      <c r="V197" t="s">
        <v>2104</v>
      </c>
      <c r="W197" t="s">
        <v>2105</v>
      </c>
      <c r="Y197" t="str">
        <f>HYPERLINK("https://recruiter.shine.com/resume/download/?resumeid=gAAAAABbk2ULWbyhbLVbV4AhS1ovKhhx_PP0_e18bXnMwxHBP2XsHa-AdEWitprYwXx0_1h8ffQTHrpzdfzqURTiqj3arsh12wbFcwmbZ9axb8U5LHQlFL_ccILCz0ilNe7DsQCotw9K")</f>
        <v>https://recruiter.shine.com/resume/download/?resumeid=gAAAAABbk2ULWbyhbLVbV4AhS1ovKhhx_PP0_e18bXnMwxHBP2XsHa-AdEWitprYwXx0_1h8ffQTHrpzdfzqURTiqj3arsh12wbFcwmbZ9axb8U5LHQlFL_ccILCz0ilNe7DsQCotw9K</v>
      </c>
    </row>
    <row r="198" spans="1:25" ht="39.950000000000003" customHeight="1">
      <c r="A198">
        <v>194</v>
      </c>
      <c r="B198" t="s">
        <v>2106</v>
      </c>
      <c r="C198" t="s">
        <v>2107</v>
      </c>
      <c r="D198" t="s">
        <v>2108</v>
      </c>
      <c r="E198" t="s">
        <v>2109</v>
      </c>
      <c r="F198" t="s">
        <v>29</v>
      </c>
      <c r="G198" t="s">
        <v>29</v>
      </c>
      <c r="H198" t="s">
        <v>31</v>
      </c>
      <c r="I198" t="s">
        <v>825</v>
      </c>
      <c r="J198" t="s">
        <v>2110</v>
      </c>
      <c r="K198" t="s">
        <v>2111</v>
      </c>
      <c r="L198" t="s">
        <v>266</v>
      </c>
      <c r="M198" t="s">
        <v>105</v>
      </c>
      <c r="N198" t="s">
        <v>2112</v>
      </c>
      <c r="O198" t="s">
        <v>56</v>
      </c>
      <c r="P198" t="s">
        <v>268</v>
      </c>
      <c r="Q198" t="s">
        <v>158</v>
      </c>
      <c r="R198" t="s">
        <v>159</v>
      </c>
      <c r="S198" t="s">
        <v>2113</v>
      </c>
      <c r="U198" t="s">
        <v>43</v>
      </c>
      <c r="V198" t="s">
        <v>2114</v>
      </c>
      <c r="W198" t="s">
        <v>2115</v>
      </c>
      <c r="Y198" t="str">
        <f>HYPERLINK("https://recruiter.shine.com/resume/download/?resumeid=gAAAAABbk2UM36rkyRkq6cM-wgVtERMXlCdoD0joj1wwBe38V0A4rGKZSj0aL8SR3_45gvP2CuhPnTSVP86KdVh9g-nAanKRRcXPHnz7ZWMFWqeP73sbiRrAoRNXrQIwoxn11rp3bpAox08HGDTOJAvkJRxbdInH-g==")</f>
        <v>https://recruiter.shine.com/resume/download/?resumeid=gAAAAABbk2UM36rkyRkq6cM-wgVtERMXlCdoD0joj1wwBe38V0A4rGKZSj0aL8SR3_45gvP2CuhPnTSVP86KdVh9g-nAanKRRcXPHnz7ZWMFWqeP73sbiRrAoRNXrQIwoxn11rp3bpAox08HGDTOJAvkJRxbdInH-g==</v>
      </c>
    </row>
    <row r="199" spans="1:25" ht="39.950000000000003" customHeight="1">
      <c r="A199">
        <v>195</v>
      </c>
      <c r="B199" t="s">
        <v>2116</v>
      </c>
      <c r="C199" t="s">
        <v>480</v>
      </c>
      <c r="D199" t="s">
        <v>2117</v>
      </c>
      <c r="E199" t="s">
        <v>2118</v>
      </c>
      <c r="F199" t="s">
        <v>29</v>
      </c>
      <c r="G199" t="s">
        <v>29</v>
      </c>
      <c r="H199" t="s">
        <v>31</v>
      </c>
      <c r="I199" t="s">
        <v>905</v>
      </c>
      <c r="J199" t="s">
        <v>408</v>
      </c>
      <c r="K199" t="s">
        <v>2119</v>
      </c>
      <c r="L199" t="s">
        <v>254</v>
      </c>
      <c r="M199" t="s">
        <v>254</v>
      </c>
      <c r="N199" t="s">
        <v>2120</v>
      </c>
      <c r="O199" t="s">
        <v>56</v>
      </c>
      <c r="P199" t="s">
        <v>940</v>
      </c>
      <c r="Q199" t="s">
        <v>412</v>
      </c>
      <c r="R199" t="s">
        <v>2121</v>
      </c>
      <c r="S199" t="s">
        <v>2122</v>
      </c>
      <c r="T199" t="s">
        <v>441</v>
      </c>
      <c r="U199" t="s">
        <v>43</v>
      </c>
      <c r="V199" t="s">
        <v>2123</v>
      </c>
      <c r="W199" t="s">
        <v>2124</v>
      </c>
      <c r="Y199" t="str">
        <f>HYPERLINK("https://recruiter.shine.com/resume/download/?resumeid=gAAAAABbk2UOjcvbHqdutO4EApIrS670orc-IVltuMR4hHGeRjzpqzlssYI3lf3Vy0ucyLb0jVJNiZYl7hdJY30KzACM0dl3WPuQOn9LDbVzLVwp385rXdY_qVz9E8cIMxVF0w9gjBAIaOnrq2kZNnKAQ6N26Wsiig==")</f>
        <v>https://recruiter.shine.com/resume/download/?resumeid=gAAAAABbk2UOjcvbHqdutO4EApIrS670orc-IVltuMR4hHGeRjzpqzlssYI3lf3Vy0ucyLb0jVJNiZYl7hdJY30KzACM0dl3WPuQOn9LDbVzLVwp385rXdY_qVz9E8cIMxVF0w9gjBAIaOnrq2kZNnKAQ6N26Wsiig==</v>
      </c>
    </row>
    <row r="200" spans="1:25" ht="39.950000000000003" customHeight="1">
      <c r="A200">
        <v>196</v>
      </c>
      <c r="B200" t="s">
        <v>2125</v>
      </c>
      <c r="C200" t="s">
        <v>2126</v>
      </c>
      <c r="D200" t="s">
        <v>2127</v>
      </c>
      <c r="E200" t="s">
        <v>2128</v>
      </c>
      <c r="F200" t="s">
        <v>29</v>
      </c>
      <c r="G200" t="s">
        <v>2129</v>
      </c>
      <c r="H200" t="s">
        <v>31</v>
      </c>
      <c r="I200" t="s">
        <v>208</v>
      </c>
      <c r="J200" t="s">
        <v>2130</v>
      </c>
      <c r="K200" t="s">
        <v>2131</v>
      </c>
      <c r="L200" t="s">
        <v>2132</v>
      </c>
      <c r="M200" t="s">
        <v>2133</v>
      </c>
      <c r="N200" t="s">
        <v>2134</v>
      </c>
      <c r="O200" t="s">
        <v>224</v>
      </c>
      <c r="P200" t="s">
        <v>201</v>
      </c>
      <c r="Q200" t="s">
        <v>58</v>
      </c>
      <c r="R200" t="s">
        <v>41</v>
      </c>
      <c r="S200" t="s">
        <v>188</v>
      </c>
      <c r="T200" t="s">
        <v>1921</v>
      </c>
      <c r="U200" t="s">
        <v>94</v>
      </c>
      <c r="V200" t="s">
        <v>2135</v>
      </c>
      <c r="W200" t="s">
        <v>2135</v>
      </c>
      <c r="Y200" t="str">
        <f>HYPERLINK("https://recruiter.shine.com/resume/download/?resumeid=gAAAAABbk2ULwtP8oyGPjw0h24GshxetVhAr7jD_9tZVJy7nwguzNH3iZJWGyKeJ5vyqEq8krdofHEeiW8asTLuKFUQit6NpxB7EeBMoMdjsXCy7tP3J0uWR4Zk9F8t5FQbUJApt2l6u")</f>
        <v>https://recruiter.shine.com/resume/download/?resumeid=gAAAAABbk2ULwtP8oyGPjw0h24GshxetVhAr7jD_9tZVJy7nwguzNH3iZJWGyKeJ5vyqEq8krdofHEeiW8asTLuKFUQit6NpxB7EeBMoMdjsXCy7tP3J0uWR4Zk9F8t5FQbUJApt2l6u</v>
      </c>
    </row>
    <row r="201" spans="1:25" ht="39.950000000000003" customHeight="1">
      <c r="A201">
        <v>197</v>
      </c>
      <c r="B201" t="s">
        <v>2136</v>
      </c>
      <c r="C201" t="s">
        <v>2137</v>
      </c>
      <c r="D201" t="s">
        <v>2138</v>
      </c>
      <c r="E201" t="s">
        <v>2139</v>
      </c>
      <c r="F201" t="s">
        <v>29</v>
      </c>
      <c r="G201" t="s">
        <v>2140</v>
      </c>
      <c r="H201" t="s">
        <v>31</v>
      </c>
      <c r="I201" t="s">
        <v>860</v>
      </c>
      <c r="J201" t="s">
        <v>2141</v>
      </c>
      <c r="K201" t="s">
        <v>1225</v>
      </c>
      <c r="L201" t="s">
        <v>596</v>
      </c>
      <c r="M201" t="s">
        <v>684</v>
      </c>
      <c r="N201" t="s">
        <v>2142</v>
      </c>
      <c r="O201" t="s">
        <v>56</v>
      </c>
      <c r="P201" t="s">
        <v>771</v>
      </c>
      <c r="Q201" t="s">
        <v>107</v>
      </c>
      <c r="R201" t="s">
        <v>559</v>
      </c>
      <c r="S201" t="s">
        <v>1467</v>
      </c>
      <c r="T201" t="s">
        <v>110</v>
      </c>
      <c r="U201" t="s">
        <v>43</v>
      </c>
      <c r="V201" t="s">
        <v>2143</v>
      </c>
      <c r="W201" t="s">
        <v>2144</v>
      </c>
      <c r="Y201" t="str">
        <f>HYPERLINK("https://recruiter.shine.com/resume/download/?resumeid=gAAAAABbk2UMGea43HuRwdtvLcrS3AiBCzARlDdv1E_xry380wzGKBJb3LAEYItIjICSar1dhTQLkinly140yf2oEHgy2hBrcfjsAkrDURj9efMblclQ5gsPS-Xmx7U33Jlg_x-bmg81WnT9t46cyT3WBKSKw-CSm8hkr6o7i0O2P8TwONJYC1I=")</f>
        <v>https://recruiter.shine.com/resume/download/?resumeid=gAAAAABbk2UMGea43HuRwdtvLcrS3AiBCzARlDdv1E_xry380wzGKBJb3LAEYItIjICSar1dhTQLkinly140yf2oEHgy2hBrcfjsAkrDURj9efMblclQ5gsPS-Xmx7U33Jlg_x-bmg81WnT9t46cyT3WBKSKw-CSm8hkr6o7i0O2P8TwONJYC1I=</v>
      </c>
    </row>
    <row r="202" spans="1:25" ht="39.950000000000003" customHeight="1">
      <c r="A202">
        <v>198</v>
      </c>
      <c r="B202" t="s">
        <v>2145</v>
      </c>
      <c r="D202" t="s">
        <v>2146</v>
      </c>
      <c r="E202" t="s">
        <v>2147</v>
      </c>
      <c r="F202" t="s">
        <v>29</v>
      </c>
      <c r="G202" t="s">
        <v>29</v>
      </c>
      <c r="H202" t="s">
        <v>31</v>
      </c>
      <c r="I202" t="s">
        <v>1474</v>
      </c>
      <c r="J202" t="s">
        <v>51</v>
      </c>
      <c r="K202" t="s">
        <v>2148</v>
      </c>
      <c r="L202" t="s">
        <v>71</v>
      </c>
      <c r="M202" t="s">
        <v>54</v>
      </c>
      <c r="N202" t="s">
        <v>355</v>
      </c>
      <c r="O202" t="s">
        <v>56</v>
      </c>
      <c r="P202" t="s">
        <v>39</v>
      </c>
      <c r="Q202" t="s">
        <v>2149</v>
      </c>
      <c r="R202" t="s">
        <v>2150</v>
      </c>
      <c r="S202" t="s">
        <v>2151</v>
      </c>
      <c r="T202" t="s">
        <v>126</v>
      </c>
      <c r="U202" t="s">
        <v>43</v>
      </c>
      <c r="V202" t="s">
        <v>2152</v>
      </c>
      <c r="W202" t="s">
        <v>2152</v>
      </c>
      <c r="Y202" t="str">
        <f>HYPERLINK("https://recruiter.shine.com/resume/download/?resumeid=gAAAAABbk2UO2e0DBEGtn_-RXYOnvdFYQa7O2r3xyUAWR1PFwp52qUG3vv7BFivXttV7sTbtJcVJbvFRGo-NApILrS5hNtShZMp2LPLu2e8g7-vxNiV7KHIe35rYoIRqNqPexAfg9rVh9mnrVT96OzrEERC-Cv_cZA==")</f>
        <v>https://recruiter.shine.com/resume/download/?resumeid=gAAAAABbk2UO2e0DBEGtn_-RXYOnvdFYQa7O2r3xyUAWR1PFwp52qUG3vv7BFivXttV7sTbtJcVJbvFRGo-NApILrS5hNtShZMp2LPLu2e8g7-vxNiV7KHIe35rYoIRqNqPexAfg9rVh9mnrVT96OzrEERC-Cv_cZA==</v>
      </c>
    </row>
    <row r="203" spans="1:25" ht="39.950000000000003" customHeight="1">
      <c r="A203">
        <v>199</v>
      </c>
      <c r="B203" t="s">
        <v>2153</v>
      </c>
      <c r="C203" t="s">
        <v>2154</v>
      </c>
      <c r="D203" t="s">
        <v>2155</v>
      </c>
      <c r="E203" t="s">
        <v>2156</v>
      </c>
      <c r="F203" t="s">
        <v>29</v>
      </c>
      <c r="G203" t="s">
        <v>29</v>
      </c>
      <c r="H203" t="s">
        <v>234</v>
      </c>
      <c r="I203" t="s">
        <v>714</v>
      </c>
      <c r="J203" t="s">
        <v>801</v>
      </c>
      <c r="K203" t="s">
        <v>2157</v>
      </c>
      <c r="L203" t="s">
        <v>486</v>
      </c>
      <c r="M203" t="s">
        <v>717</v>
      </c>
      <c r="N203" t="s">
        <v>2158</v>
      </c>
      <c r="O203" t="s">
        <v>558</v>
      </c>
      <c r="Q203" t="s">
        <v>123</v>
      </c>
      <c r="R203" t="s">
        <v>124</v>
      </c>
      <c r="S203" t="s">
        <v>188</v>
      </c>
      <c r="U203" t="s">
        <v>43</v>
      </c>
      <c r="V203" t="s">
        <v>2159</v>
      </c>
      <c r="W203" t="s">
        <v>2160</v>
      </c>
      <c r="Y203" t="str">
        <f>HYPERLINK("https://recruiter.shine.com/resume/download/?resumeid=gAAAAABbk2UKn55YTEP5G2Nm_6A2BD0JkS-R2_CZPDlMljNmgoMffcOsbRsi_L7A_poXDFIGLf_eHiJAlEXOaw1jvc1OWtz6Z_5E-0vTUGZyAcuuxWwgcG5UR7vFK75mUQFzOgkBVGCv")</f>
        <v>https://recruiter.shine.com/resume/download/?resumeid=gAAAAABbk2UKn55YTEP5G2Nm_6A2BD0JkS-R2_CZPDlMljNmgoMffcOsbRsi_L7A_poXDFIGLf_eHiJAlEXOaw1jvc1OWtz6Z_5E-0vTUGZyAcuuxWwgcG5UR7vFK75mUQFzOgkBVGCv</v>
      </c>
    </row>
    <row r="204" spans="1:25" ht="39.950000000000003" customHeight="1">
      <c r="A204">
        <v>200</v>
      </c>
      <c r="B204" t="s">
        <v>2161</v>
      </c>
      <c r="D204" t="s">
        <v>2162</v>
      </c>
      <c r="E204" t="s">
        <v>2163</v>
      </c>
      <c r="F204" t="s">
        <v>29</v>
      </c>
      <c r="G204" t="s">
        <v>2164</v>
      </c>
      <c r="H204" t="s">
        <v>31</v>
      </c>
      <c r="I204" t="s">
        <v>568</v>
      </c>
      <c r="J204" t="s">
        <v>1028</v>
      </c>
      <c r="K204" t="s">
        <v>2165</v>
      </c>
      <c r="L204" t="s">
        <v>184</v>
      </c>
      <c r="M204" t="s">
        <v>463</v>
      </c>
      <c r="N204" t="s">
        <v>2166</v>
      </c>
      <c r="O204" t="s">
        <v>475</v>
      </c>
      <c r="Q204" t="s">
        <v>240</v>
      </c>
      <c r="R204" t="s">
        <v>241</v>
      </c>
      <c r="S204" t="s">
        <v>2167</v>
      </c>
      <c r="T204" t="s">
        <v>887</v>
      </c>
      <c r="U204" t="s">
        <v>43</v>
      </c>
      <c r="V204" t="s">
        <v>2168</v>
      </c>
      <c r="W204" t="s">
        <v>2169</v>
      </c>
      <c r="Y204" t="str">
        <f>HYPERLINK("https://recruiter.shine.com/resume/download/?resumeid=gAAAAABbk2UM6hYF_S3XrgD0ui3DsCsSwwi6aca5kswoGcMaAgJxfzJ_Ijx9eqBzLvB01MKUcqXfvFC_YCadd1EBstBhwLQmpSgJh5RlhU4ew6hm0NuZS9SNTfBt3pJfzBG9p2seKqH7q7svwQdQ2JGzcnMGC2DqMfJRc2w1BnlYhOUCO9uNLGo=")</f>
        <v>https://recruiter.shine.com/resume/download/?resumeid=gAAAAABbk2UM6hYF_S3XrgD0ui3DsCsSwwi6aca5kswoGcMaAgJxfzJ_Ijx9eqBzLvB01MKUcqXfvFC_YCadd1EBstBhwLQmpSgJh5RlhU4ew6hm0NuZS9SNTfBt3pJfzBG9p2seKqH7q7svwQdQ2JGzcnMGC2DqMfJRc2w1BnlYhOUCO9uNLGo=</v>
      </c>
    </row>
    <row r="205" spans="1:25" ht="39.950000000000003" customHeight="1">
      <c r="A205">
        <v>201</v>
      </c>
      <c r="B205" t="s">
        <v>2170</v>
      </c>
      <c r="C205" t="s">
        <v>2171</v>
      </c>
      <c r="D205" t="s">
        <v>2172</v>
      </c>
      <c r="E205" t="s">
        <v>2173</v>
      </c>
      <c r="F205" t="s">
        <v>29</v>
      </c>
      <c r="G205" t="s">
        <v>1684</v>
      </c>
      <c r="H205" t="s">
        <v>31</v>
      </c>
      <c r="I205" t="s">
        <v>362</v>
      </c>
      <c r="J205" t="s">
        <v>135</v>
      </c>
      <c r="L205" t="s">
        <v>363</v>
      </c>
      <c r="M205" t="s">
        <v>364</v>
      </c>
      <c r="Q205" t="s">
        <v>107</v>
      </c>
      <c r="R205" t="s">
        <v>341</v>
      </c>
      <c r="S205" t="s">
        <v>2174</v>
      </c>
      <c r="T205" t="s">
        <v>625</v>
      </c>
      <c r="U205" t="s">
        <v>43</v>
      </c>
      <c r="V205" t="s">
        <v>2175</v>
      </c>
      <c r="W205" t="s">
        <v>2176</v>
      </c>
      <c r="Y205" t="str">
        <f>HYPERLINK("https://recruiter.shine.com/resume/download/?resumeid=gAAAAABbk2UOF-KLsNJQDIu42TC3JJa4_tqSxlHY6IoscINHVcP7R-2nNWngETDfpTrgwRw5zxj_xzsdUlToDOQfkm0Zq8Wya33WzZ-d8tr6KShdx2eJwU23hKvwDQQ-yXJmZFZFv1ItcjooNwCMVWyo_d7YVQZg5Dt19YixShm6IwljtODEYV0=")</f>
        <v>https://recruiter.shine.com/resume/download/?resumeid=gAAAAABbk2UOF-KLsNJQDIu42TC3JJa4_tqSxlHY6IoscINHVcP7R-2nNWngETDfpTrgwRw5zxj_xzsdUlToDOQfkm0Zq8Wya33WzZ-d8tr6KShdx2eJwU23hKvwDQQ-yXJmZFZFv1ItcjooNwCMVWyo_d7YVQZg5Dt19YixShm6IwljtODEYV0=</v>
      </c>
    </row>
    <row r="206" spans="1:25" ht="39.950000000000003" customHeight="1">
      <c r="A206">
        <v>202</v>
      </c>
      <c r="B206" t="s">
        <v>2177</v>
      </c>
      <c r="D206" t="s">
        <v>2178</v>
      </c>
      <c r="E206" t="s">
        <v>2179</v>
      </c>
      <c r="F206" t="s">
        <v>29</v>
      </c>
      <c r="G206" t="s">
        <v>29</v>
      </c>
      <c r="I206" t="s">
        <v>1463</v>
      </c>
      <c r="J206" t="s">
        <v>393</v>
      </c>
      <c r="K206" t="s">
        <v>2180</v>
      </c>
      <c r="L206" t="s">
        <v>88</v>
      </c>
      <c r="M206" t="s">
        <v>473</v>
      </c>
      <c r="N206" t="s">
        <v>2181</v>
      </c>
      <c r="O206" t="s">
        <v>56</v>
      </c>
      <c r="Q206" t="s">
        <v>40</v>
      </c>
      <c r="R206" t="s">
        <v>413</v>
      </c>
      <c r="S206" t="s">
        <v>1467</v>
      </c>
      <c r="U206" t="s">
        <v>94</v>
      </c>
      <c r="V206" t="s">
        <v>2182</v>
      </c>
      <c r="W206" t="s">
        <v>2183</v>
      </c>
      <c r="Y206" t="str">
        <f>HYPERLINK("https://recruiter.shine.com/resume/download/?resumeid=gAAAAABbk2ULdob1dM9_ZwN_pYZdgx3SCTcAth58G2Te3Z-roOme8NODmMtgpKuRkTjwSOVwnH5fMm7QshXUM7lIEvGwDmBVRZ45PTLm-weMeZ3S5OhHY3bWhCEMrlfmCK47DAyObyAy")</f>
        <v>https://recruiter.shine.com/resume/download/?resumeid=gAAAAABbk2ULdob1dM9_ZwN_pYZdgx3SCTcAth58G2Te3Z-roOme8NODmMtgpKuRkTjwSOVwnH5fMm7QshXUM7lIEvGwDmBVRZ45PTLm-weMeZ3S5OhHY3bWhCEMrlfmCK47DAyObyAy</v>
      </c>
    </row>
    <row r="207" spans="1:25" ht="39.950000000000003" customHeight="1">
      <c r="A207">
        <v>203</v>
      </c>
      <c r="B207" t="s">
        <v>2184</v>
      </c>
      <c r="C207" t="s">
        <v>2185</v>
      </c>
      <c r="D207" t="s">
        <v>2186</v>
      </c>
      <c r="E207" t="s">
        <v>2187</v>
      </c>
      <c r="F207" t="s">
        <v>29</v>
      </c>
      <c r="G207" t="s">
        <v>922</v>
      </c>
      <c r="H207" t="s">
        <v>31</v>
      </c>
      <c r="I207" t="s">
        <v>2188</v>
      </c>
      <c r="J207" t="s">
        <v>2189</v>
      </c>
      <c r="K207" t="s">
        <v>2190</v>
      </c>
      <c r="L207" t="s">
        <v>486</v>
      </c>
      <c r="M207" t="s">
        <v>473</v>
      </c>
      <c r="N207" t="s">
        <v>2191</v>
      </c>
      <c r="O207" t="s">
        <v>186</v>
      </c>
      <c r="Q207" t="s">
        <v>40</v>
      </c>
      <c r="R207" t="s">
        <v>2192</v>
      </c>
      <c r="S207" t="s">
        <v>188</v>
      </c>
      <c r="T207" t="s">
        <v>110</v>
      </c>
      <c r="U207" t="s">
        <v>43</v>
      </c>
      <c r="V207" t="s">
        <v>2193</v>
      </c>
      <c r="W207" t="s">
        <v>2194</v>
      </c>
      <c r="Y207" t="str">
        <f>HYPERLINK("https://recruiter.shine.com/resume/download/?resumeid=gAAAAABbk2UMQyhUT7c0UiNQtI-lsuEKf8Zjl5yFroHZ5BijPzwG6IS-aZBodxn1fGEszX3u5-pSnxyQwf6PJj3Z9-LeiTksE4Z9vXkcD9WWg8ojPoYySfBfz1Iu_kk3dX47VGd431OjCc48dAcxAPXMelXQS2YXjGWHEieV0Xp9u-Sue1qpSo0=")</f>
        <v>https://recruiter.shine.com/resume/download/?resumeid=gAAAAABbk2UMQyhUT7c0UiNQtI-lsuEKf8Zjl5yFroHZ5BijPzwG6IS-aZBodxn1fGEszX3u5-pSnxyQwf6PJj3Z9-LeiTksE4Z9vXkcD9WWg8ojPoYySfBfz1Iu_kk3dX47VGd431OjCc48dAcxAPXMelXQS2YXjGWHEieV0Xp9u-Sue1qpSo0=</v>
      </c>
    </row>
    <row r="208" spans="1:25" ht="39.950000000000003" customHeight="1">
      <c r="A208">
        <v>204</v>
      </c>
      <c r="B208" t="s">
        <v>2195</v>
      </c>
      <c r="D208" t="s">
        <v>2196</v>
      </c>
      <c r="E208" t="s">
        <v>2197</v>
      </c>
      <c r="F208" t="s">
        <v>858</v>
      </c>
      <c r="G208" t="s">
        <v>858</v>
      </c>
      <c r="H208" t="s">
        <v>31</v>
      </c>
      <c r="I208" t="s">
        <v>998</v>
      </c>
      <c r="J208" t="s">
        <v>1050</v>
      </c>
      <c r="K208" t="s">
        <v>2198</v>
      </c>
      <c r="L208" t="s">
        <v>2199</v>
      </c>
      <c r="M208" t="s">
        <v>1901</v>
      </c>
      <c r="N208" t="s">
        <v>2200</v>
      </c>
      <c r="O208" t="s">
        <v>38</v>
      </c>
      <c r="P208" t="s">
        <v>39</v>
      </c>
      <c r="Q208" t="s">
        <v>74</v>
      </c>
      <c r="R208" t="s">
        <v>2047</v>
      </c>
      <c r="S208" t="s">
        <v>2201</v>
      </c>
      <c r="T208" t="s">
        <v>304</v>
      </c>
      <c r="U208" t="s">
        <v>43</v>
      </c>
      <c r="V208" t="s">
        <v>2202</v>
      </c>
      <c r="W208" t="s">
        <v>2203</v>
      </c>
      <c r="Y208" t="str">
        <f>HYPERLINK("https://recruiter.shine.com/resume/download/?resumeid=gAAAAABbk2UOX0fltacQ8No7eiUTUM62lZjfQoNgupcQ8vPQNSDbmWjCA_jDps9BB059w79HKjJwZA8DSCBY2XYGYsnsI0_1swQp2L8GS2ELn3BFXsgYWpCFA5ZZ0lbRNAR7DkFdjmPsvasY6aj8qal_YP5PTj1cib6Z5OBydh-nQALdFIifZa0=")</f>
        <v>https://recruiter.shine.com/resume/download/?resumeid=gAAAAABbk2UOX0fltacQ8No7eiUTUM62lZjfQoNgupcQ8vPQNSDbmWjCA_jDps9BB059w79HKjJwZA8DSCBY2XYGYsnsI0_1swQp2L8GS2ELn3BFXsgYWpCFA5ZZ0lbRNAR7DkFdjmPsvasY6aj8qal_YP5PTj1cib6Z5OBydh-nQALdFIifZa0=</v>
      </c>
    </row>
    <row r="209" spans="1:25" ht="39.950000000000003" customHeight="1">
      <c r="A209">
        <v>205</v>
      </c>
      <c r="B209" t="s">
        <v>2204</v>
      </c>
      <c r="C209" t="s">
        <v>2205</v>
      </c>
      <c r="D209" t="s">
        <v>2206</v>
      </c>
      <c r="E209" t="s">
        <v>2207</v>
      </c>
      <c r="F209" t="s">
        <v>29</v>
      </c>
      <c r="G209" t="s">
        <v>2208</v>
      </c>
      <c r="I209" t="s">
        <v>1554</v>
      </c>
      <c r="J209" t="s">
        <v>2209</v>
      </c>
      <c r="K209" t="s">
        <v>2210</v>
      </c>
      <c r="L209" t="s">
        <v>88</v>
      </c>
      <c r="M209" t="s">
        <v>684</v>
      </c>
      <c r="N209" t="s">
        <v>2211</v>
      </c>
      <c r="O209" t="s">
        <v>804</v>
      </c>
      <c r="P209" t="s">
        <v>57</v>
      </c>
      <c r="Q209" t="s">
        <v>107</v>
      </c>
      <c r="R209" t="s">
        <v>341</v>
      </c>
      <c r="S209" t="s">
        <v>2212</v>
      </c>
      <c r="T209" t="s">
        <v>161</v>
      </c>
      <c r="U209" t="s">
        <v>43</v>
      </c>
      <c r="V209" t="s">
        <v>2213</v>
      </c>
      <c r="W209" t="s">
        <v>2214</v>
      </c>
      <c r="Y209" t="str">
        <f>HYPERLINK("https://recruiter.shine.com/resume/download/?resumeid=gAAAAABbk2UK4A3wRCMxWXCBcxCsa0r6mTFpJnkl92kP9n4lDJchQRXHDBSu3r5cHafS68_e7aKA2ZIgkAuIQYsG8V-87RLuGLkyTSRVhMvXJFDIhaTOq4UmhhHO162hYV6eCsX4cpzR")</f>
        <v>https://recruiter.shine.com/resume/download/?resumeid=gAAAAABbk2UK4A3wRCMxWXCBcxCsa0r6mTFpJnkl92kP9n4lDJchQRXHDBSu3r5cHafS68_e7aKA2ZIgkAuIQYsG8V-87RLuGLkyTSRVhMvXJFDIhaTOq4UmhhHO162hYV6eCsX4cpzR</v>
      </c>
    </row>
    <row r="210" spans="1:25" ht="39.950000000000003" customHeight="1">
      <c r="A210">
        <v>206</v>
      </c>
      <c r="B210" t="s">
        <v>2215</v>
      </c>
      <c r="C210" t="s">
        <v>2216</v>
      </c>
      <c r="D210" t="s">
        <v>2217</v>
      </c>
      <c r="E210" t="s">
        <v>2218</v>
      </c>
      <c r="F210" t="s">
        <v>29</v>
      </c>
      <c r="G210" t="s">
        <v>29</v>
      </c>
      <c r="H210" t="s">
        <v>31</v>
      </c>
      <c r="I210" t="s">
        <v>2219</v>
      </c>
      <c r="J210" t="s">
        <v>2220</v>
      </c>
      <c r="K210" t="s">
        <v>2221</v>
      </c>
      <c r="L210" t="s">
        <v>486</v>
      </c>
      <c r="M210" t="s">
        <v>238</v>
      </c>
      <c r="N210" t="s">
        <v>2222</v>
      </c>
      <c r="O210" t="s">
        <v>56</v>
      </c>
      <c r="P210" t="s">
        <v>73</v>
      </c>
      <c r="Q210" t="s">
        <v>40</v>
      </c>
      <c r="R210" t="s">
        <v>41</v>
      </c>
      <c r="S210" t="s">
        <v>2223</v>
      </c>
      <c r="T210" t="s">
        <v>304</v>
      </c>
      <c r="U210" t="s">
        <v>127</v>
      </c>
      <c r="V210" t="s">
        <v>2224</v>
      </c>
      <c r="W210" t="s">
        <v>2225</v>
      </c>
      <c r="Y210" t="str">
        <f>HYPERLINK("https://recruiter.shine.com/resume/download/?resumeid=gAAAAABbk2UMm9r1AN3ngqpnsRhHewAdjm-j4cJZflyQIOc9aEYcvrKnoQT6Dazq4BQLYDLFYqe_Xxpnd-eU1HRma8_T8ITYEgA-javSa3e6R1r6w4UTD6NUMjmHeeJmziZjRG0XFFEw-fZEhSuDb1XeuL4AwJHrf4GQGfPLWEH_vUFivIz-5Wg=")</f>
        <v>https://recruiter.shine.com/resume/download/?resumeid=gAAAAABbk2UMm9r1AN3ngqpnsRhHewAdjm-j4cJZflyQIOc9aEYcvrKnoQT6Dazq4BQLYDLFYqe_Xxpnd-eU1HRma8_T8ITYEgA-javSa3e6R1r6w4UTD6NUMjmHeeJmziZjRG0XFFEw-fZEhSuDb1XeuL4AwJHrf4GQGfPLWEH_vUFivIz-5Wg=</v>
      </c>
    </row>
    <row r="211" spans="1:25" ht="39.950000000000003" customHeight="1">
      <c r="A211">
        <v>207</v>
      </c>
      <c r="B211" t="s">
        <v>2226</v>
      </c>
      <c r="D211" t="s">
        <v>2227</v>
      </c>
      <c r="E211" t="s">
        <v>2228</v>
      </c>
      <c r="F211" t="s">
        <v>29</v>
      </c>
      <c r="G211" t="s">
        <v>67</v>
      </c>
      <c r="H211" t="s">
        <v>31</v>
      </c>
      <c r="I211" t="s">
        <v>32</v>
      </c>
      <c r="J211" t="s">
        <v>235</v>
      </c>
      <c r="K211" t="s">
        <v>2229</v>
      </c>
      <c r="L211" t="s">
        <v>1776</v>
      </c>
      <c r="M211" t="s">
        <v>583</v>
      </c>
      <c r="N211" t="s">
        <v>2229</v>
      </c>
      <c r="O211" t="s">
        <v>848</v>
      </c>
      <c r="P211" t="s">
        <v>940</v>
      </c>
      <c r="Q211" t="s">
        <v>365</v>
      </c>
      <c r="R211" t="s">
        <v>2230</v>
      </c>
      <c r="S211" t="s">
        <v>2231</v>
      </c>
      <c r="T211" t="s">
        <v>851</v>
      </c>
      <c r="U211" t="s">
        <v>43</v>
      </c>
      <c r="V211" t="s">
        <v>2232</v>
      </c>
      <c r="W211" t="s">
        <v>2233</v>
      </c>
      <c r="Y211" t="str">
        <f>HYPERLINK("https://recruiter.shine.com/resume/download/?resumeid=gAAAAABbk2UOJwh08LQ72GWORMwnBMiyXIvQtyFRJ1AwiyajynZXMUr3frJW4snTgMdDDwL9RBJT2fjAkjfSQjrDSwh4MB_gfF02eRQA6OqJUqZBWFvjPIXm0GET_bV4UpI-PgjJTn5i9-1rs79asPQgX6iRwwOzdV0ZUMWk2JOdzVCSWldy9Ew=")</f>
        <v>https://recruiter.shine.com/resume/download/?resumeid=gAAAAABbk2UOJwh08LQ72GWORMwnBMiyXIvQtyFRJ1AwiyajynZXMUr3frJW4snTgMdDDwL9RBJT2fjAkjfSQjrDSwh4MB_gfF02eRQA6OqJUqZBWFvjPIXm0GET_bV4UpI-PgjJTn5i9-1rs79asPQgX6iRwwOzdV0ZUMWk2JOdzVCSWldy9Ew=</v>
      </c>
    </row>
    <row r="212" spans="1:25" ht="39.950000000000003" customHeight="1">
      <c r="A212">
        <v>208</v>
      </c>
      <c r="B212" t="s">
        <v>2234</v>
      </c>
      <c r="C212" t="s">
        <v>2235</v>
      </c>
      <c r="D212" t="s">
        <v>2236</v>
      </c>
      <c r="E212" t="s">
        <v>2237</v>
      </c>
      <c r="F212" t="s">
        <v>29</v>
      </c>
      <c r="G212" t="s">
        <v>29</v>
      </c>
      <c r="H212" t="s">
        <v>31</v>
      </c>
      <c r="I212" t="s">
        <v>32</v>
      </c>
      <c r="J212" t="s">
        <v>2238</v>
      </c>
      <c r="K212" t="s">
        <v>2239</v>
      </c>
      <c r="L212" t="s">
        <v>2240</v>
      </c>
      <c r="M212" t="s">
        <v>473</v>
      </c>
      <c r="N212" t="s">
        <v>2241</v>
      </c>
      <c r="O212" t="s">
        <v>224</v>
      </c>
      <c r="P212" t="s">
        <v>39</v>
      </c>
      <c r="Q212" t="s">
        <v>107</v>
      </c>
      <c r="R212" t="s">
        <v>341</v>
      </c>
      <c r="S212" t="s">
        <v>2229</v>
      </c>
      <c r="T212" t="s">
        <v>1842</v>
      </c>
      <c r="U212" t="s">
        <v>43</v>
      </c>
      <c r="V212" t="s">
        <v>2242</v>
      </c>
      <c r="W212" t="s">
        <v>2243</v>
      </c>
      <c r="Y212" t="str">
        <f>HYPERLINK("https://recruiter.shine.com/resume/download/?resumeid=gAAAAABbk2UKuNvjHMBokYFK975Ac_ZdniBzfeWDqVzSXdTaeIsfO7QyI1Yn60RSaDlTGNbt9mMtSunQQqrzdXXfhBRwOqZ7b1Se7H28AIKViYOuu49SCBAapk5DbKSiXBsw7Wt6r3ip")</f>
        <v>https://recruiter.shine.com/resume/download/?resumeid=gAAAAABbk2UKuNvjHMBokYFK975Ac_ZdniBzfeWDqVzSXdTaeIsfO7QyI1Yn60RSaDlTGNbt9mMtSunQQqrzdXXfhBRwOqZ7b1Se7H28AIKViYOuu49SCBAapk5DbKSiXBsw7Wt6r3ip</v>
      </c>
    </row>
    <row r="213" spans="1:25" ht="39.950000000000003" customHeight="1">
      <c r="A213">
        <v>209</v>
      </c>
      <c r="B213" t="s">
        <v>2244</v>
      </c>
      <c r="C213" t="s">
        <v>2245</v>
      </c>
      <c r="D213" t="s">
        <v>2246</v>
      </c>
      <c r="E213" t="s">
        <v>2247</v>
      </c>
      <c r="F213" t="s">
        <v>29</v>
      </c>
      <c r="G213" t="s">
        <v>29</v>
      </c>
      <c r="H213" t="s">
        <v>31</v>
      </c>
      <c r="I213" t="s">
        <v>568</v>
      </c>
      <c r="J213" t="s">
        <v>423</v>
      </c>
      <c r="K213" t="s">
        <v>2248</v>
      </c>
      <c r="L213" t="s">
        <v>2249</v>
      </c>
      <c r="M213" t="s">
        <v>172</v>
      </c>
      <c r="N213" t="s">
        <v>2250</v>
      </c>
      <c r="O213" t="s">
        <v>56</v>
      </c>
      <c r="P213" t="s">
        <v>57</v>
      </c>
      <c r="Q213" t="s">
        <v>123</v>
      </c>
      <c r="R213" t="s">
        <v>124</v>
      </c>
      <c r="S213" t="s">
        <v>188</v>
      </c>
      <c r="T213" t="s">
        <v>227</v>
      </c>
      <c r="U213" t="s">
        <v>43</v>
      </c>
      <c r="V213" t="s">
        <v>2251</v>
      </c>
      <c r="W213" t="s">
        <v>2252</v>
      </c>
      <c r="Y213" t="str">
        <f>HYPERLINK("https://recruiter.shine.com/resume/download/?resumeid=gAAAAABbk2UMkbtKOMyVyJzq5eDdppS5D-9HOeaFuQxJJaLQ8m4YFS0srKsQuQqShm2Yvvsq6eRZdHkfDX_wjQ_b9y7lDHp-i4kuq5q2mH1OOeG4HfTktFSjiHatkNi0gQVEQw9YTtaKGk6Bq_O81bv6iIAjEDxHYA==")</f>
        <v>https://recruiter.shine.com/resume/download/?resumeid=gAAAAABbk2UMkbtKOMyVyJzq5eDdppS5D-9HOeaFuQxJJaLQ8m4YFS0srKsQuQqShm2Yvvsq6eRZdHkfDX_wjQ_b9y7lDHp-i4kuq5q2mH1OOeG4HfTktFSjiHatkNi0gQVEQw9YTtaKGk6Bq_O81bv6iIAjEDxHYA==</v>
      </c>
    </row>
    <row r="214" spans="1:25" ht="39.950000000000003" customHeight="1">
      <c r="A214">
        <v>210</v>
      </c>
      <c r="B214" t="s">
        <v>2253</v>
      </c>
      <c r="D214" t="s">
        <v>2254</v>
      </c>
      <c r="E214" t="s">
        <v>2255</v>
      </c>
      <c r="F214" t="s">
        <v>29</v>
      </c>
      <c r="G214" t="s">
        <v>29</v>
      </c>
      <c r="H214" t="s">
        <v>234</v>
      </c>
      <c r="I214" t="s">
        <v>362</v>
      </c>
      <c r="J214" t="s">
        <v>135</v>
      </c>
      <c r="L214" t="s">
        <v>363</v>
      </c>
      <c r="M214" t="s">
        <v>364</v>
      </c>
      <c r="Q214" t="s">
        <v>489</v>
      </c>
      <c r="R214" t="s">
        <v>292</v>
      </c>
      <c r="S214" t="s">
        <v>2256</v>
      </c>
      <c r="T214" t="s">
        <v>2078</v>
      </c>
      <c r="U214" t="s">
        <v>127</v>
      </c>
      <c r="V214" t="s">
        <v>2257</v>
      </c>
      <c r="W214" t="s">
        <v>2257</v>
      </c>
      <c r="Y214" t="str">
        <f>HYPERLINK("https://recruiter.shine.com/resume/download/?resumeid=gAAAAABbk2UORu_IJ2Ww5huCqaA49EgI5jArcdUaTvtHZoUiszkkzOvvbBOrM6fSH9kbd9XHj3RBRrF26tJbM6s0G5Nd9PKCclLBaL7ovFDeykL8vgOxlrezhyIM7dsH9XmqA3WyWnD46DlcLUsnm9WACGYrYp0nVfze8EAVaeuVVtev6FCwlmo=")</f>
        <v>https://recruiter.shine.com/resume/download/?resumeid=gAAAAABbk2UORu_IJ2Ww5huCqaA49EgI5jArcdUaTvtHZoUiszkkzOvvbBOrM6fSH9kbd9XHj3RBRrF26tJbM6s0G5Nd9PKCclLBaL7ovFDeykL8vgOxlrezhyIM7dsH9XmqA3WyWnD46DlcLUsnm9WACGYrYp0nVfze8EAVaeuVVtev6FCwlmo=</v>
      </c>
    </row>
    <row r="215" spans="1:25" ht="39.950000000000003" customHeight="1">
      <c r="A215">
        <v>211</v>
      </c>
      <c r="B215" t="s">
        <v>2258</v>
      </c>
      <c r="C215" t="s">
        <v>2259</v>
      </c>
      <c r="D215" t="s">
        <v>2260</v>
      </c>
      <c r="E215" t="s">
        <v>2261</v>
      </c>
      <c r="F215" t="s">
        <v>29</v>
      </c>
      <c r="G215" t="s">
        <v>2262</v>
      </c>
      <c r="H215" t="s">
        <v>31</v>
      </c>
      <c r="I215" t="s">
        <v>2263</v>
      </c>
      <c r="J215" t="s">
        <v>2264</v>
      </c>
      <c r="K215" t="s">
        <v>2265</v>
      </c>
      <c r="L215" t="s">
        <v>664</v>
      </c>
      <c r="M215" t="s">
        <v>54</v>
      </c>
      <c r="N215" t="s">
        <v>2266</v>
      </c>
      <c r="O215" t="s">
        <v>224</v>
      </c>
      <c r="P215" t="s">
        <v>39</v>
      </c>
      <c r="Q215" t="s">
        <v>2267</v>
      </c>
      <c r="R215" t="s">
        <v>2150</v>
      </c>
      <c r="S215" t="s">
        <v>2018</v>
      </c>
      <c r="T215" t="s">
        <v>227</v>
      </c>
      <c r="U215" t="s">
        <v>43</v>
      </c>
      <c r="V215" t="s">
        <v>2268</v>
      </c>
      <c r="W215" t="s">
        <v>2268</v>
      </c>
      <c r="Y215" t="str">
        <f>HYPERLINK("https://recruiter.shine.com/resume/download/?resumeid=gAAAAABbk2ULAeRSxtNscjbgdaKPEC3AE50aQpRfXLOUWWn3ziTAs9Pu1yw4m9hPgheRP9VlBAdTZ2vnJNwNW8S4KJ8WgqN0CFp-u8R2eRfhTyWyiX2Kjgu_2MI7yebAonYoprCuxmUw")</f>
        <v>https://recruiter.shine.com/resume/download/?resumeid=gAAAAABbk2ULAeRSxtNscjbgdaKPEC3AE50aQpRfXLOUWWn3ziTAs9Pu1yw4m9hPgheRP9VlBAdTZ2vnJNwNW8S4KJ8WgqN0CFp-u8R2eRfhTyWyiX2Kjgu_2MI7yebAonYoprCuxmUw</v>
      </c>
    </row>
    <row r="216" spans="1:25" ht="39.950000000000003" customHeight="1">
      <c r="A216">
        <v>212</v>
      </c>
      <c r="B216" t="s">
        <v>2269</v>
      </c>
      <c r="C216" t="s">
        <v>2270</v>
      </c>
      <c r="D216" t="s">
        <v>2271</v>
      </c>
      <c r="E216" t="s">
        <v>2272</v>
      </c>
      <c r="F216" t="s">
        <v>29</v>
      </c>
      <c r="G216" t="s">
        <v>29</v>
      </c>
      <c r="H216" t="s">
        <v>31</v>
      </c>
      <c r="I216" t="s">
        <v>2074</v>
      </c>
      <c r="J216" t="s">
        <v>235</v>
      </c>
      <c r="K216" t="s">
        <v>2273</v>
      </c>
      <c r="L216" t="s">
        <v>199</v>
      </c>
      <c r="M216" t="s">
        <v>121</v>
      </c>
      <c r="N216" t="s">
        <v>2274</v>
      </c>
      <c r="O216" t="s">
        <v>585</v>
      </c>
      <c r="P216" t="s">
        <v>201</v>
      </c>
      <c r="Q216" t="s">
        <v>90</v>
      </c>
      <c r="R216" t="s">
        <v>427</v>
      </c>
      <c r="S216" t="s">
        <v>1628</v>
      </c>
      <c r="T216" t="s">
        <v>625</v>
      </c>
      <c r="U216" t="s">
        <v>43</v>
      </c>
      <c r="V216" t="s">
        <v>2275</v>
      </c>
      <c r="W216" t="s">
        <v>2276</v>
      </c>
      <c r="Y216" t="str">
        <f>HYPERLINK("https://recruiter.shine.com/resume/download/?resumeid=gAAAAABbk2UN4P4Ve6oSMnOlgSfEVbaMtolNyvIv1hSdWricF4p4RxTQ1Cw6CYxmSK6nIQcT90RsMYp4vsa8S5mVAF6AsrSpetED-jKKr8C6cpdZ4sBqSq3v9mc0wLe658mSOr3487Tloav8-LskzIh_gO-URuqQk_3r777LqCTtDlYIc4VFyzI=")</f>
        <v>https://recruiter.shine.com/resume/download/?resumeid=gAAAAABbk2UN4P4Ve6oSMnOlgSfEVbaMtolNyvIv1hSdWricF4p4RxTQ1Cw6CYxmSK6nIQcT90RsMYp4vsa8S5mVAF6AsrSpetED-jKKr8C6cpdZ4sBqSq3v9mc0wLe658mSOr3487Tloav8-LskzIh_gO-URuqQk_3r777LqCTtDlYIc4VFyzI=</v>
      </c>
    </row>
    <row r="217" spans="1:25" ht="39.950000000000003" customHeight="1">
      <c r="A217">
        <v>213</v>
      </c>
      <c r="B217" t="s">
        <v>2277</v>
      </c>
      <c r="C217" t="s">
        <v>2278</v>
      </c>
      <c r="D217" t="s">
        <v>2279</v>
      </c>
      <c r="E217" t="s">
        <v>2280</v>
      </c>
      <c r="F217" t="s">
        <v>249</v>
      </c>
      <c r="G217" t="s">
        <v>249</v>
      </c>
      <c r="H217" t="s">
        <v>31</v>
      </c>
      <c r="I217" t="s">
        <v>1038</v>
      </c>
      <c r="J217" t="s">
        <v>801</v>
      </c>
      <c r="K217" t="s">
        <v>2281</v>
      </c>
      <c r="L217" t="s">
        <v>664</v>
      </c>
      <c r="M217" t="s">
        <v>36</v>
      </c>
      <c r="N217" t="s">
        <v>2282</v>
      </c>
      <c r="O217" t="s">
        <v>157</v>
      </c>
      <c r="P217" t="s">
        <v>73</v>
      </c>
      <c r="Q217" t="s">
        <v>107</v>
      </c>
      <c r="R217" t="s">
        <v>864</v>
      </c>
      <c r="S217" t="s">
        <v>2283</v>
      </c>
      <c r="T217" t="s">
        <v>441</v>
      </c>
      <c r="U217" t="s">
        <v>43</v>
      </c>
      <c r="V217" t="s">
        <v>2284</v>
      </c>
      <c r="W217" t="s">
        <v>2285</v>
      </c>
      <c r="Y217" t="str">
        <f>HYPERLINK("https://recruiter.shine.com/resume/download/?resumeid=gAAAAABbk2UOTMG81spEV_f2REOn5zl66x_GEX2EuCdjaXSl2tWsWHonIjndy8rrnD7pWf3Rb0Kz0fUgDADAWw5kY1Vdv2WQ4IsbfkjjBo_wMMoicj4-YCdLflAk8R-o_MSYJz9KZZRtwqWT6iasHcgL9P4PgCmT_w==")</f>
        <v>https://recruiter.shine.com/resume/download/?resumeid=gAAAAABbk2UOTMG81spEV_f2REOn5zl66x_GEX2EuCdjaXSl2tWsWHonIjndy8rrnD7pWf3Rb0Kz0fUgDADAWw5kY1Vdv2WQ4IsbfkjjBo_wMMoicj4-YCdLflAk8R-o_MSYJz9KZZRtwqWT6iasHcgL9P4PgCmT_w==</v>
      </c>
    </row>
    <row r="218" spans="1:25" ht="39.950000000000003" customHeight="1">
      <c r="A218">
        <v>214</v>
      </c>
      <c r="B218" t="s">
        <v>2286</v>
      </c>
      <c r="C218" t="s">
        <v>2287</v>
      </c>
      <c r="D218" t="s">
        <v>2288</v>
      </c>
      <c r="E218" t="s">
        <v>2289</v>
      </c>
      <c r="F218" t="s">
        <v>29</v>
      </c>
      <c r="G218" t="s">
        <v>29</v>
      </c>
      <c r="H218" t="s">
        <v>31</v>
      </c>
      <c r="I218" t="s">
        <v>2263</v>
      </c>
      <c r="J218" t="s">
        <v>235</v>
      </c>
      <c r="K218" t="s">
        <v>2290</v>
      </c>
      <c r="L218" t="s">
        <v>171</v>
      </c>
      <c r="M218" t="s">
        <v>138</v>
      </c>
      <c r="N218" t="s">
        <v>2291</v>
      </c>
      <c r="O218" t="s">
        <v>186</v>
      </c>
      <c r="P218" t="s">
        <v>771</v>
      </c>
      <c r="Q218" t="s">
        <v>90</v>
      </c>
      <c r="R218" t="s">
        <v>91</v>
      </c>
      <c r="S218" t="s">
        <v>2292</v>
      </c>
      <c r="T218" t="s">
        <v>1921</v>
      </c>
      <c r="U218" t="s">
        <v>43</v>
      </c>
      <c r="V218" t="s">
        <v>2293</v>
      </c>
      <c r="W218" t="s">
        <v>2293</v>
      </c>
      <c r="Y218" t="str">
        <f>HYPERLINK("https://recruiter.shine.com/resume/download/?resumeid=gAAAAABbk2ULDuR_q5djh_RwJWZNY6fAahKZNlh1i_XliqyfpWM2yTPJ2NmEpVlooQ72RMO56vS4AoiwptcYHhCkc0SlLl1aTN_asFS5IK6RC0lSuwEJXad5LuGUStbqxejrYyoGjBfC")</f>
        <v>https://recruiter.shine.com/resume/download/?resumeid=gAAAAABbk2ULDuR_q5djh_RwJWZNY6fAahKZNlh1i_XliqyfpWM2yTPJ2NmEpVlooQ72RMO56vS4AoiwptcYHhCkc0SlLl1aTN_asFS5IK6RC0lSuwEJXad5LuGUStbqxejrYyoGjBfC</v>
      </c>
    </row>
    <row r="219" spans="1:25" ht="39.950000000000003" customHeight="1">
      <c r="A219">
        <v>215</v>
      </c>
      <c r="B219" t="s">
        <v>2294</v>
      </c>
      <c r="C219" t="s">
        <v>2295</v>
      </c>
      <c r="D219" t="s">
        <v>2296</v>
      </c>
      <c r="E219" t="s">
        <v>2297</v>
      </c>
      <c r="F219" t="s">
        <v>29</v>
      </c>
      <c r="G219" t="s">
        <v>29</v>
      </c>
      <c r="H219" t="s">
        <v>31</v>
      </c>
      <c r="I219" t="s">
        <v>32</v>
      </c>
      <c r="J219" t="s">
        <v>2298</v>
      </c>
      <c r="K219" t="s">
        <v>2299</v>
      </c>
      <c r="L219" t="s">
        <v>664</v>
      </c>
      <c r="M219" t="s">
        <v>1124</v>
      </c>
      <c r="N219" t="s">
        <v>2300</v>
      </c>
      <c r="O219" t="s">
        <v>2301</v>
      </c>
      <c r="Q219" t="s">
        <v>107</v>
      </c>
      <c r="R219" t="s">
        <v>2302</v>
      </c>
      <c r="S219" t="s">
        <v>2303</v>
      </c>
      <c r="T219" t="s">
        <v>1861</v>
      </c>
      <c r="U219" t="s">
        <v>43</v>
      </c>
      <c r="V219" t="s">
        <v>2304</v>
      </c>
      <c r="W219" t="s">
        <v>2305</v>
      </c>
      <c r="Y219" t="str">
        <f>HYPERLINK("https://recruiter.shine.com/resume/download/?resumeid=gAAAAABbk2UMqZg7BrccgbzHPNkzcLrbTo1yD3FG2J4RdoAPrfBuW55xilYMBtpHM7Iz5CyM50P7rqXRJ-lGTyHoBD_6i9v-W5s67pReSVrjOaDrmlvDygbY1UYZzNbyvGZvmWhyrlJ-lEp8BCm2084W9zlitAo5gw==")</f>
        <v>https://recruiter.shine.com/resume/download/?resumeid=gAAAAABbk2UMqZg7BrccgbzHPNkzcLrbTo1yD3FG2J4RdoAPrfBuW55xilYMBtpHM7Iz5CyM50P7rqXRJ-lGTyHoBD_6i9v-W5s67pReSVrjOaDrmlvDygbY1UYZzNbyvGZvmWhyrlJ-lEp8BCm2084W9zlitAo5gw==</v>
      </c>
    </row>
    <row r="220" spans="1:25" ht="39.950000000000003" customHeight="1">
      <c r="A220">
        <v>216</v>
      </c>
      <c r="B220" t="s">
        <v>2306</v>
      </c>
      <c r="D220" t="s">
        <v>2307</v>
      </c>
      <c r="E220" t="s">
        <v>2308</v>
      </c>
      <c r="F220" t="s">
        <v>29</v>
      </c>
      <c r="G220" t="s">
        <v>29</v>
      </c>
      <c r="H220" t="s">
        <v>31</v>
      </c>
      <c r="I220" t="s">
        <v>362</v>
      </c>
      <c r="J220" t="s">
        <v>135</v>
      </c>
      <c r="L220" t="s">
        <v>363</v>
      </c>
      <c r="M220" t="s">
        <v>364</v>
      </c>
      <c r="Q220" t="s">
        <v>158</v>
      </c>
      <c r="R220" t="s">
        <v>41</v>
      </c>
      <c r="S220" t="s">
        <v>2309</v>
      </c>
      <c r="T220" t="s">
        <v>429</v>
      </c>
      <c r="U220" t="s">
        <v>43</v>
      </c>
      <c r="V220" t="s">
        <v>2310</v>
      </c>
      <c r="W220" t="s">
        <v>2311</v>
      </c>
      <c r="Y220" t="str">
        <f>HYPERLINK("https://recruiter.shine.com/resume/download/?resumeid=gAAAAABbk2UOLVbeS64X0c1co_1nkYbVFJ8JM-TjKSv4IM0LfX_cf48R-h-p9N2eXr4M8noUqvwrrwRV_HQCW6qUY-VwDG5j9p-x_pZgcT9YqfjqqwoxLqz8INGFd9ZKGBLHj8K9nUAcWa1faBe8TL8plLyICJpNsA==")</f>
        <v>https://recruiter.shine.com/resume/download/?resumeid=gAAAAABbk2UOLVbeS64X0c1co_1nkYbVFJ8JM-TjKSv4IM0LfX_cf48R-h-p9N2eXr4M8noUqvwrrwRV_HQCW6qUY-VwDG5j9p-x_pZgcT9YqfjqqwoxLqz8INGFd9ZKGBLHj8K9nUAcWa1faBe8TL8plLyICJpNsA==</v>
      </c>
    </row>
    <row r="221" spans="1:25" ht="39.950000000000003" customHeight="1">
      <c r="A221">
        <v>217</v>
      </c>
      <c r="B221" t="s">
        <v>2312</v>
      </c>
      <c r="C221" t="s">
        <v>2313</v>
      </c>
      <c r="D221" t="s">
        <v>2314</v>
      </c>
      <c r="E221" t="s">
        <v>2315</v>
      </c>
      <c r="F221" t="s">
        <v>29</v>
      </c>
      <c r="G221" t="s">
        <v>2316</v>
      </c>
      <c r="H221" t="s">
        <v>31</v>
      </c>
      <c r="I221" t="s">
        <v>2317</v>
      </c>
      <c r="J221" t="s">
        <v>871</v>
      </c>
      <c r="K221" t="s">
        <v>2318</v>
      </c>
      <c r="L221" t="s">
        <v>120</v>
      </c>
      <c r="M221" t="s">
        <v>395</v>
      </c>
      <c r="N221" t="s">
        <v>2319</v>
      </c>
      <c r="O221" t="s">
        <v>186</v>
      </c>
      <c r="P221" t="s">
        <v>39</v>
      </c>
      <c r="Q221" t="s">
        <v>123</v>
      </c>
      <c r="R221" t="s">
        <v>124</v>
      </c>
      <c r="S221" t="s">
        <v>2320</v>
      </c>
      <c r="T221" t="s">
        <v>161</v>
      </c>
      <c r="U221" t="s">
        <v>43</v>
      </c>
      <c r="V221" t="s">
        <v>2321</v>
      </c>
      <c r="W221" t="s">
        <v>2322</v>
      </c>
      <c r="Y221" t="str">
        <f>HYPERLINK("https://recruiter.shine.com/resume/download/?resumeid=gAAAAABbk2UK_rtXP4kWsM6WT7EHfPvekYCzigenAH4wttRPhpWcLpx1k6p3llLmnFfhvKdVyIHfX0X4k2xwnUU_qxzd4_gcWygB9Ly5dSpy9Rv_uiejNE7BC5jLFVr87RchbndtpScF")</f>
        <v>https://recruiter.shine.com/resume/download/?resumeid=gAAAAABbk2UK_rtXP4kWsM6WT7EHfPvekYCzigenAH4wttRPhpWcLpx1k6p3llLmnFfhvKdVyIHfX0X4k2xwnUU_qxzd4_gcWygB9Ly5dSpy9Rv_uiejNE7BC5jLFVr87RchbndtpScF</v>
      </c>
    </row>
    <row r="222" spans="1:25" ht="39.950000000000003" customHeight="1">
      <c r="A222">
        <v>218</v>
      </c>
      <c r="B222" t="s">
        <v>2323</v>
      </c>
      <c r="C222" t="s">
        <v>2324</v>
      </c>
      <c r="D222" t="s">
        <v>2325</v>
      </c>
      <c r="E222" t="s">
        <v>2326</v>
      </c>
      <c r="F222" t="s">
        <v>29</v>
      </c>
      <c r="G222" t="s">
        <v>29</v>
      </c>
      <c r="H222" t="s">
        <v>234</v>
      </c>
      <c r="I222" t="s">
        <v>958</v>
      </c>
      <c r="J222" t="s">
        <v>51</v>
      </c>
      <c r="K222" t="s">
        <v>2327</v>
      </c>
      <c r="L222" t="s">
        <v>171</v>
      </c>
      <c r="M222" t="s">
        <v>121</v>
      </c>
      <c r="N222" t="s">
        <v>2328</v>
      </c>
      <c r="O222" t="s">
        <v>224</v>
      </c>
      <c r="P222" t="s">
        <v>140</v>
      </c>
      <c r="Q222" t="s">
        <v>90</v>
      </c>
      <c r="R222" t="s">
        <v>91</v>
      </c>
      <c r="S222" t="s">
        <v>2329</v>
      </c>
      <c r="T222" t="s">
        <v>61</v>
      </c>
      <c r="U222" t="s">
        <v>43</v>
      </c>
      <c r="V222" t="s">
        <v>2330</v>
      </c>
      <c r="W222" t="s">
        <v>2331</v>
      </c>
      <c r="Y222" t="str">
        <f>HYPERLINK("https://recruiter.shine.com/resume/download/?resumeid=gAAAAABbk2UMTkGQbdM20vKqZ9LXA-vZgxVuM3EKKh2rZ7tXeVCvMRRgHNNqf3EyHPD8H54R3YfmA_NJ2JPh5cs_bh81jnUFqEkxLyWX6ITariQUsVP_LxHOOoJ5f8E30lJRW9K8XxvZl_VGgJWocEB6RUziNofmwoJQa0yqsXomfFEa1Q98MFM=")</f>
        <v>https://recruiter.shine.com/resume/download/?resumeid=gAAAAABbk2UMTkGQbdM20vKqZ9LXA-vZgxVuM3EKKh2rZ7tXeVCvMRRgHNNqf3EyHPD8H54R3YfmA_NJ2JPh5cs_bh81jnUFqEkxLyWX6ITariQUsVP_LxHOOoJ5f8E30lJRW9K8XxvZl_VGgJWocEB6RUziNofmwoJQa0yqsXomfFEa1Q98MFM=</v>
      </c>
    </row>
    <row r="223" spans="1:25" ht="39.950000000000003" customHeight="1">
      <c r="A223">
        <v>219</v>
      </c>
      <c r="B223" t="s">
        <v>2332</v>
      </c>
      <c r="D223" t="s">
        <v>2333</v>
      </c>
      <c r="E223" t="s">
        <v>2334</v>
      </c>
      <c r="F223" t="s">
        <v>29</v>
      </c>
      <c r="G223" t="s">
        <v>29</v>
      </c>
      <c r="H223" t="s">
        <v>234</v>
      </c>
      <c r="I223" t="s">
        <v>362</v>
      </c>
      <c r="J223" t="s">
        <v>135</v>
      </c>
      <c r="L223" t="s">
        <v>363</v>
      </c>
      <c r="M223" t="s">
        <v>364</v>
      </c>
      <c r="Q223" t="s">
        <v>58</v>
      </c>
      <c r="R223" t="s">
        <v>2335</v>
      </c>
      <c r="S223" t="s">
        <v>886</v>
      </c>
      <c r="T223" t="s">
        <v>126</v>
      </c>
      <c r="U223" t="s">
        <v>43</v>
      </c>
      <c r="V223" t="s">
        <v>2336</v>
      </c>
      <c r="W223" t="s">
        <v>2337</v>
      </c>
      <c r="Y223" t="str">
        <f>HYPERLINK("https://recruiter.shine.com/resume/download/?resumeid=gAAAAABbk2UN85W47d2lchR7Z2bbxRTXMhru07pPHSSn3S_uizkiRCm3BLBR73Vpy_fTQf2MMqD_xbh4RQyBoSUJR9Dnk662rpasUfDKDiYpuaLY338n-8E_pGQaPba2EtJ-5dEH7u-jLnL6X8TtTssapMkfw57k_Plbp9VsbOT9rZ6yaPXYzg8=")</f>
        <v>https://recruiter.shine.com/resume/download/?resumeid=gAAAAABbk2UN85W47d2lchR7Z2bbxRTXMhru07pPHSSn3S_uizkiRCm3BLBR73Vpy_fTQf2MMqD_xbh4RQyBoSUJR9Dnk662rpasUfDKDiYpuaLY338n-8E_pGQaPba2EtJ-5dEH7u-jLnL6X8TtTssapMkfw57k_Plbp9VsbOT9rZ6yaPXYzg8=</v>
      </c>
    </row>
    <row r="224" spans="1:25" ht="39.950000000000003" customHeight="1">
      <c r="A224">
        <v>220</v>
      </c>
      <c r="B224" t="s">
        <v>2338</v>
      </c>
      <c r="C224" t="s">
        <v>2339</v>
      </c>
      <c r="D224" t="s">
        <v>2340</v>
      </c>
      <c r="E224" t="s">
        <v>2341</v>
      </c>
      <c r="F224" t="s">
        <v>858</v>
      </c>
      <c r="G224" t="s">
        <v>2342</v>
      </c>
      <c r="H224" t="s">
        <v>31</v>
      </c>
      <c r="I224" t="s">
        <v>2343</v>
      </c>
      <c r="J224" t="s">
        <v>118</v>
      </c>
      <c r="K224" t="s">
        <v>2344</v>
      </c>
      <c r="L224" t="s">
        <v>199</v>
      </c>
      <c r="M224" t="s">
        <v>884</v>
      </c>
      <c r="N224" t="s">
        <v>2345</v>
      </c>
      <c r="O224" t="s">
        <v>186</v>
      </c>
      <c r="P224" t="s">
        <v>57</v>
      </c>
      <c r="Q224" t="s">
        <v>107</v>
      </c>
      <c r="R224" t="s">
        <v>2346</v>
      </c>
      <c r="S224" t="s">
        <v>2347</v>
      </c>
      <c r="T224" t="s">
        <v>227</v>
      </c>
      <c r="U224" t="s">
        <v>43</v>
      </c>
      <c r="V224" t="s">
        <v>2348</v>
      </c>
      <c r="W224" t="s">
        <v>2349</v>
      </c>
      <c r="Y224" t="str">
        <f>HYPERLINK("https://recruiter.shine.com/resume/download/?resumeid=gAAAAABbk2ULSWBbJUOVO3gNo60dRWZMo4teGUSTg6rvkV42u0YTgj-k_HEAkxxZloXPq64oNbzF9CVrXfFXp05rceN2G3jUDVl_Txnc04-h40-ZTcchJUgshcCHsmQRnrcFtftd39ug")</f>
        <v>https://recruiter.shine.com/resume/download/?resumeid=gAAAAABbk2ULSWBbJUOVO3gNo60dRWZMo4teGUSTg6rvkV42u0YTgj-k_HEAkxxZloXPq64oNbzF9CVrXfFXp05rceN2G3jUDVl_Txnc04-h40-ZTcchJUgshcCHsmQRnrcFtftd39ug</v>
      </c>
    </row>
    <row r="225" spans="1:25" ht="39.950000000000003" customHeight="1">
      <c r="A225">
        <v>221</v>
      </c>
      <c r="B225" t="s">
        <v>2350</v>
      </c>
      <c r="C225" t="s">
        <v>2351</v>
      </c>
      <c r="D225" t="s">
        <v>2352</v>
      </c>
      <c r="E225" t="s">
        <v>2353</v>
      </c>
      <c r="F225" t="s">
        <v>29</v>
      </c>
      <c r="G225" t="s">
        <v>29</v>
      </c>
      <c r="H225" t="s">
        <v>31</v>
      </c>
      <c r="I225" t="s">
        <v>2354</v>
      </c>
      <c r="J225" t="s">
        <v>2355</v>
      </c>
      <c r="K225" t="s">
        <v>1910</v>
      </c>
      <c r="L225" t="s">
        <v>88</v>
      </c>
      <c r="M225" t="s">
        <v>339</v>
      </c>
      <c r="N225" t="s">
        <v>2356</v>
      </c>
      <c r="O225" t="s">
        <v>38</v>
      </c>
      <c r="P225" t="s">
        <v>39</v>
      </c>
      <c r="Q225" t="s">
        <v>90</v>
      </c>
      <c r="R225" t="s">
        <v>91</v>
      </c>
      <c r="S225" t="s">
        <v>2357</v>
      </c>
      <c r="T225" t="s">
        <v>2358</v>
      </c>
      <c r="U225" t="s">
        <v>43</v>
      </c>
      <c r="V225" t="s">
        <v>2359</v>
      </c>
      <c r="W225" t="s">
        <v>2360</v>
      </c>
      <c r="Y225" t="str">
        <f>HYPERLINK("https://recruiter.shine.com/resume/download/?resumeid=gAAAAABbk2UMW4v6DaAB1J5bJSN-ptrnPYCLcDnxZZvDUZK0rbxOlYkxVwKqUPrPn1vD8Tlcxd_jTISaKcamuHYvjcOFEuVHFpiJ3Duv2ellDtw2jK8Jg3f_iwygQyN8dmRS37wrXq0AoRNVsqevmJTrWvUrC-AO9g==")</f>
        <v>https://recruiter.shine.com/resume/download/?resumeid=gAAAAABbk2UMW4v6DaAB1J5bJSN-ptrnPYCLcDnxZZvDUZK0rbxOlYkxVwKqUPrPn1vD8Tlcxd_jTISaKcamuHYvjcOFEuVHFpiJ3Duv2ellDtw2jK8Jg3f_iwygQyN8dmRS37wrXq0AoRNVsqevmJTrWvUrC-AO9g==</v>
      </c>
    </row>
    <row r="226" spans="1:25" ht="39.950000000000003" customHeight="1">
      <c r="A226">
        <v>222</v>
      </c>
      <c r="B226" t="s">
        <v>2361</v>
      </c>
      <c r="D226" t="s">
        <v>2362</v>
      </c>
      <c r="E226" t="s">
        <v>2363</v>
      </c>
      <c r="F226" t="s">
        <v>29</v>
      </c>
      <c r="G226" t="s">
        <v>29</v>
      </c>
      <c r="H226" t="s">
        <v>31</v>
      </c>
      <c r="I226" t="s">
        <v>362</v>
      </c>
      <c r="J226" t="s">
        <v>135</v>
      </c>
      <c r="L226" t="s">
        <v>363</v>
      </c>
      <c r="M226" t="s">
        <v>364</v>
      </c>
      <c r="Q226" t="s">
        <v>40</v>
      </c>
      <c r="R226" t="s">
        <v>2364</v>
      </c>
      <c r="S226" t="s">
        <v>2365</v>
      </c>
      <c r="T226" t="s">
        <v>126</v>
      </c>
      <c r="U226" t="s">
        <v>43</v>
      </c>
      <c r="V226" t="s">
        <v>2366</v>
      </c>
      <c r="W226" t="s">
        <v>2367</v>
      </c>
      <c r="Y226" t="str">
        <f>HYPERLINK("https://recruiter.shine.com/resume/download/?resumeid=gAAAAABbk2UORE4TEZfDDC4aPCdE_O_49ZIn3iXlVfho1I_wFH0xBOpijLkM7J9BlLVJpx4vsdyHTt9Ys4OU85bJYkfZDoFAl3xd8_stX_XbW9gmgY7mr_2HWWkVqhfKjGIwLJxmK4PuvV5IT5gWmognqjZqcaVkIgvg7hMyHVN8Wpc_2TQ_bwI=")</f>
        <v>https://recruiter.shine.com/resume/download/?resumeid=gAAAAABbk2UORE4TEZfDDC4aPCdE_O_49ZIn3iXlVfho1I_wFH0xBOpijLkM7J9BlLVJpx4vsdyHTt9Ys4OU85bJYkfZDoFAl3xd8_stX_XbW9gmgY7mr_2HWWkVqhfKjGIwLJxmK4PuvV5IT5gWmognqjZqcaVkIgvg7hMyHVN8Wpc_2TQ_bwI=</v>
      </c>
    </row>
    <row r="227" spans="1:25" ht="39.950000000000003" customHeight="1">
      <c r="A227">
        <v>223</v>
      </c>
      <c r="B227" t="s">
        <v>2368</v>
      </c>
      <c r="C227" t="s">
        <v>2369</v>
      </c>
      <c r="D227" t="s">
        <v>2370</v>
      </c>
      <c r="E227" t="s">
        <v>2371</v>
      </c>
      <c r="F227" t="s">
        <v>29</v>
      </c>
      <c r="G227" t="s">
        <v>67</v>
      </c>
      <c r="H227" t="s">
        <v>31</v>
      </c>
      <c r="I227" t="s">
        <v>2317</v>
      </c>
      <c r="J227" t="s">
        <v>2372</v>
      </c>
      <c r="K227" t="s">
        <v>595</v>
      </c>
      <c r="L227" t="s">
        <v>486</v>
      </c>
      <c r="M227" t="s">
        <v>1446</v>
      </c>
      <c r="N227" t="s">
        <v>2373</v>
      </c>
      <c r="O227" t="s">
        <v>224</v>
      </c>
      <c r="Q227" t="s">
        <v>123</v>
      </c>
      <c r="R227" t="s">
        <v>124</v>
      </c>
      <c r="S227" t="s">
        <v>2374</v>
      </c>
      <c r="T227" t="s">
        <v>2358</v>
      </c>
      <c r="U227" t="s">
        <v>43</v>
      </c>
      <c r="V227" t="s">
        <v>2375</v>
      </c>
      <c r="W227" t="s">
        <v>2376</v>
      </c>
      <c r="Y227" t="str">
        <f>HYPERLINK("https://recruiter.shine.com/resume/download/?resumeid=gAAAAABbk2ULggJ7bpfNSbUo_NaHtpUPle_DkfcfsoGXleFjsSQ1kLkUae3PLy74btM6kfOj2JfHoSmMjQUoT0VCh9H5t_D8P9TpeAo2B4cTQ4tF5yaX0SWuhJVfqLzcShHGQtsrMUtkDHeAR3D0fsebdzuAdyLJ2Q==")</f>
        <v>https://recruiter.shine.com/resume/download/?resumeid=gAAAAABbk2ULggJ7bpfNSbUo_NaHtpUPle_DkfcfsoGXleFjsSQ1kLkUae3PLy74btM6kfOj2JfHoSmMjQUoT0VCh9H5t_D8P9TpeAo2B4cTQ4tF5yaX0SWuhJVfqLzcShHGQtsrMUtkDHeAR3D0fsebdzuAdyLJ2Q==</v>
      </c>
    </row>
    <row r="228" spans="1:25" ht="39.950000000000003" customHeight="1">
      <c r="A228">
        <v>224</v>
      </c>
      <c r="B228" t="s">
        <v>2377</v>
      </c>
      <c r="C228" t="s">
        <v>2378</v>
      </c>
      <c r="D228" t="s">
        <v>2379</v>
      </c>
      <c r="E228" t="s">
        <v>2380</v>
      </c>
      <c r="F228" t="s">
        <v>29</v>
      </c>
      <c r="G228" t="s">
        <v>29</v>
      </c>
      <c r="H228" t="s">
        <v>31</v>
      </c>
      <c r="I228" t="s">
        <v>85</v>
      </c>
      <c r="J228" t="s">
        <v>51</v>
      </c>
      <c r="K228" t="s">
        <v>2381</v>
      </c>
      <c r="L228" t="s">
        <v>486</v>
      </c>
      <c r="M228" t="s">
        <v>1446</v>
      </c>
      <c r="N228" t="s">
        <v>2382</v>
      </c>
      <c r="O228" t="s">
        <v>1245</v>
      </c>
      <c r="Q228" t="s">
        <v>123</v>
      </c>
      <c r="R228" t="s">
        <v>124</v>
      </c>
      <c r="S228" t="s">
        <v>2383</v>
      </c>
      <c r="U228" t="s">
        <v>43</v>
      </c>
      <c r="V228" t="s">
        <v>2384</v>
      </c>
      <c r="W228" t="s">
        <v>2385</v>
      </c>
      <c r="Y228" t="str">
        <f>HYPERLINK("https://recruiter.shine.com/resume/download/?resumeid=gAAAAABbk2UMJxPQAVZ2wn3q6iQ-nmyS1VfSLQ3tKrMkiD1TBet5VEQadQURlJ05ihZmg2fxlL0gScttXRD7mV2XtxJXzhT4vR5oZYczx7ntEWd4pxTG1aSDsGdJrn0UnjYj-FUPJb_QeSsbaivikGw0jZelxxuuLe7_1gXzV5RGPb38T1DbM3M=")</f>
        <v>https://recruiter.shine.com/resume/download/?resumeid=gAAAAABbk2UMJxPQAVZ2wn3q6iQ-nmyS1VfSLQ3tKrMkiD1TBet5VEQadQURlJ05ihZmg2fxlL0gScttXRD7mV2XtxJXzhT4vR5oZYczx7ntEWd4pxTG1aSDsGdJrn0UnjYj-FUPJb_QeSsbaivikGw0jZelxxuuLe7_1gXzV5RGPb38T1DbM3M=</v>
      </c>
    </row>
    <row r="229" spans="1:25" ht="39.950000000000003" customHeight="1">
      <c r="A229">
        <v>225</v>
      </c>
      <c r="B229" t="s">
        <v>2386</v>
      </c>
      <c r="C229" t="s">
        <v>2387</v>
      </c>
      <c r="D229" t="s">
        <v>2388</v>
      </c>
      <c r="E229" t="s">
        <v>2389</v>
      </c>
      <c r="F229" t="s">
        <v>29</v>
      </c>
      <c r="G229" t="s">
        <v>29</v>
      </c>
      <c r="H229" t="s">
        <v>31</v>
      </c>
      <c r="I229" t="s">
        <v>1038</v>
      </c>
      <c r="J229" t="s">
        <v>715</v>
      </c>
      <c r="K229" t="s">
        <v>2390</v>
      </c>
      <c r="L229" t="s">
        <v>120</v>
      </c>
      <c r="M229" t="s">
        <v>36</v>
      </c>
      <c r="N229" t="s">
        <v>2391</v>
      </c>
      <c r="O229" t="s">
        <v>157</v>
      </c>
      <c r="P229" t="s">
        <v>201</v>
      </c>
      <c r="Q229" t="s">
        <v>90</v>
      </c>
      <c r="R229" t="s">
        <v>317</v>
      </c>
      <c r="S229" t="s">
        <v>188</v>
      </c>
      <c r="T229" t="s">
        <v>304</v>
      </c>
      <c r="U229" t="s">
        <v>43</v>
      </c>
      <c r="V229" t="s">
        <v>2392</v>
      </c>
      <c r="W229" t="s">
        <v>2393</v>
      </c>
      <c r="Y229" t="str">
        <f>HYPERLINK("https://recruiter.shine.com/resume/download/?resumeid=gAAAAABbk2UOZny1yeIfd2w7FmjNQ4q4WVrKlTkdqku80brWLAIJQpsKCfZLOj4m86IkMPzhbptjfSA0QBfG-lkxCQ1XEVjYAmdEe5NIaUYsPI3GZndyRax9Eg0BfEdNAGl4g-wu6gUTTztFpYqlOFktD2fFoAD1hN92NDXZy0et9BIwCEwsAT4=")</f>
        <v>https://recruiter.shine.com/resume/download/?resumeid=gAAAAABbk2UOZny1yeIfd2w7FmjNQ4q4WVrKlTkdqku80brWLAIJQpsKCfZLOj4m86IkMPzhbptjfSA0QBfG-lkxCQ1XEVjYAmdEe5NIaUYsPI3GZndyRax9Eg0BfEdNAGl4g-wu6gUTTztFpYqlOFktD2fFoAD1hN92NDXZy0et9BIwCEwsAT4=</v>
      </c>
    </row>
    <row r="230" spans="1:25" ht="39.950000000000003" customHeight="1">
      <c r="A230">
        <v>226</v>
      </c>
      <c r="B230" t="s">
        <v>2394</v>
      </c>
      <c r="D230" t="s">
        <v>2395</v>
      </c>
      <c r="E230" t="s">
        <v>2396</v>
      </c>
      <c r="F230" t="s">
        <v>29</v>
      </c>
      <c r="G230" t="s">
        <v>29</v>
      </c>
      <c r="I230" t="s">
        <v>32</v>
      </c>
      <c r="J230" t="s">
        <v>135</v>
      </c>
      <c r="K230" t="s">
        <v>2397</v>
      </c>
      <c r="L230" t="s">
        <v>199</v>
      </c>
      <c r="M230" t="s">
        <v>684</v>
      </c>
      <c r="N230" t="s">
        <v>718</v>
      </c>
      <c r="O230" t="s">
        <v>2398</v>
      </c>
      <c r="P230" t="s">
        <v>57</v>
      </c>
      <c r="Q230" t="s">
        <v>74</v>
      </c>
      <c r="R230" t="s">
        <v>75</v>
      </c>
      <c r="S230" t="s">
        <v>2399</v>
      </c>
      <c r="T230" t="s">
        <v>2400</v>
      </c>
      <c r="U230" t="s">
        <v>94</v>
      </c>
      <c r="V230" t="s">
        <v>2401</v>
      </c>
      <c r="W230" t="s">
        <v>2402</v>
      </c>
      <c r="Y230" t="str">
        <f>HYPERLINK("https://recruiter.shine.com/resume/download/?resumeid=gAAAAABbk2ULt-QPBV9mqeo4hxziwoDYCd3tUFuH5ft6HKlH7kwVyN4CMiaVEpv-CzQyEi6kc1hVSnWNaJtaioaMuooRPEqZ3iY7r3Vvf7R5pUFIGkY2qRYs8WvKVyF8Wak2MGydDrmCWZZhc06j2jaev8ZUQV3sAw==")</f>
        <v>https://recruiter.shine.com/resume/download/?resumeid=gAAAAABbk2ULt-QPBV9mqeo4hxziwoDYCd3tUFuH5ft6HKlH7kwVyN4CMiaVEpv-CzQyEi6kc1hVSnWNaJtaioaMuooRPEqZ3iY7r3Vvf7R5pUFIGkY2qRYs8WvKVyF8Wak2MGydDrmCWZZhc06j2jaev8ZUQV3sAw==</v>
      </c>
    </row>
    <row r="231" spans="1:25" ht="39.950000000000003" customHeight="1">
      <c r="A231">
        <v>227</v>
      </c>
      <c r="B231" t="s">
        <v>2403</v>
      </c>
      <c r="C231" t="s">
        <v>2404</v>
      </c>
      <c r="D231" t="s">
        <v>2405</v>
      </c>
      <c r="E231" t="s">
        <v>2406</v>
      </c>
      <c r="F231" t="s">
        <v>29</v>
      </c>
      <c r="G231" t="s">
        <v>2407</v>
      </c>
      <c r="H231" t="s">
        <v>31</v>
      </c>
      <c r="I231" t="s">
        <v>362</v>
      </c>
      <c r="J231" t="s">
        <v>135</v>
      </c>
      <c r="L231" t="s">
        <v>363</v>
      </c>
      <c r="M231" t="s">
        <v>364</v>
      </c>
      <c r="Q231" t="s">
        <v>158</v>
      </c>
      <c r="R231" t="s">
        <v>559</v>
      </c>
      <c r="S231" t="s">
        <v>2408</v>
      </c>
      <c r="T231" t="s">
        <v>441</v>
      </c>
      <c r="U231" t="s">
        <v>43</v>
      </c>
      <c r="V231" t="s">
        <v>2409</v>
      </c>
      <c r="W231" t="s">
        <v>2410</v>
      </c>
      <c r="Y231" t="str">
        <f>HYPERLINK("https://recruiter.shine.com/resume/download/?resumeid=gAAAAABbk2UMzsLFBbCBk072Z3lwQRPuo4ibXxXMmhDg-nlN-rw0MHRUIu5W2vSkSP0aEwWlXOq-tjFVAmAvRffcarSYW1qFBE9zN4xo0tRCglWJloPBR2RDv2PDeAV890yLZ1qr7kQ5hJ6wndNqCqcBtRxsbYs-tQ==")</f>
        <v>https://recruiter.shine.com/resume/download/?resumeid=gAAAAABbk2UMzsLFBbCBk072Z3lwQRPuo4ibXxXMmhDg-nlN-rw0MHRUIu5W2vSkSP0aEwWlXOq-tjFVAmAvRffcarSYW1qFBE9zN4xo0tRCglWJloPBR2RDv2PDeAV890yLZ1qr7kQ5hJ6wndNqCqcBtRxsbYs-tQ==</v>
      </c>
    </row>
    <row r="232" spans="1:25" ht="39.950000000000003" customHeight="1">
      <c r="A232">
        <v>228</v>
      </c>
      <c r="B232" t="s">
        <v>2411</v>
      </c>
      <c r="D232" t="s">
        <v>2412</v>
      </c>
      <c r="E232" t="s">
        <v>2413</v>
      </c>
      <c r="F232" t="s">
        <v>249</v>
      </c>
      <c r="G232" t="s">
        <v>249</v>
      </c>
      <c r="H232" t="s">
        <v>234</v>
      </c>
      <c r="I232" t="s">
        <v>362</v>
      </c>
      <c r="J232" t="s">
        <v>135</v>
      </c>
      <c r="L232" t="s">
        <v>363</v>
      </c>
      <c r="M232" t="s">
        <v>364</v>
      </c>
      <c r="Q232" t="s">
        <v>187</v>
      </c>
      <c r="R232" t="s">
        <v>124</v>
      </c>
      <c r="S232" t="s">
        <v>2414</v>
      </c>
      <c r="T232" t="s">
        <v>429</v>
      </c>
      <c r="U232" t="s">
        <v>127</v>
      </c>
      <c r="V232" t="s">
        <v>2415</v>
      </c>
      <c r="W232" t="s">
        <v>2416</v>
      </c>
      <c r="Y232" t="str">
        <f>HYPERLINK("https://recruiter.shine.com/resume/download/?resumeid=gAAAAABbk2UOVBxEalSeObZhxKdTE0Uez_cLkZmGlWXFYerH2iL073-Zd9EbVMGy2MKfhllPasMEiEplfjTC2NdYikTfUweuCpNlcpfFdIdG08uYvt0bsy6PhiT1gYXYI5Mswfz-6ApsTVOiwNtagdTOBYlflXwcyQ==")</f>
        <v>https://recruiter.shine.com/resume/download/?resumeid=gAAAAABbk2UOVBxEalSeObZhxKdTE0Uez_cLkZmGlWXFYerH2iL073-Zd9EbVMGy2MKfhllPasMEiEplfjTC2NdYikTfUweuCpNlcpfFdIdG08uYvt0bsy6PhiT1gYXYI5Mswfz-6ApsTVOiwNtagdTOBYlflXwcyQ==</v>
      </c>
    </row>
    <row r="233" spans="1:25" ht="39.950000000000003" customHeight="1">
      <c r="A233">
        <v>229</v>
      </c>
      <c r="B233" t="s">
        <v>2417</v>
      </c>
      <c r="C233" t="s">
        <v>2245</v>
      </c>
      <c r="D233" t="s">
        <v>2418</v>
      </c>
      <c r="E233" t="s">
        <v>2419</v>
      </c>
      <c r="F233" t="s">
        <v>29</v>
      </c>
      <c r="G233" t="s">
        <v>2420</v>
      </c>
      <c r="H233" t="s">
        <v>31</v>
      </c>
      <c r="I233" t="s">
        <v>134</v>
      </c>
      <c r="J233" t="s">
        <v>2421</v>
      </c>
      <c r="K233" t="s">
        <v>2422</v>
      </c>
      <c r="L233" t="s">
        <v>2423</v>
      </c>
      <c r="M233" t="s">
        <v>473</v>
      </c>
      <c r="N233" t="s">
        <v>2424</v>
      </c>
      <c r="O233" t="s">
        <v>56</v>
      </c>
      <c r="P233" t="s">
        <v>57</v>
      </c>
      <c r="Q233" t="s">
        <v>90</v>
      </c>
      <c r="R233" t="s">
        <v>91</v>
      </c>
      <c r="S233" t="s">
        <v>2425</v>
      </c>
      <c r="T233" t="s">
        <v>144</v>
      </c>
      <c r="U233" t="s">
        <v>43</v>
      </c>
      <c r="V233" t="s">
        <v>2426</v>
      </c>
      <c r="W233" t="s">
        <v>2427</v>
      </c>
      <c r="Y233" t="str">
        <f>HYPERLINK("https://recruiter.shine.com/resume/download/?resumeid=gAAAAABbk2UKMsmuA6qAMPG-9NCS1wdvs-HD1rRLfJts0Q0_G0xgo3e2wJ47trP_JwC5uns1A5Bz9UKBy-IPnN-1ZbWpIEaVyRDnTNSA_loW4OMM7BSfFHm-OfhGmacmrxip3fyiOTSzhJVyBLvbcDBN-xENyhCH_w==")</f>
        <v>https://recruiter.shine.com/resume/download/?resumeid=gAAAAABbk2UKMsmuA6qAMPG-9NCS1wdvs-HD1rRLfJts0Q0_G0xgo3e2wJ47trP_JwC5uns1A5Bz9UKBy-IPnN-1ZbWpIEaVyRDnTNSA_loW4OMM7BSfFHm-OfhGmacmrxip3fyiOTSzhJVyBLvbcDBN-xENyhCH_w==</v>
      </c>
    </row>
    <row r="234" spans="1:25" ht="39.950000000000003" customHeight="1">
      <c r="A234">
        <v>230</v>
      </c>
      <c r="B234" t="s">
        <v>2428</v>
      </c>
      <c r="C234" t="s">
        <v>2429</v>
      </c>
      <c r="D234" t="s">
        <v>2430</v>
      </c>
      <c r="E234" t="s">
        <v>2431</v>
      </c>
      <c r="F234" t="s">
        <v>29</v>
      </c>
      <c r="G234" t="s">
        <v>29</v>
      </c>
      <c r="H234" t="s">
        <v>31</v>
      </c>
      <c r="I234" t="s">
        <v>998</v>
      </c>
      <c r="J234" t="s">
        <v>51</v>
      </c>
      <c r="K234" t="s">
        <v>2432</v>
      </c>
      <c r="L234" t="s">
        <v>120</v>
      </c>
      <c r="M234" t="s">
        <v>121</v>
      </c>
      <c r="N234" t="s">
        <v>2433</v>
      </c>
      <c r="O234" t="s">
        <v>38</v>
      </c>
      <c r="P234" t="s">
        <v>57</v>
      </c>
      <c r="Q234" t="s">
        <v>40</v>
      </c>
      <c r="R234" t="s">
        <v>413</v>
      </c>
      <c r="S234" t="s">
        <v>188</v>
      </c>
      <c r="T234" t="s">
        <v>441</v>
      </c>
      <c r="U234" t="s">
        <v>43</v>
      </c>
      <c r="V234" t="s">
        <v>2434</v>
      </c>
      <c r="W234" t="s">
        <v>2435</v>
      </c>
      <c r="Y234" t="str">
        <f>HYPERLINK("https://recruiter.shine.com/resume/download/?resumeid=gAAAAABbk2UM9jENx8VVYvrxjbWQ4h1JAXVWcGBHK9vVkzN3DTX0MGVQLqVsHhiZEBGAtId_9J7D55WgpuSJYd_7HGT54U32PKRtsSie70mDWWwhdTGNCM6vB3F2ll3AGkl9AapMJXLQdRn1L8UD-PbXeeuQ-4JvlGNWgn9Z5skqloy25MDCPzY=")</f>
        <v>https://recruiter.shine.com/resume/download/?resumeid=gAAAAABbk2UM9jENx8VVYvrxjbWQ4h1JAXVWcGBHK9vVkzN3DTX0MGVQLqVsHhiZEBGAtId_9J7D55WgpuSJYd_7HGT54U32PKRtsSie70mDWWwhdTGNCM6vB3F2ll3AGkl9AapMJXLQdRn1L8UD-PbXeeuQ-4JvlGNWgn9Z5skqloy25MDCPzY=</v>
      </c>
    </row>
    <row r="235" spans="1:25" ht="39.950000000000003" customHeight="1">
      <c r="A235">
        <v>231</v>
      </c>
      <c r="B235" t="s">
        <v>2436</v>
      </c>
      <c r="D235" t="s">
        <v>2437</v>
      </c>
      <c r="E235" t="s">
        <v>2438</v>
      </c>
      <c r="F235" t="s">
        <v>29</v>
      </c>
      <c r="G235" t="s">
        <v>29</v>
      </c>
      <c r="H235" t="s">
        <v>31</v>
      </c>
      <c r="I235" t="s">
        <v>2439</v>
      </c>
      <c r="J235" t="s">
        <v>2440</v>
      </c>
      <c r="K235" t="s">
        <v>2441</v>
      </c>
      <c r="L235" t="s">
        <v>120</v>
      </c>
      <c r="M235" t="s">
        <v>36</v>
      </c>
      <c r="N235" t="s">
        <v>2442</v>
      </c>
      <c r="O235" t="s">
        <v>475</v>
      </c>
      <c r="Q235" t="s">
        <v>74</v>
      </c>
      <c r="R235" t="s">
        <v>225</v>
      </c>
      <c r="S235" t="s">
        <v>2443</v>
      </c>
      <c r="T235" t="s">
        <v>2358</v>
      </c>
      <c r="U235" t="s">
        <v>43</v>
      </c>
      <c r="V235" t="s">
        <v>2444</v>
      </c>
      <c r="W235" t="s">
        <v>2445</v>
      </c>
      <c r="Y235" t="str">
        <f>HYPERLINK("https://recruiter.shine.com/resume/download/?resumeid=gAAAAABbk2UNIklB42mOAYRu5H-3svlIn4h7StRyN2qDQYFT4PEUZ0YN5wJqSOtiqkOrvJs93C0dxncR1OWf3f39zvVIXjMBt2Xs0dpU0tAQ2vRgzIaQrH7WfW0iA4H4cVEQhvIRmbN46LQ2ZUCsOx5eI5VVwaLzhQ==")</f>
        <v>https://recruiter.shine.com/resume/download/?resumeid=gAAAAABbk2UNIklB42mOAYRu5H-3svlIn4h7StRyN2qDQYFT4PEUZ0YN5wJqSOtiqkOrvJs93C0dxncR1OWf3f39zvVIXjMBt2Xs0dpU0tAQ2vRgzIaQrH7WfW0iA4H4cVEQhvIRmbN46LQ2ZUCsOx5eI5VVwaLzhQ==</v>
      </c>
    </row>
    <row r="236" spans="1:25" ht="39.950000000000003" customHeight="1">
      <c r="A236">
        <v>232</v>
      </c>
      <c r="B236" t="s">
        <v>2446</v>
      </c>
      <c r="C236" t="s">
        <v>2447</v>
      </c>
      <c r="D236" t="s">
        <v>2448</v>
      </c>
      <c r="E236" t="s">
        <v>2449</v>
      </c>
      <c r="F236" t="s">
        <v>29</v>
      </c>
      <c r="G236" t="s">
        <v>2450</v>
      </c>
      <c r="H236" t="s">
        <v>31</v>
      </c>
      <c r="I236" t="s">
        <v>32</v>
      </c>
      <c r="J236" t="s">
        <v>1283</v>
      </c>
      <c r="K236" t="s">
        <v>394</v>
      </c>
      <c r="L236" t="s">
        <v>253</v>
      </c>
      <c r="M236" t="s">
        <v>105</v>
      </c>
      <c r="N236" t="s">
        <v>2451</v>
      </c>
      <c r="O236" t="s">
        <v>56</v>
      </c>
      <c r="P236" t="s">
        <v>73</v>
      </c>
      <c r="Q236" t="s">
        <v>158</v>
      </c>
      <c r="R236" t="s">
        <v>159</v>
      </c>
      <c r="S236" t="s">
        <v>2452</v>
      </c>
      <c r="T236" t="s">
        <v>2453</v>
      </c>
      <c r="U236" t="s">
        <v>43</v>
      </c>
      <c r="V236" t="s">
        <v>2454</v>
      </c>
      <c r="W236" t="s">
        <v>2455</v>
      </c>
      <c r="Y236" t="str">
        <f>HYPERLINK("https://recruiter.shine.com/resume/download/?resumeid=gAAAAABbk2UKrNT8oESDRiQBZjGOqJsnKGTsPlcCpyZWzt-co4cGxDWtO-YLXvRoe2irfvKfbpMFjsaOVmx0ISzbwVwkgNihwbJ6prt99TPw5IhjYdjM_wL931F956zPstAISn_dJog9")</f>
        <v>https://recruiter.shine.com/resume/download/?resumeid=gAAAAABbk2UKrNT8oESDRiQBZjGOqJsnKGTsPlcCpyZWzt-co4cGxDWtO-YLXvRoe2irfvKfbpMFjsaOVmx0ISzbwVwkgNihwbJ6prt99TPw5IhjYdjM_wL931F956zPstAISn_dJog9</v>
      </c>
    </row>
    <row r="237" spans="1:25" ht="39.950000000000003" customHeight="1">
      <c r="A237">
        <v>233</v>
      </c>
      <c r="B237" t="s">
        <v>2456</v>
      </c>
      <c r="C237" t="s">
        <v>2457</v>
      </c>
      <c r="D237" t="s">
        <v>2458</v>
      </c>
      <c r="E237" t="s">
        <v>2459</v>
      </c>
      <c r="F237" t="s">
        <v>29</v>
      </c>
      <c r="G237" t="s">
        <v>29</v>
      </c>
      <c r="H237" t="s">
        <v>31</v>
      </c>
      <c r="I237" t="s">
        <v>2460</v>
      </c>
      <c r="J237" t="s">
        <v>51</v>
      </c>
      <c r="K237" t="s">
        <v>2461</v>
      </c>
      <c r="L237" t="s">
        <v>794</v>
      </c>
      <c r="M237" t="s">
        <v>684</v>
      </c>
      <c r="N237" t="s">
        <v>2462</v>
      </c>
      <c r="O237" t="s">
        <v>38</v>
      </c>
      <c r="P237" t="s">
        <v>57</v>
      </c>
      <c r="Q237" t="s">
        <v>158</v>
      </c>
      <c r="R237" t="s">
        <v>341</v>
      </c>
      <c r="S237" t="s">
        <v>188</v>
      </c>
      <c r="T237" t="s">
        <v>773</v>
      </c>
      <c r="U237" t="s">
        <v>43</v>
      </c>
      <c r="V237" t="s">
        <v>2463</v>
      </c>
      <c r="W237" t="s">
        <v>2464</v>
      </c>
      <c r="Y237" t="str">
        <f>HYPERLINK("https://recruiter.shine.com/resume/download/?resumeid=gAAAAABbk2UNSOKXFT9Sgzn9hmqgR-KMr6jLFfrqtp7Evhdbigay6Sdv4kUlYueBtnh3fJNSABwmsZJWmhsJEgR9DOHlbnlbwgeVuG_lmbTHci4vzgwW1dO94Zibf50jkFw7FGTD0aTO0g-D2kmGztItjNouRv36i6q7X24iNOZRJ5VNz_M0fj0=")</f>
        <v>https://recruiter.shine.com/resume/download/?resumeid=gAAAAABbk2UNSOKXFT9Sgzn9hmqgR-KMr6jLFfrqtp7Evhdbigay6Sdv4kUlYueBtnh3fJNSABwmsZJWmhsJEgR9DOHlbnlbwgeVuG_lmbTHci4vzgwW1dO94Zibf50jkFw7FGTD0aTO0g-D2kmGztItjNouRv36i6q7X24iNOZRJ5VNz_M0fj0=</v>
      </c>
    </row>
    <row r="238" spans="1:25" ht="39.950000000000003" customHeight="1">
      <c r="A238">
        <v>234</v>
      </c>
      <c r="B238" t="s">
        <v>2465</v>
      </c>
      <c r="C238" t="s">
        <v>2466</v>
      </c>
      <c r="D238" t="s">
        <v>2467</v>
      </c>
      <c r="E238" t="s">
        <v>2468</v>
      </c>
      <c r="F238" t="s">
        <v>858</v>
      </c>
      <c r="G238" t="s">
        <v>2469</v>
      </c>
      <c r="H238" t="s">
        <v>31</v>
      </c>
      <c r="I238" t="s">
        <v>362</v>
      </c>
      <c r="J238" t="s">
        <v>135</v>
      </c>
      <c r="L238" t="s">
        <v>363</v>
      </c>
      <c r="M238" t="s">
        <v>364</v>
      </c>
      <c r="Q238" t="s">
        <v>107</v>
      </c>
      <c r="R238" t="s">
        <v>108</v>
      </c>
      <c r="S238" t="s">
        <v>2470</v>
      </c>
      <c r="T238" t="s">
        <v>126</v>
      </c>
      <c r="U238" t="s">
        <v>43</v>
      </c>
      <c r="V238" t="s">
        <v>2471</v>
      </c>
      <c r="W238" t="s">
        <v>2472</v>
      </c>
      <c r="Y238" t="str">
        <f>HYPERLINK("https://recruiter.shine.com/resume/download/?resumeid=gAAAAABbk2UO51sDc8iSiYJuvuqf7o3koB54X220RHoV4d_8WyciyKnf9I1xKqC9nous9kkGv_jEtL6KL6-Cnn-vuNAD-8mGxfYbldawLZ5sDsjg-z4fo56tA2D_dAtD96-n4Krmv55nnhKofRRfRRsKTdnow4H5Qx_Vh9pcOwafCyectP0-XdA=")</f>
        <v>https://recruiter.shine.com/resume/download/?resumeid=gAAAAABbk2UO51sDc8iSiYJuvuqf7o3koB54X220RHoV4d_8WyciyKnf9I1xKqC9nous9kkGv_jEtL6KL6-Cnn-vuNAD-8mGxfYbldawLZ5sDsjg-z4fo56tA2D_dAtD96-n4Krmv55nnhKofRRfRRsKTdnow4H5Qx_Vh9pcOwafCyectP0-XdA=</v>
      </c>
    </row>
    <row r="239" spans="1:25" ht="39.950000000000003" customHeight="1">
      <c r="A239">
        <v>235</v>
      </c>
      <c r="B239" t="s">
        <v>2473</v>
      </c>
      <c r="C239" t="s">
        <v>2474</v>
      </c>
      <c r="D239" t="s">
        <v>2475</v>
      </c>
      <c r="E239" t="s">
        <v>2476</v>
      </c>
      <c r="F239" t="s">
        <v>29</v>
      </c>
      <c r="G239" t="s">
        <v>2477</v>
      </c>
      <c r="H239" t="s">
        <v>31</v>
      </c>
      <c r="I239" t="s">
        <v>448</v>
      </c>
      <c r="J239" t="s">
        <v>935</v>
      </c>
      <c r="K239" t="s">
        <v>2478</v>
      </c>
      <c r="L239" t="s">
        <v>254</v>
      </c>
      <c r="M239" t="s">
        <v>473</v>
      </c>
      <c r="N239" t="s">
        <v>2479</v>
      </c>
      <c r="O239" t="s">
        <v>585</v>
      </c>
      <c r="P239" t="s">
        <v>57</v>
      </c>
      <c r="Q239" t="s">
        <v>90</v>
      </c>
      <c r="R239" t="s">
        <v>91</v>
      </c>
      <c r="S239" t="s">
        <v>2480</v>
      </c>
      <c r="T239" t="s">
        <v>175</v>
      </c>
      <c r="U239" t="s">
        <v>94</v>
      </c>
      <c r="V239" t="s">
        <v>2481</v>
      </c>
      <c r="W239" t="s">
        <v>2482</v>
      </c>
      <c r="Y239" t="str">
        <f>HYPERLINK("https://recruiter.shine.com/resume/download/?resumeid=gAAAAABbk2UK_7-wNpNPYO3k-7Ej4rW2zwxx55eBt6i0Cc_xt-rVvS1O-oy_Ng5JofNll2rhKROwOUd9zs5Dx94nTxjs4-u__zytxn5i5pDQ3YRmCTPyN3920wmqZ9p2qqEqVNLQXKv4")</f>
        <v>https://recruiter.shine.com/resume/download/?resumeid=gAAAAABbk2UK_7-wNpNPYO3k-7Ej4rW2zwxx55eBt6i0Cc_xt-rVvS1O-oy_Ng5JofNll2rhKROwOUd9zs5Dx94nTxjs4-u__zytxn5i5pDQ3YRmCTPyN3920wmqZ9p2qqEqVNLQXKv4</v>
      </c>
    </row>
    <row r="240" spans="1:25" ht="39.950000000000003" customHeight="1">
      <c r="A240">
        <v>236</v>
      </c>
      <c r="B240" t="s">
        <v>2483</v>
      </c>
      <c r="D240" t="s">
        <v>2484</v>
      </c>
      <c r="E240" t="s">
        <v>2485</v>
      </c>
      <c r="F240" t="s">
        <v>29</v>
      </c>
      <c r="G240" t="s">
        <v>29</v>
      </c>
      <c r="H240" t="s">
        <v>31</v>
      </c>
      <c r="I240" t="s">
        <v>2263</v>
      </c>
      <c r="J240" t="s">
        <v>1060</v>
      </c>
      <c r="K240" t="s">
        <v>2486</v>
      </c>
      <c r="L240" t="s">
        <v>2240</v>
      </c>
      <c r="M240" t="s">
        <v>1787</v>
      </c>
      <c r="N240" t="s">
        <v>2487</v>
      </c>
      <c r="O240" t="s">
        <v>186</v>
      </c>
      <c r="Q240" t="s">
        <v>158</v>
      </c>
      <c r="R240" t="s">
        <v>41</v>
      </c>
      <c r="S240" t="s">
        <v>2488</v>
      </c>
      <c r="U240" t="s">
        <v>43</v>
      </c>
      <c r="V240" t="s">
        <v>2489</v>
      </c>
      <c r="W240" t="s">
        <v>2490</v>
      </c>
      <c r="Y240" t="str">
        <f>HYPERLINK("https://recruiter.shine.com/resume/download/?resumeid=gAAAAABbk2UMrNa4-0YiySu1mNdfascG_jLL14Ca8AWFpAqC4JdukyPVGdsB0H5kXu7zMvx5tB-8nnUTS4ELA6Jw9NtjuHoBfpcxOFeaTvEgPyxLNeIl97UN3wB0bdpnwgceKXXo-dIcb_RomDliED6jnS6nshWJ_SkuRqFnIXyV1T5syNd0b90=")</f>
        <v>https://recruiter.shine.com/resume/download/?resumeid=gAAAAABbk2UMrNa4-0YiySu1mNdfascG_jLL14Ca8AWFpAqC4JdukyPVGdsB0H5kXu7zMvx5tB-8nnUTS4ELA6Jw9NtjuHoBfpcxOFeaTvEgPyxLNeIl97UN3wB0bdpnwgceKXXo-dIcb_RomDliED6jnS6nshWJ_SkuRqFnIXyV1T5syNd0b90=</v>
      </c>
    </row>
    <row r="241" spans="1:25" ht="39.950000000000003" customHeight="1">
      <c r="A241">
        <v>237</v>
      </c>
      <c r="B241" t="s">
        <v>2491</v>
      </c>
      <c r="D241" t="s">
        <v>2492</v>
      </c>
      <c r="E241" t="s">
        <v>2493</v>
      </c>
      <c r="F241" t="s">
        <v>29</v>
      </c>
      <c r="G241" t="s">
        <v>29</v>
      </c>
      <c r="H241" t="s">
        <v>234</v>
      </c>
      <c r="I241" t="s">
        <v>32</v>
      </c>
      <c r="J241" t="s">
        <v>336</v>
      </c>
      <c r="K241" t="s">
        <v>2494</v>
      </c>
      <c r="L241" t="s">
        <v>450</v>
      </c>
      <c r="M241" t="s">
        <v>463</v>
      </c>
      <c r="N241" t="s">
        <v>2495</v>
      </c>
      <c r="O241" t="s">
        <v>1245</v>
      </c>
      <c r="Q241" t="s">
        <v>90</v>
      </c>
      <c r="R241" t="s">
        <v>91</v>
      </c>
      <c r="S241" t="s">
        <v>2496</v>
      </c>
      <c r="T241" t="s">
        <v>1842</v>
      </c>
      <c r="U241" t="s">
        <v>127</v>
      </c>
      <c r="V241" t="s">
        <v>2497</v>
      </c>
      <c r="W241" t="s">
        <v>2498</v>
      </c>
      <c r="Y241" t="str">
        <f>HYPERLINK("https://recruiter.shine.com/resume/download/?resumeid=gAAAAABbk2UOoIBkrzkWcOqdEGJGwbJKPUpHGjjUjLwBJKsa-3Fc5EHzid0_y70wZpf2-nC_nmhEmLi8i--iFRK0p-xMzKa7XznhyCaqkm50DJ02JS76jkJ8DWHB_oVRmwFkcwW3xi_vqtoiLuuNQ-NhMV_S0krONA==")</f>
        <v>https://recruiter.shine.com/resume/download/?resumeid=gAAAAABbk2UOoIBkrzkWcOqdEGJGwbJKPUpHGjjUjLwBJKsa-3Fc5EHzid0_y70wZpf2-nC_nmhEmLi8i--iFRK0p-xMzKa7XznhyCaqkm50DJ02JS76jkJ8DWHB_oVRmwFkcwW3xi_vqtoiLuuNQ-NhMV_S0krONA==</v>
      </c>
    </row>
    <row r="242" spans="1:25" ht="39.950000000000003" customHeight="1">
      <c r="A242">
        <v>238</v>
      </c>
      <c r="B242" t="s">
        <v>2499</v>
      </c>
      <c r="C242" t="s">
        <v>2500</v>
      </c>
      <c r="D242" t="s">
        <v>2501</v>
      </c>
      <c r="E242" t="s">
        <v>2502</v>
      </c>
      <c r="F242" t="s">
        <v>29</v>
      </c>
      <c r="G242" t="s">
        <v>922</v>
      </c>
      <c r="H242" t="s">
        <v>31</v>
      </c>
      <c r="I242" t="s">
        <v>1344</v>
      </c>
      <c r="J242" t="s">
        <v>2503</v>
      </c>
      <c r="K242" t="s">
        <v>2504</v>
      </c>
      <c r="L242" t="s">
        <v>184</v>
      </c>
      <c r="M242" t="s">
        <v>105</v>
      </c>
      <c r="N242" t="s">
        <v>2505</v>
      </c>
      <c r="O242" t="s">
        <v>38</v>
      </c>
      <c r="P242" t="s">
        <v>201</v>
      </c>
      <c r="Q242" t="s">
        <v>240</v>
      </c>
      <c r="R242" t="s">
        <v>241</v>
      </c>
      <c r="S242" t="s">
        <v>242</v>
      </c>
      <c r="T242" t="s">
        <v>161</v>
      </c>
      <c r="U242" t="s">
        <v>43</v>
      </c>
      <c r="V242" t="s">
        <v>2506</v>
      </c>
      <c r="W242" t="s">
        <v>2507</v>
      </c>
      <c r="Y242" t="str">
        <f>HYPERLINK("https://recruiter.shine.com/resume/download/?resumeid=gAAAAABbk2ULl-v99VeuouHEbclJjyp-XK2pK9Bj37T8N6plopFF6h-qvgZ5UwqI6I9AcuQBh1rGJzIoEbYIQvep5XOl1CWpeuYPFv4AdkVEwo-3xYqFk1V3GsQx9qgb3JCovryvv3DE")</f>
        <v>https://recruiter.shine.com/resume/download/?resumeid=gAAAAABbk2ULl-v99VeuouHEbclJjyp-XK2pK9Bj37T8N6plopFF6h-qvgZ5UwqI6I9AcuQBh1rGJzIoEbYIQvep5XOl1CWpeuYPFv4AdkVEwo-3xYqFk1V3GsQx9qgb3JCovryvv3DE</v>
      </c>
    </row>
    <row r="243" spans="1:25" ht="39.950000000000003" customHeight="1">
      <c r="A243">
        <v>239</v>
      </c>
      <c r="B243" t="s">
        <v>2508</v>
      </c>
      <c r="C243" t="s">
        <v>2509</v>
      </c>
      <c r="D243" t="s">
        <v>2510</v>
      </c>
      <c r="E243" t="s">
        <v>2511</v>
      </c>
      <c r="F243" t="s">
        <v>29</v>
      </c>
      <c r="G243" t="s">
        <v>2512</v>
      </c>
      <c r="H243" t="s">
        <v>31</v>
      </c>
      <c r="I243" t="s">
        <v>725</v>
      </c>
      <c r="J243" t="s">
        <v>2513</v>
      </c>
      <c r="K243" t="s">
        <v>2514</v>
      </c>
      <c r="L243" t="s">
        <v>254</v>
      </c>
      <c r="M243" t="s">
        <v>254</v>
      </c>
      <c r="N243" t="s">
        <v>2515</v>
      </c>
      <c r="O243" t="s">
        <v>56</v>
      </c>
      <c r="P243" t="s">
        <v>39</v>
      </c>
      <c r="Q243" t="s">
        <v>90</v>
      </c>
      <c r="R243" t="s">
        <v>317</v>
      </c>
      <c r="S243" t="s">
        <v>2516</v>
      </c>
      <c r="T243" t="s">
        <v>625</v>
      </c>
      <c r="U243" t="s">
        <v>43</v>
      </c>
      <c r="V243" t="s">
        <v>2517</v>
      </c>
      <c r="W243" t="s">
        <v>2517</v>
      </c>
      <c r="Y243" t="str">
        <f>HYPERLINK("https://recruiter.shine.com/resume/download/?resumeid=gAAAAABbk2UMMmjTh-625afyM-nzOZYt_Q61kirwj6RDJPGoVT4hvbQvs3NZ6hJOBsEQyKxGWnOeuTOhKijmchYfRA_gU3Df0kwOvQpq7QpH36HW-_Q8rmlMagdXzWhMCBW0an0M8XTnvBSft-KEsxFXPyQ9h30fon1638M4-B6KszohLEK_bqk=")</f>
        <v>https://recruiter.shine.com/resume/download/?resumeid=gAAAAABbk2UMMmjTh-625afyM-nzOZYt_Q61kirwj6RDJPGoVT4hvbQvs3NZ6hJOBsEQyKxGWnOeuTOhKijmchYfRA_gU3Df0kwOvQpq7QpH36HW-_Q8rmlMagdXzWhMCBW0an0M8XTnvBSft-KEsxFXPyQ9h30fon1638M4-B6KszohLEK_bqk=</v>
      </c>
    </row>
    <row r="244" spans="1:25" ht="39.950000000000003" customHeight="1">
      <c r="A244">
        <v>240</v>
      </c>
      <c r="B244" t="s">
        <v>2518</v>
      </c>
      <c r="C244" t="s">
        <v>2519</v>
      </c>
      <c r="D244" t="s">
        <v>2520</v>
      </c>
      <c r="E244" t="s">
        <v>2521</v>
      </c>
      <c r="F244" t="s">
        <v>29</v>
      </c>
      <c r="G244" t="s">
        <v>2522</v>
      </c>
      <c r="H244" t="s">
        <v>31</v>
      </c>
      <c r="I244" t="s">
        <v>2523</v>
      </c>
      <c r="J244" t="s">
        <v>1354</v>
      </c>
      <c r="K244" t="s">
        <v>2524</v>
      </c>
      <c r="L244" t="s">
        <v>120</v>
      </c>
      <c r="M244" t="s">
        <v>707</v>
      </c>
      <c r="N244" t="s">
        <v>2525</v>
      </c>
      <c r="O244" t="s">
        <v>585</v>
      </c>
      <c r="Q244" t="s">
        <v>107</v>
      </c>
      <c r="R244" t="s">
        <v>341</v>
      </c>
      <c r="S244" t="s">
        <v>2526</v>
      </c>
      <c r="T244" t="s">
        <v>415</v>
      </c>
      <c r="U244" t="s">
        <v>43</v>
      </c>
      <c r="V244" t="s">
        <v>2527</v>
      </c>
      <c r="W244" t="s">
        <v>2528</v>
      </c>
      <c r="Y244" t="str">
        <f>HYPERLINK("https://recruiter.shine.com/resume/download/?resumeid=gAAAAABbk2UOQhAv8Vb0ggVTNkUq32FvbxKtUO96ThwHyaVWVHZP5qC8VwsP7d4BgNK_xCLI7wzVesC3_4D703Ztlv-xz0RGLI-oYi3gksX28oNMb2EoANwBku9dh4Gqqp5C6Mj7j_pvzNsJH4931ghBNcfqL2LaLg==")</f>
        <v>https://recruiter.shine.com/resume/download/?resumeid=gAAAAABbk2UOQhAv8Vb0ggVTNkUq32FvbxKtUO96ThwHyaVWVHZP5qC8VwsP7d4BgNK_xCLI7wzVesC3_4D703Ztlv-xz0RGLI-oYi3gksX28oNMb2EoANwBku9dh4Gqqp5C6Mj7j_pvzNsJH4931ghBNcfqL2LaLg==</v>
      </c>
    </row>
    <row r="245" spans="1:25" ht="39.950000000000003" customHeight="1">
      <c r="A245">
        <v>241</v>
      </c>
      <c r="B245" t="s">
        <v>2529</v>
      </c>
      <c r="C245" t="s">
        <v>2530</v>
      </c>
      <c r="D245" t="s">
        <v>2531</v>
      </c>
      <c r="E245" t="s">
        <v>2532</v>
      </c>
      <c r="F245" t="s">
        <v>29</v>
      </c>
      <c r="G245" t="s">
        <v>29</v>
      </c>
      <c r="H245" t="s">
        <v>31</v>
      </c>
      <c r="I245" t="s">
        <v>543</v>
      </c>
      <c r="J245" t="s">
        <v>2063</v>
      </c>
      <c r="K245" t="s">
        <v>2533</v>
      </c>
      <c r="L245" t="s">
        <v>2534</v>
      </c>
      <c r="M245" t="s">
        <v>938</v>
      </c>
      <c r="N245" t="s">
        <v>2535</v>
      </c>
      <c r="O245" t="s">
        <v>186</v>
      </c>
      <c r="P245" t="s">
        <v>39</v>
      </c>
      <c r="Q245" t="s">
        <v>123</v>
      </c>
      <c r="R245" t="s">
        <v>124</v>
      </c>
      <c r="S245" t="s">
        <v>188</v>
      </c>
      <c r="T245" t="s">
        <v>687</v>
      </c>
      <c r="U245" t="s">
        <v>43</v>
      </c>
      <c r="V245" t="s">
        <v>2536</v>
      </c>
      <c r="W245" t="s">
        <v>2537</v>
      </c>
      <c r="Y245" t="str">
        <f>HYPERLINK("https://recruiter.shine.com/resume/download/?resumeid=gAAAAABbk2UKRWTKaWqIrzY7nNBs9uTQG-geM11-IR-byHltETRvA5VSqWLkcJ-SNDs91-h7SY4YoR3UEoFBop72XNirNIGCiTcay5q2dcIZhU8djRBnLRuM4z28TdsYjNEC-0QxNVfG")</f>
        <v>https://recruiter.shine.com/resume/download/?resumeid=gAAAAABbk2UKRWTKaWqIrzY7nNBs9uTQG-geM11-IR-byHltETRvA5VSqWLkcJ-SNDs91-h7SY4YoR3UEoFBop72XNirNIGCiTcay5q2dcIZhU8djRBnLRuM4z28TdsYjNEC-0QxNVfG</v>
      </c>
    </row>
    <row r="246" spans="1:25" ht="39.950000000000003" customHeight="1">
      <c r="A246">
        <v>242</v>
      </c>
      <c r="B246" t="s">
        <v>2538</v>
      </c>
      <c r="C246" t="s">
        <v>2539</v>
      </c>
      <c r="D246" t="s">
        <v>2540</v>
      </c>
      <c r="E246" t="s">
        <v>2541</v>
      </c>
      <c r="F246" t="s">
        <v>29</v>
      </c>
      <c r="G246" t="s">
        <v>29</v>
      </c>
      <c r="H246" t="s">
        <v>31</v>
      </c>
      <c r="I246" t="s">
        <v>958</v>
      </c>
      <c r="J246" t="s">
        <v>705</v>
      </c>
      <c r="K246" t="s">
        <v>2542</v>
      </c>
      <c r="L246" t="s">
        <v>120</v>
      </c>
      <c r="M246" t="s">
        <v>757</v>
      </c>
      <c r="N246" t="s">
        <v>2543</v>
      </c>
      <c r="O246" t="s">
        <v>186</v>
      </c>
      <c r="P246" t="s">
        <v>39</v>
      </c>
      <c r="Q246" t="s">
        <v>187</v>
      </c>
      <c r="R246" t="s">
        <v>124</v>
      </c>
      <c r="S246" t="s">
        <v>2544</v>
      </c>
      <c r="T246" t="s">
        <v>429</v>
      </c>
      <c r="U246" t="s">
        <v>43</v>
      </c>
      <c r="V246" t="s">
        <v>2545</v>
      </c>
      <c r="W246" t="s">
        <v>2546</v>
      </c>
      <c r="Y246" t="str">
        <f>HYPERLINK("https://recruiter.shine.com/resume/download/?resumeid=gAAAAABbk2UMI6XDn1Km3Ej7BLtvdy9z9rtGwtx38uaWeR-4d5Bitb41XH6DNmRTpl9PM-kjoKdSZJM6dce6VE2bABidFp8Tj9KJxP13NoATVffuVaWgbsjio4gazLDUV3MNqI3_eGuoOWQ2WU1uNV6Uk_PEdNlOBQ==")</f>
        <v>https://recruiter.shine.com/resume/download/?resumeid=gAAAAABbk2UMI6XDn1Km3Ej7BLtvdy9z9rtGwtx38uaWeR-4d5Bitb41XH6DNmRTpl9PM-kjoKdSZJM6dce6VE2bABidFp8Tj9KJxP13NoATVffuVaWgbsjio4gazLDUV3MNqI3_eGuoOWQ2WU1uNV6Uk_PEdNlOBQ==</v>
      </c>
    </row>
    <row r="247" spans="1:25" ht="39.950000000000003" customHeight="1">
      <c r="A247">
        <v>243</v>
      </c>
      <c r="B247" t="s">
        <v>2547</v>
      </c>
      <c r="D247" t="s">
        <v>2548</v>
      </c>
      <c r="E247" t="s">
        <v>2549</v>
      </c>
      <c r="F247" t="s">
        <v>29</v>
      </c>
      <c r="G247" t="s">
        <v>29</v>
      </c>
      <c r="H247" t="s">
        <v>234</v>
      </c>
      <c r="I247" t="s">
        <v>2550</v>
      </c>
      <c r="J247" t="s">
        <v>531</v>
      </c>
      <c r="K247" t="s">
        <v>2551</v>
      </c>
      <c r="L247" t="s">
        <v>184</v>
      </c>
      <c r="M247" t="s">
        <v>238</v>
      </c>
      <c r="N247" t="s">
        <v>2552</v>
      </c>
      <c r="O247" t="s">
        <v>186</v>
      </c>
      <c r="Q247" t="s">
        <v>123</v>
      </c>
      <c r="R247" t="s">
        <v>124</v>
      </c>
      <c r="S247" t="s">
        <v>2553</v>
      </c>
      <c r="T247" t="s">
        <v>2554</v>
      </c>
      <c r="U247" t="s">
        <v>43</v>
      </c>
      <c r="V247" t="s">
        <v>2555</v>
      </c>
      <c r="W247" t="s">
        <v>2555</v>
      </c>
      <c r="Y247" t="str">
        <f>HYPERLINK("https://recruiter.shine.com/resume/download/?resumeid=gAAAAABbk2UOumpv_FSPPfrwt0b0DgOrG_ESOcCAyG6kzI3ZNkSzLvPfN4RfDk5mOLGMILfs4NICcpOdnN9z0_-nDjin5GgljXrAI4Jw3whS73I_zA5DCm-4w5LlFOyxBatQDXosGRJj1bxC-AP4IUUWAFLVDvaqE1pkryrSbXmWb9DOPtOUAJE=")</f>
        <v>https://recruiter.shine.com/resume/download/?resumeid=gAAAAABbk2UOumpv_FSPPfrwt0b0DgOrG_ESOcCAyG6kzI3ZNkSzLvPfN4RfDk5mOLGMILfs4NICcpOdnN9z0_-nDjin5GgljXrAI4Jw3whS73I_zA5DCm-4w5LlFOyxBatQDXosGRJj1bxC-AP4IUUWAFLVDvaqE1pkryrSbXmWb9DOPtOUAJE=</v>
      </c>
    </row>
    <row r="248" spans="1:25" ht="39.950000000000003" customHeight="1">
      <c r="A248">
        <v>244</v>
      </c>
      <c r="B248" t="s">
        <v>2556</v>
      </c>
      <c r="C248" t="s">
        <v>2557</v>
      </c>
      <c r="D248" t="s">
        <v>2558</v>
      </c>
      <c r="E248" t="s">
        <v>2559</v>
      </c>
      <c r="F248" t="s">
        <v>29</v>
      </c>
      <c r="G248" t="s">
        <v>2560</v>
      </c>
      <c r="H248" t="s">
        <v>31</v>
      </c>
      <c r="I248" t="s">
        <v>32</v>
      </c>
      <c r="J248" t="s">
        <v>1577</v>
      </c>
      <c r="K248" t="s">
        <v>2561</v>
      </c>
      <c r="L248" t="s">
        <v>155</v>
      </c>
      <c r="M248" t="s">
        <v>105</v>
      </c>
      <c r="N248" t="s">
        <v>2562</v>
      </c>
      <c r="O248" t="s">
        <v>38</v>
      </c>
      <c r="Q248" t="s">
        <v>107</v>
      </c>
      <c r="R248" t="s">
        <v>159</v>
      </c>
      <c r="S248" t="s">
        <v>2563</v>
      </c>
      <c r="T248" t="s">
        <v>1842</v>
      </c>
      <c r="U248" t="s">
        <v>94</v>
      </c>
      <c r="V248" t="s">
        <v>2564</v>
      </c>
      <c r="W248" t="s">
        <v>2565</v>
      </c>
      <c r="Y248" t="str">
        <f>HYPERLINK("https://recruiter.shine.com/resume/download/?resumeid=gAAAAABbk2ULlO9TLzVQYyPTrzwbLz32ABTaaK24-qrwDyOzn6FlANx6YVLP3fz-eLTWw7Y3SUaJuTjkdk6fBOtdbA2pjCnPgf5sd2zybZXKZtJvpGKZRduzrfJKHNKBPeYGTd2W6ps-")</f>
        <v>https://recruiter.shine.com/resume/download/?resumeid=gAAAAABbk2ULlO9TLzVQYyPTrzwbLz32ABTaaK24-qrwDyOzn6FlANx6YVLP3fz-eLTWw7Y3SUaJuTjkdk6fBOtdbA2pjCnPgf5sd2zybZXKZtJvpGKZRduzrfJKHNKBPeYGTd2W6ps-</v>
      </c>
    </row>
    <row r="249" spans="1:25" ht="39.950000000000003" customHeight="1">
      <c r="A249">
        <v>245</v>
      </c>
      <c r="B249" t="s">
        <v>2566</v>
      </c>
      <c r="C249" t="s">
        <v>2567</v>
      </c>
      <c r="D249" t="s">
        <v>2568</v>
      </c>
      <c r="E249" t="s">
        <v>2569</v>
      </c>
      <c r="F249" t="s">
        <v>29</v>
      </c>
      <c r="G249" t="s">
        <v>2570</v>
      </c>
      <c r="H249" t="s">
        <v>31</v>
      </c>
      <c r="I249" t="s">
        <v>2025</v>
      </c>
      <c r="J249" t="s">
        <v>517</v>
      </c>
      <c r="K249" t="s">
        <v>2571</v>
      </c>
      <c r="L249" t="s">
        <v>2572</v>
      </c>
      <c r="M249" t="s">
        <v>121</v>
      </c>
      <c r="N249" t="s">
        <v>2573</v>
      </c>
      <c r="O249" t="s">
        <v>38</v>
      </c>
      <c r="P249" t="s">
        <v>940</v>
      </c>
      <c r="Q249" t="s">
        <v>40</v>
      </c>
      <c r="R249" t="s">
        <v>2364</v>
      </c>
      <c r="S249" t="s">
        <v>2574</v>
      </c>
      <c r="T249" t="s">
        <v>441</v>
      </c>
      <c r="U249" t="s">
        <v>43</v>
      </c>
      <c r="V249" t="s">
        <v>2575</v>
      </c>
      <c r="W249" t="s">
        <v>2576</v>
      </c>
      <c r="Y249" t="str">
        <f>HYPERLINK("https://recruiter.shine.com/resume/download/?resumeid=gAAAAABbk2UMC9SxjAdD1DItyXk1WFW6w79oers_jSS1RyNcbHQF488iLLB_t-bkwqwMJI2zM6fxFrWbugMYNm6apG3UKtDJDfVquRyWyT9QbXCq4FvGdV2qq9txYSGIH7oI59VRCGkonnDsrNva7PDPuXQ3Jsl_8Q==")</f>
        <v>https://recruiter.shine.com/resume/download/?resumeid=gAAAAABbk2UMC9SxjAdD1DItyXk1WFW6w79oers_jSS1RyNcbHQF488iLLB_t-bkwqwMJI2zM6fxFrWbugMYNm6apG3UKtDJDfVquRyWyT9QbXCq4FvGdV2qq9txYSGIH7oI59VRCGkonnDsrNva7PDPuXQ3Jsl_8Q==</v>
      </c>
    </row>
    <row r="250" spans="1:25" ht="39.950000000000003" customHeight="1">
      <c r="A250">
        <v>246</v>
      </c>
      <c r="B250" t="s">
        <v>2577</v>
      </c>
      <c r="D250" t="s">
        <v>2578</v>
      </c>
      <c r="E250" t="s">
        <v>2579</v>
      </c>
      <c r="F250" t="s">
        <v>249</v>
      </c>
      <c r="G250" t="s">
        <v>249</v>
      </c>
      <c r="H250" t="s">
        <v>31</v>
      </c>
      <c r="I250" t="s">
        <v>208</v>
      </c>
      <c r="J250" t="s">
        <v>135</v>
      </c>
      <c r="K250" t="s">
        <v>2580</v>
      </c>
      <c r="L250" t="s">
        <v>266</v>
      </c>
      <c r="M250" t="s">
        <v>105</v>
      </c>
      <c r="N250" t="s">
        <v>2581</v>
      </c>
      <c r="O250" t="s">
        <v>56</v>
      </c>
      <c r="Q250" t="s">
        <v>107</v>
      </c>
      <c r="R250" t="s">
        <v>2346</v>
      </c>
      <c r="S250" t="s">
        <v>2582</v>
      </c>
      <c r="T250" t="s">
        <v>773</v>
      </c>
      <c r="U250" t="s">
        <v>43</v>
      </c>
      <c r="V250" t="s">
        <v>2583</v>
      </c>
      <c r="W250" t="s">
        <v>2584</v>
      </c>
      <c r="Y250" t="str">
        <f>HYPERLINK("https://recruiter.shine.com/resume/download/?resumeid=gAAAAABbk2UN4M842fd17GgipjCu15G0PBIvESL7RWzi_GOdehb2ggr40-5jfBld5T4Qltghj7oEAu5ry020UJFVZtadjB9DNRB2EJcAz1zDnNLXqI6CpWwqjWmCw6Wq9chU-38U0CXk2Z7r-IDx7AJlhxsKA1Txps8y9JxUEfUmyth83ixoQJc=")</f>
        <v>https://recruiter.shine.com/resume/download/?resumeid=gAAAAABbk2UN4M842fd17GgipjCu15G0PBIvESL7RWzi_GOdehb2ggr40-5jfBld5T4Qltghj7oEAu5ry020UJFVZtadjB9DNRB2EJcAz1zDnNLXqI6CpWwqjWmCw6Wq9chU-38U0CXk2Z7r-IDx7AJlhxsKA1Txps8y9JxUEfUmyth83ixoQJc=</v>
      </c>
    </row>
    <row r="251" spans="1:25" ht="39.950000000000003" customHeight="1">
      <c r="A251">
        <v>247</v>
      </c>
      <c r="B251" t="s">
        <v>2585</v>
      </c>
      <c r="C251" t="s">
        <v>2586</v>
      </c>
      <c r="D251" t="s">
        <v>2587</v>
      </c>
      <c r="E251" t="s">
        <v>2588</v>
      </c>
      <c r="F251" t="s">
        <v>29</v>
      </c>
      <c r="G251" t="s">
        <v>2589</v>
      </c>
      <c r="H251" t="s">
        <v>31</v>
      </c>
      <c r="I251" t="s">
        <v>825</v>
      </c>
      <c r="J251" t="s">
        <v>1816</v>
      </c>
      <c r="K251" t="s">
        <v>2590</v>
      </c>
      <c r="L251" t="s">
        <v>582</v>
      </c>
      <c r="M251" t="s">
        <v>238</v>
      </c>
      <c r="N251" t="s">
        <v>2591</v>
      </c>
      <c r="O251" t="s">
        <v>157</v>
      </c>
      <c r="P251" t="s">
        <v>57</v>
      </c>
      <c r="Q251" t="s">
        <v>123</v>
      </c>
      <c r="R251" t="s">
        <v>124</v>
      </c>
      <c r="S251" t="s">
        <v>2592</v>
      </c>
      <c r="T251" t="s">
        <v>415</v>
      </c>
      <c r="U251" t="s">
        <v>127</v>
      </c>
      <c r="V251" t="s">
        <v>2593</v>
      </c>
      <c r="W251" t="s">
        <v>2594</v>
      </c>
      <c r="Y251" t="str">
        <f>HYPERLINK("https://recruiter.shine.com/resume/download/?resumeid=gAAAAABbk2UK-AGfDxItMPnZ0QYAmy0CqX67n_79ontdGEutO-qYBReO6nM6ABVIvqzKnphnV0S6Rh7vzYPaEqgVGAdDcnqhUoba8umGtZ57laFipupUs_J2olALkHKCr6zkduiCFNf_")</f>
        <v>https://recruiter.shine.com/resume/download/?resumeid=gAAAAABbk2UK-AGfDxItMPnZ0QYAmy0CqX67n_79ontdGEutO-qYBReO6nM6ABVIvqzKnphnV0S6Rh7vzYPaEqgVGAdDcnqhUoba8umGtZ57laFipupUs_J2olALkHKCr6zkduiCFNf_</v>
      </c>
    </row>
    <row r="252" spans="1:25" ht="39.950000000000003" customHeight="1">
      <c r="A252">
        <v>248</v>
      </c>
      <c r="B252" t="s">
        <v>2595</v>
      </c>
      <c r="C252" t="s">
        <v>2596</v>
      </c>
      <c r="D252" t="s">
        <v>2597</v>
      </c>
      <c r="E252" t="s">
        <v>2598</v>
      </c>
      <c r="F252" t="s">
        <v>29</v>
      </c>
      <c r="G252" t="s">
        <v>2599</v>
      </c>
      <c r="H252" t="s">
        <v>31</v>
      </c>
      <c r="I252" t="s">
        <v>32</v>
      </c>
      <c r="J252" t="s">
        <v>792</v>
      </c>
      <c r="K252" t="s">
        <v>2600</v>
      </c>
      <c r="L252" t="s">
        <v>88</v>
      </c>
      <c r="M252" t="s">
        <v>1335</v>
      </c>
      <c r="N252" t="s">
        <v>2601</v>
      </c>
      <c r="O252" t="s">
        <v>38</v>
      </c>
      <c r="P252" t="s">
        <v>39</v>
      </c>
      <c r="Q252" t="s">
        <v>58</v>
      </c>
      <c r="R252" t="s">
        <v>59</v>
      </c>
      <c r="S252" t="s">
        <v>188</v>
      </c>
      <c r="T252" t="s">
        <v>761</v>
      </c>
      <c r="U252" t="s">
        <v>43</v>
      </c>
      <c r="V252" t="s">
        <v>2602</v>
      </c>
      <c r="W252" t="s">
        <v>2603</v>
      </c>
      <c r="Y252" t="str">
        <f>HYPERLINK("https://recruiter.shine.com/resume/download/?resumeid=gAAAAABbk2UN6P6gQZHslRyXoZsHw98TZkp6CSFh2IFXnRME2GvDFseT2vxqMqG2_jTG-YtuFc7UWDi31fehRTFdgONuQOOGAlBoFnHWzFG981yKUuMJYL-YSjCmBhxbYUwhAfE-AeRCqqylgmaWK2Rk6Xo3673ABA==")</f>
        <v>https://recruiter.shine.com/resume/download/?resumeid=gAAAAABbk2UN6P6gQZHslRyXoZsHw98TZkp6CSFh2IFXnRME2GvDFseT2vxqMqG2_jTG-YtuFc7UWDi31fehRTFdgONuQOOGAlBoFnHWzFG981yKUuMJYL-YSjCmBhxbYUwhAfE-AeRCqqylgmaWK2Rk6Xo3673ABA==</v>
      </c>
    </row>
    <row r="253" spans="1:25" ht="39.950000000000003" customHeight="1">
      <c r="A253">
        <v>249</v>
      </c>
      <c r="B253" t="s">
        <v>2604</v>
      </c>
      <c r="D253" t="s">
        <v>2605</v>
      </c>
      <c r="E253" t="s">
        <v>2606</v>
      </c>
      <c r="F253" t="s">
        <v>29</v>
      </c>
      <c r="G253" t="s">
        <v>29</v>
      </c>
      <c r="H253" t="s">
        <v>31</v>
      </c>
      <c r="I253" t="s">
        <v>543</v>
      </c>
      <c r="J253" t="s">
        <v>51</v>
      </c>
      <c r="K253" t="s">
        <v>2607</v>
      </c>
      <c r="L253" t="s">
        <v>88</v>
      </c>
      <c r="M253" t="s">
        <v>1787</v>
      </c>
      <c r="N253" t="s">
        <v>2608</v>
      </c>
      <c r="O253" t="s">
        <v>56</v>
      </c>
      <c r="P253" t="s">
        <v>940</v>
      </c>
      <c r="Q253" t="s">
        <v>90</v>
      </c>
      <c r="R253" t="s">
        <v>1676</v>
      </c>
      <c r="S253" t="s">
        <v>2609</v>
      </c>
      <c r="T253" t="s">
        <v>625</v>
      </c>
      <c r="U253" t="s">
        <v>94</v>
      </c>
      <c r="V253" t="s">
        <v>2610</v>
      </c>
      <c r="W253" t="s">
        <v>2611</v>
      </c>
      <c r="Y253" t="str">
        <f>HYPERLINK("https://recruiter.shine.com/resume/download/?resumeid=gAAAAABbk2UONSiI2QsAm-sO2p_Y48TX4lRhdo69un0l4hkmTzhluWxWQgvU0DCVLkIY8TD2S55CV5pQZSfL_Ke2YdyxI3XTDAHS5Ky9pFNP0GCKIr2bbmheGvNnmzv9Q9l5zY3nqVS7kAk8T_LfeRH6kKs7YJUx6n0ytclkAvlHsT0RPQt0Dac=")</f>
        <v>https://recruiter.shine.com/resume/download/?resumeid=gAAAAABbk2UONSiI2QsAm-sO2p_Y48TX4lRhdo69un0l4hkmTzhluWxWQgvU0DCVLkIY8TD2S55CV5pQZSfL_Ke2YdyxI3XTDAHS5Ky9pFNP0GCKIr2bbmheGvNnmzv9Q9l5zY3nqVS7kAk8T_LfeRH6kKs7YJUx6n0ytclkAvlHsT0RPQt0Dac=</v>
      </c>
    </row>
    <row r="254" spans="1:25" ht="39.950000000000003" customHeight="1">
      <c r="A254">
        <v>250</v>
      </c>
      <c r="B254" t="s">
        <v>2612</v>
      </c>
      <c r="C254" t="s">
        <v>2613</v>
      </c>
      <c r="D254" t="s">
        <v>2614</v>
      </c>
      <c r="E254" t="s">
        <v>2615</v>
      </c>
      <c r="F254" t="s">
        <v>29</v>
      </c>
      <c r="G254" t="s">
        <v>29</v>
      </c>
      <c r="H254" t="s">
        <v>31</v>
      </c>
      <c r="I254" t="s">
        <v>714</v>
      </c>
      <c r="J254" t="s">
        <v>781</v>
      </c>
      <c r="K254" t="s">
        <v>2616</v>
      </c>
      <c r="L254" t="s">
        <v>171</v>
      </c>
      <c r="M254" t="s">
        <v>222</v>
      </c>
      <c r="N254" t="s">
        <v>2617</v>
      </c>
      <c r="O254" t="s">
        <v>56</v>
      </c>
      <c r="P254" t="s">
        <v>57</v>
      </c>
      <c r="Q254" t="s">
        <v>90</v>
      </c>
      <c r="R254" t="s">
        <v>91</v>
      </c>
      <c r="S254" t="s">
        <v>2618</v>
      </c>
      <c r="T254" t="s">
        <v>687</v>
      </c>
      <c r="U254" t="s">
        <v>43</v>
      </c>
      <c r="V254" t="s">
        <v>2619</v>
      </c>
      <c r="W254" t="s">
        <v>2620</v>
      </c>
      <c r="Y254" t="str">
        <f>HYPERLINK("https://recruiter.shine.com/resume/download/?resumeid=gAAAAABbk2ULLM1_EXPA1lmSb6a-9v_tSxUIJUKaMQ0m81rOdcsPzX58wrHkYmOMrDwhZrgx7hNo6vYq5pfCE9O4MryeCTg-fjMvEhmDBdqdq6CcsKtlGXd993ve9z4zfFi8hziYbgLPZfCnuTaGoJmg05c3jn2xAA==")</f>
        <v>https://recruiter.shine.com/resume/download/?resumeid=gAAAAABbk2ULLM1_EXPA1lmSb6a-9v_tSxUIJUKaMQ0m81rOdcsPzX58wrHkYmOMrDwhZrgx7hNo6vYq5pfCE9O4MryeCTg-fjMvEhmDBdqdq6CcsKtlGXd993ve9z4zfFi8hziYbgLPZfCnuTaGoJmg05c3jn2xAA==</v>
      </c>
    </row>
    <row r="255" spans="1:25" ht="39.950000000000003" customHeight="1">
      <c r="A255">
        <v>251</v>
      </c>
      <c r="B255" t="s">
        <v>2621</v>
      </c>
      <c r="D255" t="s">
        <v>2622</v>
      </c>
      <c r="E255" t="s">
        <v>2623</v>
      </c>
      <c r="F255" t="s">
        <v>29</v>
      </c>
      <c r="G255" t="s">
        <v>1849</v>
      </c>
      <c r="H255" t="s">
        <v>31</v>
      </c>
      <c r="I255" t="s">
        <v>32</v>
      </c>
      <c r="J255" t="s">
        <v>336</v>
      </c>
      <c r="K255" t="s">
        <v>2624</v>
      </c>
      <c r="L255" t="s">
        <v>254</v>
      </c>
      <c r="M255" t="s">
        <v>684</v>
      </c>
      <c r="N255" t="s">
        <v>2625</v>
      </c>
      <c r="O255" t="s">
        <v>224</v>
      </c>
      <c r="Q255" t="s">
        <v>535</v>
      </c>
      <c r="R255" t="s">
        <v>536</v>
      </c>
      <c r="S255" t="s">
        <v>2626</v>
      </c>
      <c r="U255" t="s">
        <v>43</v>
      </c>
      <c r="V255" t="s">
        <v>2627</v>
      </c>
      <c r="W255" t="s">
        <v>2628</v>
      </c>
      <c r="Y255" t="str">
        <f>HYPERLINK("https://recruiter.shine.com/resume/download/?resumeid=gAAAAABbk2UMZQpP8qull-Y9iP9TqlGs8OmCqo6fZ0CgsatU-6pXm4rLaedJ2n2woTKlRks4Voh8mVb2AJZ4AIoylwzohy4rQlPxw08TNHBFvN0f-84m8LHcjZNplsXMfeHm17ALHlWANz9ySSMuESMkyrK4T6HFo-iwUmfHXi9z8NdeJLffk1Q=")</f>
        <v>https://recruiter.shine.com/resume/download/?resumeid=gAAAAABbk2UMZQpP8qull-Y9iP9TqlGs8OmCqo6fZ0CgsatU-6pXm4rLaedJ2n2woTKlRks4Voh8mVb2AJZ4AIoylwzohy4rQlPxw08TNHBFvN0f-84m8LHcjZNplsXMfeHm17ALHlWANz9ySSMuESMkyrK4T6HFo-iwUmfHXi9z8NdeJLffk1Q=</v>
      </c>
    </row>
    <row r="256" spans="1:25" ht="39.950000000000003" customHeight="1">
      <c r="A256">
        <v>252</v>
      </c>
      <c r="B256" t="s">
        <v>2629</v>
      </c>
      <c r="C256" t="s">
        <v>2630</v>
      </c>
      <c r="D256" t="s">
        <v>2631</v>
      </c>
      <c r="E256" t="s">
        <v>2632</v>
      </c>
      <c r="F256" t="s">
        <v>29</v>
      </c>
      <c r="G256" t="s">
        <v>29</v>
      </c>
      <c r="H256" t="s">
        <v>31</v>
      </c>
      <c r="I256" t="s">
        <v>362</v>
      </c>
      <c r="J256" t="s">
        <v>2633</v>
      </c>
      <c r="K256" t="s">
        <v>2634</v>
      </c>
      <c r="L256" t="s">
        <v>2635</v>
      </c>
      <c r="M256" t="s">
        <v>2636</v>
      </c>
      <c r="N256" t="s">
        <v>2637</v>
      </c>
      <c r="O256" t="s">
        <v>186</v>
      </c>
      <c r="P256" t="s">
        <v>940</v>
      </c>
      <c r="Q256" t="s">
        <v>107</v>
      </c>
      <c r="R256" t="s">
        <v>384</v>
      </c>
      <c r="S256" t="s">
        <v>2638</v>
      </c>
      <c r="T256" t="s">
        <v>126</v>
      </c>
      <c r="U256" t="s">
        <v>43</v>
      </c>
      <c r="V256" t="s">
        <v>2639</v>
      </c>
      <c r="W256" t="s">
        <v>2639</v>
      </c>
      <c r="Y256" t="str">
        <f>HYPERLINK("https://recruiter.shine.com/resume/download/?resumeid=gAAAAABbk2UN7VR0ER69HVBPr8YMJwdOSp7dNcZNIxsTji9WJpzlvniSOC-amEhPLP5Ez2CLOVLUhKEp4zQw1ntTiPkp2yd5N3_wjQD9kCvYmYEdrUX5NCR2TcsuX8ymPtWtrxTz---tn6wldlmYen40wHuY5RtzUKMRI2Heyzwlk3jp_3HY8eE=")</f>
        <v>https://recruiter.shine.com/resume/download/?resumeid=gAAAAABbk2UN7VR0ER69HVBPr8YMJwdOSp7dNcZNIxsTji9WJpzlvniSOC-amEhPLP5Ez2CLOVLUhKEp4zQw1ntTiPkp2yd5N3_wjQD9kCvYmYEdrUX5NCR2TcsuX8ymPtWtrxTz---tn6wldlmYen40wHuY5RtzUKMRI2Heyzwlk3jp_3HY8eE=</v>
      </c>
    </row>
    <row r="257" spans="1:25" ht="39.950000000000003" customHeight="1">
      <c r="A257">
        <v>253</v>
      </c>
      <c r="B257" t="s">
        <v>2640</v>
      </c>
      <c r="C257" t="s">
        <v>2641</v>
      </c>
      <c r="D257" t="s">
        <v>2642</v>
      </c>
      <c r="E257" t="s">
        <v>2643</v>
      </c>
      <c r="F257" t="s">
        <v>29</v>
      </c>
      <c r="G257" t="s">
        <v>2644</v>
      </c>
      <c r="H257" t="s">
        <v>31</v>
      </c>
      <c r="I257" t="s">
        <v>32</v>
      </c>
      <c r="J257" t="s">
        <v>745</v>
      </c>
      <c r="K257" t="s">
        <v>2645</v>
      </c>
      <c r="L257" t="s">
        <v>1390</v>
      </c>
      <c r="M257" t="s">
        <v>105</v>
      </c>
      <c r="N257" t="s">
        <v>2646</v>
      </c>
      <c r="O257" t="s">
        <v>585</v>
      </c>
      <c r="P257" t="s">
        <v>57</v>
      </c>
      <c r="Q257" t="s">
        <v>107</v>
      </c>
      <c r="R257" t="s">
        <v>341</v>
      </c>
      <c r="S257" t="s">
        <v>2647</v>
      </c>
      <c r="T257" t="s">
        <v>874</v>
      </c>
      <c r="U257" t="s">
        <v>43</v>
      </c>
      <c r="V257" t="s">
        <v>2648</v>
      </c>
      <c r="W257" t="s">
        <v>2648</v>
      </c>
      <c r="Y257" t="str">
        <f>HYPERLINK("https://recruiter.shine.com/resume/download/?resumeid=gAAAAABbk2UKZSDgk2WRHU8kdvJkR0B6BAehPonziFyoRXb9eJoZut74iTVIwifPN7f9gy0aqi1xnt0jeKPj9JzIxZOx_nP-HaTtC_eLJVT2rgzrbJ-28roYhfPTMom-tjOuqi1A1cGTAE6qoKpP5FhV-tNI-AX8Ig==")</f>
        <v>https://recruiter.shine.com/resume/download/?resumeid=gAAAAABbk2UKZSDgk2WRHU8kdvJkR0B6BAehPonziFyoRXb9eJoZut74iTVIwifPN7f9gy0aqi1xnt0jeKPj9JzIxZOx_nP-HaTtC_eLJVT2rgzrbJ-28roYhfPTMom-tjOuqi1A1cGTAE6qoKpP5FhV-tNI-AX8Ig==</v>
      </c>
    </row>
    <row r="258" spans="1:25" ht="39.950000000000003" customHeight="1">
      <c r="A258">
        <v>254</v>
      </c>
      <c r="B258" t="s">
        <v>2649</v>
      </c>
      <c r="C258" t="s">
        <v>2650</v>
      </c>
      <c r="D258" t="s">
        <v>2651</v>
      </c>
      <c r="E258" t="s">
        <v>2652</v>
      </c>
      <c r="F258" t="s">
        <v>29</v>
      </c>
      <c r="G258" t="s">
        <v>29</v>
      </c>
      <c r="H258" t="s">
        <v>31</v>
      </c>
      <c r="I258" t="s">
        <v>68</v>
      </c>
      <c r="J258" t="s">
        <v>1464</v>
      </c>
      <c r="K258" t="s">
        <v>2653</v>
      </c>
      <c r="L258" t="s">
        <v>184</v>
      </c>
      <c r="M258" t="s">
        <v>238</v>
      </c>
      <c r="N258" t="s">
        <v>2654</v>
      </c>
      <c r="O258" t="s">
        <v>186</v>
      </c>
      <c r="P258" t="s">
        <v>73</v>
      </c>
      <c r="Q258" t="s">
        <v>90</v>
      </c>
      <c r="R258" t="s">
        <v>292</v>
      </c>
      <c r="S258" t="s">
        <v>2655</v>
      </c>
      <c r="T258" t="s">
        <v>2554</v>
      </c>
      <c r="U258" t="s">
        <v>43</v>
      </c>
      <c r="V258" t="s">
        <v>2656</v>
      </c>
      <c r="W258" t="s">
        <v>2657</v>
      </c>
      <c r="Y258" t="str">
        <f>HYPERLINK("https://recruiter.shine.com/resume/download/?resumeid=gAAAAABbk2UMXvM2y5fcEtddW9ZIdogwzbJpFWwdyMEV4Bt_mWMLlg0fzJMxvzg9nw16HzqrnnZJhXGSz8xyTRgyF0RSFAOHr1FHZcGuaubwno3E1eytIe6USZA44bt2O_kcJbdXmlTtmAidE1NKMhzPw_OtyTMQjA==")</f>
        <v>https://recruiter.shine.com/resume/download/?resumeid=gAAAAABbk2UMXvM2y5fcEtddW9ZIdogwzbJpFWwdyMEV4Bt_mWMLlg0fzJMxvzg9nw16HzqrnnZJhXGSz8xyTRgyF0RSFAOHr1FHZcGuaubwno3E1eytIe6USZA44bt2O_kcJbdXmlTtmAidE1NKMhzPw_OtyTMQjA==</v>
      </c>
    </row>
    <row r="259" spans="1:25" ht="39.950000000000003" customHeight="1">
      <c r="A259">
        <v>255</v>
      </c>
      <c r="B259" t="s">
        <v>2658</v>
      </c>
      <c r="C259" t="s">
        <v>2659</v>
      </c>
      <c r="D259" t="s">
        <v>2660</v>
      </c>
      <c r="E259" t="s">
        <v>2661</v>
      </c>
      <c r="F259" t="s">
        <v>29</v>
      </c>
      <c r="G259" t="s">
        <v>29</v>
      </c>
      <c r="H259" t="s">
        <v>31</v>
      </c>
      <c r="I259" t="s">
        <v>662</v>
      </c>
      <c r="J259" t="s">
        <v>299</v>
      </c>
      <c r="K259" t="s">
        <v>2662</v>
      </c>
      <c r="L259" t="s">
        <v>582</v>
      </c>
      <c r="M259" t="s">
        <v>36</v>
      </c>
      <c r="N259" t="s">
        <v>2663</v>
      </c>
      <c r="O259" t="s">
        <v>157</v>
      </c>
      <c r="P259" t="s">
        <v>57</v>
      </c>
      <c r="Q259" t="s">
        <v>40</v>
      </c>
      <c r="R259" t="s">
        <v>2192</v>
      </c>
      <c r="S259" t="s">
        <v>2664</v>
      </c>
      <c r="T259" t="s">
        <v>304</v>
      </c>
      <c r="U259" t="s">
        <v>43</v>
      </c>
      <c r="V259" t="s">
        <v>2665</v>
      </c>
      <c r="W259" t="s">
        <v>2666</v>
      </c>
      <c r="Y259" t="str">
        <f>HYPERLINK("https://recruiter.shine.com/resume/download/?resumeid=gAAAAABbk2UOI3nYx0vQ_EuyWYcgqa7Y9MZwSKrxyo2akKSQYqh8lzTbSBc0sUf-RprXf8fjClcz8fwZNZBmg5x1nNmg3mkMfD4Ys1PMsZdCjt-RcOuqI1bnuFk_4cSROYer4my3CkaVb4_LjQApFDE9QNxzwHnI7hRu3j3M_dXOjid0BgmgkNw=")</f>
        <v>https://recruiter.shine.com/resume/download/?resumeid=gAAAAABbk2UOI3nYx0vQ_EuyWYcgqa7Y9MZwSKrxyo2akKSQYqh8lzTbSBc0sUf-RprXf8fjClcz8fwZNZBmg5x1nNmg3mkMfD4Ys1PMsZdCjt-RcOuqI1bnuFk_4cSROYer4my3CkaVb4_LjQApFDE9QNxzwHnI7hRu3j3M_dXOjid0BgmgkNw=</v>
      </c>
    </row>
    <row r="260" spans="1:25" ht="39.950000000000003" customHeight="1">
      <c r="A260">
        <v>256</v>
      </c>
      <c r="B260" t="s">
        <v>2667</v>
      </c>
      <c r="C260" t="s">
        <v>2668</v>
      </c>
      <c r="D260" t="s">
        <v>2669</v>
      </c>
      <c r="E260" t="s">
        <v>2670</v>
      </c>
      <c r="F260" t="s">
        <v>29</v>
      </c>
      <c r="G260" t="s">
        <v>29</v>
      </c>
      <c r="H260" t="s">
        <v>31</v>
      </c>
      <c r="I260" t="s">
        <v>836</v>
      </c>
      <c r="J260" t="s">
        <v>33</v>
      </c>
      <c r="K260" t="s">
        <v>2671</v>
      </c>
      <c r="L260" t="s">
        <v>1674</v>
      </c>
      <c r="M260" t="s">
        <v>36</v>
      </c>
      <c r="N260" t="s">
        <v>2672</v>
      </c>
      <c r="O260" t="s">
        <v>1041</v>
      </c>
      <c r="P260" t="s">
        <v>57</v>
      </c>
      <c r="Q260" t="s">
        <v>90</v>
      </c>
      <c r="R260" t="s">
        <v>317</v>
      </c>
      <c r="S260" t="s">
        <v>2673</v>
      </c>
      <c r="T260" t="s">
        <v>144</v>
      </c>
      <c r="U260" t="s">
        <v>43</v>
      </c>
      <c r="V260" t="s">
        <v>2674</v>
      </c>
      <c r="W260" t="s">
        <v>2675</v>
      </c>
      <c r="Y260" t="str">
        <f>HYPERLINK("https://recruiter.shine.com/resume/download/?resumeid=gAAAAABbk2ULR4TzGInBXrWA7dFYZwi3wYkxDQcFexj2tDSoFEnug9xsKZWqsR0ilo0ptDjZAqsOVf4FILEYTdrnw5XWt30hTxat2fs2dFFMj8opDSnGx1dDHVH0qd59ocUK9PCVK2LY")</f>
        <v>https://recruiter.shine.com/resume/download/?resumeid=gAAAAABbk2ULR4TzGInBXrWA7dFYZwi3wYkxDQcFexj2tDSoFEnug9xsKZWqsR0ilo0ptDjZAqsOVf4FILEYTdrnw5XWt30hTxat2fs2dFFMj8opDSnGx1dDHVH0qd59ocUK9PCVK2LY</v>
      </c>
    </row>
    <row r="261" spans="1:25" ht="39.950000000000003" customHeight="1">
      <c r="A261">
        <v>257</v>
      </c>
      <c r="B261" t="s">
        <v>2676</v>
      </c>
      <c r="C261" t="s">
        <v>2677</v>
      </c>
      <c r="D261" t="s">
        <v>2678</v>
      </c>
      <c r="E261" t="s">
        <v>2679</v>
      </c>
      <c r="F261" t="s">
        <v>29</v>
      </c>
      <c r="G261" t="s">
        <v>1684</v>
      </c>
      <c r="H261" t="s">
        <v>31</v>
      </c>
      <c r="I261" t="s">
        <v>2074</v>
      </c>
      <c r="J261" t="s">
        <v>169</v>
      </c>
      <c r="K261" t="s">
        <v>2680</v>
      </c>
      <c r="L261" t="s">
        <v>254</v>
      </c>
      <c r="M261" t="s">
        <v>254</v>
      </c>
      <c r="N261" t="s">
        <v>2681</v>
      </c>
      <c r="O261" t="s">
        <v>186</v>
      </c>
      <c r="P261" t="s">
        <v>771</v>
      </c>
      <c r="Q261" t="s">
        <v>1880</v>
      </c>
      <c r="R261" t="s">
        <v>317</v>
      </c>
      <c r="S261" t="s">
        <v>2682</v>
      </c>
      <c r="T261" t="s">
        <v>77</v>
      </c>
      <c r="U261" t="s">
        <v>43</v>
      </c>
      <c r="V261" t="s">
        <v>2683</v>
      </c>
      <c r="W261" t="s">
        <v>2683</v>
      </c>
      <c r="Y261" t="str">
        <f>HYPERLINK("https://recruiter.shine.com/resume/download/?resumeid=gAAAAABbk2UMrP63oPTPNc0ILM9tMx6-7ZX5Mlmm5pxe0HU0azri8ap39LXSxGf3QogiSshchv7ck2QrteK1bfWBKChz96LHLbOC32doTucmylMLc8UKZCtjrulimd1GfuRctx2N7QvK_DSMFlxxpTATPeZKUQvzTA==")</f>
        <v>https://recruiter.shine.com/resume/download/?resumeid=gAAAAABbk2UMrP63oPTPNc0ILM9tMx6-7ZX5Mlmm5pxe0HU0azri8ap39LXSxGf3QogiSshchv7ck2QrteK1bfWBKChz96LHLbOC32doTucmylMLc8UKZCtjrulimd1GfuRctx2N7QvK_DSMFlxxpTATPeZKUQvzTA==</v>
      </c>
    </row>
    <row r="262" spans="1:25" ht="39.950000000000003" customHeight="1">
      <c r="A262">
        <v>258</v>
      </c>
      <c r="B262" t="s">
        <v>2684</v>
      </c>
      <c r="C262" t="s">
        <v>2685</v>
      </c>
      <c r="D262" t="s">
        <v>2686</v>
      </c>
      <c r="E262" t="s">
        <v>2687</v>
      </c>
      <c r="F262" t="s">
        <v>29</v>
      </c>
      <c r="G262" t="s">
        <v>29</v>
      </c>
      <c r="H262" t="s">
        <v>31</v>
      </c>
      <c r="I262" t="s">
        <v>2688</v>
      </c>
      <c r="J262" t="s">
        <v>1742</v>
      </c>
      <c r="K262" t="s">
        <v>2689</v>
      </c>
      <c r="L262" t="s">
        <v>2690</v>
      </c>
      <c r="M262" t="s">
        <v>315</v>
      </c>
      <c r="N262" t="s">
        <v>2691</v>
      </c>
      <c r="O262" t="s">
        <v>186</v>
      </c>
      <c r="P262" t="s">
        <v>140</v>
      </c>
      <c r="Q262" t="s">
        <v>107</v>
      </c>
      <c r="R262" t="s">
        <v>559</v>
      </c>
      <c r="S262" t="s">
        <v>2692</v>
      </c>
      <c r="T262" t="s">
        <v>304</v>
      </c>
      <c r="U262" t="s">
        <v>43</v>
      </c>
      <c r="V262" t="s">
        <v>2693</v>
      </c>
      <c r="W262" t="s">
        <v>2694</v>
      </c>
      <c r="Y262" t="str">
        <f>HYPERLINK("https://recruiter.shine.com/resume/download/?resumeid=gAAAAABbk2UNX-Km9kidWEx8YhcwEj-pAKKe1N7AlG8RFwLRt1aO9-B_f9CNo9NAvA3FjSF6JRE5_rW2KWjFtI7YmKiXv633uT-riW-_WSzwLje9v-bPdjc1uOgQ0iZwNEYQlBix3X2rNfr9YXdAP5xnmyTRHyVkuf0ImAEHfgXra8z_ZKZmUy0=")</f>
        <v>https://recruiter.shine.com/resume/download/?resumeid=gAAAAABbk2UNX-Km9kidWEx8YhcwEj-pAKKe1N7AlG8RFwLRt1aO9-B_f9CNo9NAvA3FjSF6JRE5_rW2KWjFtI7YmKiXv633uT-riW-_WSzwLje9v-bPdjc1uOgQ0iZwNEYQlBix3X2rNfr9YXdAP5xnmyTRHyVkuf0ImAEHfgXra8z_ZKZmUy0=</v>
      </c>
    </row>
    <row r="263" spans="1:25" ht="39.950000000000003" customHeight="1">
      <c r="A263">
        <v>259</v>
      </c>
      <c r="B263" t="s">
        <v>2695</v>
      </c>
      <c r="C263" t="s">
        <v>2696</v>
      </c>
      <c r="D263" t="s">
        <v>2697</v>
      </c>
      <c r="E263" t="s">
        <v>2698</v>
      </c>
      <c r="F263" t="s">
        <v>29</v>
      </c>
      <c r="G263" t="s">
        <v>2699</v>
      </c>
      <c r="H263" t="s">
        <v>31</v>
      </c>
      <c r="I263" t="s">
        <v>2700</v>
      </c>
      <c r="J263" t="s">
        <v>2701</v>
      </c>
      <c r="K263" t="s">
        <v>2702</v>
      </c>
      <c r="L263" t="s">
        <v>199</v>
      </c>
      <c r="M263" t="s">
        <v>36</v>
      </c>
      <c r="N263" t="s">
        <v>2703</v>
      </c>
      <c r="O263" t="s">
        <v>56</v>
      </c>
      <c r="P263" t="s">
        <v>57</v>
      </c>
      <c r="Q263" t="s">
        <v>74</v>
      </c>
      <c r="R263" t="s">
        <v>341</v>
      </c>
      <c r="S263" t="s">
        <v>2704</v>
      </c>
      <c r="T263" t="s">
        <v>429</v>
      </c>
      <c r="U263" t="s">
        <v>43</v>
      </c>
      <c r="V263" t="s">
        <v>2705</v>
      </c>
      <c r="W263" t="s">
        <v>2706</v>
      </c>
      <c r="Y263" t="str">
        <f>HYPERLINK("https://recruiter.shine.com/resume/download/?resumeid=gAAAAABbk2UKxZ0EGrB9is23QjcdhiwTGvYAWzjYRn_ksE2pLg4pKZXp0L59qW6PYA8YiX78D4jkUf9-81mahHw0QxNxCPg8n_j1UKuMNHNzZO6GrWLmxaPFqUrH7gnBi8AdhNi7bbjO")</f>
        <v>https://recruiter.shine.com/resume/download/?resumeid=gAAAAABbk2UKxZ0EGrB9is23QjcdhiwTGvYAWzjYRn_ksE2pLg4pKZXp0L59qW6PYA8YiX78D4jkUf9-81mahHw0QxNxCPg8n_j1UKuMNHNzZO6GrWLmxaPFqUrH7gnBi8AdhNi7bbjO</v>
      </c>
    </row>
    <row r="264" spans="1:25" ht="39.950000000000003" customHeight="1">
      <c r="A264">
        <v>260</v>
      </c>
      <c r="B264" t="s">
        <v>2707</v>
      </c>
      <c r="C264" t="s">
        <v>2708</v>
      </c>
      <c r="D264" t="s">
        <v>2709</v>
      </c>
      <c r="E264" t="s">
        <v>2710</v>
      </c>
      <c r="F264" t="s">
        <v>29</v>
      </c>
      <c r="G264" t="s">
        <v>30</v>
      </c>
      <c r="H264" t="s">
        <v>31</v>
      </c>
      <c r="I264" t="s">
        <v>362</v>
      </c>
      <c r="J264" t="s">
        <v>135</v>
      </c>
      <c r="L264" t="s">
        <v>363</v>
      </c>
      <c r="M264" t="s">
        <v>364</v>
      </c>
      <c r="Q264" t="s">
        <v>107</v>
      </c>
      <c r="R264" t="s">
        <v>864</v>
      </c>
      <c r="S264" t="s">
        <v>2711</v>
      </c>
      <c r="T264" t="s">
        <v>126</v>
      </c>
      <c r="U264" t="s">
        <v>43</v>
      </c>
      <c r="V264" t="s">
        <v>2712</v>
      </c>
      <c r="W264" t="s">
        <v>2713</v>
      </c>
      <c r="Y264" t="str">
        <f>HYPERLINK("https://recruiter.shine.com/resume/download/?resumeid=gAAAAABbk2UMHMHiIdg7TqtaXOEYJV_8Y1oTstpCzwHtCUhq7Qcm5-Gm3i8Se2tOyyXYjVDhTPuQ9zok2rbA9XFYOEOEfMo6M9OmBXVr91X8TQatjFRWwUjlpI3AgNluzAoSMbTj_QoEBQvI0Nf0FqSznRgOa5_EEw==")</f>
        <v>https://recruiter.shine.com/resume/download/?resumeid=gAAAAABbk2UMHMHiIdg7TqtaXOEYJV_8Y1oTstpCzwHtCUhq7Qcm5-Gm3i8Se2tOyyXYjVDhTPuQ9zok2rbA9XFYOEOEfMo6M9OmBXVr91X8TQatjFRWwUjlpI3AgNluzAoSMbTj_QoEBQvI0Nf0FqSznRgOa5_EEw==</v>
      </c>
    </row>
    <row r="265" spans="1:25" ht="39.950000000000003" customHeight="1">
      <c r="A265">
        <v>261</v>
      </c>
      <c r="B265" t="s">
        <v>2714</v>
      </c>
      <c r="D265" t="s">
        <v>2715</v>
      </c>
      <c r="E265" t="s">
        <v>2716</v>
      </c>
      <c r="F265" t="s">
        <v>29</v>
      </c>
      <c r="G265" t="s">
        <v>67</v>
      </c>
      <c r="H265" t="s">
        <v>234</v>
      </c>
      <c r="I265" t="s">
        <v>860</v>
      </c>
      <c r="J265" t="s">
        <v>871</v>
      </c>
      <c r="K265" t="s">
        <v>2717</v>
      </c>
      <c r="L265" t="s">
        <v>354</v>
      </c>
      <c r="M265" t="s">
        <v>2718</v>
      </c>
      <c r="N265" t="s">
        <v>2719</v>
      </c>
      <c r="O265" t="s">
        <v>56</v>
      </c>
      <c r="Q265" t="s">
        <v>412</v>
      </c>
      <c r="R265" t="s">
        <v>2720</v>
      </c>
      <c r="S265" t="s">
        <v>2721</v>
      </c>
      <c r="T265" t="s">
        <v>110</v>
      </c>
      <c r="U265" t="s">
        <v>43</v>
      </c>
      <c r="V265" t="s">
        <v>2722</v>
      </c>
      <c r="W265" t="s">
        <v>2723</v>
      </c>
      <c r="Y265" t="str">
        <f>HYPERLINK("https://recruiter.shine.com/resume/download/?resumeid=gAAAAABbk2UOQ_6j_jyc-QFEuxf6A6n-K9HDEoPFhpNgT0MJa6ajsk_Dl3xRpXffsdtKd9QZ15gId6SS5B5rD_Z393UKNGRuDWjEYIXL9q-5IL-seWYc4jIdvwlb4ASJOvlfDfH8s6eY0Ws7wkANKFmPO1CiafOPtA==")</f>
        <v>https://recruiter.shine.com/resume/download/?resumeid=gAAAAABbk2UOQ_6j_jyc-QFEuxf6A6n-K9HDEoPFhpNgT0MJa6ajsk_Dl3xRpXffsdtKd9QZ15gId6SS5B5rD_Z393UKNGRuDWjEYIXL9q-5IL-seWYc4jIdvwlb4ASJOvlfDfH8s6eY0Ws7wkANKFmPO1CiafOPtA==</v>
      </c>
    </row>
    <row r="266" spans="1:25" ht="39.950000000000003" customHeight="1">
      <c r="A266">
        <v>262</v>
      </c>
      <c r="B266" t="s">
        <v>2724</v>
      </c>
      <c r="C266" t="s">
        <v>2725</v>
      </c>
      <c r="D266" t="s">
        <v>2726</v>
      </c>
      <c r="E266" t="s">
        <v>2727</v>
      </c>
      <c r="F266" t="s">
        <v>858</v>
      </c>
      <c r="G266" t="s">
        <v>2728</v>
      </c>
      <c r="H266" t="s">
        <v>31</v>
      </c>
      <c r="I266" t="s">
        <v>2729</v>
      </c>
      <c r="J266" t="s">
        <v>781</v>
      </c>
      <c r="K266" t="s">
        <v>2730</v>
      </c>
      <c r="L266" t="s">
        <v>1524</v>
      </c>
      <c r="M266" t="s">
        <v>238</v>
      </c>
      <c r="N266" t="s">
        <v>1967</v>
      </c>
      <c r="O266" t="s">
        <v>585</v>
      </c>
      <c r="P266" t="s">
        <v>39</v>
      </c>
      <c r="Q266" t="s">
        <v>90</v>
      </c>
      <c r="R266" t="s">
        <v>292</v>
      </c>
      <c r="S266" t="s">
        <v>2731</v>
      </c>
      <c r="T266" t="s">
        <v>227</v>
      </c>
      <c r="U266" t="s">
        <v>43</v>
      </c>
      <c r="V266" t="s">
        <v>2732</v>
      </c>
      <c r="W266" t="s">
        <v>2733</v>
      </c>
      <c r="Y266" t="str">
        <f>HYPERLINK("https://recruiter.shine.com/resume/download/?resumeid=gAAAAABbk2UK6t-rUB8OTBz8UvwWWs0MJ5lYlMxfAJ_4Rkkh_BnorPtmBFJzwiuSAJenx-r8q30A0Eqe-dViZUuMfFCQa2qMOSooAlIxZeagGotLmwUS9HFc3A6nwdm8RTaxa-e9xO1q")</f>
        <v>https://recruiter.shine.com/resume/download/?resumeid=gAAAAABbk2UK6t-rUB8OTBz8UvwWWs0MJ5lYlMxfAJ_4Rkkh_BnorPtmBFJzwiuSAJenx-r8q30A0Eqe-dViZUuMfFCQa2qMOSooAlIxZeagGotLmwUS9HFc3A6nwdm8RTaxa-e9xO1q</v>
      </c>
    </row>
    <row r="267" spans="1:25" ht="39.950000000000003" customHeight="1">
      <c r="A267">
        <v>263</v>
      </c>
      <c r="B267" t="s">
        <v>2734</v>
      </c>
      <c r="C267" t="s">
        <v>2735</v>
      </c>
      <c r="D267" t="s">
        <v>2736</v>
      </c>
      <c r="E267" t="s">
        <v>2737</v>
      </c>
      <c r="F267" t="s">
        <v>29</v>
      </c>
      <c r="G267" t="s">
        <v>29</v>
      </c>
      <c r="H267" t="s">
        <v>31</v>
      </c>
      <c r="I267" t="s">
        <v>2738</v>
      </c>
      <c r="J267" t="s">
        <v>251</v>
      </c>
      <c r="K267" t="s">
        <v>2739</v>
      </c>
      <c r="L267" t="s">
        <v>184</v>
      </c>
      <c r="M267" t="s">
        <v>238</v>
      </c>
      <c r="N267" t="s">
        <v>2740</v>
      </c>
      <c r="O267" t="s">
        <v>475</v>
      </c>
      <c r="P267" t="s">
        <v>39</v>
      </c>
      <c r="Q267" t="s">
        <v>187</v>
      </c>
      <c r="R267" t="s">
        <v>124</v>
      </c>
      <c r="S267" t="s">
        <v>188</v>
      </c>
      <c r="T267" t="s">
        <v>144</v>
      </c>
      <c r="U267" t="s">
        <v>43</v>
      </c>
      <c r="V267" t="s">
        <v>2741</v>
      </c>
      <c r="W267" t="s">
        <v>2742</v>
      </c>
      <c r="Y267" t="str">
        <f>HYPERLINK("https://recruiter.shine.com/resume/download/?resumeid=gAAAAABbk2UM5QKDTs9iaAJlJezA9KEo6pj3pOosTT5pz1u02bgqDX8h6r69kKiRKaPhR4qTZho9f-ggWkQKZolPphyDSXTzTDmtZ95Iy2_UK_cmBYi7zIlrVNe-H4wf9e39ZDoH4E2904Jy9zCajipdfGibTtrU4O_R497IL-1hbnLChYHjho4=")</f>
        <v>https://recruiter.shine.com/resume/download/?resumeid=gAAAAABbk2UM5QKDTs9iaAJlJezA9KEo6pj3pOosTT5pz1u02bgqDX8h6r69kKiRKaPhR4qTZho9f-ggWkQKZolPphyDSXTzTDmtZ95Iy2_UK_cmBYi7zIlrVNe-H4wf9e39ZDoH4E2904Jy9zCajipdfGibTtrU4O_R497IL-1hbnLChYHjho4=</v>
      </c>
    </row>
    <row r="268" spans="1:25" ht="39.950000000000003" customHeight="1">
      <c r="A268">
        <v>264</v>
      </c>
      <c r="B268" t="s">
        <v>2743</v>
      </c>
      <c r="C268" t="s">
        <v>2744</v>
      </c>
      <c r="D268" t="s">
        <v>2745</v>
      </c>
      <c r="E268" t="s">
        <v>2746</v>
      </c>
      <c r="F268" t="s">
        <v>29</v>
      </c>
      <c r="G268" t="s">
        <v>29</v>
      </c>
      <c r="H268" t="s">
        <v>31</v>
      </c>
      <c r="I268" t="s">
        <v>2747</v>
      </c>
      <c r="J268" t="s">
        <v>735</v>
      </c>
      <c r="K268" t="s">
        <v>2748</v>
      </c>
      <c r="L268" t="s">
        <v>354</v>
      </c>
      <c r="M268" t="s">
        <v>105</v>
      </c>
      <c r="N268" t="s">
        <v>2749</v>
      </c>
      <c r="O268" t="s">
        <v>157</v>
      </c>
      <c r="P268" t="s">
        <v>771</v>
      </c>
      <c r="Q268" t="s">
        <v>107</v>
      </c>
      <c r="R268" t="s">
        <v>341</v>
      </c>
      <c r="S268" t="s">
        <v>2750</v>
      </c>
      <c r="T268" t="s">
        <v>304</v>
      </c>
      <c r="U268" t="s">
        <v>43</v>
      </c>
      <c r="V268" t="s">
        <v>2751</v>
      </c>
      <c r="W268" t="s">
        <v>2752</v>
      </c>
      <c r="Y268" t="str">
        <f>HYPERLINK("https://recruiter.shine.com/resume/download/?resumeid=gAAAAABbk2UOKSX0OMmOAuhSXOPD4iVPUs5jJOfiaM5AodkU6DLbDaenE91T3QG6vM-fc6OU3xZ5fw2NYO9rNMiRTqLHQ-prXKhDbWOziPF9I9UQ4UrTgA3ta8OYBSlJ57xNqLQS-GSWTpHCZPhwjLS1m4FY_cWmoA==")</f>
        <v>https://recruiter.shine.com/resume/download/?resumeid=gAAAAABbk2UOKSX0OMmOAuhSXOPD4iVPUs5jJOfiaM5AodkU6DLbDaenE91T3QG6vM-fc6OU3xZ5fw2NYO9rNMiRTqLHQ-prXKhDbWOziPF9I9UQ4UrTgA3ta8OYBSlJ57xNqLQS-GSWTpHCZPhwjLS1m4FY_cWmoA==</v>
      </c>
    </row>
    <row r="269" spans="1:25" ht="39.950000000000003" customHeight="1">
      <c r="A269">
        <v>265</v>
      </c>
      <c r="B269" t="s">
        <v>2753</v>
      </c>
      <c r="C269" t="s">
        <v>2754</v>
      </c>
      <c r="D269" t="s">
        <v>2755</v>
      </c>
      <c r="E269" t="s">
        <v>2756</v>
      </c>
      <c r="F269" t="s">
        <v>29</v>
      </c>
      <c r="G269" t="s">
        <v>2129</v>
      </c>
      <c r="H269" t="s">
        <v>234</v>
      </c>
      <c r="I269" t="s">
        <v>168</v>
      </c>
      <c r="J269" t="s">
        <v>220</v>
      </c>
      <c r="K269" t="s">
        <v>2757</v>
      </c>
      <c r="L269" t="s">
        <v>88</v>
      </c>
      <c r="M269" t="s">
        <v>36</v>
      </c>
      <c r="N269" t="s">
        <v>2758</v>
      </c>
      <c r="O269" t="s">
        <v>56</v>
      </c>
      <c r="P269" t="s">
        <v>57</v>
      </c>
      <c r="Q269" t="s">
        <v>90</v>
      </c>
      <c r="R269" t="s">
        <v>91</v>
      </c>
      <c r="S269" t="s">
        <v>2759</v>
      </c>
      <c r="T269" t="s">
        <v>144</v>
      </c>
      <c r="U269" t="s">
        <v>127</v>
      </c>
      <c r="V269" t="s">
        <v>2760</v>
      </c>
      <c r="W269" t="s">
        <v>2761</v>
      </c>
      <c r="Y269" t="str">
        <f>HYPERLINK("https://recruiter.shine.com/resume/download/?resumeid=gAAAAABbk2UKXYSFlpVVRnpHt4fANZxPfJ0isAJC94Cw2EEYFbwBL7548oc2mp6foXHw3M3UTJEDG7NAmKpszWe7VeW8MPQ6m7-UNNWFv8Qp6A8mP14zwvXIG__23Aee2dvIuznCEc1OpIv8SoE5OplyLsOolr4tKg==")</f>
        <v>https://recruiter.shine.com/resume/download/?resumeid=gAAAAABbk2UKXYSFlpVVRnpHt4fANZxPfJ0isAJC94Cw2EEYFbwBL7548oc2mp6foXHw3M3UTJEDG7NAmKpszWe7VeW8MPQ6m7-UNNWFv8Qp6A8mP14zwvXIG__23Aee2dvIuznCEc1OpIv8SoE5OplyLsOolr4tKg==</v>
      </c>
    </row>
    <row r="270" spans="1:25" ht="39.950000000000003" customHeight="1">
      <c r="A270">
        <v>266</v>
      </c>
      <c r="B270" t="s">
        <v>2762</v>
      </c>
      <c r="C270" t="s">
        <v>1016</v>
      </c>
      <c r="D270" t="s">
        <v>2763</v>
      </c>
      <c r="E270" t="s">
        <v>2764</v>
      </c>
      <c r="F270" t="s">
        <v>29</v>
      </c>
      <c r="G270" t="s">
        <v>29</v>
      </c>
      <c r="H270" t="s">
        <v>31</v>
      </c>
      <c r="I270" t="s">
        <v>196</v>
      </c>
      <c r="J270" t="s">
        <v>51</v>
      </c>
      <c r="K270" t="s">
        <v>2765</v>
      </c>
      <c r="L270" t="s">
        <v>2766</v>
      </c>
      <c r="M270" t="s">
        <v>938</v>
      </c>
      <c r="N270" t="s">
        <v>2767</v>
      </c>
      <c r="O270" t="s">
        <v>848</v>
      </c>
      <c r="P270" t="s">
        <v>940</v>
      </c>
      <c r="Q270" t="s">
        <v>365</v>
      </c>
      <c r="R270" t="s">
        <v>2230</v>
      </c>
      <c r="S270" t="s">
        <v>2768</v>
      </c>
      <c r="T270" t="s">
        <v>61</v>
      </c>
      <c r="U270" t="s">
        <v>43</v>
      </c>
      <c r="V270" t="s">
        <v>2769</v>
      </c>
      <c r="W270" t="s">
        <v>2770</v>
      </c>
      <c r="Y270" t="str">
        <f>HYPERLINK("https://recruiter.shine.com/resume/download/?resumeid=gAAAAABbk2UMYjhiyfSrXckQwjf6gvIqTGA1Q-vnmwiaEAeFN7pd3FW2V5X-asaOXs1T-X_Au-sLivnadeIhrJGa-ihTPylAZXIdg1ggHB1T5G6kNw-eF1_p-Qj-FNo1M9z5Ev_LY0vcd_LkCOduPOW7pYv1xvHqcQ==")</f>
        <v>https://recruiter.shine.com/resume/download/?resumeid=gAAAAABbk2UMYjhiyfSrXckQwjf6gvIqTGA1Q-vnmwiaEAeFN7pd3FW2V5X-asaOXs1T-X_Au-sLivnadeIhrJGa-ihTPylAZXIdg1ggHB1T5G6kNw-eF1_p-Qj-FNo1M9z5Ev_LY0vcd_LkCOduPOW7pYv1xvHqcQ==</v>
      </c>
    </row>
    <row r="271" spans="1:25" ht="39.950000000000003" customHeight="1">
      <c r="A271">
        <v>267</v>
      </c>
      <c r="B271" t="s">
        <v>2771</v>
      </c>
      <c r="C271" t="s">
        <v>2772</v>
      </c>
      <c r="D271" t="s">
        <v>2773</v>
      </c>
      <c r="E271" t="s">
        <v>2774</v>
      </c>
      <c r="F271" t="s">
        <v>29</v>
      </c>
      <c r="G271" t="s">
        <v>29</v>
      </c>
      <c r="H271" t="s">
        <v>31</v>
      </c>
      <c r="I271" t="s">
        <v>134</v>
      </c>
      <c r="J271" t="s">
        <v>1050</v>
      </c>
      <c r="K271" t="s">
        <v>2775</v>
      </c>
      <c r="L271" t="s">
        <v>120</v>
      </c>
      <c r="M271" t="s">
        <v>757</v>
      </c>
      <c r="N271" t="s">
        <v>2776</v>
      </c>
      <c r="O271" t="s">
        <v>186</v>
      </c>
      <c r="Q271" t="s">
        <v>40</v>
      </c>
      <c r="R271" t="s">
        <v>41</v>
      </c>
      <c r="S271" t="s">
        <v>2777</v>
      </c>
      <c r="T271" t="s">
        <v>687</v>
      </c>
      <c r="U271" t="s">
        <v>127</v>
      </c>
      <c r="V271" t="s">
        <v>2778</v>
      </c>
      <c r="W271" t="s">
        <v>2779</v>
      </c>
      <c r="Y271" t="str">
        <f>HYPERLINK("https://recruiter.shine.com/resume/download/?resumeid=gAAAAABbk2UORXqF1kyTT1MT6IyiJ-WjgrX7lzlx_FRoysS8JhrELNXZcO_Calntr53yCS4-GC8ByeX3b8ZCDFtY-eYb5R-vsOnlQksFzdaE9xGzsToyO8giMSRCDpAfvhoHkS_OQvW_IVHDLdG27ffQhfLQiPDgTPIq-7gz3y7pQ6_ulMDY3vk=")</f>
        <v>https://recruiter.shine.com/resume/download/?resumeid=gAAAAABbk2UORXqF1kyTT1MT6IyiJ-WjgrX7lzlx_FRoysS8JhrELNXZcO_Calntr53yCS4-GC8ByeX3b8ZCDFtY-eYb5R-vsOnlQksFzdaE9xGzsToyO8giMSRCDpAfvhoHkS_OQvW_IVHDLdG27ffQhfLQiPDgTPIq-7gz3y7pQ6_ulMDY3vk=</v>
      </c>
    </row>
    <row r="272" spans="1:25" ht="39.950000000000003" customHeight="1">
      <c r="A272">
        <v>268</v>
      </c>
      <c r="B272" t="s">
        <v>2780</v>
      </c>
      <c r="C272" t="s">
        <v>2781</v>
      </c>
      <c r="D272" t="s">
        <v>2782</v>
      </c>
      <c r="E272" t="s">
        <v>2783</v>
      </c>
      <c r="F272" t="s">
        <v>858</v>
      </c>
      <c r="G272" t="s">
        <v>2784</v>
      </c>
      <c r="H272" t="s">
        <v>31</v>
      </c>
      <c r="I272" t="s">
        <v>1155</v>
      </c>
      <c r="J272" t="s">
        <v>135</v>
      </c>
      <c r="K272" t="s">
        <v>2785</v>
      </c>
      <c r="L272" t="s">
        <v>582</v>
      </c>
      <c r="M272" t="s">
        <v>238</v>
      </c>
      <c r="N272" t="s">
        <v>2786</v>
      </c>
      <c r="O272" t="s">
        <v>38</v>
      </c>
      <c r="P272" t="s">
        <v>57</v>
      </c>
      <c r="Q272" t="s">
        <v>90</v>
      </c>
      <c r="R272" t="s">
        <v>292</v>
      </c>
      <c r="S272" t="s">
        <v>2787</v>
      </c>
      <c r="T272" t="s">
        <v>773</v>
      </c>
      <c r="U272" t="s">
        <v>43</v>
      </c>
      <c r="V272" t="s">
        <v>2788</v>
      </c>
      <c r="W272" t="s">
        <v>2789</v>
      </c>
      <c r="Y272" t="str">
        <f>HYPERLINK("https://recruiter.shine.com/resume/download/?resumeid=gAAAAABbk2ULZDlQy0u8n_tN2p0Yq3gHpijBFfB-sl7GSx_Fut-vUrGdLiC-7XbBxTjIsiOsIbu8_zTtslytF3TIn_QYrgAbHJJ4wcaDyL475PnOTOYKq7JhehQcqLXtHtS6t7_17V86")</f>
        <v>https://recruiter.shine.com/resume/download/?resumeid=gAAAAABbk2ULZDlQy0u8n_tN2p0Yq3gHpijBFfB-sl7GSx_Fut-vUrGdLiC-7XbBxTjIsiOsIbu8_zTtslytF3TIn_QYrgAbHJJ4wcaDyL475PnOTOYKq7JhehQcqLXtHtS6t7_17V86</v>
      </c>
    </row>
    <row r="273" spans="1:25" ht="39.950000000000003" customHeight="1">
      <c r="A273">
        <v>269</v>
      </c>
      <c r="B273" t="s">
        <v>2790</v>
      </c>
      <c r="D273" t="s">
        <v>2791</v>
      </c>
      <c r="E273" t="s">
        <v>2792</v>
      </c>
      <c r="F273" t="s">
        <v>29</v>
      </c>
      <c r="G273" t="s">
        <v>67</v>
      </c>
      <c r="H273" t="s">
        <v>31</v>
      </c>
      <c r="I273" t="s">
        <v>152</v>
      </c>
      <c r="J273" t="s">
        <v>781</v>
      </c>
      <c r="K273" t="s">
        <v>2793</v>
      </c>
      <c r="L273" t="s">
        <v>1674</v>
      </c>
      <c r="M273" t="s">
        <v>827</v>
      </c>
      <c r="N273" t="s">
        <v>2794</v>
      </c>
      <c r="O273" t="s">
        <v>38</v>
      </c>
      <c r="Q273" t="s">
        <v>123</v>
      </c>
      <c r="R273" t="s">
        <v>124</v>
      </c>
      <c r="S273" t="s">
        <v>2795</v>
      </c>
      <c r="U273" t="s">
        <v>43</v>
      </c>
      <c r="V273" t="s">
        <v>2796</v>
      </c>
      <c r="W273" t="s">
        <v>2797</v>
      </c>
      <c r="Y273" t="str">
        <f>HYPERLINK("https://recruiter.shine.com/resume/download/?resumeid=gAAAAABbk2UMY1a3xS4orS3D3Jh-Z9p2uIo4zWSxT7JC4HNq8GqJmM4CJQKqimF73JZA-m5ziTOhvWaFPScSEkvUXb8dPbk-ppHhlTRCYBdKvFqT1f8QpJ69PHIC3-1jIeEtRxaTe8pzQV2P_a1d8Sh46PMy7UvnSbzhbw_WdxiblU8fe5yqtco=")</f>
        <v>https://recruiter.shine.com/resume/download/?resumeid=gAAAAABbk2UMY1a3xS4orS3D3Jh-Z9p2uIo4zWSxT7JC4HNq8GqJmM4CJQKqimF73JZA-m5ziTOhvWaFPScSEkvUXb8dPbk-ppHhlTRCYBdKvFqT1f8QpJ69PHIC3-1jIeEtRxaTe8pzQV2P_a1d8Sh46PMy7UvnSbzhbw_WdxiblU8fe5yqtco=</v>
      </c>
    </row>
    <row r="274" spans="1:25" ht="39.950000000000003" customHeight="1">
      <c r="A274">
        <v>270</v>
      </c>
      <c r="B274" t="s">
        <v>2798</v>
      </c>
      <c r="C274" t="s">
        <v>2799</v>
      </c>
      <c r="D274" t="s">
        <v>2800</v>
      </c>
      <c r="E274" t="s">
        <v>2801</v>
      </c>
      <c r="F274" t="s">
        <v>29</v>
      </c>
      <c r="G274" t="s">
        <v>2802</v>
      </c>
      <c r="H274" t="s">
        <v>31</v>
      </c>
      <c r="I274" t="s">
        <v>362</v>
      </c>
      <c r="J274" t="s">
        <v>135</v>
      </c>
      <c r="K274" t="s">
        <v>2803</v>
      </c>
      <c r="L274" t="s">
        <v>104</v>
      </c>
      <c r="M274" t="s">
        <v>339</v>
      </c>
      <c r="N274" t="s">
        <v>2804</v>
      </c>
      <c r="O274" t="s">
        <v>186</v>
      </c>
      <c r="Q274" t="s">
        <v>107</v>
      </c>
      <c r="R274" t="s">
        <v>341</v>
      </c>
      <c r="S274" t="s">
        <v>2805</v>
      </c>
      <c r="T274" t="s">
        <v>126</v>
      </c>
      <c r="U274" t="s">
        <v>43</v>
      </c>
      <c r="V274" t="s">
        <v>2806</v>
      </c>
      <c r="W274" t="s">
        <v>2807</v>
      </c>
      <c r="Y274" t="str">
        <f>HYPERLINK("https://recruiter.shine.com/resume/download/?resumeid=gAAAAABbk2UODZtNbMrMWrrV_Lv6Jvl-IKcE4eYTZYuegZgs9S87i8wXc_ICxx6tR0RBKRK5JfujQy9GR26z3EcqDPJSHtQ5RrA10xvIdbvKdUE0rui4TXbqiM8hj6LPdGtRzqwkv2WakTXnaP6GNK0qriwlF3gyGg==")</f>
        <v>https://recruiter.shine.com/resume/download/?resumeid=gAAAAABbk2UODZtNbMrMWrrV_Lv6Jvl-IKcE4eYTZYuegZgs9S87i8wXc_ICxx6tR0RBKRK5JfujQy9GR26z3EcqDPJSHtQ5RrA10xvIdbvKdUE0rui4TXbqiM8hj6LPdGtRzqwkv2WakTXnaP6GNK0qriwlF3gyGg==</v>
      </c>
    </row>
    <row r="275" spans="1:25" ht="39.950000000000003" customHeight="1">
      <c r="A275">
        <v>271</v>
      </c>
      <c r="B275" t="s">
        <v>2808</v>
      </c>
      <c r="C275" t="s">
        <v>2809</v>
      </c>
      <c r="D275" t="s">
        <v>2810</v>
      </c>
      <c r="E275" t="s">
        <v>2811</v>
      </c>
      <c r="F275" t="s">
        <v>29</v>
      </c>
      <c r="G275" t="s">
        <v>2812</v>
      </c>
      <c r="H275" t="s">
        <v>31</v>
      </c>
      <c r="I275" t="s">
        <v>32</v>
      </c>
      <c r="J275" t="s">
        <v>86</v>
      </c>
      <c r="K275" t="s">
        <v>2813</v>
      </c>
      <c r="L275" t="s">
        <v>450</v>
      </c>
      <c r="M275" t="s">
        <v>2814</v>
      </c>
      <c r="N275" t="s">
        <v>2815</v>
      </c>
      <c r="O275" t="s">
        <v>38</v>
      </c>
      <c r="P275" t="s">
        <v>39</v>
      </c>
      <c r="Q275" t="s">
        <v>90</v>
      </c>
      <c r="R275" t="s">
        <v>91</v>
      </c>
      <c r="S275" t="s">
        <v>2816</v>
      </c>
      <c r="T275" t="s">
        <v>2817</v>
      </c>
      <c r="U275" t="s">
        <v>43</v>
      </c>
      <c r="V275" t="s">
        <v>2818</v>
      </c>
      <c r="W275" t="s">
        <v>2819</v>
      </c>
      <c r="Y275" t="str">
        <f>HYPERLINK("https://recruiter.shine.com/resume/download/?resumeid=gAAAAABbk2UL_1ZPsH2D3s8Odr3-_Sqd4CQeUn4vfbNt_aKtsmGPJhw-TlJLwjYMzg3um7pqFHJMfFBh-ewaNcxASPQwS_ySL54Uf_6baThVWtGwR04prqtFsFvam_WRExOim4HKFNhS")</f>
        <v>https://recruiter.shine.com/resume/download/?resumeid=gAAAAABbk2UL_1ZPsH2D3s8Odr3-_Sqd4CQeUn4vfbNt_aKtsmGPJhw-TlJLwjYMzg3um7pqFHJMfFBh-ewaNcxASPQwS_ySL54Uf_6baThVWtGwR04prqtFsFvam_WRExOim4HKFNhS</v>
      </c>
    </row>
    <row r="276" spans="1:25" ht="39.950000000000003" customHeight="1">
      <c r="A276">
        <v>272</v>
      </c>
      <c r="B276" t="s">
        <v>2820</v>
      </c>
      <c r="C276" t="s">
        <v>2821</v>
      </c>
      <c r="D276" t="s">
        <v>2822</v>
      </c>
      <c r="E276" t="s">
        <v>2823</v>
      </c>
      <c r="F276" t="s">
        <v>29</v>
      </c>
      <c r="G276" t="s">
        <v>2824</v>
      </c>
      <c r="H276" t="s">
        <v>31</v>
      </c>
      <c r="I276" t="s">
        <v>1953</v>
      </c>
      <c r="J276" t="s">
        <v>278</v>
      </c>
      <c r="K276" t="s">
        <v>2825</v>
      </c>
      <c r="L276" t="s">
        <v>120</v>
      </c>
      <c r="M276" t="s">
        <v>395</v>
      </c>
      <c r="N276" t="s">
        <v>2826</v>
      </c>
      <c r="O276" t="s">
        <v>1392</v>
      </c>
      <c r="P276" t="s">
        <v>940</v>
      </c>
      <c r="Q276" t="s">
        <v>158</v>
      </c>
      <c r="R276" t="s">
        <v>864</v>
      </c>
      <c r="S276" t="s">
        <v>2827</v>
      </c>
      <c r="T276" t="s">
        <v>281</v>
      </c>
      <c r="U276" t="s">
        <v>43</v>
      </c>
      <c r="V276" t="s">
        <v>2828</v>
      </c>
      <c r="W276" t="s">
        <v>2829</v>
      </c>
      <c r="Y276" t="str">
        <f>HYPERLINK("https://recruiter.shine.com/resume/download/?resumeid=gAAAAABbk2UM4xmPAIuWHOqwNZwKkzqPHKMUyzbouOzIMgylfMJ9hykTlTgUxN4DA0bqkJuuFMVJQYmCln1-US7c-4i5PEm6otka-e7c-eAMl_pyrNrNMk2L2Zo_OfW1puWZJUqS4tBDWU-bz67O7Qx-ru1XwgB78Q==")</f>
        <v>https://recruiter.shine.com/resume/download/?resumeid=gAAAAABbk2UM4xmPAIuWHOqwNZwKkzqPHKMUyzbouOzIMgylfMJ9hykTlTgUxN4DA0bqkJuuFMVJQYmCln1-US7c-4i5PEm6otka-e7c-eAMl_pyrNrNMk2L2Zo_OfW1puWZJUqS4tBDWU-bz67O7Qx-ru1XwgB78Q==</v>
      </c>
    </row>
    <row r="277" spans="1:25" ht="39.950000000000003" customHeight="1">
      <c r="A277">
        <v>273</v>
      </c>
      <c r="B277" t="s">
        <v>2830</v>
      </c>
      <c r="D277" t="s">
        <v>2831</v>
      </c>
      <c r="E277" t="s">
        <v>2832</v>
      </c>
      <c r="F277" t="s">
        <v>29</v>
      </c>
      <c r="G277" t="s">
        <v>29</v>
      </c>
      <c r="H277" t="s">
        <v>31</v>
      </c>
      <c r="I277" t="s">
        <v>1419</v>
      </c>
      <c r="J277" t="s">
        <v>51</v>
      </c>
      <c r="K277" t="s">
        <v>2833</v>
      </c>
      <c r="L277" t="s">
        <v>2834</v>
      </c>
      <c r="M277" t="s">
        <v>2835</v>
      </c>
      <c r="N277" t="s">
        <v>1423</v>
      </c>
      <c r="O277" t="s">
        <v>2301</v>
      </c>
      <c r="Q277" t="s">
        <v>40</v>
      </c>
      <c r="R277" t="s">
        <v>41</v>
      </c>
      <c r="S277" t="s">
        <v>2836</v>
      </c>
      <c r="T277" t="s">
        <v>687</v>
      </c>
      <c r="U277" t="s">
        <v>43</v>
      </c>
      <c r="V277" t="s">
        <v>2837</v>
      </c>
      <c r="W277" t="s">
        <v>2838</v>
      </c>
      <c r="Y277" t="str">
        <f>HYPERLINK("https://recruiter.shine.com/resume/download/?resumeid=gAAAAABbk2UOxvVWOskplXN3Smuwgbg966uujxZmxxTXbqh2LiSUYd7S_SqIQuDa2PtENLfFGsHVd6FxF3GGe5GudGs4Nj4A2lQ9u9ycxqoR3HoiAbiF82R-vJt8bI7_HDYshhV6zAvSg2numxBArWVvzjlgWWzLIQ==")</f>
        <v>https://recruiter.shine.com/resume/download/?resumeid=gAAAAABbk2UOxvVWOskplXN3Smuwgbg966uujxZmxxTXbqh2LiSUYd7S_SqIQuDa2PtENLfFGsHVd6FxF3GGe5GudGs4Nj4A2lQ9u9ycxqoR3HoiAbiF82R-vJt8bI7_HDYshhV6zAvSg2numxBArWVvzjlgWWzLIQ==</v>
      </c>
    </row>
    <row r="278" spans="1:25" ht="39.950000000000003" customHeight="1">
      <c r="A278">
        <v>274</v>
      </c>
      <c r="B278" t="s">
        <v>2839</v>
      </c>
      <c r="C278" t="s">
        <v>2840</v>
      </c>
      <c r="D278" t="s">
        <v>2841</v>
      </c>
      <c r="E278" t="s">
        <v>2842</v>
      </c>
      <c r="F278" t="s">
        <v>29</v>
      </c>
      <c r="G278" t="s">
        <v>29</v>
      </c>
      <c r="H278" t="s">
        <v>31</v>
      </c>
      <c r="I278" t="s">
        <v>2843</v>
      </c>
      <c r="J278" t="s">
        <v>2844</v>
      </c>
      <c r="K278" t="s">
        <v>2645</v>
      </c>
      <c r="L278" t="s">
        <v>88</v>
      </c>
      <c r="M278" t="s">
        <v>2845</v>
      </c>
      <c r="N278" t="s">
        <v>2846</v>
      </c>
      <c r="O278" t="s">
        <v>186</v>
      </c>
      <c r="P278" t="s">
        <v>57</v>
      </c>
      <c r="Q278" t="s">
        <v>90</v>
      </c>
      <c r="R278" t="s">
        <v>317</v>
      </c>
      <c r="S278" t="s">
        <v>2847</v>
      </c>
      <c r="T278" t="s">
        <v>441</v>
      </c>
      <c r="U278" t="s">
        <v>94</v>
      </c>
      <c r="V278" t="s">
        <v>2848</v>
      </c>
      <c r="W278" t="s">
        <v>2849</v>
      </c>
      <c r="Y278" t="str">
        <f>HYPERLINK("https://recruiter.shine.com/resume/download/?resumeid=gAAAAABbk2UKncegXYKwZuyx7bdJjmSiLkJ6vb7WT0x5lqZ-0arTNhA-RjFxfP2IyKj8p2kUg-0eJRoKaamPIk9ahyBf5K_g4_mQF5e6CcUYBjefXFbj2rz7uo_bI3KxSM6LFIWD2A-H")</f>
        <v>https://recruiter.shine.com/resume/download/?resumeid=gAAAAABbk2UKncegXYKwZuyx7bdJjmSiLkJ6vb7WT0x5lqZ-0arTNhA-RjFxfP2IyKj8p2kUg-0eJRoKaamPIk9ahyBf5K_g4_mQF5e6CcUYBjefXFbj2rz7uo_bI3KxSM6LFIWD2A-H</v>
      </c>
    </row>
    <row r="279" spans="1:25" ht="39.950000000000003" customHeight="1">
      <c r="A279">
        <v>275</v>
      </c>
      <c r="B279" t="s">
        <v>2850</v>
      </c>
      <c r="C279" t="s">
        <v>2851</v>
      </c>
      <c r="D279" t="s">
        <v>2852</v>
      </c>
      <c r="E279" t="s">
        <v>2853</v>
      </c>
      <c r="F279" t="s">
        <v>858</v>
      </c>
      <c r="G279" t="s">
        <v>2854</v>
      </c>
      <c r="H279" t="s">
        <v>31</v>
      </c>
      <c r="I279" t="s">
        <v>568</v>
      </c>
      <c r="J279" t="s">
        <v>2855</v>
      </c>
      <c r="K279" t="s">
        <v>2856</v>
      </c>
      <c r="L279" t="s">
        <v>2857</v>
      </c>
      <c r="M279" t="s">
        <v>54</v>
      </c>
      <c r="N279" t="s">
        <v>2858</v>
      </c>
      <c r="O279" t="s">
        <v>1041</v>
      </c>
      <c r="P279" t="s">
        <v>73</v>
      </c>
      <c r="Q279" t="s">
        <v>2859</v>
      </c>
      <c r="R279" t="s">
        <v>2860</v>
      </c>
      <c r="S279" t="s">
        <v>2861</v>
      </c>
      <c r="U279" t="s">
        <v>43</v>
      </c>
      <c r="V279" t="s">
        <v>2862</v>
      </c>
      <c r="W279" t="s">
        <v>2862</v>
      </c>
      <c r="Y279" t="str">
        <f>HYPERLINK("https://recruiter.shine.com/resume/download/?resumeid=gAAAAABbk2UM9l4kFX_dXG145ZuGdgHaTsk-LJsaa-ri9PoZYi8AQziHjTa2Z2Qx08i1DC8cxpGpDL94lGk9gD47rrKnV6gqj3rUwolpgwDHdscrFMsxrT7inf3O8uqaEIOSj2mXfdvOG0StM5gTzbyw1ZZugxQo6viu8fw20AHOsZb8LY9_5HM=")</f>
        <v>https://recruiter.shine.com/resume/download/?resumeid=gAAAAABbk2UM9l4kFX_dXG145ZuGdgHaTsk-LJsaa-ri9PoZYi8AQziHjTa2Z2Qx08i1DC8cxpGpDL94lGk9gD47rrKnV6gqj3rUwolpgwDHdscrFMsxrT7inf3O8uqaEIOSj2mXfdvOG0StM5gTzbyw1ZZugxQo6viu8fw20AHOsZb8LY9_5HM=</v>
      </c>
    </row>
    <row r="280" spans="1:25" ht="39.950000000000003" customHeight="1">
      <c r="A280">
        <v>276</v>
      </c>
      <c r="B280" t="s">
        <v>2863</v>
      </c>
      <c r="C280" t="s">
        <v>2864</v>
      </c>
      <c r="D280" t="s">
        <v>2865</v>
      </c>
      <c r="E280" t="s">
        <v>2866</v>
      </c>
      <c r="F280" t="s">
        <v>29</v>
      </c>
      <c r="G280" t="s">
        <v>29</v>
      </c>
      <c r="H280" t="s">
        <v>31</v>
      </c>
      <c r="I280" t="s">
        <v>968</v>
      </c>
      <c r="J280" t="s">
        <v>135</v>
      </c>
      <c r="K280" t="s">
        <v>518</v>
      </c>
      <c r="L280" t="s">
        <v>266</v>
      </c>
      <c r="M280" t="s">
        <v>36</v>
      </c>
      <c r="N280" t="s">
        <v>2867</v>
      </c>
      <c r="O280" t="s">
        <v>186</v>
      </c>
      <c r="P280" t="s">
        <v>57</v>
      </c>
      <c r="Q280" t="s">
        <v>107</v>
      </c>
      <c r="R280" t="s">
        <v>341</v>
      </c>
      <c r="S280" t="s">
        <v>188</v>
      </c>
      <c r="T280" t="s">
        <v>126</v>
      </c>
      <c r="U280" t="s">
        <v>43</v>
      </c>
      <c r="V280" t="s">
        <v>2868</v>
      </c>
      <c r="W280" t="s">
        <v>2869</v>
      </c>
      <c r="Y280" t="str">
        <f>HYPERLINK("https://recruiter.shine.com/resume/download/?resumeid=gAAAAABbk2UOm6URmZBuGcWD0ir05v_hSZxRHHXwAloYiyMc0wsZD9h6sPpViZlqjyKPjxmXEvY6o7BoHtF_a-YK6-1_umAwHp3sPasRqZCB0dTEULXTu06odbB7uZoHEsZoJ5F4PPSTe8W-D9IBoZMT_H2rXuuYB830z6I4ufVUOvkM8AaM-Jk=")</f>
        <v>https://recruiter.shine.com/resume/download/?resumeid=gAAAAABbk2UOm6URmZBuGcWD0ir05v_hSZxRHHXwAloYiyMc0wsZD9h6sPpViZlqjyKPjxmXEvY6o7BoHtF_a-YK6-1_umAwHp3sPasRqZCB0dTEULXTu06odbB7uZoHEsZoJ5F4PPSTe8W-D9IBoZMT_H2rXuuYB830z6I4ufVUOvkM8AaM-Jk=</v>
      </c>
    </row>
    <row r="281" spans="1:25" ht="39.950000000000003" customHeight="1">
      <c r="A281">
        <v>277</v>
      </c>
      <c r="B281" t="s">
        <v>2870</v>
      </c>
      <c r="D281" t="s">
        <v>2871</v>
      </c>
      <c r="E281" t="s">
        <v>2872</v>
      </c>
      <c r="F281" t="s">
        <v>29</v>
      </c>
      <c r="G281" t="s">
        <v>2873</v>
      </c>
      <c r="I281" t="s">
        <v>568</v>
      </c>
      <c r="J281" t="s">
        <v>336</v>
      </c>
      <c r="K281" t="s">
        <v>2874</v>
      </c>
      <c r="L281" t="s">
        <v>290</v>
      </c>
      <c r="M281" t="s">
        <v>238</v>
      </c>
      <c r="N281" t="s">
        <v>2875</v>
      </c>
      <c r="O281" t="s">
        <v>38</v>
      </c>
      <c r="Q281" t="s">
        <v>90</v>
      </c>
      <c r="R281" t="s">
        <v>292</v>
      </c>
      <c r="S281" t="s">
        <v>2876</v>
      </c>
      <c r="U281" t="s">
        <v>43</v>
      </c>
      <c r="V281" t="s">
        <v>2877</v>
      </c>
      <c r="W281" t="s">
        <v>2878</v>
      </c>
      <c r="Y281" t="str">
        <f>HYPERLINK("https://recruiter.shine.com/resume/download/?resumeid=gAAAAABbk2UKqvJuWOGacWcfrRCcSisx6DWYqZgaboZ2q2ehJbA8tc2NtI7kPKuD0pvuncdHpT6KxJ_M8VmD06jjV15w_wc2cCRRQGlvorZetHqD-AwFK493hdCQSXhYm4AhWFxlVIfD")</f>
        <v>https://recruiter.shine.com/resume/download/?resumeid=gAAAAABbk2UKqvJuWOGacWcfrRCcSisx6DWYqZgaboZ2q2ehJbA8tc2NtI7kPKuD0pvuncdHpT6KxJ_M8VmD06jjV15w_wc2cCRRQGlvorZetHqD-AwFK493hdCQSXhYm4AhWFxlVIfD</v>
      </c>
    </row>
    <row r="282" spans="1:25" ht="39.950000000000003" customHeight="1">
      <c r="A282">
        <v>278</v>
      </c>
      <c r="B282" t="s">
        <v>2879</v>
      </c>
      <c r="C282" t="s">
        <v>2880</v>
      </c>
      <c r="D282" t="s">
        <v>2881</v>
      </c>
      <c r="E282" t="s">
        <v>2882</v>
      </c>
      <c r="F282" t="s">
        <v>29</v>
      </c>
      <c r="G282" t="s">
        <v>67</v>
      </c>
      <c r="H282" t="s">
        <v>234</v>
      </c>
      <c r="I282" t="s">
        <v>825</v>
      </c>
      <c r="J282" t="s">
        <v>2883</v>
      </c>
      <c r="K282" t="s">
        <v>2884</v>
      </c>
      <c r="L282" t="s">
        <v>462</v>
      </c>
      <c r="M282" t="s">
        <v>717</v>
      </c>
      <c r="N282" t="s">
        <v>2885</v>
      </c>
      <c r="O282" t="s">
        <v>585</v>
      </c>
      <c r="P282" t="s">
        <v>201</v>
      </c>
      <c r="Q282" t="s">
        <v>90</v>
      </c>
      <c r="R282" t="s">
        <v>465</v>
      </c>
      <c r="S282" t="s">
        <v>2886</v>
      </c>
      <c r="T282" t="s">
        <v>441</v>
      </c>
      <c r="U282" t="s">
        <v>127</v>
      </c>
      <c r="V282" t="s">
        <v>2887</v>
      </c>
      <c r="W282" t="s">
        <v>2888</v>
      </c>
      <c r="Y282" t="str">
        <f>HYPERLINK("https://recruiter.shine.com/resume/download/?resumeid=gAAAAABbk2UMSfZdOMMs0qQpkxsoa8Md1OTQqLio0F2rSpZkrTSB1YGhFqHUiSmGzqa5GtghdpsKsshoi8VYLCUeEeSIghVQs_ddw5Ij9nw-wg-LG4EdOIO4-9Q0rwGsD0YSOYr4rL2NGw878QDfZPotPoi7LQNsSQ==")</f>
        <v>https://recruiter.shine.com/resume/download/?resumeid=gAAAAABbk2UMSfZdOMMs0qQpkxsoa8Md1OTQqLio0F2rSpZkrTSB1YGhFqHUiSmGzqa5GtghdpsKsshoi8VYLCUeEeSIghVQs_ddw5Ij9nw-wg-LG4EdOIO4-9Q0rwGsD0YSOYr4rL2NGw878QDfZPotPoi7LQNsSQ==</v>
      </c>
    </row>
    <row r="283" spans="1:25" ht="39.950000000000003" customHeight="1">
      <c r="A283">
        <v>279</v>
      </c>
      <c r="B283" t="s">
        <v>2889</v>
      </c>
      <c r="D283" t="s">
        <v>2890</v>
      </c>
      <c r="E283" t="s">
        <v>2891</v>
      </c>
      <c r="F283" t="s">
        <v>29</v>
      </c>
      <c r="G283" t="s">
        <v>29</v>
      </c>
      <c r="H283" t="s">
        <v>31</v>
      </c>
      <c r="I283" t="s">
        <v>2892</v>
      </c>
      <c r="J283" t="s">
        <v>2893</v>
      </c>
      <c r="K283" t="s">
        <v>2894</v>
      </c>
      <c r="L283" t="s">
        <v>596</v>
      </c>
      <c r="M283" t="s">
        <v>684</v>
      </c>
      <c r="N283" t="s">
        <v>156</v>
      </c>
      <c r="O283" t="s">
        <v>224</v>
      </c>
      <c r="Q283" t="s">
        <v>107</v>
      </c>
      <c r="R283" t="s">
        <v>341</v>
      </c>
      <c r="S283" t="s">
        <v>2895</v>
      </c>
      <c r="T283" t="s">
        <v>110</v>
      </c>
      <c r="U283" t="s">
        <v>43</v>
      </c>
      <c r="V283" t="s">
        <v>2896</v>
      </c>
      <c r="W283" t="s">
        <v>2897</v>
      </c>
      <c r="Y283" t="str">
        <f>HYPERLINK("https://recruiter.shine.com/resume/download/?resumeid=gAAAAABbk2UOAiYG17D7d-GuBF6txaBQOQ9MQxvZ0gGM3oj1R2-L8CB0EXKtpF-kbrOC9OotgX1Ae-zq4ulgrexYsKbERkz6knMMQDipqnNR3JmVgmox_1zmsDrMwdfaXc5JgsSjwgLkn7aJgw5270jiPW-kL6Ser5YVE31mNcZRacPDhkh5gSQ=")</f>
        <v>https://recruiter.shine.com/resume/download/?resumeid=gAAAAABbk2UOAiYG17D7d-GuBF6txaBQOQ9MQxvZ0gGM3oj1R2-L8CB0EXKtpF-kbrOC9OotgX1Ae-zq4ulgrexYsKbERkz6knMMQDipqnNR3JmVgmox_1zmsDrMwdfaXc5JgsSjwgLkn7aJgw5270jiPW-kL6Ser5YVE31mNcZRacPDhkh5gSQ=</v>
      </c>
    </row>
    <row r="284" spans="1:25" ht="39.950000000000003" customHeight="1">
      <c r="A284">
        <v>280</v>
      </c>
      <c r="B284" t="s">
        <v>2898</v>
      </c>
      <c r="C284" t="s">
        <v>2899</v>
      </c>
      <c r="D284" t="s">
        <v>2900</v>
      </c>
      <c r="E284" t="s">
        <v>2901</v>
      </c>
      <c r="F284" t="s">
        <v>29</v>
      </c>
      <c r="G284" t="s">
        <v>2902</v>
      </c>
      <c r="H284" t="s">
        <v>31</v>
      </c>
      <c r="I284" t="s">
        <v>1265</v>
      </c>
      <c r="J284" t="s">
        <v>336</v>
      </c>
      <c r="K284" t="s">
        <v>2903</v>
      </c>
      <c r="L284" t="s">
        <v>266</v>
      </c>
      <c r="M284" t="s">
        <v>105</v>
      </c>
      <c r="N284" t="s">
        <v>2904</v>
      </c>
      <c r="O284" t="s">
        <v>585</v>
      </c>
      <c r="P284" t="s">
        <v>73</v>
      </c>
      <c r="Q284" t="s">
        <v>107</v>
      </c>
      <c r="R284" t="s">
        <v>159</v>
      </c>
      <c r="S284" t="s">
        <v>2905</v>
      </c>
      <c r="T284" t="s">
        <v>561</v>
      </c>
      <c r="U284" t="s">
        <v>43</v>
      </c>
      <c r="V284" t="s">
        <v>2906</v>
      </c>
      <c r="W284" t="s">
        <v>2906</v>
      </c>
      <c r="Y284" t="str">
        <f>HYPERLINK("https://recruiter.shine.com/resume/download/?resumeid=gAAAAABbk2ULZ7ZOUoelGIZhJkbRCC-RuDJifPjh2S5sAsNWJbSbyU-a2iOpgyVKzo7pem_C-sbl1AzSuYLMw1Imbbl61NIyoltyLNEbXWimX_am0OTvwRAPVH1uthmZoFWcdMeCpSB1")</f>
        <v>https://recruiter.shine.com/resume/download/?resumeid=gAAAAABbk2ULZ7ZOUoelGIZhJkbRCC-RuDJifPjh2S5sAsNWJbSbyU-a2iOpgyVKzo7pem_C-sbl1AzSuYLMw1Imbbl61NIyoltyLNEbXWimX_am0OTvwRAPVH1uthmZoFWcdMeCpSB1</v>
      </c>
    </row>
    <row r="285" spans="1:25" ht="39.950000000000003" customHeight="1">
      <c r="A285">
        <v>281</v>
      </c>
      <c r="B285" t="s">
        <v>2907</v>
      </c>
      <c r="C285" t="s">
        <v>2908</v>
      </c>
      <c r="D285" t="s">
        <v>2909</v>
      </c>
      <c r="E285" t="s">
        <v>2910</v>
      </c>
      <c r="F285" t="s">
        <v>29</v>
      </c>
      <c r="G285" t="s">
        <v>29</v>
      </c>
      <c r="H285" t="s">
        <v>31</v>
      </c>
      <c r="I285" t="s">
        <v>362</v>
      </c>
      <c r="J285" t="s">
        <v>135</v>
      </c>
      <c r="L285" t="s">
        <v>363</v>
      </c>
      <c r="M285" t="s">
        <v>364</v>
      </c>
      <c r="Q285" t="s">
        <v>158</v>
      </c>
      <c r="R285" t="s">
        <v>341</v>
      </c>
      <c r="S285" t="s">
        <v>2911</v>
      </c>
      <c r="T285" t="s">
        <v>429</v>
      </c>
      <c r="U285" t="s">
        <v>43</v>
      </c>
      <c r="V285" t="s">
        <v>2912</v>
      </c>
      <c r="W285" t="s">
        <v>2913</v>
      </c>
      <c r="Y285" t="str">
        <f>HYPERLINK("https://recruiter.shine.com/resume/download/?resumeid=gAAAAABbk2UMCPoNQs6znMohKn9cJiSrfLu7Nc4gA8-01oEJ-oWumDbO8a1_hmnzpLNrvkmnOLeNGnACDUHvOctyIIuGKB2LkKsmtB0ZnODxZlgL90hRbeoqjhaBSbbOxQYNB1nfGRS2ySiEpAZ_sasF-DMbjsgstut2tawr8N5MYe5vRL82yuE=")</f>
        <v>https://recruiter.shine.com/resume/download/?resumeid=gAAAAABbk2UMCPoNQs6znMohKn9cJiSrfLu7Nc4gA8-01oEJ-oWumDbO8a1_hmnzpLNrvkmnOLeNGnACDUHvOctyIIuGKB2LkKsmtB0ZnODxZlgL90hRbeoqjhaBSbbOxQYNB1nfGRS2ySiEpAZ_sasF-DMbjsgstut2tawr8N5MYe5vRL82yuE=</v>
      </c>
    </row>
    <row r="286" spans="1:25" ht="39.950000000000003" customHeight="1">
      <c r="A286">
        <v>282</v>
      </c>
      <c r="B286" t="s">
        <v>2914</v>
      </c>
      <c r="D286" t="s">
        <v>2915</v>
      </c>
      <c r="E286" t="s">
        <v>2916</v>
      </c>
      <c r="F286" t="s">
        <v>29</v>
      </c>
      <c r="G286" t="s">
        <v>2917</v>
      </c>
      <c r="H286" t="s">
        <v>31</v>
      </c>
      <c r="I286" t="s">
        <v>1419</v>
      </c>
      <c r="J286" t="s">
        <v>1742</v>
      </c>
      <c r="K286" t="s">
        <v>2918</v>
      </c>
      <c r="L286" t="s">
        <v>2834</v>
      </c>
      <c r="M286" t="s">
        <v>1124</v>
      </c>
      <c r="N286" t="s">
        <v>2919</v>
      </c>
      <c r="O286" t="s">
        <v>759</v>
      </c>
      <c r="Q286" t="s">
        <v>107</v>
      </c>
      <c r="R286" t="s">
        <v>2302</v>
      </c>
      <c r="S286" t="s">
        <v>2920</v>
      </c>
      <c r="T286" t="s">
        <v>687</v>
      </c>
      <c r="U286" t="s">
        <v>43</v>
      </c>
      <c r="V286" t="s">
        <v>2921</v>
      </c>
      <c r="W286" t="s">
        <v>2922</v>
      </c>
      <c r="Y286" t="str">
        <f>HYPERLINK("https://recruiter.shine.com/resume/download/?resumeid=gAAAAABbk2UOci6EnI-e30IAwQplLvJqpfeQC50RtVPhFK9PFfdp71O-gIInQ3PS9F1pXdVAHjiTDwcTkCl46aJFOa4IzSblEwcYC6MjlWcpdPpHO2TeuA3QBCBrlwDrYhRUwFw7CvVomRmZGUcDwQnS15IMObvyfw==")</f>
        <v>https://recruiter.shine.com/resume/download/?resumeid=gAAAAABbk2UOci6EnI-e30IAwQplLvJqpfeQC50RtVPhFK9PFfdp71O-gIInQ3PS9F1pXdVAHjiTDwcTkCl46aJFOa4IzSblEwcYC6MjlWcpdPpHO2TeuA3QBCBrlwDrYhRUwFw7CvVomRmZGUcDwQnS15IMObvyfw==</v>
      </c>
    </row>
    <row r="287" spans="1:25" ht="39.950000000000003" customHeight="1">
      <c r="A287">
        <v>283</v>
      </c>
      <c r="B287" t="s">
        <v>2923</v>
      </c>
      <c r="C287" t="s">
        <v>2924</v>
      </c>
      <c r="D287" t="s">
        <v>2925</v>
      </c>
      <c r="E287" t="s">
        <v>2926</v>
      </c>
      <c r="F287" t="s">
        <v>29</v>
      </c>
      <c r="G287" t="s">
        <v>29</v>
      </c>
      <c r="H287" t="s">
        <v>31</v>
      </c>
      <c r="I287" t="s">
        <v>836</v>
      </c>
      <c r="J287" t="s">
        <v>2110</v>
      </c>
      <c r="K287" t="s">
        <v>2927</v>
      </c>
      <c r="L287" t="s">
        <v>1524</v>
      </c>
      <c r="M287" t="s">
        <v>717</v>
      </c>
      <c r="N287" t="s">
        <v>2928</v>
      </c>
      <c r="O287" t="s">
        <v>38</v>
      </c>
      <c r="Q287" t="s">
        <v>123</v>
      </c>
      <c r="R287" t="s">
        <v>124</v>
      </c>
      <c r="S287" t="s">
        <v>188</v>
      </c>
      <c r="T287" t="s">
        <v>126</v>
      </c>
      <c r="U287" t="s">
        <v>127</v>
      </c>
      <c r="V287" t="s">
        <v>2929</v>
      </c>
      <c r="W287" t="s">
        <v>2930</v>
      </c>
      <c r="Y287" t="str">
        <f>HYPERLINK("https://recruiter.shine.com/resume/download/?resumeid=gAAAAABbk2UK5bnCMR2uv9G6IAVaO-z_nCbTVnjNFd4zdqwI6bBHGSHR8SeoY7TG4ditD1yX-c_Vcl6P6xn1Pan-ONGAXUWXny7HCNJoL49BmUlLch7bRDNdzVT9L3ilY0Xl9raRTuOa")</f>
        <v>https://recruiter.shine.com/resume/download/?resumeid=gAAAAABbk2UK5bnCMR2uv9G6IAVaO-z_nCbTVnjNFd4zdqwI6bBHGSHR8SeoY7TG4ditD1yX-c_Vcl6P6xn1Pan-ONGAXUWXny7HCNJoL49BmUlLch7bRDNdzVT9L3ilY0Xl9raRTuOa</v>
      </c>
    </row>
    <row r="288" spans="1:25" ht="39.950000000000003" customHeight="1">
      <c r="A288">
        <v>284</v>
      </c>
      <c r="B288" t="s">
        <v>2931</v>
      </c>
      <c r="C288" t="s">
        <v>2932</v>
      </c>
      <c r="D288" t="s">
        <v>2933</v>
      </c>
      <c r="E288" t="s">
        <v>2934</v>
      </c>
      <c r="F288" t="s">
        <v>29</v>
      </c>
      <c r="G288" t="s">
        <v>2935</v>
      </c>
      <c r="H288" t="s">
        <v>31</v>
      </c>
      <c r="I288" t="s">
        <v>483</v>
      </c>
      <c r="J288" t="s">
        <v>2936</v>
      </c>
      <c r="K288" t="s">
        <v>2937</v>
      </c>
      <c r="L288" t="s">
        <v>155</v>
      </c>
      <c r="M288" t="s">
        <v>105</v>
      </c>
      <c r="N288" t="s">
        <v>2938</v>
      </c>
      <c r="O288" t="s">
        <v>157</v>
      </c>
      <c r="P288" t="s">
        <v>771</v>
      </c>
      <c r="Q288" t="s">
        <v>107</v>
      </c>
      <c r="R288" t="s">
        <v>159</v>
      </c>
      <c r="S288" t="s">
        <v>2939</v>
      </c>
      <c r="T288" t="s">
        <v>304</v>
      </c>
      <c r="U288" t="s">
        <v>43</v>
      </c>
      <c r="V288" t="s">
        <v>2940</v>
      </c>
      <c r="W288" t="s">
        <v>2941</v>
      </c>
      <c r="Y288" t="str">
        <f>HYPERLINK("https://recruiter.shine.com/resume/download/?resumeid=gAAAAABbk2UM3DnHWS3rdP-f_Dflb7M2d5L1D2FW7VWhRZV75iUmL5ZdfaywViwbN05FPIHCJxEtTL7QdECwhqexnHl7xiTQINFGrNGfjZcd74HvdF5oTp3Vh_Vjums5kKHXdJKv4aX_NNThK9kcTrB3w8MAkoB2eLJRH6TJNWBt49Ee_Lh6nkI=")</f>
        <v>https://recruiter.shine.com/resume/download/?resumeid=gAAAAABbk2UM3DnHWS3rdP-f_Dflb7M2d5L1D2FW7VWhRZV75iUmL5ZdfaywViwbN05FPIHCJxEtTL7QdECwhqexnHl7xiTQINFGrNGfjZcd74HvdF5oTp3Vh_Vjums5kKHXdJKv4aX_NNThK9kcTrB3w8MAkoB2eLJRH6TJNWBt49Ee_Lh6nkI=</v>
      </c>
    </row>
    <row r="289" spans="1:25" ht="39.950000000000003" customHeight="1">
      <c r="A289">
        <v>285</v>
      </c>
      <c r="B289" t="s">
        <v>2942</v>
      </c>
      <c r="C289" t="s">
        <v>2943</v>
      </c>
      <c r="D289" t="s">
        <v>2944</v>
      </c>
      <c r="E289" t="s">
        <v>2945</v>
      </c>
      <c r="F289" t="s">
        <v>29</v>
      </c>
      <c r="G289" t="s">
        <v>29</v>
      </c>
      <c r="H289" t="s">
        <v>31</v>
      </c>
      <c r="I289" t="s">
        <v>2946</v>
      </c>
      <c r="J289" t="s">
        <v>1060</v>
      </c>
      <c r="K289" t="s">
        <v>1167</v>
      </c>
      <c r="L289" t="s">
        <v>199</v>
      </c>
      <c r="M289" t="s">
        <v>121</v>
      </c>
      <c r="N289" t="s">
        <v>2947</v>
      </c>
      <c r="O289" t="s">
        <v>804</v>
      </c>
      <c r="Q289" t="s">
        <v>40</v>
      </c>
      <c r="R289" t="s">
        <v>2192</v>
      </c>
      <c r="S289" t="s">
        <v>2948</v>
      </c>
      <c r="T289" t="s">
        <v>429</v>
      </c>
      <c r="U289" t="s">
        <v>43</v>
      </c>
      <c r="V289" t="s">
        <v>2949</v>
      </c>
      <c r="W289" t="s">
        <v>2950</v>
      </c>
      <c r="Y289" t="str">
        <f>HYPERLINK("https://recruiter.shine.com/resume/download/?resumeid=gAAAAABbk2UNHZbjckuKXe_PpD4OOhtb3WGXvn2WDSSY2Atyw4-E5lyTlDD2gg1zmNtP3J9oJF_FdRpqxzsW4xOmhDhEz_LXkEQsAYiLkN4TKX-3UO0DYtSr3hNiZxQYFvsuoPQ8iJH6BTzmJ9_Td_Yw7Hk8zYjT40JbTO3FPAh0U8_XBbRRjO4=")</f>
        <v>https://recruiter.shine.com/resume/download/?resumeid=gAAAAABbk2UNHZbjckuKXe_PpD4OOhtb3WGXvn2WDSSY2Atyw4-E5lyTlDD2gg1zmNtP3J9oJF_FdRpqxzsW4xOmhDhEz_LXkEQsAYiLkN4TKX-3UO0DYtSr3hNiZxQYFvsuoPQ8iJH6BTzmJ9_Td_Yw7Hk8zYjT40JbTO3FPAh0U8_XBbRRjO4=</v>
      </c>
    </row>
    <row r="290" spans="1:25" ht="39.950000000000003" customHeight="1">
      <c r="A290">
        <v>286</v>
      </c>
      <c r="B290" t="s">
        <v>2951</v>
      </c>
      <c r="C290" t="s">
        <v>2952</v>
      </c>
      <c r="D290" t="s">
        <v>2953</v>
      </c>
      <c r="E290" t="s">
        <v>2954</v>
      </c>
      <c r="F290" t="s">
        <v>29</v>
      </c>
      <c r="G290" t="s">
        <v>2955</v>
      </c>
      <c r="H290" t="s">
        <v>31</v>
      </c>
      <c r="I290" t="s">
        <v>2729</v>
      </c>
      <c r="J290" t="s">
        <v>781</v>
      </c>
      <c r="K290" t="s">
        <v>2956</v>
      </c>
      <c r="L290" t="s">
        <v>155</v>
      </c>
      <c r="M290" t="s">
        <v>105</v>
      </c>
      <c r="N290" t="s">
        <v>2957</v>
      </c>
      <c r="O290" t="s">
        <v>186</v>
      </c>
      <c r="P290" t="s">
        <v>940</v>
      </c>
      <c r="Q290" t="s">
        <v>74</v>
      </c>
      <c r="R290" t="s">
        <v>559</v>
      </c>
      <c r="S290" t="s">
        <v>2958</v>
      </c>
      <c r="T290" t="s">
        <v>687</v>
      </c>
      <c r="U290" t="s">
        <v>43</v>
      </c>
      <c r="V290" t="s">
        <v>2959</v>
      </c>
      <c r="W290" t="s">
        <v>2960</v>
      </c>
      <c r="Y290" t="str">
        <f>HYPERLINK("https://recruiter.shine.com/resume/download/?resumeid=gAAAAABbk2UKUxQkiF3xhUrHtk4iFKQAxHvvcTen8qFMoJ84uVJtYCca70k0wuK_6thzTMS4mk8v6BxKWWpivsBvVftq3oCgJEvrIpISxlQjMEgS8LDlES1JkKZkwCw5eclIhP0cfqqk")</f>
        <v>https://recruiter.shine.com/resume/download/?resumeid=gAAAAABbk2UKUxQkiF3xhUrHtk4iFKQAxHvvcTen8qFMoJ84uVJtYCca70k0wuK_6thzTMS4mk8v6BxKWWpivsBvVftq3oCgJEvrIpISxlQjMEgS8LDlES1JkKZkwCw5eclIhP0cfqqk</v>
      </c>
    </row>
    <row r="291" spans="1:25" ht="39.950000000000003" customHeight="1">
      <c r="A291">
        <v>287</v>
      </c>
      <c r="B291" t="s">
        <v>2961</v>
      </c>
      <c r="C291" t="s">
        <v>2962</v>
      </c>
      <c r="D291" t="s">
        <v>2963</v>
      </c>
      <c r="E291" t="s">
        <v>2964</v>
      </c>
      <c r="F291" t="s">
        <v>29</v>
      </c>
      <c r="G291" t="s">
        <v>29</v>
      </c>
      <c r="H291" t="s">
        <v>31</v>
      </c>
      <c r="I291" t="s">
        <v>825</v>
      </c>
      <c r="J291" t="s">
        <v>51</v>
      </c>
      <c r="K291" t="s">
        <v>2965</v>
      </c>
      <c r="L291" t="s">
        <v>199</v>
      </c>
      <c r="M291" t="s">
        <v>172</v>
      </c>
      <c r="N291" t="s">
        <v>2966</v>
      </c>
      <c r="O291" t="s">
        <v>56</v>
      </c>
      <c r="P291" t="s">
        <v>201</v>
      </c>
      <c r="Q291" t="s">
        <v>158</v>
      </c>
      <c r="R291" t="s">
        <v>476</v>
      </c>
      <c r="S291" t="s">
        <v>2967</v>
      </c>
      <c r="T291" t="s">
        <v>161</v>
      </c>
      <c r="U291" t="s">
        <v>43</v>
      </c>
      <c r="V291" t="s">
        <v>2968</v>
      </c>
      <c r="W291" t="s">
        <v>2969</v>
      </c>
      <c r="Y291" t="str">
        <f>HYPERLINK("https://recruiter.shine.com/resume/download/?resumeid=gAAAAABbk2UMlOI65kobVrBo5vc1MSGlPqsr_S4rYpa8gxkUn4oCxGaal0G13LqoAg92YemXh-uJ8r8H6YjcDR5UaVbS0HUpbPobxY503YKoCCJE2NgVdX61mluojrilTrn6T7KjXQPbqre__twqdSMn2w2BI67xiQ==")</f>
        <v>https://recruiter.shine.com/resume/download/?resumeid=gAAAAABbk2UMlOI65kobVrBo5vc1MSGlPqsr_S4rYpa8gxkUn4oCxGaal0G13LqoAg92YemXh-uJ8r8H6YjcDR5UaVbS0HUpbPobxY503YKoCCJE2NgVdX61mluojrilTrn6T7KjXQPbqre__twqdSMn2w2BI67xiQ==</v>
      </c>
    </row>
    <row r="292" spans="1:25" ht="39.950000000000003" customHeight="1">
      <c r="A292">
        <v>288</v>
      </c>
      <c r="B292" t="s">
        <v>2970</v>
      </c>
      <c r="D292" t="s">
        <v>2971</v>
      </c>
      <c r="E292" t="s">
        <v>2972</v>
      </c>
      <c r="F292" t="s">
        <v>858</v>
      </c>
      <c r="G292" t="s">
        <v>858</v>
      </c>
      <c r="H292" t="s">
        <v>234</v>
      </c>
      <c r="I292" t="s">
        <v>68</v>
      </c>
      <c r="J292" t="s">
        <v>51</v>
      </c>
      <c r="K292" t="s">
        <v>2973</v>
      </c>
      <c r="L292" t="s">
        <v>664</v>
      </c>
      <c r="M292" t="s">
        <v>827</v>
      </c>
      <c r="N292" t="s">
        <v>2974</v>
      </c>
      <c r="O292" t="s">
        <v>38</v>
      </c>
      <c r="Q292" t="s">
        <v>58</v>
      </c>
      <c r="R292" t="s">
        <v>2975</v>
      </c>
      <c r="S292" t="s">
        <v>2976</v>
      </c>
      <c r="T292" t="s">
        <v>773</v>
      </c>
      <c r="U292" t="s">
        <v>43</v>
      </c>
      <c r="V292" t="s">
        <v>2977</v>
      </c>
      <c r="W292" t="s">
        <v>2978</v>
      </c>
      <c r="Y292" t="str">
        <f>HYPERLINK("https://recruiter.shine.com/resume/download/?resumeid=gAAAAABbk2UOJNYWBntoqCkC0Xk3nnKyhVqLdibocU4WJf5Yb4La-neXt5_hDK3D24GIEYc1Vq516JIUk2Ki4FOSFfIaXW2Lw2Qgc0Ixx5r6W5ZtMfPHuUXuQ38tkfXZUCT1e6iILNyoaR_0sqgILPuODpR0qoRspjnCWVgg8qMUU6Vps3cCz8Q=")</f>
        <v>https://recruiter.shine.com/resume/download/?resumeid=gAAAAABbk2UOJNYWBntoqCkC0Xk3nnKyhVqLdibocU4WJf5Yb4La-neXt5_hDK3D24GIEYc1Vq516JIUk2Ki4FOSFfIaXW2Lw2Qgc0Ixx5r6W5ZtMfPHuUXuQ38tkfXZUCT1e6iILNyoaR_0sqgILPuODpR0qoRspjnCWVgg8qMUU6Vps3cCz8Q=</v>
      </c>
    </row>
    <row r="293" spans="1:25" ht="39.950000000000003" customHeight="1">
      <c r="A293">
        <v>289</v>
      </c>
      <c r="B293" t="s">
        <v>2979</v>
      </c>
      <c r="C293" t="s">
        <v>2980</v>
      </c>
      <c r="D293" t="s">
        <v>2981</v>
      </c>
      <c r="E293" t="s">
        <v>2982</v>
      </c>
      <c r="F293" t="s">
        <v>29</v>
      </c>
      <c r="G293" t="s">
        <v>2983</v>
      </c>
      <c r="H293" t="s">
        <v>31</v>
      </c>
      <c r="I293" t="s">
        <v>714</v>
      </c>
      <c r="J293" t="s">
        <v>2984</v>
      </c>
      <c r="K293" t="s">
        <v>1167</v>
      </c>
      <c r="L293" t="s">
        <v>486</v>
      </c>
      <c r="M293" t="s">
        <v>238</v>
      </c>
      <c r="N293" t="s">
        <v>2985</v>
      </c>
      <c r="O293" t="s">
        <v>157</v>
      </c>
      <c r="P293" t="s">
        <v>39</v>
      </c>
      <c r="Q293" t="s">
        <v>90</v>
      </c>
      <c r="R293" t="s">
        <v>292</v>
      </c>
      <c r="S293" t="s">
        <v>2986</v>
      </c>
      <c r="T293" t="s">
        <v>161</v>
      </c>
      <c r="U293" t="s">
        <v>43</v>
      </c>
      <c r="V293" t="s">
        <v>2987</v>
      </c>
      <c r="W293" t="s">
        <v>2987</v>
      </c>
      <c r="Y293" t="str">
        <f>HYPERLINK("https://recruiter.shine.com/resume/download/?resumeid=gAAAAABbk2ULD_2z9iENmNxywfhZw9Zzdxtrg7LQDpBrCX4JYxKTjJU6w-JjrcYSwUgzKI4HMVCa2dxq5eVlB6jD-B9Bw3ZMHPG8hMZcwawOrzjSw2-puzsf3khc97k1nZGR-g7PCyGs")</f>
        <v>https://recruiter.shine.com/resume/download/?resumeid=gAAAAABbk2ULD_2z9iENmNxywfhZw9Zzdxtrg7LQDpBrCX4JYxKTjJU6w-JjrcYSwUgzKI4HMVCa2dxq5eVlB6jD-B9Bw3ZMHPG8hMZcwawOrzjSw2-puzsf3khc97k1nZGR-g7PCyGs</v>
      </c>
    </row>
    <row r="294" spans="1:25" ht="39.950000000000003" customHeight="1">
      <c r="A294">
        <v>290</v>
      </c>
      <c r="B294" t="s">
        <v>2988</v>
      </c>
      <c r="C294" t="s">
        <v>2989</v>
      </c>
      <c r="D294" t="s">
        <v>2990</v>
      </c>
      <c r="E294" t="s">
        <v>2991</v>
      </c>
      <c r="F294" t="s">
        <v>29</v>
      </c>
      <c r="G294" t="s">
        <v>2992</v>
      </c>
      <c r="H294" t="s">
        <v>234</v>
      </c>
      <c r="I294" t="s">
        <v>460</v>
      </c>
      <c r="J294" t="s">
        <v>988</v>
      </c>
      <c r="K294" t="s">
        <v>2993</v>
      </c>
      <c r="L294" t="s">
        <v>88</v>
      </c>
      <c r="M294" t="s">
        <v>757</v>
      </c>
      <c r="N294" t="s">
        <v>2994</v>
      </c>
      <c r="O294" t="s">
        <v>38</v>
      </c>
      <c r="P294" t="s">
        <v>140</v>
      </c>
      <c r="Q294" t="s">
        <v>90</v>
      </c>
      <c r="R294" t="s">
        <v>91</v>
      </c>
      <c r="S294" t="s">
        <v>2995</v>
      </c>
      <c r="T294" t="s">
        <v>126</v>
      </c>
      <c r="U294" t="s">
        <v>43</v>
      </c>
      <c r="V294" t="s">
        <v>2996</v>
      </c>
      <c r="W294" t="s">
        <v>2997</v>
      </c>
      <c r="Y294" t="str">
        <f>HYPERLINK("https://recruiter.shine.com/resume/download/?resumeid=gAAAAABbk2UNKRRDNr3pscK-0vRYDRLRDIje_BIN_ok1_Lx1jQTlbl12ypT3DH4w0qr-ZKZrmKezBlArAW7h8sONppJooIssmh1gtu03pFDRsas8KByDrnDXN8feBa-uNlBpU--Bias2_zq0c5dEJYZjrogR7LlO0mAfNs1Zn5QDbU31k6Xdcdc=")</f>
        <v>https://recruiter.shine.com/resume/download/?resumeid=gAAAAABbk2UNKRRDNr3pscK-0vRYDRLRDIje_BIN_ok1_Lx1jQTlbl12ypT3DH4w0qr-ZKZrmKezBlArAW7h8sONppJooIssmh1gtu03pFDRsas8KByDrnDXN8feBa-uNlBpU--Bias2_zq0c5dEJYZjrogR7LlO0mAfNs1Zn5QDbU31k6Xdcdc=</v>
      </c>
    </row>
    <row r="295" spans="1:25" ht="39.950000000000003" customHeight="1">
      <c r="A295">
        <v>291</v>
      </c>
      <c r="B295" t="s">
        <v>2998</v>
      </c>
      <c r="D295" t="s">
        <v>2999</v>
      </c>
      <c r="E295" t="s">
        <v>3000</v>
      </c>
      <c r="F295" t="s">
        <v>29</v>
      </c>
      <c r="G295" t="s">
        <v>29</v>
      </c>
      <c r="H295" t="s">
        <v>234</v>
      </c>
      <c r="I295" t="s">
        <v>362</v>
      </c>
      <c r="J295" t="s">
        <v>135</v>
      </c>
      <c r="L295" t="s">
        <v>363</v>
      </c>
      <c r="M295" t="s">
        <v>364</v>
      </c>
      <c r="Q295" t="s">
        <v>535</v>
      </c>
      <c r="R295" t="s">
        <v>536</v>
      </c>
      <c r="S295" t="s">
        <v>188</v>
      </c>
      <c r="T295" t="s">
        <v>126</v>
      </c>
      <c r="U295" t="s">
        <v>43</v>
      </c>
      <c r="V295" t="s">
        <v>3001</v>
      </c>
      <c r="W295" t="s">
        <v>3002</v>
      </c>
      <c r="Y295" t="str">
        <f>HYPERLINK("https://recruiter.shine.com/resume/download/?resumeid=gAAAAABbk2UOhXb-UsqnSmuLiIpB74V6n7Il09Qag5hNgI2pyC2l03sy5oBLW-eDy1RSCN6UM3wUtKp28XtPnusYPdqd0nhyNPThV9wrMI8m3xrsaAIejTIitXx-uTQL-wlvDnMbdByNFx97uIKnEt3r5M5W8txRyg==")</f>
        <v>https://recruiter.shine.com/resume/download/?resumeid=gAAAAABbk2UOhXb-UsqnSmuLiIpB74V6n7Il09Qag5hNgI2pyC2l03sy5oBLW-eDy1RSCN6UM3wUtKp28XtPnusYPdqd0nhyNPThV9wrMI8m3xrsaAIejTIitXx-uTQL-wlvDnMbdByNFx97uIKnEt3r5M5W8txRyg==</v>
      </c>
    </row>
    <row r="296" spans="1:25" ht="39.950000000000003" customHeight="1">
      <c r="A296">
        <v>292</v>
      </c>
      <c r="B296" t="s">
        <v>3003</v>
      </c>
      <c r="C296" t="s">
        <v>3004</v>
      </c>
      <c r="D296" t="s">
        <v>3005</v>
      </c>
      <c r="E296" t="s">
        <v>3006</v>
      </c>
      <c r="F296" t="s">
        <v>29</v>
      </c>
      <c r="G296" t="s">
        <v>29</v>
      </c>
      <c r="H296" t="s">
        <v>31</v>
      </c>
      <c r="I296" t="s">
        <v>836</v>
      </c>
      <c r="J296" t="s">
        <v>437</v>
      </c>
      <c r="K296" t="s">
        <v>3007</v>
      </c>
      <c r="L296" t="s">
        <v>1776</v>
      </c>
      <c r="M296" t="s">
        <v>1124</v>
      </c>
      <c r="N296" t="s">
        <v>3008</v>
      </c>
      <c r="O296" t="s">
        <v>1245</v>
      </c>
      <c r="P296" t="s">
        <v>57</v>
      </c>
      <c r="Q296" t="s">
        <v>158</v>
      </c>
      <c r="R296" t="s">
        <v>2230</v>
      </c>
      <c r="S296" t="s">
        <v>188</v>
      </c>
      <c r="T296" t="s">
        <v>773</v>
      </c>
      <c r="U296" t="s">
        <v>43</v>
      </c>
      <c r="V296" t="s">
        <v>3009</v>
      </c>
      <c r="W296" t="s">
        <v>3010</v>
      </c>
      <c r="Y296" t="str">
        <f>HYPERLINK("https://recruiter.shine.com/resume/download/?resumeid=gAAAAABbk2UK4LrkiBVJCfPip3y38ajsLYEjoUTd8z3Ik8NOwWGHEEMfmeMLgE-V6nojKGbNCA_1mt9yYhAjdATTJI3InC3nGcoBil5sJxM7xk2hve2KmXm_P7mXHXGZOnk8qhLdgjPK")</f>
        <v>https://recruiter.shine.com/resume/download/?resumeid=gAAAAABbk2UK4LrkiBVJCfPip3y38ajsLYEjoUTd8z3Ik8NOwWGHEEMfmeMLgE-V6nojKGbNCA_1mt9yYhAjdATTJI3InC3nGcoBil5sJxM7xk2hve2KmXm_P7mXHXGZOnk8qhLdgjPK</v>
      </c>
    </row>
    <row r="297" spans="1:25" ht="39.950000000000003" customHeight="1">
      <c r="A297">
        <v>293</v>
      </c>
      <c r="B297" t="s">
        <v>3011</v>
      </c>
      <c r="C297" t="s">
        <v>3012</v>
      </c>
      <c r="D297" t="s">
        <v>3013</v>
      </c>
      <c r="E297" t="s">
        <v>3014</v>
      </c>
      <c r="F297" t="s">
        <v>29</v>
      </c>
      <c r="G297" t="s">
        <v>3015</v>
      </c>
      <c r="H297" t="s">
        <v>31</v>
      </c>
      <c r="I297" t="s">
        <v>3016</v>
      </c>
      <c r="J297" t="s">
        <v>801</v>
      </c>
      <c r="K297" t="s">
        <v>3017</v>
      </c>
      <c r="L297" t="s">
        <v>155</v>
      </c>
      <c r="M297" t="s">
        <v>105</v>
      </c>
      <c r="N297" t="s">
        <v>3018</v>
      </c>
      <c r="O297" t="s">
        <v>38</v>
      </c>
      <c r="P297" t="s">
        <v>140</v>
      </c>
      <c r="Q297" t="s">
        <v>107</v>
      </c>
      <c r="R297" t="s">
        <v>341</v>
      </c>
      <c r="S297" t="s">
        <v>3019</v>
      </c>
      <c r="T297" t="s">
        <v>61</v>
      </c>
      <c r="U297" t="s">
        <v>43</v>
      </c>
      <c r="V297" t="s">
        <v>3020</v>
      </c>
      <c r="W297" t="s">
        <v>3021</v>
      </c>
      <c r="Y297" t="str">
        <f>HYPERLINK("https://recruiter.shine.com/resume/download/?resumeid=gAAAAABbk2UMwpje9VCylzTxte12QrFe3S-94plEtxfDbnrmnezoUMtp_7gFhOIUEfgFTafpjKTWqj3rf2lZ3ZX7QbTwboJ2k8UElrlqZ7oysC62wVJed17mhhBKCWICIJzhWL5NEuQevTQdICi8n1C_nwO1-w3vrszneJqytkKDNSlEfzg1whY=")</f>
        <v>https://recruiter.shine.com/resume/download/?resumeid=gAAAAABbk2UMwpje9VCylzTxte12QrFe3S-94plEtxfDbnrmnezoUMtp_7gFhOIUEfgFTafpjKTWqj3rf2lZ3ZX7QbTwboJ2k8UElrlqZ7oysC62wVJed17mhhBKCWICIJzhWL5NEuQevTQdICi8n1C_nwO1-w3vrszneJqytkKDNSlEfzg1whY=</v>
      </c>
    </row>
    <row r="298" spans="1:25" ht="39.950000000000003" customHeight="1">
      <c r="A298">
        <v>294</v>
      </c>
      <c r="B298" t="s">
        <v>3022</v>
      </c>
      <c r="C298" t="s">
        <v>3023</v>
      </c>
      <c r="D298" t="s">
        <v>3024</v>
      </c>
      <c r="E298" t="s">
        <v>3025</v>
      </c>
      <c r="F298" t="s">
        <v>29</v>
      </c>
      <c r="G298" t="s">
        <v>29</v>
      </c>
      <c r="H298" t="s">
        <v>31</v>
      </c>
      <c r="I298" t="s">
        <v>362</v>
      </c>
      <c r="J298" t="s">
        <v>135</v>
      </c>
      <c r="L298" t="s">
        <v>363</v>
      </c>
      <c r="M298" t="s">
        <v>364</v>
      </c>
      <c r="Q298" t="s">
        <v>40</v>
      </c>
      <c r="R298" t="s">
        <v>41</v>
      </c>
      <c r="S298" t="s">
        <v>3026</v>
      </c>
      <c r="T298" t="s">
        <v>687</v>
      </c>
      <c r="U298" t="s">
        <v>127</v>
      </c>
      <c r="V298" t="s">
        <v>3027</v>
      </c>
      <c r="W298" t="s">
        <v>3027</v>
      </c>
      <c r="Y298" t="str">
        <f>HYPERLINK("https://recruiter.shine.com/resume/download/?resumeid=gAAAAABbk2UOweY7zBv4kse-oi3G4KBs8w-cNZPOc64uVojqQfRwJnn-VAvt_zLviVJq9YqyvS3oKmQTLOUYjcoOQovRU6XcXbddEDB_ETpmLdDY5ulyFwFrNllAr4oHWOnnkbMHuA790xCS9Fdq4rQSj48lqaWoUVeyI5xfkXwmIEVt-5h31fs=")</f>
        <v>https://recruiter.shine.com/resume/download/?resumeid=gAAAAABbk2UOweY7zBv4kse-oi3G4KBs8w-cNZPOc64uVojqQfRwJnn-VAvt_zLviVJq9YqyvS3oKmQTLOUYjcoOQovRU6XcXbddEDB_ETpmLdDY5ulyFwFrNllAr4oHWOnnkbMHuA790xCS9Fdq4rQSj48lqaWoUVeyI5xfkXwmIEVt-5h31fs=</v>
      </c>
    </row>
    <row r="299" spans="1:25" ht="39.950000000000003" customHeight="1">
      <c r="A299">
        <v>295</v>
      </c>
      <c r="B299" t="s">
        <v>3028</v>
      </c>
      <c r="C299" t="s">
        <v>3029</v>
      </c>
      <c r="D299" t="s">
        <v>3030</v>
      </c>
      <c r="E299" t="s">
        <v>3031</v>
      </c>
      <c r="F299" t="s">
        <v>29</v>
      </c>
      <c r="G299" t="s">
        <v>3032</v>
      </c>
      <c r="H299" t="s">
        <v>31</v>
      </c>
      <c r="I299" t="s">
        <v>32</v>
      </c>
      <c r="J299" t="s">
        <v>336</v>
      </c>
      <c r="K299" t="s">
        <v>3033</v>
      </c>
      <c r="L299" t="s">
        <v>1375</v>
      </c>
      <c r="M299" t="s">
        <v>315</v>
      </c>
      <c r="N299" t="s">
        <v>3034</v>
      </c>
      <c r="O299" t="s">
        <v>224</v>
      </c>
      <c r="Q299" t="s">
        <v>699</v>
      </c>
      <c r="R299" t="s">
        <v>1235</v>
      </c>
      <c r="S299" t="s">
        <v>3035</v>
      </c>
      <c r="T299" t="s">
        <v>343</v>
      </c>
      <c r="U299" t="s">
        <v>43</v>
      </c>
      <c r="V299" t="s">
        <v>3036</v>
      </c>
      <c r="W299" t="s">
        <v>3036</v>
      </c>
      <c r="Y299" t="str">
        <f>HYPERLINK("https://recruiter.shine.com/resume/download/?resumeid=gAAAAABbk2UL5jGk7XoI-KlwRR2hiIAdZ9BYxt0sfahfNsHA2Fc4VA6plhuhKyPn4rKqPUxJOFGfADL-sJAoEnGQNMltBRD5-OMacDUAtahj8LC8u8pkPx91WcVBc3IKNdfbOtAjePSz")</f>
        <v>https://recruiter.shine.com/resume/download/?resumeid=gAAAAABbk2UL5jGk7XoI-KlwRR2hiIAdZ9BYxt0sfahfNsHA2Fc4VA6plhuhKyPn4rKqPUxJOFGfADL-sJAoEnGQNMltBRD5-OMacDUAtahj8LC8u8pkPx91WcVBc3IKNdfbOtAjePSz</v>
      </c>
    </row>
    <row r="300" spans="1:25" ht="39.950000000000003" customHeight="1">
      <c r="A300">
        <v>296</v>
      </c>
      <c r="B300" t="s">
        <v>3037</v>
      </c>
      <c r="C300" t="s">
        <v>3038</v>
      </c>
      <c r="D300" t="s">
        <v>3039</v>
      </c>
      <c r="E300" t="s">
        <v>3040</v>
      </c>
      <c r="F300" t="s">
        <v>29</v>
      </c>
      <c r="G300" t="s">
        <v>29</v>
      </c>
      <c r="H300" t="s">
        <v>31</v>
      </c>
      <c r="I300" t="s">
        <v>32</v>
      </c>
      <c r="J300" t="s">
        <v>1710</v>
      </c>
      <c r="K300" t="s">
        <v>3041</v>
      </c>
      <c r="L300" t="s">
        <v>184</v>
      </c>
      <c r="M300" t="s">
        <v>172</v>
      </c>
      <c r="N300" t="s">
        <v>3042</v>
      </c>
      <c r="O300" t="s">
        <v>1245</v>
      </c>
      <c r="P300" t="s">
        <v>57</v>
      </c>
      <c r="Q300" t="s">
        <v>240</v>
      </c>
      <c r="R300" t="s">
        <v>241</v>
      </c>
      <c r="S300" t="s">
        <v>3043</v>
      </c>
      <c r="T300" t="s">
        <v>343</v>
      </c>
      <c r="U300" t="s">
        <v>43</v>
      </c>
      <c r="V300" t="s">
        <v>3044</v>
      </c>
      <c r="W300" t="s">
        <v>3045</v>
      </c>
      <c r="Y300" t="str">
        <f>HYPERLINK("https://recruiter.shine.com/resume/download/?resumeid=gAAAAABbk2UMDdNYtj6gMZOEsNKAtnhnMql7P0xqhfYfang_aSP_ileZg8JHobTxfvkjssvZpuQ1KP58c5SFf6yETQJhyae59zfDRDYAXE5ZhWWTB_H82efVs6U6o5Uyg7kBeUumxRF_yq3fQsTMwbMTSbtVsRAMeXTmHzUPg3QxhJNFzKht7Jg=")</f>
        <v>https://recruiter.shine.com/resume/download/?resumeid=gAAAAABbk2UMDdNYtj6gMZOEsNKAtnhnMql7P0xqhfYfang_aSP_ileZg8JHobTxfvkjssvZpuQ1KP58c5SFf6yETQJhyae59zfDRDYAXE5ZhWWTB_H82efVs6U6o5Uyg7kBeUumxRF_yq3fQsTMwbMTSbtVsRAMeXTmHzUPg3QxhJNFzKht7Jg=</v>
      </c>
    </row>
    <row r="301" spans="1:25" ht="39.950000000000003" customHeight="1">
      <c r="A301">
        <v>297</v>
      </c>
      <c r="B301" t="s">
        <v>3046</v>
      </c>
      <c r="C301" t="s">
        <v>3047</v>
      </c>
      <c r="D301" t="s">
        <v>3048</v>
      </c>
      <c r="E301" t="s">
        <v>3049</v>
      </c>
      <c r="F301" t="s">
        <v>29</v>
      </c>
      <c r="G301" t="s">
        <v>3050</v>
      </c>
      <c r="H301" t="s">
        <v>31</v>
      </c>
      <c r="I301" t="s">
        <v>32</v>
      </c>
      <c r="J301" t="s">
        <v>1785</v>
      </c>
      <c r="K301" t="s">
        <v>3051</v>
      </c>
      <c r="L301" t="s">
        <v>120</v>
      </c>
      <c r="M301" t="s">
        <v>2636</v>
      </c>
      <c r="N301" t="s">
        <v>2229</v>
      </c>
      <c r="O301" t="s">
        <v>3052</v>
      </c>
      <c r="P301" t="s">
        <v>73</v>
      </c>
      <c r="Q301" t="s">
        <v>365</v>
      </c>
      <c r="R301" t="s">
        <v>2230</v>
      </c>
      <c r="S301" t="s">
        <v>3053</v>
      </c>
      <c r="T301" t="s">
        <v>3054</v>
      </c>
      <c r="U301" t="s">
        <v>43</v>
      </c>
      <c r="V301" t="s">
        <v>3055</v>
      </c>
      <c r="W301" t="s">
        <v>3056</v>
      </c>
      <c r="Y301" t="str">
        <f>HYPERLINK("https://recruiter.shine.com/resume/download/?resumeid=gAAAAABbk2UN8SU1S78HabijlYcwpkA_Nzie_uyVByfM97jVpFOkwIg_79HuFfbWpsXM0e50-HBWtQGARRTGe_YBnDMawuv1sqPoSGgeWiqrm_hqqth-TdPbm8-eoJJOMyKXyLnqv3XE_4JkmkkeBTMZHCX73EsLn037lotXkjfHvusTOye0rl8=")</f>
        <v>https://recruiter.shine.com/resume/download/?resumeid=gAAAAABbk2UN8SU1S78HabijlYcwpkA_Nzie_uyVByfM97jVpFOkwIg_79HuFfbWpsXM0e50-HBWtQGARRTGe_YBnDMawuv1sqPoSGgeWiqrm_hqqth-TdPbm8-eoJJOMyKXyLnqv3XE_4JkmkkeBTMZHCX73EsLn037lotXkjfHvusTOye0rl8=</v>
      </c>
    </row>
    <row r="302" spans="1:25" ht="39.950000000000003" customHeight="1">
      <c r="A302">
        <v>298</v>
      </c>
      <c r="B302" t="s">
        <v>3057</v>
      </c>
      <c r="C302" t="s">
        <v>3058</v>
      </c>
      <c r="D302" t="s">
        <v>3059</v>
      </c>
      <c r="E302" t="s">
        <v>3060</v>
      </c>
      <c r="F302" t="s">
        <v>29</v>
      </c>
      <c r="G302" t="s">
        <v>29</v>
      </c>
      <c r="H302" t="s">
        <v>31</v>
      </c>
      <c r="I302" t="s">
        <v>714</v>
      </c>
      <c r="J302" t="s">
        <v>3061</v>
      </c>
      <c r="K302" t="s">
        <v>3062</v>
      </c>
      <c r="L302" t="s">
        <v>53</v>
      </c>
      <c r="M302" t="s">
        <v>54</v>
      </c>
      <c r="N302" t="s">
        <v>3063</v>
      </c>
      <c r="O302" t="s">
        <v>38</v>
      </c>
      <c r="P302" t="s">
        <v>73</v>
      </c>
      <c r="Q302" t="s">
        <v>2149</v>
      </c>
      <c r="R302" t="s">
        <v>2150</v>
      </c>
      <c r="S302" t="s">
        <v>3064</v>
      </c>
      <c r="T302" t="s">
        <v>161</v>
      </c>
      <c r="U302" t="s">
        <v>43</v>
      </c>
      <c r="V302" t="s">
        <v>3065</v>
      </c>
      <c r="W302" t="s">
        <v>3066</v>
      </c>
      <c r="Y302" t="str">
        <f>HYPERLINK("https://recruiter.shine.com/resume/download/?resumeid=gAAAAABbk2ULQMZffJPKPtqlyBpJdO50n7sPxDNPK35XiqVHnOukDznqFSdx60kJkpUxahao9c4hKpZwPD1QYfauKE-1ngJLxkg47S7VHdkcTDZ7DgHwBETdVnRrw_zweL9SlIshfUds7KxvxSUtILhpsYJP17r6KQ==")</f>
        <v>https://recruiter.shine.com/resume/download/?resumeid=gAAAAABbk2ULQMZffJPKPtqlyBpJdO50n7sPxDNPK35XiqVHnOukDznqFSdx60kJkpUxahao9c4hKpZwPD1QYfauKE-1ngJLxkg47S7VHdkcTDZ7DgHwBETdVnRrw_zweL9SlIshfUds7KxvxSUtILhpsYJP17r6KQ==</v>
      </c>
    </row>
    <row r="303" spans="1:25" ht="39.950000000000003" customHeight="1">
      <c r="A303">
        <v>299</v>
      </c>
      <c r="B303" t="s">
        <v>3067</v>
      </c>
      <c r="C303" t="s">
        <v>3068</v>
      </c>
      <c r="D303" t="s">
        <v>3069</v>
      </c>
      <c r="E303" t="s">
        <v>3070</v>
      </c>
      <c r="F303" t="s">
        <v>29</v>
      </c>
      <c r="G303" t="s">
        <v>29</v>
      </c>
      <c r="H303" t="s">
        <v>31</v>
      </c>
      <c r="I303" t="s">
        <v>2074</v>
      </c>
      <c r="J303" t="s">
        <v>3071</v>
      </c>
      <c r="K303" t="s">
        <v>3072</v>
      </c>
      <c r="L303" t="s">
        <v>199</v>
      </c>
      <c r="M303" t="s">
        <v>36</v>
      </c>
      <c r="N303" t="s">
        <v>3073</v>
      </c>
      <c r="O303" t="s">
        <v>38</v>
      </c>
      <c r="P303" t="s">
        <v>140</v>
      </c>
      <c r="Q303" t="s">
        <v>107</v>
      </c>
      <c r="R303" t="s">
        <v>341</v>
      </c>
      <c r="S303" t="s">
        <v>3074</v>
      </c>
      <c r="T303" t="s">
        <v>110</v>
      </c>
      <c r="U303" t="s">
        <v>43</v>
      </c>
      <c r="V303" t="s">
        <v>3075</v>
      </c>
      <c r="W303" t="s">
        <v>3076</v>
      </c>
      <c r="Y303" t="str">
        <f>HYPERLINK("https://recruiter.shine.com/resume/download/?resumeid=gAAAAABbk2UNo9HwPfsQRRM66Qi-UAtBuDfJ_7zZ7zglgyQrRSeMxxUy5v0RviYlhtfx-waseVtHGADWaz-eCC07T1RgbjkSzc7vF87TMX-_qOTRj6-BCOM8OztVozLABEcgSM6iazMlo9TDiJKojx1b8dOPBkQ7trKp2Y0grzBtM_4OyeN872c=")</f>
        <v>https://recruiter.shine.com/resume/download/?resumeid=gAAAAABbk2UNo9HwPfsQRRM66Qi-UAtBuDfJ_7zZ7zglgyQrRSeMxxUy5v0RviYlhtfx-waseVtHGADWaz-eCC07T1RgbjkSzc7vF87TMX-_qOTRj6-BCOM8OztVozLABEcgSM6iazMlo9TDiJKojx1b8dOPBkQ7trKp2Y0grzBtM_4OyeN872c=</v>
      </c>
    </row>
    <row r="304" spans="1:25" ht="39.950000000000003" customHeight="1">
      <c r="A304">
        <v>300</v>
      </c>
      <c r="B304" t="s">
        <v>3077</v>
      </c>
      <c r="C304" t="s">
        <v>3078</v>
      </c>
      <c r="D304" t="s">
        <v>3079</v>
      </c>
      <c r="E304" t="s">
        <v>3080</v>
      </c>
      <c r="F304" t="s">
        <v>29</v>
      </c>
      <c r="G304" t="s">
        <v>29</v>
      </c>
      <c r="H304" t="s">
        <v>31</v>
      </c>
      <c r="I304" t="s">
        <v>362</v>
      </c>
      <c r="J304" t="s">
        <v>135</v>
      </c>
      <c r="L304" t="s">
        <v>363</v>
      </c>
      <c r="M304" t="s">
        <v>364</v>
      </c>
      <c r="Q304" t="s">
        <v>107</v>
      </c>
      <c r="R304" t="s">
        <v>341</v>
      </c>
      <c r="S304" t="s">
        <v>3081</v>
      </c>
      <c r="T304" t="s">
        <v>126</v>
      </c>
      <c r="U304" t="s">
        <v>43</v>
      </c>
      <c r="V304" t="s">
        <v>3082</v>
      </c>
      <c r="W304" t="s">
        <v>3083</v>
      </c>
      <c r="Y304" t="str">
        <f>HYPERLINK("https://recruiter.shine.com/resume/download/?resumeid=gAAAAABbk2UNk6gRzBg8SPaL49mWvoYYnuOUFmyiR6LplKqzd0MrkVqgLRV413Mj2Y2bNuPeRvsNpOm7RiF3oFfh09R9uXkqHp2-fktQ6rp6n-X13RRnmgHBMEc6h1sJZyQQ6bQA-e4UjBp_sBYX53hsTdfmo49sF6I6dA0zqketn3ZfOQ0-24k=")</f>
        <v>https://recruiter.shine.com/resume/download/?resumeid=gAAAAABbk2UNk6gRzBg8SPaL49mWvoYYnuOUFmyiR6LplKqzd0MrkVqgLRV413Mj2Y2bNuPeRvsNpOm7RiF3oFfh09R9uXkqHp2-fktQ6rp6n-X13RRnmgHBMEc6h1sJZyQQ6bQA-e4UjBp_sBYX53hsTdfmo49sF6I6dA0zqketn3ZfOQ0-24k=</v>
      </c>
    </row>
    <row r="305" spans="1:25" ht="39.950000000000003" customHeight="1">
      <c r="A305">
        <v>301</v>
      </c>
      <c r="B305" t="s">
        <v>3084</v>
      </c>
      <c r="C305" t="s">
        <v>3085</v>
      </c>
      <c r="D305" t="s">
        <v>3086</v>
      </c>
      <c r="E305" t="s">
        <v>3087</v>
      </c>
      <c r="F305" t="s">
        <v>29</v>
      </c>
      <c r="G305" t="s">
        <v>3088</v>
      </c>
      <c r="H305" t="s">
        <v>31</v>
      </c>
      <c r="I305" t="s">
        <v>836</v>
      </c>
      <c r="J305" t="s">
        <v>169</v>
      </c>
      <c r="K305" t="s">
        <v>3089</v>
      </c>
      <c r="L305" t="s">
        <v>664</v>
      </c>
      <c r="M305" t="s">
        <v>105</v>
      </c>
      <c r="N305" t="s">
        <v>3090</v>
      </c>
      <c r="O305" t="s">
        <v>475</v>
      </c>
      <c r="P305" t="s">
        <v>57</v>
      </c>
      <c r="Q305" t="s">
        <v>107</v>
      </c>
      <c r="R305" t="s">
        <v>341</v>
      </c>
      <c r="S305" t="s">
        <v>3091</v>
      </c>
      <c r="T305" t="s">
        <v>144</v>
      </c>
      <c r="U305" t="s">
        <v>43</v>
      </c>
      <c r="V305" t="s">
        <v>3092</v>
      </c>
      <c r="W305" t="s">
        <v>3093</v>
      </c>
      <c r="Y305" t="str">
        <f>HYPERLINK("https://recruiter.shine.com/resume/download/?resumeid=gAAAAABbk2UKNYRW7sYkjF14RTH6QrHkWtnowyHZG-zFQfIMGNzbyW__MxnKmJ51D1vLJsHfbFE7yFBEOTr6fiN2y7yHDUNC_Fv87-dNRKXlsqKSZ7egtsxYmhFuWOUTqXuG4GBhzIjD")</f>
        <v>https://recruiter.shine.com/resume/download/?resumeid=gAAAAABbk2UKNYRW7sYkjF14RTH6QrHkWtnowyHZG-zFQfIMGNzbyW__MxnKmJ51D1vLJsHfbFE7yFBEOTr6fiN2y7yHDUNC_Fv87-dNRKXlsqKSZ7egtsxYmhFuWOUTqXuG4GBhzIjD</v>
      </c>
    </row>
    <row r="306" spans="1:25" ht="39.950000000000003" customHeight="1">
      <c r="A306">
        <v>302</v>
      </c>
      <c r="B306" t="s">
        <v>3094</v>
      </c>
      <c r="C306" t="s">
        <v>3095</v>
      </c>
      <c r="D306" t="s">
        <v>3096</v>
      </c>
      <c r="E306" t="s">
        <v>3097</v>
      </c>
      <c r="F306" t="s">
        <v>29</v>
      </c>
      <c r="G306" t="s">
        <v>67</v>
      </c>
      <c r="H306" t="s">
        <v>31</v>
      </c>
      <c r="I306" t="s">
        <v>32</v>
      </c>
      <c r="J306" t="s">
        <v>745</v>
      </c>
      <c r="K306" t="s">
        <v>3098</v>
      </c>
      <c r="L306" t="s">
        <v>254</v>
      </c>
      <c r="M306" t="s">
        <v>138</v>
      </c>
      <c r="N306" t="s">
        <v>3099</v>
      </c>
      <c r="O306" t="s">
        <v>157</v>
      </c>
      <c r="P306" t="s">
        <v>73</v>
      </c>
      <c r="Q306" t="s">
        <v>107</v>
      </c>
      <c r="R306" t="s">
        <v>3100</v>
      </c>
      <c r="S306" t="s">
        <v>188</v>
      </c>
      <c r="T306" t="s">
        <v>2453</v>
      </c>
      <c r="U306" t="s">
        <v>43</v>
      </c>
      <c r="V306" t="s">
        <v>3101</v>
      </c>
      <c r="W306" t="s">
        <v>3102</v>
      </c>
      <c r="Y306" t="str">
        <f>HYPERLINK("https://recruiter.shine.com/resume/download/?resumeid=gAAAAABbk2UMNLKY2HxA-0QxG7KjGFqbSwBot_P13Wz2NH_m0brTI0rRvn5Cwd8okwJxd9Wg6yLMLuMV4Sr8IDG2JnQIxaTot7dF8Rh0nENvphj2Ac7dRbL9YDR2pxsvm3-r58u9sOIdKKPwoNk8Fh5g83f4298eYw==")</f>
        <v>https://recruiter.shine.com/resume/download/?resumeid=gAAAAABbk2UMNLKY2HxA-0QxG7KjGFqbSwBot_P13Wz2NH_m0brTI0rRvn5Cwd8okwJxd9Wg6yLMLuMV4Sr8IDG2JnQIxaTot7dF8Rh0nENvphj2Ac7dRbL9YDR2pxsvm3-r58u9sOIdKKPwoNk8Fh5g83f4298eYw==</v>
      </c>
    </row>
    <row r="307" spans="1:25" ht="39.950000000000003" customHeight="1">
      <c r="A307">
        <v>303</v>
      </c>
      <c r="B307" t="s">
        <v>3103</v>
      </c>
      <c r="C307" t="s">
        <v>3104</v>
      </c>
      <c r="D307" t="s">
        <v>3105</v>
      </c>
      <c r="E307" t="s">
        <v>3106</v>
      </c>
      <c r="F307" t="s">
        <v>29</v>
      </c>
      <c r="G307" t="s">
        <v>3107</v>
      </c>
      <c r="H307" t="s">
        <v>234</v>
      </c>
      <c r="I307" t="s">
        <v>714</v>
      </c>
      <c r="J307" t="s">
        <v>745</v>
      </c>
      <c r="K307" t="s">
        <v>3108</v>
      </c>
      <c r="L307" t="s">
        <v>3109</v>
      </c>
      <c r="M307" t="s">
        <v>121</v>
      </c>
      <c r="N307" t="s">
        <v>3110</v>
      </c>
      <c r="O307" t="s">
        <v>56</v>
      </c>
      <c r="P307" t="s">
        <v>140</v>
      </c>
      <c r="Q307" t="s">
        <v>1545</v>
      </c>
      <c r="R307" t="s">
        <v>142</v>
      </c>
      <c r="S307" t="s">
        <v>3111</v>
      </c>
      <c r="T307" t="s">
        <v>687</v>
      </c>
      <c r="U307" t="s">
        <v>43</v>
      </c>
      <c r="V307" t="s">
        <v>3112</v>
      </c>
      <c r="W307" t="s">
        <v>3113</v>
      </c>
      <c r="Y307" t="str">
        <f>HYPERLINK("https://recruiter.shine.com/resume/download/?resumeid=gAAAAABbk2UNhzuuVaD7lJzjyFqZ71Ff31cnzsSFGppy6xzeQ-EYGV7EHx7v8AaHLVhvj2tIa7q2H_loMpcP4QuORGWTU-4DVvTScM_kZGOB-ecjN5yVQGyVrnE4MeI24abyf9GsBpcprqH5EJ2W4qu_IUqPKKoJEXk7dQKfXbs6ADrYqy0i70I=")</f>
        <v>https://recruiter.shine.com/resume/download/?resumeid=gAAAAABbk2UNhzuuVaD7lJzjyFqZ71Ff31cnzsSFGppy6xzeQ-EYGV7EHx7v8AaHLVhvj2tIa7q2H_loMpcP4QuORGWTU-4DVvTScM_kZGOB-ecjN5yVQGyVrnE4MeI24abyf9GsBpcprqH5EJ2W4qu_IUqPKKoJEXk7dQKfXbs6ADrYqy0i70I=</v>
      </c>
    </row>
    <row r="308" spans="1:25" ht="39.950000000000003" customHeight="1">
      <c r="A308">
        <v>304</v>
      </c>
      <c r="B308" t="s">
        <v>3114</v>
      </c>
      <c r="C308" t="s">
        <v>3115</v>
      </c>
      <c r="D308" t="s">
        <v>3116</v>
      </c>
      <c r="E308" t="s">
        <v>3117</v>
      </c>
      <c r="F308" t="s">
        <v>29</v>
      </c>
      <c r="G308" t="s">
        <v>29</v>
      </c>
      <c r="H308" t="s">
        <v>31</v>
      </c>
      <c r="I308" t="s">
        <v>208</v>
      </c>
      <c r="J308" t="s">
        <v>3118</v>
      </c>
      <c r="K308" t="s">
        <v>3119</v>
      </c>
      <c r="L308" t="s">
        <v>314</v>
      </c>
      <c r="M308" t="s">
        <v>473</v>
      </c>
      <c r="N308" t="s">
        <v>3120</v>
      </c>
      <c r="O308" t="s">
        <v>38</v>
      </c>
      <c r="P308" t="s">
        <v>57</v>
      </c>
      <c r="Q308" t="s">
        <v>58</v>
      </c>
      <c r="R308" t="s">
        <v>3121</v>
      </c>
      <c r="S308" t="s">
        <v>3122</v>
      </c>
      <c r="T308" t="s">
        <v>1921</v>
      </c>
      <c r="U308" t="s">
        <v>43</v>
      </c>
      <c r="V308" t="s">
        <v>3123</v>
      </c>
      <c r="W308" t="s">
        <v>3124</v>
      </c>
      <c r="Y308" t="str">
        <f>HYPERLINK("https://recruiter.shine.com/resume/download/?resumeid=gAAAAABbk2ULBqPzVV8YezYZTc4E_VeNLvXORDdB95SngQ-EpNWsjOPj9eNB4gBYi5mSpGfcgwIwBPM1ZDH5Yg9nJ0aVMDblVOMsjr39BlA1BF_apdoEV72N0kQpyr_e1yTXgHtv_7W0")</f>
        <v>https://recruiter.shine.com/resume/download/?resumeid=gAAAAABbk2ULBqPzVV8YezYZTc4E_VeNLvXORDdB95SngQ-EpNWsjOPj9eNB4gBYi5mSpGfcgwIwBPM1ZDH5Yg9nJ0aVMDblVOMsjr39BlA1BF_apdoEV72N0kQpyr_e1yTXgHtv_7W0</v>
      </c>
    </row>
    <row r="309" spans="1:25" ht="39.950000000000003" customHeight="1">
      <c r="A309">
        <v>305</v>
      </c>
      <c r="B309" t="s">
        <v>3125</v>
      </c>
      <c r="C309" t="s">
        <v>3126</v>
      </c>
      <c r="D309" t="s">
        <v>3127</v>
      </c>
      <c r="E309" t="s">
        <v>3128</v>
      </c>
      <c r="F309" t="s">
        <v>29</v>
      </c>
      <c r="G309" t="s">
        <v>3129</v>
      </c>
      <c r="H309" t="s">
        <v>31</v>
      </c>
      <c r="I309" t="s">
        <v>1242</v>
      </c>
      <c r="J309" t="s">
        <v>408</v>
      </c>
      <c r="K309" t="s">
        <v>3130</v>
      </c>
      <c r="L309" t="s">
        <v>155</v>
      </c>
      <c r="M309" t="s">
        <v>339</v>
      </c>
      <c r="N309" t="s">
        <v>3131</v>
      </c>
      <c r="O309" t="s">
        <v>475</v>
      </c>
      <c r="P309" t="s">
        <v>57</v>
      </c>
      <c r="Q309" t="s">
        <v>107</v>
      </c>
      <c r="R309" t="s">
        <v>864</v>
      </c>
      <c r="S309" t="s">
        <v>202</v>
      </c>
      <c r="T309" t="s">
        <v>415</v>
      </c>
      <c r="U309" t="s">
        <v>43</v>
      </c>
      <c r="V309" t="s">
        <v>3132</v>
      </c>
      <c r="W309" t="s">
        <v>3133</v>
      </c>
      <c r="Y309" t="str">
        <f>HYPERLINK("https://recruiter.shine.com/resume/download/?resumeid=gAAAAABbk2UNZVKJsRfyCGGouxaQZlr1i8FSR5GwRxNdOt7RrznLLnV0W9Bbfz-8u5i2byhPOPglxHdmW8WhmIoQ01MtQVIGa9wcXQg8a60VtvohZrA_Zj3CtyQqtXV4qJdwJI1U-DcHHHyhySU8IvGVSfEwUIkwNf3XxhXa-w_iEpWyYlW-nmI=")</f>
        <v>https://recruiter.shine.com/resume/download/?resumeid=gAAAAABbk2UNZVKJsRfyCGGouxaQZlr1i8FSR5GwRxNdOt7RrznLLnV0W9Bbfz-8u5i2byhPOPglxHdmW8WhmIoQ01MtQVIGa9wcXQg8a60VtvohZrA_Zj3CtyQqtXV4qJdwJI1U-DcHHHyhySU8IvGVSfEwUIkwNf3XxhXa-w_iEpWyYlW-nmI=</v>
      </c>
    </row>
    <row r="310" spans="1:25" ht="39.950000000000003" customHeight="1">
      <c r="A310">
        <v>306</v>
      </c>
      <c r="B310" t="s">
        <v>3134</v>
      </c>
      <c r="D310" t="s">
        <v>3135</v>
      </c>
      <c r="E310" t="s">
        <v>3136</v>
      </c>
      <c r="F310" t="s">
        <v>29</v>
      </c>
      <c r="G310" t="s">
        <v>2854</v>
      </c>
      <c r="H310" t="s">
        <v>234</v>
      </c>
      <c r="I310" t="s">
        <v>2843</v>
      </c>
      <c r="J310" t="s">
        <v>278</v>
      </c>
      <c r="K310" t="s">
        <v>3137</v>
      </c>
      <c r="L310" t="s">
        <v>462</v>
      </c>
      <c r="M310" t="s">
        <v>54</v>
      </c>
      <c r="N310" t="s">
        <v>3138</v>
      </c>
      <c r="O310" t="s">
        <v>572</v>
      </c>
      <c r="Q310" t="s">
        <v>90</v>
      </c>
      <c r="R310" t="s">
        <v>465</v>
      </c>
      <c r="S310" t="s">
        <v>188</v>
      </c>
      <c r="T310" t="s">
        <v>161</v>
      </c>
      <c r="U310" t="s">
        <v>43</v>
      </c>
      <c r="V310" t="s">
        <v>3139</v>
      </c>
      <c r="W310" t="s">
        <v>3140</v>
      </c>
      <c r="Y310" t="str">
        <f>HYPERLINK("https://recruiter.shine.com/resume/download/?resumeid=gAAAAABbk2UNlTpdQvg_L8-KTuwO-gvg5s1ARsuAmQLi_Msl3zg4ilo32W0mLQ0hsUd0y6McpY6oLhVObgDOw9KR4B4XLlUxo3HLRK0UlStXft7vLANR568SAKJyqf-xMzuk8pshv_NgrdQ_gDfEznmStvtGJZuE_A==")</f>
        <v>https://recruiter.shine.com/resume/download/?resumeid=gAAAAABbk2UNlTpdQvg_L8-KTuwO-gvg5s1ARsuAmQLi_Msl3zg4ilo32W0mLQ0hsUd0y6McpY6oLhVObgDOw9KR4B4XLlUxo3HLRK0UlStXft7vLANR568SAKJyqf-xMzuk8pshv_NgrdQ_gDfEznmStvtGJZuE_A==</v>
      </c>
    </row>
    <row r="311" spans="1:25" ht="39.950000000000003" customHeight="1">
      <c r="A311">
        <v>307</v>
      </c>
      <c r="B311" t="s">
        <v>3141</v>
      </c>
      <c r="C311" t="s">
        <v>3142</v>
      </c>
      <c r="D311" t="s">
        <v>3143</v>
      </c>
      <c r="E311" t="s">
        <v>3144</v>
      </c>
      <c r="F311" t="s">
        <v>29</v>
      </c>
      <c r="G311" t="s">
        <v>3145</v>
      </c>
      <c r="H311" t="s">
        <v>31</v>
      </c>
      <c r="I311" t="s">
        <v>3146</v>
      </c>
      <c r="J311" t="s">
        <v>3147</v>
      </c>
      <c r="K311" t="s">
        <v>3148</v>
      </c>
      <c r="L311" t="s">
        <v>266</v>
      </c>
      <c r="M311" t="s">
        <v>105</v>
      </c>
      <c r="N311" t="s">
        <v>3149</v>
      </c>
      <c r="O311" t="s">
        <v>186</v>
      </c>
      <c r="P311" t="s">
        <v>57</v>
      </c>
      <c r="Q311" t="s">
        <v>107</v>
      </c>
      <c r="R311" t="s">
        <v>159</v>
      </c>
      <c r="S311" t="s">
        <v>3150</v>
      </c>
      <c r="T311" t="s">
        <v>110</v>
      </c>
      <c r="U311" t="s">
        <v>127</v>
      </c>
      <c r="V311" t="s">
        <v>3151</v>
      </c>
      <c r="W311" t="s">
        <v>3152</v>
      </c>
      <c r="Y311" t="str">
        <f>HYPERLINK("https://recruiter.shine.com/resume/download/?resumeid=gAAAAABbk2UKZPUeOemG8t-4uz5Kzj2WCeSx8RXePepm5BRmWBwu6Yu0AbpI89wyxSwc59R0do7Kv0Uoec6Io1hu2vOA6tTYTvywK0qlkcc6B4m-v-vJsuya-zaTr_YcZmUynFvxpJTH")</f>
        <v>https://recruiter.shine.com/resume/download/?resumeid=gAAAAABbk2UKZPUeOemG8t-4uz5Kzj2WCeSx8RXePepm5BRmWBwu6Yu0AbpI89wyxSwc59R0do7Kv0Uoec6Io1hu2vOA6tTYTvywK0qlkcc6B4m-v-vJsuya-zaTr_YcZmUynFvxpJTH</v>
      </c>
    </row>
    <row r="312" spans="1:25" ht="39.950000000000003" customHeight="1">
      <c r="A312">
        <v>308</v>
      </c>
      <c r="B312" t="s">
        <v>3153</v>
      </c>
      <c r="C312" t="s">
        <v>3154</v>
      </c>
      <c r="D312" t="s">
        <v>3155</v>
      </c>
      <c r="E312" t="s">
        <v>3156</v>
      </c>
      <c r="F312" t="s">
        <v>249</v>
      </c>
      <c r="G312" t="s">
        <v>894</v>
      </c>
      <c r="H312" t="s">
        <v>31</v>
      </c>
      <c r="I312" t="s">
        <v>32</v>
      </c>
      <c r="J312" t="s">
        <v>935</v>
      </c>
      <c r="K312" t="s">
        <v>3157</v>
      </c>
      <c r="L312" t="s">
        <v>184</v>
      </c>
      <c r="M312" t="s">
        <v>105</v>
      </c>
      <c r="N312" t="s">
        <v>3158</v>
      </c>
      <c r="O312" t="s">
        <v>572</v>
      </c>
      <c r="P312" t="s">
        <v>73</v>
      </c>
      <c r="Q312" t="s">
        <v>3159</v>
      </c>
      <c r="R312" t="s">
        <v>3160</v>
      </c>
      <c r="S312" t="s">
        <v>3161</v>
      </c>
      <c r="T312" t="s">
        <v>1842</v>
      </c>
      <c r="U312" t="s">
        <v>127</v>
      </c>
      <c r="V312" t="s">
        <v>3162</v>
      </c>
      <c r="W312" t="s">
        <v>3163</v>
      </c>
      <c r="Y312" t="str">
        <f>HYPERLINK("https://recruiter.shine.com/resume/download/?resumeid=gAAAAABbk2UMe_b5ME4Fewc-eA8mCtGVF02LUeNiVxk9oOmt-fipmvcgOXdzMQwPCmnhQhbdRyj13UM6FZNAlh-3d3dnMlF2FV4ylp7UKQm89ORBeAmwBa-9bhYJ5mjh69B8pT31ZBsO0VPP8_t7eL_mFGe3yt7J_A==")</f>
        <v>https://recruiter.shine.com/resume/download/?resumeid=gAAAAABbk2UMe_b5ME4Fewc-eA8mCtGVF02LUeNiVxk9oOmt-fipmvcgOXdzMQwPCmnhQhbdRyj13UM6FZNAlh-3d3dnMlF2FV4ylp7UKQm89ORBeAmwBa-9bhYJ5mjh69B8pT31ZBsO0VPP8_t7eL_mFGe3yt7J_A==</v>
      </c>
    </row>
    <row r="313" spans="1:25" ht="39.950000000000003" customHeight="1">
      <c r="A313">
        <v>309</v>
      </c>
      <c r="B313" t="s">
        <v>3164</v>
      </c>
      <c r="C313" t="s">
        <v>3165</v>
      </c>
      <c r="D313" t="s">
        <v>3166</v>
      </c>
      <c r="E313" t="s">
        <v>3167</v>
      </c>
      <c r="F313" t="s">
        <v>29</v>
      </c>
      <c r="G313" t="s">
        <v>3168</v>
      </c>
      <c r="H313" t="s">
        <v>234</v>
      </c>
      <c r="I313" t="s">
        <v>277</v>
      </c>
      <c r="J313" t="s">
        <v>3169</v>
      </c>
      <c r="K313" t="s">
        <v>3170</v>
      </c>
      <c r="L313" t="s">
        <v>1674</v>
      </c>
      <c r="M313" t="s">
        <v>684</v>
      </c>
      <c r="N313" t="s">
        <v>3171</v>
      </c>
      <c r="O313" t="s">
        <v>1041</v>
      </c>
      <c r="P313" t="s">
        <v>771</v>
      </c>
      <c r="Q313" t="s">
        <v>783</v>
      </c>
      <c r="R313" t="s">
        <v>3172</v>
      </c>
      <c r="S313" t="s">
        <v>3173</v>
      </c>
      <c r="T313" t="s">
        <v>227</v>
      </c>
      <c r="U313" t="s">
        <v>127</v>
      </c>
      <c r="V313" t="s">
        <v>3174</v>
      </c>
      <c r="W313" t="s">
        <v>3175</v>
      </c>
      <c r="Y313" t="str">
        <f>HYPERLINK("https://recruiter.shine.com/resume/download/?resumeid=gAAAAABbk2UOTw7uhRYvZCuPfzkc_pVUefTNQwsLAtONqVoNtsMgN5IqsVRh_qqZ87nrYjGFSS5f8vt2G0ApqW2OvHlvAttjvI6dLpvyeoh_Rmzcoy5Luoc8z5BL8zSqT6k117PVRww-whc5xrXYgMJ2n_FL9haXybLGNof1rq-U3N1EMsFw6Hc=")</f>
        <v>https://recruiter.shine.com/resume/download/?resumeid=gAAAAABbk2UOTw7uhRYvZCuPfzkc_pVUefTNQwsLAtONqVoNtsMgN5IqsVRh_qqZ87nrYjGFSS5f8vt2G0ApqW2OvHlvAttjvI6dLpvyeoh_Rmzcoy5Luoc8z5BL8zSqT6k117PVRww-whc5xrXYgMJ2n_FL9haXybLGNof1rq-U3N1EMsFw6Hc=</v>
      </c>
    </row>
    <row r="314" spans="1:25" ht="39.950000000000003" customHeight="1">
      <c r="A314">
        <v>310</v>
      </c>
      <c r="B314" t="s">
        <v>3176</v>
      </c>
      <c r="C314" t="s">
        <v>3177</v>
      </c>
      <c r="D314" t="s">
        <v>3178</v>
      </c>
      <c r="E314" t="s">
        <v>3179</v>
      </c>
      <c r="F314" t="s">
        <v>29</v>
      </c>
      <c r="G314" t="s">
        <v>29</v>
      </c>
      <c r="H314" t="s">
        <v>31</v>
      </c>
      <c r="I314" t="s">
        <v>3180</v>
      </c>
      <c r="J314" t="s">
        <v>3181</v>
      </c>
      <c r="K314" t="s">
        <v>3182</v>
      </c>
      <c r="L314" t="s">
        <v>450</v>
      </c>
      <c r="M314" t="s">
        <v>3183</v>
      </c>
      <c r="N314" t="s">
        <v>3184</v>
      </c>
      <c r="O314" t="s">
        <v>186</v>
      </c>
      <c r="P314" t="s">
        <v>201</v>
      </c>
      <c r="Q314" t="s">
        <v>489</v>
      </c>
      <c r="R314" t="s">
        <v>490</v>
      </c>
      <c r="S314" t="s">
        <v>188</v>
      </c>
      <c r="T314" t="s">
        <v>1746</v>
      </c>
      <c r="U314" t="s">
        <v>43</v>
      </c>
      <c r="V314" t="s">
        <v>3185</v>
      </c>
      <c r="W314" t="s">
        <v>3185</v>
      </c>
      <c r="Y314" t="str">
        <f>HYPERLINK("https://recruiter.shine.com/resume/download/?resumeid=gAAAAABbk2ULiuG4kDhZcaklCl6Y_s28L3cN8bfXCc0cyG5GhHra3QWRkY6M6_Adj4_uVMb1HjfJlmmcB8eaK0AmDOB8JSl7saBma2q2RDarRvr8_RE5kzpe38u-WlREagaCPSjyg7Gk")</f>
        <v>https://recruiter.shine.com/resume/download/?resumeid=gAAAAABbk2ULiuG4kDhZcaklCl6Y_s28L3cN8bfXCc0cyG5GhHra3QWRkY6M6_Adj4_uVMb1HjfJlmmcB8eaK0AmDOB8JSl7saBma2q2RDarRvr8_RE5kzpe38u-WlREagaCPSjyg7Gk</v>
      </c>
    </row>
    <row r="315" spans="1:25" ht="39.950000000000003" customHeight="1">
      <c r="A315">
        <v>311</v>
      </c>
      <c r="B315" t="s">
        <v>3186</v>
      </c>
      <c r="C315" t="s">
        <v>3187</v>
      </c>
      <c r="D315" t="s">
        <v>3188</v>
      </c>
      <c r="E315" t="s">
        <v>682</v>
      </c>
      <c r="F315" t="s">
        <v>29</v>
      </c>
      <c r="G315" t="s">
        <v>2164</v>
      </c>
      <c r="H315" t="s">
        <v>31</v>
      </c>
      <c r="I315" t="s">
        <v>208</v>
      </c>
      <c r="J315" t="s">
        <v>506</v>
      </c>
      <c r="K315" t="s">
        <v>3189</v>
      </c>
      <c r="L315" t="s">
        <v>794</v>
      </c>
      <c r="M315" t="s">
        <v>684</v>
      </c>
      <c r="N315" t="s">
        <v>3190</v>
      </c>
      <c r="O315" t="s">
        <v>38</v>
      </c>
      <c r="P315" t="s">
        <v>140</v>
      </c>
      <c r="Q315" t="s">
        <v>365</v>
      </c>
      <c r="R315" t="s">
        <v>2230</v>
      </c>
      <c r="S315" t="s">
        <v>3191</v>
      </c>
      <c r="T315" t="s">
        <v>687</v>
      </c>
      <c r="U315" t="s">
        <v>43</v>
      </c>
      <c r="V315" t="s">
        <v>3192</v>
      </c>
      <c r="W315" t="s">
        <v>3193</v>
      </c>
      <c r="Y315" t="str">
        <f>HYPERLINK("https://recruiter.shine.com/resume/download/?resumeid=gAAAAABbk2UMwEYO3rHvtXSiWmo9tULkYYKOjuhag575CR6e-bYL4EE1HQZhofX6K8y_Dv0N92OvKzknccnTeXQ6czP1uwxXz5ohO-SdUrcRbK4KkgGiyg3Gxlf0s8MZPRAexVDaXRgOtlJcBPKVTrSU4uv-QckWhWeAbtuSZ3mysUk8Zw84Qmk=")</f>
        <v>https://recruiter.shine.com/resume/download/?resumeid=gAAAAABbk2UMwEYO3rHvtXSiWmo9tULkYYKOjuhag575CR6e-bYL4EE1HQZhofX6K8y_Dv0N92OvKzknccnTeXQ6czP1uwxXz5ohO-SdUrcRbK4KkgGiyg3Gxlf0s8MZPRAexVDaXRgOtlJcBPKVTrSU4uv-QckWhWeAbtuSZ3mysUk8Zw84Qmk=</v>
      </c>
    </row>
    <row r="316" spans="1:25" ht="39.950000000000003" customHeight="1">
      <c r="A316">
        <v>312</v>
      </c>
      <c r="B316" t="s">
        <v>3194</v>
      </c>
      <c r="C316" t="s">
        <v>3195</v>
      </c>
      <c r="D316" t="s">
        <v>3196</v>
      </c>
      <c r="E316" t="s">
        <v>3197</v>
      </c>
      <c r="F316" t="s">
        <v>29</v>
      </c>
      <c r="G316" t="s">
        <v>29</v>
      </c>
      <c r="H316" t="s">
        <v>31</v>
      </c>
      <c r="I316" t="s">
        <v>1554</v>
      </c>
      <c r="J316" t="s">
        <v>51</v>
      </c>
      <c r="K316" t="s">
        <v>980</v>
      </c>
      <c r="L316" t="s">
        <v>155</v>
      </c>
      <c r="M316" t="s">
        <v>105</v>
      </c>
      <c r="N316" t="s">
        <v>3198</v>
      </c>
      <c r="O316" t="s">
        <v>1245</v>
      </c>
      <c r="P316" t="s">
        <v>57</v>
      </c>
      <c r="Q316" t="s">
        <v>158</v>
      </c>
      <c r="R316" t="s">
        <v>341</v>
      </c>
      <c r="S316" t="s">
        <v>3199</v>
      </c>
      <c r="T316" t="s">
        <v>227</v>
      </c>
      <c r="U316" t="s">
        <v>43</v>
      </c>
      <c r="V316" t="s">
        <v>3200</v>
      </c>
      <c r="W316" t="s">
        <v>3201</v>
      </c>
      <c r="Y316" t="str">
        <f>HYPERLINK("https://recruiter.shine.com/resume/download/?resumeid=gAAAAABbk2UN38DEDvta1qaGWL7E5xI6pJZjAjG7jdkNICnw2lEMgnlEvv0Mci1KFBuHvc4508zEWgFnNkYH_8IaVdFe1jn5q2EpmL-FQR6abAHluL_0X6r87LBQUh1NKZxYwLY5IZLBZf1sulfPUt6jFHWeLv6jesQdLmRTieCAYwN8bcaT95A=")</f>
        <v>https://recruiter.shine.com/resume/download/?resumeid=gAAAAABbk2UN38DEDvta1qaGWL7E5xI6pJZjAjG7jdkNICnw2lEMgnlEvv0Mci1KFBuHvc4508zEWgFnNkYH_8IaVdFe1jn5q2EpmL-FQR6abAHluL_0X6r87LBQUh1NKZxYwLY5IZLBZf1sulfPUt6jFHWeLv6jesQdLmRTieCAYwN8bcaT95A=</v>
      </c>
    </row>
    <row r="317" spans="1:25" ht="39.950000000000003" customHeight="1">
      <c r="A317">
        <v>313</v>
      </c>
      <c r="B317" t="s">
        <v>3202</v>
      </c>
      <c r="C317" t="s">
        <v>3203</v>
      </c>
      <c r="D317" t="s">
        <v>3204</v>
      </c>
      <c r="E317" t="s">
        <v>3205</v>
      </c>
      <c r="F317" t="s">
        <v>29</v>
      </c>
      <c r="G317" t="s">
        <v>29</v>
      </c>
      <c r="H317" t="s">
        <v>31</v>
      </c>
      <c r="I317" t="s">
        <v>3206</v>
      </c>
      <c r="J317" t="s">
        <v>278</v>
      </c>
      <c r="K317" t="s">
        <v>3207</v>
      </c>
      <c r="L317" t="s">
        <v>1390</v>
      </c>
      <c r="M317" t="s">
        <v>1083</v>
      </c>
      <c r="N317" t="s">
        <v>3208</v>
      </c>
      <c r="O317" t="s">
        <v>186</v>
      </c>
      <c r="P317" t="s">
        <v>57</v>
      </c>
      <c r="Q317" t="s">
        <v>158</v>
      </c>
      <c r="R317" t="s">
        <v>864</v>
      </c>
      <c r="S317" t="s">
        <v>188</v>
      </c>
      <c r="T317" t="s">
        <v>281</v>
      </c>
      <c r="U317" t="s">
        <v>43</v>
      </c>
      <c r="V317" t="s">
        <v>3209</v>
      </c>
      <c r="W317" t="s">
        <v>3209</v>
      </c>
      <c r="Y317" t="str">
        <f>HYPERLINK("https://recruiter.shine.com/resume/download/?resumeid=gAAAAABbk2UL4moBK6Q_jd8E39MxXWfQPvuBDDsQ22pkUtDg0NgU7oZuqJMlH0aY1t6joWNfhwITJ0dBiqcAMKfOxPd2WPE_T-tNoU61Ldo-c6Bxg4Qlrlgh4ug5i6Ww9D9dHzcfdloU")</f>
        <v>https://recruiter.shine.com/resume/download/?resumeid=gAAAAABbk2UL4moBK6Q_jd8E39MxXWfQPvuBDDsQ22pkUtDg0NgU7oZuqJMlH0aY1t6joWNfhwITJ0dBiqcAMKfOxPd2WPE_T-tNoU61Ldo-c6Bxg4Qlrlgh4ug5i6Ww9D9dHzcfdloU</v>
      </c>
    </row>
    <row r="318" spans="1:25" ht="39.950000000000003" customHeight="1">
      <c r="A318">
        <v>314</v>
      </c>
      <c r="B318" t="s">
        <v>3210</v>
      </c>
      <c r="C318" t="s">
        <v>3211</v>
      </c>
      <c r="D318" t="s">
        <v>3212</v>
      </c>
      <c r="E318" t="s">
        <v>3213</v>
      </c>
      <c r="F318" t="s">
        <v>29</v>
      </c>
      <c r="G318" t="s">
        <v>30</v>
      </c>
      <c r="H318" t="s">
        <v>31</v>
      </c>
      <c r="I318" t="s">
        <v>998</v>
      </c>
      <c r="J318" t="s">
        <v>3214</v>
      </c>
      <c r="K318" t="s">
        <v>3215</v>
      </c>
      <c r="L318" t="s">
        <v>290</v>
      </c>
      <c r="M318" t="s">
        <v>238</v>
      </c>
      <c r="N318" t="s">
        <v>2654</v>
      </c>
      <c r="O318" t="s">
        <v>38</v>
      </c>
      <c r="P318" t="s">
        <v>73</v>
      </c>
      <c r="Q318" t="s">
        <v>90</v>
      </c>
      <c r="R318" t="s">
        <v>1676</v>
      </c>
      <c r="S318" t="s">
        <v>3216</v>
      </c>
      <c r="T318" t="s">
        <v>441</v>
      </c>
      <c r="U318" t="s">
        <v>43</v>
      </c>
      <c r="V318" t="s">
        <v>3217</v>
      </c>
      <c r="W318" t="s">
        <v>3218</v>
      </c>
      <c r="Y318" t="str">
        <f>HYPERLINK("https://recruiter.shine.com/resume/download/?resumeid=gAAAAABbk2UMo9QiKCmsp16d7fudctSJYsI6tIi7pPNAeevm8Q7S99Q36-KEIY2RCMIJT9ahC-bHpNPWuRQ4rs5aEGr_u223RNFQIcLyJ0XVLgrpICm2-JW0sTgUU3ydL214HflnLgN3U7n_7Q64eKn3mp-5s_hAqg==")</f>
        <v>https://recruiter.shine.com/resume/download/?resumeid=gAAAAABbk2UMo9QiKCmsp16d7fudctSJYsI6tIi7pPNAeevm8Q7S99Q36-KEIY2RCMIJT9ahC-bHpNPWuRQ4rs5aEGr_u223RNFQIcLyJ0XVLgrpICm2-JW0sTgUU3ydL214HflnLgN3U7n_7Q64eKn3mp-5s_hAqg==</v>
      </c>
    </row>
    <row r="319" spans="1:25" ht="39.950000000000003" customHeight="1">
      <c r="A319">
        <v>315</v>
      </c>
      <c r="B319" t="s">
        <v>3219</v>
      </c>
      <c r="C319" t="s">
        <v>3220</v>
      </c>
      <c r="D319" t="s">
        <v>3221</v>
      </c>
      <c r="E319" t="s">
        <v>3222</v>
      </c>
      <c r="F319" t="s">
        <v>29</v>
      </c>
      <c r="G319" t="s">
        <v>29</v>
      </c>
      <c r="H319" t="s">
        <v>31</v>
      </c>
      <c r="I319" t="s">
        <v>860</v>
      </c>
      <c r="J319" t="s">
        <v>506</v>
      </c>
      <c r="K319" t="s">
        <v>3223</v>
      </c>
      <c r="L319" t="s">
        <v>2572</v>
      </c>
      <c r="M319" t="s">
        <v>121</v>
      </c>
      <c r="N319" t="s">
        <v>3224</v>
      </c>
      <c r="O319" t="s">
        <v>186</v>
      </c>
      <c r="Q319" t="s">
        <v>365</v>
      </c>
      <c r="R319" t="s">
        <v>124</v>
      </c>
      <c r="S319" t="s">
        <v>3225</v>
      </c>
      <c r="T319" t="s">
        <v>61</v>
      </c>
      <c r="U319" t="s">
        <v>43</v>
      </c>
      <c r="V319" t="s">
        <v>3226</v>
      </c>
      <c r="W319" t="s">
        <v>3227</v>
      </c>
      <c r="Y319" t="str">
        <f>HYPERLINK("https://recruiter.shine.com/resume/download/?resumeid=gAAAAABbk2UOeLCZW4VuHnupjaxRVgwZ5-O1SGlS3qHAByhXvyHFLboqs88JzlBH7H0tg_JJU1heqgw1ghKPnHqpu40ojqZD724JRdiniYqLoNb-KJ1NQ54C2GbTJo5VFxldswzoKcHK41mbd1kfUz82Q35oiHivIA==")</f>
        <v>https://recruiter.shine.com/resume/download/?resumeid=gAAAAABbk2UOeLCZW4VuHnupjaxRVgwZ5-O1SGlS3qHAByhXvyHFLboqs88JzlBH7H0tg_JJU1heqgw1ghKPnHqpu40ojqZD724JRdiniYqLoNb-KJ1NQ54C2GbTJo5VFxldswzoKcHK41mbd1kfUz82Q35oiHivIA==</v>
      </c>
    </row>
    <row r="320" spans="1:25" ht="39.950000000000003" customHeight="1">
      <c r="A320">
        <v>316</v>
      </c>
      <c r="B320" t="s">
        <v>3228</v>
      </c>
      <c r="C320" t="s">
        <v>3229</v>
      </c>
      <c r="D320" t="s">
        <v>3230</v>
      </c>
      <c r="E320" t="s">
        <v>3231</v>
      </c>
      <c r="F320" t="s">
        <v>29</v>
      </c>
      <c r="G320" t="s">
        <v>3232</v>
      </c>
      <c r="H320" t="s">
        <v>31</v>
      </c>
      <c r="I320" t="s">
        <v>2892</v>
      </c>
      <c r="J320" t="s">
        <v>135</v>
      </c>
      <c r="K320" t="s">
        <v>726</v>
      </c>
      <c r="L320" t="s">
        <v>582</v>
      </c>
      <c r="M320" t="s">
        <v>238</v>
      </c>
      <c r="N320" t="s">
        <v>426</v>
      </c>
      <c r="O320" t="s">
        <v>56</v>
      </c>
      <c r="P320" t="s">
        <v>57</v>
      </c>
      <c r="Q320" t="s">
        <v>90</v>
      </c>
      <c r="R320" t="s">
        <v>292</v>
      </c>
      <c r="S320" t="s">
        <v>188</v>
      </c>
      <c r="T320" t="s">
        <v>304</v>
      </c>
      <c r="U320" t="s">
        <v>43</v>
      </c>
      <c r="V320" t="s">
        <v>3233</v>
      </c>
      <c r="W320" t="s">
        <v>3234</v>
      </c>
      <c r="Y320" t="str">
        <f>HYPERLINK("https://recruiter.shine.com/resume/download/?resumeid=gAAAAABbk2UKDZsgECR-N5oWbgiom8KybWkALpcPuKippzpqYvvUaGIFvGGlJZ2McxpkgbmFNDXYCZAPeE_qQiKd0hp9jKoqdVHen8NxJcYQ3RnZBlnENFVovj-H3zM3_3c9pWR7IlPZ")</f>
        <v>https://recruiter.shine.com/resume/download/?resumeid=gAAAAABbk2UKDZsgECR-N5oWbgiom8KybWkALpcPuKippzpqYvvUaGIFvGGlJZ2McxpkgbmFNDXYCZAPeE_qQiKd0hp9jKoqdVHen8NxJcYQ3RnZBlnENFVovj-H3zM3_3c9pWR7IlPZ</v>
      </c>
    </row>
    <row r="321" spans="1:25" ht="39.950000000000003" customHeight="1">
      <c r="A321">
        <v>317</v>
      </c>
      <c r="B321" t="s">
        <v>3235</v>
      </c>
      <c r="D321" t="s">
        <v>3236</v>
      </c>
      <c r="E321" t="s">
        <v>3237</v>
      </c>
      <c r="F321" t="s">
        <v>29</v>
      </c>
      <c r="G321" t="s">
        <v>3238</v>
      </c>
      <c r="H321" t="s">
        <v>234</v>
      </c>
      <c r="I321" t="s">
        <v>3239</v>
      </c>
      <c r="J321" t="s">
        <v>3240</v>
      </c>
      <c r="K321" t="s">
        <v>1156</v>
      </c>
      <c r="L321" t="s">
        <v>184</v>
      </c>
      <c r="M321" t="s">
        <v>315</v>
      </c>
      <c r="N321" t="s">
        <v>3241</v>
      </c>
      <c r="O321" t="s">
        <v>38</v>
      </c>
      <c r="P321" t="s">
        <v>201</v>
      </c>
      <c r="Q321" t="s">
        <v>123</v>
      </c>
      <c r="R321" t="s">
        <v>124</v>
      </c>
      <c r="S321" t="s">
        <v>188</v>
      </c>
      <c r="T321" t="s">
        <v>110</v>
      </c>
      <c r="U321" t="s">
        <v>43</v>
      </c>
      <c r="V321" t="s">
        <v>3242</v>
      </c>
      <c r="W321" t="s">
        <v>3243</v>
      </c>
      <c r="Y321" t="str">
        <f>HYPERLINK("https://recruiter.shine.com/resume/download/?resumeid=gAAAAABbk2UMP5qRaPKyXVXXMSvJaGKdmbSGhj5q83Mw8oyyVdLqzeRbgXqOnquc79XAqPirzdKAPOdoahqWgTmSNfLUlEoutQ8dEXvUNpdbHKdE41x2ZSNMnZKuSvs55znGNfbbUEVXw40CdiWJ5-ObHpsrpDQwIQ==")</f>
        <v>https://recruiter.shine.com/resume/download/?resumeid=gAAAAABbk2UMP5qRaPKyXVXXMSvJaGKdmbSGhj5q83Mw8oyyVdLqzeRbgXqOnquc79XAqPirzdKAPOdoahqWgTmSNfLUlEoutQ8dEXvUNpdbHKdE41x2ZSNMnZKuSvs55znGNfbbUEVXw40CdiWJ5-ObHpsrpDQwIQ==</v>
      </c>
    </row>
    <row r="322" spans="1:25" ht="39.950000000000003" customHeight="1">
      <c r="A322">
        <v>318</v>
      </c>
      <c r="B322" t="s">
        <v>3244</v>
      </c>
      <c r="D322" t="s">
        <v>3245</v>
      </c>
      <c r="E322" t="s">
        <v>3246</v>
      </c>
      <c r="F322" t="s">
        <v>858</v>
      </c>
      <c r="G322" t="s">
        <v>858</v>
      </c>
      <c r="H322" t="s">
        <v>31</v>
      </c>
      <c r="I322" t="s">
        <v>85</v>
      </c>
      <c r="J322" t="s">
        <v>871</v>
      </c>
      <c r="K322" t="s">
        <v>3247</v>
      </c>
      <c r="L322" t="s">
        <v>35</v>
      </c>
      <c r="M322" t="s">
        <v>583</v>
      </c>
      <c r="N322" t="s">
        <v>2229</v>
      </c>
      <c r="O322" t="s">
        <v>1422</v>
      </c>
      <c r="Q322" t="s">
        <v>40</v>
      </c>
      <c r="R322" t="s">
        <v>41</v>
      </c>
      <c r="S322" t="s">
        <v>3248</v>
      </c>
      <c r="T322" t="s">
        <v>126</v>
      </c>
      <c r="U322" t="s">
        <v>43</v>
      </c>
      <c r="V322" t="s">
        <v>3249</v>
      </c>
      <c r="W322" t="s">
        <v>3250</v>
      </c>
      <c r="Y322" t="str">
        <f>HYPERLINK("https://recruiter.shine.com/resume/download/?resumeid=gAAAAABbk2UOFcNRhnYB6cWWcdgnl-iON0IT7N2ssGNOmrel0vxlOUuRsjqd7JfY3PSZfe8JWw3rfNG6z8_gJptdIUy_2Ro8y2CmWP2NvynoH6J5rZXKMvqnhXUsEWtCdWRBemnXxFU72QSQgH_V7A0leuyl9m5eVQ==")</f>
        <v>https://recruiter.shine.com/resume/download/?resumeid=gAAAAABbk2UOFcNRhnYB6cWWcdgnl-iON0IT7N2ssGNOmrel0vxlOUuRsjqd7JfY3PSZfe8JWw3rfNG6z8_gJptdIUy_2Ro8y2CmWP2NvynoH6J5rZXKMvqnhXUsEWtCdWRBemnXxFU72QSQgH_V7A0leuyl9m5eVQ==</v>
      </c>
    </row>
    <row r="323" spans="1:25" ht="39.950000000000003" customHeight="1">
      <c r="A323">
        <v>319</v>
      </c>
      <c r="B323" t="s">
        <v>3251</v>
      </c>
      <c r="C323" t="s">
        <v>3252</v>
      </c>
      <c r="D323" t="s">
        <v>3253</v>
      </c>
      <c r="E323" t="s">
        <v>3254</v>
      </c>
      <c r="F323" t="s">
        <v>29</v>
      </c>
      <c r="G323" t="s">
        <v>3255</v>
      </c>
      <c r="H323" t="s">
        <v>31</v>
      </c>
      <c r="I323" t="s">
        <v>152</v>
      </c>
      <c r="J323" t="s">
        <v>3256</v>
      </c>
      <c r="K323" t="s">
        <v>595</v>
      </c>
      <c r="L323" t="s">
        <v>155</v>
      </c>
      <c r="M323" t="s">
        <v>1335</v>
      </c>
      <c r="N323" t="s">
        <v>3257</v>
      </c>
      <c r="O323" t="s">
        <v>585</v>
      </c>
      <c r="P323" t="s">
        <v>57</v>
      </c>
      <c r="Q323" t="s">
        <v>107</v>
      </c>
      <c r="R323" t="s">
        <v>2346</v>
      </c>
      <c r="S323" t="s">
        <v>3258</v>
      </c>
      <c r="T323" t="s">
        <v>687</v>
      </c>
      <c r="U323" t="s">
        <v>43</v>
      </c>
      <c r="V323" t="s">
        <v>3259</v>
      </c>
      <c r="W323" t="s">
        <v>3260</v>
      </c>
      <c r="Y323" t="str">
        <f>HYPERLINK("https://recruiter.shine.com/resume/download/?resumeid=gAAAAABbk2ULxz13us2Ucdx8KmQ4c1Cq7B0zo4lTedE589US83lihS4qJiVjxBjM2UQtiyUiC0azRjPr1RaDDex0EHecYTPq3lOx0MaCYhOr_N1kbJmLbqykd68p2PPSnf3ksUpPobY4")</f>
        <v>https://recruiter.shine.com/resume/download/?resumeid=gAAAAABbk2ULxz13us2Ucdx8KmQ4c1Cq7B0zo4lTedE589US83lihS4qJiVjxBjM2UQtiyUiC0azRjPr1RaDDex0EHecYTPq3lOx0MaCYhOr_N1kbJmLbqykd68p2PPSnf3ksUpPobY4</v>
      </c>
    </row>
    <row r="324" spans="1:25" ht="39.950000000000003" customHeight="1">
      <c r="A324">
        <v>320</v>
      </c>
      <c r="B324" t="s">
        <v>3261</v>
      </c>
      <c r="C324" t="s">
        <v>3262</v>
      </c>
      <c r="D324" t="s">
        <v>3263</v>
      </c>
      <c r="E324" t="s">
        <v>3264</v>
      </c>
      <c r="F324" t="s">
        <v>249</v>
      </c>
      <c r="G324" t="s">
        <v>922</v>
      </c>
      <c r="H324" t="s">
        <v>31</v>
      </c>
      <c r="I324" t="s">
        <v>1242</v>
      </c>
      <c r="J324" t="s">
        <v>3265</v>
      </c>
      <c r="K324" t="s">
        <v>3266</v>
      </c>
      <c r="L324" t="s">
        <v>301</v>
      </c>
      <c r="M324" t="s">
        <v>105</v>
      </c>
      <c r="N324" t="s">
        <v>3267</v>
      </c>
      <c r="O324" t="s">
        <v>224</v>
      </c>
      <c r="P324" t="s">
        <v>57</v>
      </c>
      <c r="Q324" t="s">
        <v>41</v>
      </c>
      <c r="R324" t="s">
        <v>3268</v>
      </c>
      <c r="S324" t="s">
        <v>3269</v>
      </c>
      <c r="T324" t="s">
        <v>227</v>
      </c>
      <c r="U324" t="s">
        <v>43</v>
      </c>
      <c r="V324" t="s">
        <v>3270</v>
      </c>
      <c r="W324" t="s">
        <v>3271</v>
      </c>
      <c r="Y324" t="str">
        <f>HYPERLINK("https://recruiter.shine.com/resume/download/?resumeid=gAAAAABbk2UME8g4h4os_xJwSaTt98bEu-8UE1gW-F5ynbD3UdkBY07IjNde5BZ9ShLFzaGABhSL8Ldvy5MWMb1trNHoU95bT_VrkyzbPNdKu18WvLUlzTKiPxSceXdKxBbO9b86UNPKjsA2Ud85QmffZuehCm2Z532OTAWsM_-W3fez_dZwaxM=")</f>
        <v>https://recruiter.shine.com/resume/download/?resumeid=gAAAAABbk2UME8g4h4os_xJwSaTt98bEu-8UE1gW-F5ynbD3UdkBY07IjNde5BZ9ShLFzaGABhSL8Ldvy5MWMb1trNHoU95bT_VrkyzbPNdKu18WvLUlzTKiPxSceXdKxBbO9b86UNPKjsA2Ud85QmffZuehCm2Z532OTAWsM_-W3fez_dZwaxM=</v>
      </c>
    </row>
    <row r="325" spans="1:25" ht="39.950000000000003" customHeight="1">
      <c r="A325">
        <v>321</v>
      </c>
      <c r="B325" t="s">
        <v>3272</v>
      </c>
      <c r="C325" t="s">
        <v>3273</v>
      </c>
      <c r="D325" t="s">
        <v>3274</v>
      </c>
      <c r="E325" t="s">
        <v>3275</v>
      </c>
      <c r="F325" t="s">
        <v>249</v>
      </c>
      <c r="G325" t="s">
        <v>249</v>
      </c>
      <c r="H325" t="s">
        <v>31</v>
      </c>
      <c r="I325" t="s">
        <v>714</v>
      </c>
      <c r="J325" t="s">
        <v>3276</v>
      </c>
      <c r="K325" t="s">
        <v>3277</v>
      </c>
      <c r="L325" t="s">
        <v>88</v>
      </c>
      <c r="M325" t="s">
        <v>138</v>
      </c>
      <c r="N325" t="s">
        <v>355</v>
      </c>
      <c r="O325" t="s">
        <v>1245</v>
      </c>
      <c r="P325" t="s">
        <v>201</v>
      </c>
      <c r="Q325" t="s">
        <v>40</v>
      </c>
      <c r="R325" t="s">
        <v>476</v>
      </c>
      <c r="S325" t="s">
        <v>188</v>
      </c>
      <c r="T325" t="s">
        <v>1921</v>
      </c>
      <c r="U325" t="s">
        <v>43</v>
      </c>
      <c r="V325" t="s">
        <v>3278</v>
      </c>
      <c r="W325" t="s">
        <v>3278</v>
      </c>
      <c r="Y325" t="str">
        <f>HYPERLINK("https://recruiter.shine.com/resume/download/?resumeid=gAAAAABbk2UNBddJaWaqskYhGgkzWf_d8_bOALFb4lR6eZbzexqUd37UJP3OGstx_uXV3SVw9V3QnXRH-ltP_k3PmLPvyN8b6d9mC51sGakY6SkhQdWLGQoEuj5g7ByEXYjoGMwaJW7GwFcHfhQtRCnYlL77A14cvA==")</f>
        <v>https://recruiter.shine.com/resume/download/?resumeid=gAAAAABbk2UNBddJaWaqskYhGgkzWf_d8_bOALFb4lR6eZbzexqUd37UJP3OGstx_uXV3SVw9V3QnXRH-ltP_k3PmLPvyN8b6d9mC51sGakY6SkhQdWLGQoEuj5g7ByEXYjoGMwaJW7GwFcHfhQtRCnYlL77A14cvA==</v>
      </c>
    </row>
    <row r="326" spans="1:25" ht="39.950000000000003" customHeight="1">
      <c r="A326">
        <v>322</v>
      </c>
      <c r="B326" t="s">
        <v>3279</v>
      </c>
      <c r="C326" t="s">
        <v>3280</v>
      </c>
      <c r="D326" t="s">
        <v>3281</v>
      </c>
      <c r="E326" t="s">
        <v>3282</v>
      </c>
      <c r="F326" t="s">
        <v>29</v>
      </c>
      <c r="G326" t="s">
        <v>3283</v>
      </c>
      <c r="H326" t="s">
        <v>31</v>
      </c>
      <c r="I326" t="s">
        <v>208</v>
      </c>
      <c r="J326" t="s">
        <v>299</v>
      </c>
      <c r="K326" t="s">
        <v>3284</v>
      </c>
      <c r="L326" t="s">
        <v>266</v>
      </c>
      <c r="M326" t="s">
        <v>105</v>
      </c>
      <c r="N326" t="s">
        <v>3285</v>
      </c>
      <c r="O326" t="s">
        <v>804</v>
      </c>
      <c r="P326" t="s">
        <v>57</v>
      </c>
      <c r="Q326" t="s">
        <v>40</v>
      </c>
      <c r="R326" t="s">
        <v>2364</v>
      </c>
      <c r="S326" t="s">
        <v>3286</v>
      </c>
      <c r="T326" t="s">
        <v>227</v>
      </c>
      <c r="U326" t="s">
        <v>94</v>
      </c>
      <c r="V326" t="s">
        <v>3287</v>
      </c>
      <c r="W326" t="s">
        <v>3288</v>
      </c>
      <c r="Y326" t="str">
        <f>HYPERLINK("https://recruiter.shine.com/resume/download/?resumeid=gAAAAABbk2UKrAb6SK5oG3gaCjhlOWb6BSknv0CFPwxm35adngYMHcjjBmjxiKRGZk_t9AsRVZS9eC2nzDa_1XgnYKKclLZEjQxIqkoqpmMN3UTluW3dR4NdcAvS4rTpp2D1kaj5nLFY")</f>
        <v>https://recruiter.shine.com/resume/download/?resumeid=gAAAAABbk2UKrAb6SK5oG3gaCjhlOWb6BSknv0CFPwxm35adngYMHcjjBmjxiKRGZk_t9AsRVZS9eC2nzDa_1XgnYKKclLZEjQxIqkoqpmMN3UTluW3dR4NdcAvS4rTpp2D1kaj5nLFY</v>
      </c>
    </row>
    <row r="327" spans="1:25" ht="39.950000000000003" customHeight="1">
      <c r="A327">
        <v>323</v>
      </c>
      <c r="B327" t="s">
        <v>3289</v>
      </c>
      <c r="C327" t="s">
        <v>3290</v>
      </c>
      <c r="D327" t="s">
        <v>3291</v>
      </c>
      <c r="E327" t="s">
        <v>3292</v>
      </c>
      <c r="F327" t="s">
        <v>29</v>
      </c>
      <c r="G327" t="s">
        <v>3293</v>
      </c>
      <c r="H327" t="s">
        <v>31</v>
      </c>
      <c r="I327" t="s">
        <v>3294</v>
      </c>
      <c r="J327" t="s">
        <v>51</v>
      </c>
      <c r="K327" t="s">
        <v>3295</v>
      </c>
      <c r="L327" t="s">
        <v>664</v>
      </c>
      <c r="M327" t="s">
        <v>684</v>
      </c>
      <c r="N327" t="s">
        <v>3296</v>
      </c>
      <c r="O327" t="s">
        <v>186</v>
      </c>
      <c r="P327" t="s">
        <v>940</v>
      </c>
      <c r="Q327" t="s">
        <v>107</v>
      </c>
      <c r="R327" t="s">
        <v>341</v>
      </c>
      <c r="S327" t="s">
        <v>3297</v>
      </c>
      <c r="T327" t="s">
        <v>61</v>
      </c>
      <c r="U327" t="s">
        <v>43</v>
      </c>
      <c r="V327" t="s">
        <v>3298</v>
      </c>
      <c r="W327" t="s">
        <v>3299</v>
      </c>
      <c r="Y327" t="str">
        <f>HYPERLINK("https://recruiter.shine.com/resume/download/?resumeid=gAAAAABbk2UMiizgsictv6k-pOByCNnU-wm6DNohVrpx1P6gvPK2KAIbta1zmvpb-_jdnHEMFzTFhBpgzTjNQvDZbmEIUFPa3eLg3DSdwP3uuJYy12pG_sc3bbWo_ji-GbRQBFWQSY2Y5vgHmBljShP0CmP4o_zNI96OKZhsZCxzeMVaehtKf_I=")</f>
        <v>https://recruiter.shine.com/resume/download/?resumeid=gAAAAABbk2UMiizgsictv6k-pOByCNnU-wm6DNohVrpx1P6gvPK2KAIbta1zmvpb-_jdnHEMFzTFhBpgzTjNQvDZbmEIUFPa3eLg3DSdwP3uuJYy12pG_sc3bbWo_ji-GbRQBFWQSY2Y5vgHmBljShP0CmP4o_zNI96OKZhsZCxzeMVaehtKf_I=</v>
      </c>
    </row>
    <row r="328" spans="1:25" ht="39.950000000000003" customHeight="1">
      <c r="A328">
        <v>324</v>
      </c>
      <c r="B328" t="s">
        <v>3300</v>
      </c>
      <c r="C328" t="s">
        <v>3301</v>
      </c>
      <c r="D328" t="s">
        <v>3302</v>
      </c>
      <c r="E328" t="s">
        <v>3303</v>
      </c>
      <c r="F328" t="s">
        <v>29</v>
      </c>
      <c r="G328" t="s">
        <v>29</v>
      </c>
      <c r="H328" t="s">
        <v>31</v>
      </c>
      <c r="I328" t="s">
        <v>3304</v>
      </c>
      <c r="J328" t="s">
        <v>3305</v>
      </c>
      <c r="K328" t="s">
        <v>3306</v>
      </c>
      <c r="L328" t="s">
        <v>120</v>
      </c>
      <c r="M328" t="s">
        <v>757</v>
      </c>
      <c r="N328" t="s">
        <v>3307</v>
      </c>
      <c r="O328" t="s">
        <v>186</v>
      </c>
      <c r="P328" t="s">
        <v>39</v>
      </c>
      <c r="Q328" t="s">
        <v>90</v>
      </c>
      <c r="R328" t="s">
        <v>317</v>
      </c>
      <c r="S328" t="s">
        <v>3308</v>
      </c>
      <c r="T328" t="s">
        <v>304</v>
      </c>
      <c r="U328" t="s">
        <v>127</v>
      </c>
      <c r="V328" t="s">
        <v>3309</v>
      </c>
      <c r="W328" t="s">
        <v>3310</v>
      </c>
      <c r="Y328" t="str">
        <f>HYPERLINK("https://recruiter.shine.com/resume/download/?resumeid=gAAAAABbk2UOFC0z4D9wU1wCYbBarMK51KMWPCfGBnZi6gqmGz30qI0MZ1ZaIWpvEsnyIxVtFwqFy9WEMGz-T1-XGZZjYygBNi-LXKG54vSeIsGqJUNRsK63AX3W7D0l8w173vsPoMgRNp3LybdLJ_8A_xBjnioKug==")</f>
        <v>https://recruiter.shine.com/resume/download/?resumeid=gAAAAABbk2UOFC0z4D9wU1wCYbBarMK51KMWPCfGBnZi6gqmGz30qI0MZ1ZaIWpvEsnyIxVtFwqFy9WEMGz-T1-XGZZjYygBNi-LXKG54vSeIsGqJUNRsK63AX3W7D0l8w173vsPoMgRNp3LybdLJ_8A_xBjnioKug==</v>
      </c>
    </row>
    <row r="329" spans="1:25" ht="39.950000000000003" customHeight="1">
      <c r="A329">
        <v>325</v>
      </c>
      <c r="B329" t="s">
        <v>3311</v>
      </c>
      <c r="C329" t="s">
        <v>3312</v>
      </c>
      <c r="D329" t="s">
        <v>3313</v>
      </c>
      <c r="E329" t="s">
        <v>3314</v>
      </c>
      <c r="F329" t="s">
        <v>29</v>
      </c>
      <c r="G329" t="s">
        <v>67</v>
      </c>
      <c r="H329" t="s">
        <v>234</v>
      </c>
      <c r="I329" t="s">
        <v>714</v>
      </c>
      <c r="J329" t="s">
        <v>1354</v>
      </c>
      <c r="K329" t="s">
        <v>3315</v>
      </c>
      <c r="L329" t="s">
        <v>2766</v>
      </c>
      <c r="M329" t="s">
        <v>938</v>
      </c>
      <c r="N329" t="s">
        <v>3316</v>
      </c>
      <c r="O329" t="s">
        <v>224</v>
      </c>
      <c r="P329" t="s">
        <v>39</v>
      </c>
      <c r="Q329" t="s">
        <v>187</v>
      </c>
      <c r="R329" t="s">
        <v>124</v>
      </c>
      <c r="S329" t="s">
        <v>3317</v>
      </c>
      <c r="T329" t="s">
        <v>1921</v>
      </c>
      <c r="U329" t="s">
        <v>43</v>
      </c>
      <c r="V329" t="s">
        <v>3318</v>
      </c>
      <c r="W329" t="s">
        <v>3318</v>
      </c>
      <c r="Y329" t="str">
        <f>HYPERLINK("https://recruiter.shine.com/resume/download/?resumeid=gAAAAABbk2UL3zQ82u_abKd9B3gJWRhMaTBJIRvoKZXHih-o6xX0Ru3C9p2C6RLmoRaX2y8YIml2ppI8afiZeYAITrZtpioPDHiLV-zuN3-IPsM5XnvefaVbvzju5i6VUzOAEmSY05I3")</f>
        <v>https://recruiter.shine.com/resume/download/?resumeid=gAAAAABbk2UL3zQ82u_abKd9B3gJWRhMaTBJIRvoKZXHih-o6xX0Ru3C9p2C6RLmoRaX2y8YIml2ppI8afiZeYAITrZtpioPDHiLV-zuN3-IPsM5XnvefaVbvzju5i6VUzOAEmSY05I3</v>
      </c>
    </row>
    <row r="330" spans="1:25" ht="39.950000000000003" customHeight="1">
      <c r="A330">
        <v>326</v>
      </c>
      <c r="B330" t="s">
        <v>3319</v>
      </c>
      <c r="C330" t="s">
        <v>3320</v>
      </c>
      <c r="D330" t="s">
        <v>3321</v>
      </c>
      <c r="E330" t="s">
        <v>3322</v>
      </c>
      <c r="F330" t="s">
        <v>29</v>
      </c>
      <c r="G330" t="s">
        <v>3323</v>
      </c>
      <c r="H330" t="s">
        <v>234</v>
      </c>
      <c r="I330" t="s">
        <v>134</v>
      </c>
      <c r="J330" t="s">
        <v>801</v>
      </c>
      <c r="K330" t="s">
        <v>706</v>
      </c>
      <c r="L330" t="s">
        <v>120</v>
      </c>
      <c r="M330" t="s">
        <v>1446</v>
      </c>
      <c r="N330" t="s">
        <v>3324</v>
      </c>
      <c r="O330" t="s">
        <v>186</v>
      </c>
      <c r="P330" t="s">
        <v>57</v>
      </c>
      <c r="Q330" t="s">
        <v>187</v>
      </c>
      <c r="R330" t="s">
        <v>124</v>
      </c>
      <c r="S330" t="s">
        <v>3325</v>
      </c>
      <c r="T330" t="s">
        <v>110</v>
      </c>
      <c r="U330" t="s">
        <v>127</v>
      </c>
      <c r="V330" t="s">
        <v>3326</v>
      </c>
      <c r="W330" t="s">
        <v>3326</v>
      </c>
      <c r="Y330" t="str">
        <f>HYPERLINK("https://recruiter.shine.com/resume/download/?resumeid=gAAAAABbk2UM8RecFGDmGF1q-2ucrE-MAWEnTw5_W7iDDcUyEqPuSFN1LbUIrSm7nczKnDKghpmf39NB_ENl_A2M5kMdPw9fBHCGzei0e-5r7NRhrc36BHYrUMFwot3fO32OdnRKQiSDEfIyedODJGObZZbaSyMqRpe5OiwIX3CkkePDwFFd3fs=")</f>
        <v>https://recruiter.shine.com/resume/download/?resumeid=gAAAAABbk2UM8RecFGDmGF1q-2ucrE-MAWEnTw5_W7iDDcUyEqPuSFN1LbUIrSm7nczKnDKghpmf39NB_ENl_A2M5kMdPw9fBHCGzei0e-5r7NRhrc36BHYrUMFwot3fO32OdnRKQiSDEfIyedODJGObZZbaSyMqRpe5OiwIX3CkkePDwFFd3fs=</v>
      </c>
    </row>
    <row r="331" spans="1:25" ht="39.950000000000003" customHeight="1">
      <c r="A331">
        <v>327</v>
      </c>
      <c r="B331" t="s">
        <v>3327</v>
      </c>
      <c r="D331" t="s">
        <v>3328</v>
      </c>
      <c r="E331" t="s">
        <v>3329</v>
      </c>
      <c r="F331" t="s">
        <v>29</v>
      </c>
      <c r="G331" t="s">
        <v>67</v>
      </c>
      <c r="H331" t="s">
        <v>234</v>
      </c>
      <c r="I331" t="s">
        <v>32</v>
      </c>
      <c r="J331" t="s">
        <v>153</v>
      </c>
      <c r="K331" t="s">
        <v>3330</v>
      </c>
      <c r="L331" t="s">
        <v>184</v>
      </c>
      <c r="M331" t="s">
        <v>36</v>
      </c>
      <c r="N331" t="s">
        <v>3331</v>
      </c>
      <c r="O331" t="s">
        <v>56</v>
      </c>
      <c r="Q331" t="s">
        <v>123</v>
      </c>
      <c r="R331" t="s">
        <v>124</v>
      </c>
      <c r="S331" t="s">
        <v>3332</v>
      </c>
      <c r="T331" t="s">
        <v>270</v>
      </c>
      <c r="U331" t="s">
        <v>127</v>
      </c>
      <c r="V331" t="s">
        <v>3333</v>
      </c>
      <c r="W331" t="s">
        <v>3334</v>
      </c>
      <c r="Y331" t="str">
        <f>HYPERLINK("https://recruiter.shine.com/resume/download/?resumeid=gAAAAABbk2UOtEqRE1s0b4607bmUntyl2zk9NDWq5pelaAVN-Uyb0QzI53FIEAZ_pSFuyAzIUXOzGiZ01QyPt0c-LB0ubBcl4UHSXHApGc0y3wgOifQYSnNVYTymwHHmOGo6fqMpiXnx-BXu63uatL6fQk-08OEh-g==")</f>
        <v>https://recruiter.shine.com/resume/download/?resumeid=gAAAAABbk2UOtEqRE1s0b4607bmUntyl2zk9NDWq5pelaAVN-Uyb0QzI53FIEAZ_pSFuyAzIUXOzGiZ01QyPt0c-LB0ubBcl4UHSXHApGc0y3wgOifQYSnNVYTymwHHmOGo6fqMpiXnx-BXu63uatL6fQk-08OEh-g==</v>
      </c>
    </row>
    <row r="332" spans="1:25" ht="39.950000000000003" customHeight="1">
      <c r="A332">
        <v>328</v>
      </c>
      <c r="B332" t="s">
        <v>3335</v>
      </c>
      <c r="C332" t="s">
        <v>3336</v>
      </c>
      <c r="D332" t="s">
        <v>3337</v>
      </c>
      <c r="E332" t="s">
        <v>3338</v>
      </c>
      <c r="F332" t="s">
        <v>29</v>
      </c>
      <c r="G332" t="s">
        <v>29</v>
      </c>
      <c r="H332" t="s">
        <v>31</v>
      </c>
      <c r="I332" t="s">
        <v>3339</v>
      </c>
      <c r="J332" t="s">
        <v>517</v>
      </c>
      <c r="K332" t="s">
        <v>199</v>
      </c>
      <c r="L332" t="s">
        <v>199</v>
      </c>
      <c r="M332" t="s">
        <v>222</v>
      </c>
      <c r="N332" t="s">
        <v>3340</v>
      </c>
      <c r="O332" t="s">
        <v>224</v>
      </c>
      <c r="P332" t="s">
        <v>39</v>
      </c>
      <c r="Q332" t="s">
        <v>158</v>
      </c>
      <c r="R332" t="s">
        <v>341</v>
      </c>
      <c r="S332" t="s">
        <v>748</v>
      </c>
      <c r="T332" t="s">
        <v>687</v>
      </c>
      <c r="U332" t="s">
        <v>43</v>
      </c>
      <c r="V332" t="s">
        <v>3341</v>
      </c>
      <c r="W332" t="s">
        <v>3341</v>
      </c>
      <c r="Y332" t="str">
        <f>HYPERLINK("https://recruiter.shine.com/resume/download/?resumeid=gAAAAABbk2ULEAl0vFUOH9aZNFItk_jVgTiBuiuyQ-XT-G_sElNLuRobEpB2SuowLIzTNVpR9ciw5dnP8DOsyR7Z3xZsJxZwR7G1Qj1jz17ksl4m7eLBCp5S6kq93T9JoFknXqWf79oU")</f>
        <v>https://recruiter.shine.com/resume/download/?resumeid=gAAAAABbk2ULEAl0vFUOH9aZNFItk_jVgTiBuiuyQ-XT-G_sElNLuRobEpB2SuowLIzTNVpR9ciw5dnP8DOsyR7Z3xZsJxZwR7G1Qj1jz17ksl4m7eLBCp5S6kq93T9JoFknXqWf79oU</v>
      </c>
    </row>
    <row r="333" spans="1:25" ht="39.950000000000003" customHeight="1">
      <c r="A333">
        <v>329</v>
      </c>
      <c r="B333" t="s">
        <v>3342</v>
      </c>
      <c r="D333" t="s">
        <v>3343</v>
      </c>
      <c r="E333" t="s">
        <v>3344</v>
      </c>
      <c r="F333" t="s">
        <v>29</v>
      </c>
      <c r="G333" t="s">
        <v>29</v>
      </c>
      <c r="H333" t="s">
        <v>31</v>
      </c>
      <c r="I333" t="s">
        <v>3345</v>
      </c>
      <c r="J333" t="s">
        <v>871</v>
      </c>
      <c r="K333" t="s">
        <v>3346</v>
      </c>
      <c r="L333" t="s">
        <v>266</v>
      </c>
      <c r="M333" t="s">
        <v>105</v>
      </c>
      <c r="N333" t="s">
        <v>3347</v>
      </c>
      <c r="O333" t="s">
        <v>572</v>
      </c>
      <c r="P333" t="s">
        <v>57</v>
      </c>
      <c r="Q333" t="s">
        <v>158</v>
      </c>
      <c r="R333" t="s">
        <v>559</v>
      </c>
      <c r="S333" t="s">
        <v>3348</v>
      </c>
      <c r="T333" t="s">
        <v>1137</v>
      </c>
      <c r="U333" t="s">
        <v>43</v>
      </c>
      <c r="V333" t="s">
        <v>3349</v>
      </c>
      <c r="W333" t="s">
        <v>3350</v>
      </c>
      <c r="Y333" t="str">
        <f>HYPERLINK("https://recruiter.shine.com/resume/download/?resumeid=gAAAAABbk2UMSF3VX_VrLXs-jBLCtrTjPP5mlx9Rm8W0O0H1DMbYj6ARdmVAxNUhQxxmVxw9H47cOl5cl_6ur8VjrEmVuIzfMtbIyvNdxCXI8PqdKZ-kiViDy39IgS6QPvlac6M2ufSDF-SPhMnbU7pIssGdo0GK6PjnBGlL2cwP4g-tx6h5z2w=")</f>
        <v>https://recruiter.shine.com/resume/download/?resumeid=gAAAAABbk2UMSF3VX_VrLXs-jBLCtrTjPP5mlx9Rm8W0O0H1DMbYj6ARdmVAxNUhQxxmVxw9H47cOl5cl_6ur8VjrEmVuIzfMtbIyvNdxCXI8PqdKZ-kiViDy39IgS6QPvlac6M2ufSDF-SPhMnbU7pIssGdo0GK6PjnBGlL2cwP4g-tx6h5z2w=</v>
      </c>
    </row>
    <row r="334" spans="1:25" ht="39.950000000000003" customHeight="1">
      <c r="A334">
        <v>330</v>
      </c>
      <c r="B334" t="s">
        <v>3351</v>
      </c>
      <c r="D334" t="s">
        <v>3352</v>
      </c>
      <c r="E334" t="s">
        <v>3353</v>
      </c>
      <c r="F334" t="s">
        <v>29</v>
      </c>
      <c r="G334" t="s">
        <v>29</v>
      </c>
      <c r="H334" t="s">
        <v>234</v>
      </c>
      <c r="I334" t="s">
        <v>1265</v>
      </c>
      <c r="J334" t="s">
        <v>801</v>
      </c>
      <c r="K334" t="s">
        <v>3354</v>
      </c>
      <c r="L334" t="s">
        <v>486</v>
      </c>
      <c r="M334" t="s">
        <v>3355</v>
      </c>
      <c r="N334" t="s">
        <v>3356</v>
      </c>
      <c r="O334" t="s">
        <v>1245</v>
      </c>
      <c r="Q334" t="s">
        <v>412</v>
      </c>
      <c r="R334" t="s">
        <v>413</v>
      </c>
      <c r="S334" t="s">
        <v>3357</v>
      </c>
      <c r="T334" t="s">
        <v>561</v>
      </c>
      <c r="U334" t="s">
        <v>43</v>
      </c>
      <c r="V334" t="s">
        <v>3358</v>
      </c>
      <c r="W334" t="s">
        <v>3359</v>
      </c>
      <c r="Y334" t="str">
        <f>HYPERLINK("https://recruiter.shine.com/resume/download/?resumeid=gAAAAABbk2UObT3oLnDLrgU4CwbyNUHpBKQOHdHKLdH_kaNawxeNGilqWE-RgqypZp2gL4eG1TOO3fOv34BB9sR9f27VQG7CcYZM6D3W225gG1IYXqoZBE5JV1c9E91-D96z53yvCY2xjzQQyViFEIFz-ClaBp34GERL1wUxzhZNs0MTQUQ12Aw=")</f>
        <v>https://recruiter.shine.com/resume/download/?resumeid=gAAAAABbk2UObT3oLnDLrgU4CwbyNUHpBKQOHdHKLdH_kaNawxeNGilqWE-RgqypZp2gL4eG1TOO3fOv34BB9sR9f27VQG7CcYZM6D3W225gG1IYXqoZBE5JV1c9E91-D96z53yvCY2xjzQQyViFEIFz-ClaBp34GERL1wUxzhZNs0MTQUQ12Aw=</v>
      </c>
    </row>
    <row r="335" spans="1:25" ht="39.950000000000003" customHeight="1">
      <c r="A335">
        <v>331</v>
      </c>
      <c r="B335" t="s">
        <v>3360</v>
      </c>
      <c r="C335" t="s">
        <v>3361</v>
      </c>
      <c r="D335" t="s">
        <v>3362</v>
      </c>
      <c r="E335" t="s">
        <v>3363</v>
      </c>
      <c r="F335" t="s">
        <v>29</v>
      </c>
      <c r="G335" t="s">
        <v>3364</v>
      </c>
      <c r="H335" t="s">
        <v>31</v>
      </c>
      <c r="I335" t="s">
        <v>3365</v>
      </c>
      <c r="J335" t="s">
        <v>1133</v>
      </c>
      <c r="K335" t="s">
        <v>3366</v>
      </c>
      <c r="L335" t="s">
        <v>1674</v>
      </c>
      <c r="M335" t="s">
        <v>684</v>
      </c>
      <c r="N335" t="s">
        <v>3367</v>
      </c>
      <c r="O335" t="s">
        <v>38</v>
      </c>
      <c r="P335" t="s">
        <v>73</v>
      </c>
      <c r="Q335" t="s">
        <v>158</v>
      </c>
      <c r="R335" t="s">
        <v>490</v>
      </c>
      <c r="S335" t="s">
        <v>3368</v>
      </c>
      <c r="T335" t="s">
        <v>227</v>
      </c>
      <c r="U335" t="s">
        <v>127</v>
      </c>
      <c r="V335" t="s">
        <v>3369</v>
      </c>
      <c r="W335" t="s">
        <v>3370</v>
      </c>
      <c r="Y335" t="str">
        <f>HYPERLINK("https://recruiter.shine.com/resume/download/?resumeid=gAAAAABbk2UKVABU7tca55iWCkDrIuiaJz8pH_ixDOyW2rJKKm5M-sEqHYFOW2eX4x31wurq4lwcRbG5EPc1JwBqe-lwg191K0HTjowP2AlXvuwQXk_vtVHdOVwN4dYePaZiB2NJ9ZZ2")</f>
        <v>https://recruiter.shine.com/resume/download/?resumeid=gAAAAABbk2UKVABU7tca55iWCkDrIuiaJz8pH_ixDOyW2rJKKm5M-sEqHYFOW2eX4x31wurq4lwcRbG5EPc1JwBqe-lwg191K0HTjowP2AlXvuwQXk_vtVHdOVwN4dYePaZiB2NJ9ZZ2</v>
      </c>
    </row>
    <row r="336" spans="1:25" ht="39.950000000000003" customHeight="1">
      <c r="A336">
        <v>332</v>
      </c>
      <c r="B336" t="s">
        <v>3371</v>
      </c>
      <c r="C336" t="s">
        <v>3372</v>
      </c>
      <c r="D336" t="s">
        <v>3373</v>
      </c>
      <c r="E336" t="s">
        <v>3374</v>
      </c>
      <c r="F336" t="s">
        <v>29</v>
      </c>
      <c r="G336" t="s">
        <v>2854</v>
      </c>
      <c r="H336" t="s">
        <v>31</v>
      </c>
      <c r="I336" t="s">
        <v>362</v>
      </c>
      <c r="J336" t="s">
        <v>135</v>
      </c>
      <c r="L336" t="s">
        <v>363</v>
      </c>
      <c r="M336" t="s">
        <v>364</v>
      </c>
      <c r="Q336" t="s">
        <v>107</v>
      </c>
      <c r="R336" t="s">
        <v>864</v>
      </c>
      <c r="S336" t="s">
        <v>3375</v>
      </c>
      <c r="T336" t="s">
        <v>441</v>
      </c>
      <c r="U336" t="s">
        <v>43</v>
      </c>
      <c r="V336" t="s">
        <v>3376</v>
      </c>
      <c r="W336" t="s">
        <v>3377</v>
      </c>
      <c r="Y336" t="str">
        <f>HYPERLINK("https://recruiter.shine.com/resume/download/?resumeid=gAAAAABbk2UM85hEI4OnTmmery0AovVtWzKrxHc2jH6cfEfvYybTA-p_ENFVmyHQw1UvdbTAa_cuJVrVpZD5K40jsFH4bWNhWFi0WPmkDUceZGpICawVRU8kg5Cxn-e7Hg86376S3X5VyYD7Oxf6GyjkRZ6cUuEkUg==")</f>
        <v>https://recruiter.shine.com/resume/download/?resumeid=gAAAAABbk2UM85hEI4OnTmmery0AovVtWzKrxHc2jH6cfEfvYybTA-p_ENFVmyHQw1UvdbTAa_cuJVrVpZD5K40jsFH4bWNhWFi0WPmkDUceZGpICawVRU8kg5Cxn-e7Hg86376S3X5VyYD7Oxf6GyjkRZ6cUuEkUg==</v>
      </c>
    </row>
    <row r="337" spans="1:25" ht="39.950000000000003" customHeight="1">
      <c r="A337">
        <v>333</v>
      </c>
      <c r="B337" t="s">
        <v>3378</v>
      </c>
      <c r="C337" t="s">
        <v>3379</v>
      </c>
      <c r="D337" t="s">
        <v>3380</v>
      </c>
      <c r="E337" t="s">
        <v>3381</v>
      </c>
      <c r="F337" t="s">
        <v>29</v>
      </c>
      <c r="G337" t="s">
        <v>67</v>
      </c>
      <c r="H337" t="s">
        <v>31</v>
      </c>
      <c r="I337" t="s">
        <v>32</v>
      </c>
      <c r="J337" t="s">
        <v>569</v>
      </c>
      <c r="K337" t="s">
        <v>3382</v>
      </c>
      <c r="L337" t="s">
        <v>338</v>
      </c>
      <c r="M337" t="s">
        <v>684</v>
      </c>
      <c r="N337" t="s">
        <v>3382</v>
      </c>
      <c r="O337" t="s">
        <v>56</v>
      </c>
      <c r="P337" t="s">
        <v>201</v>
      </c>
      <c r="Q337" t="s">
        <v>365</v>
      </c>
      <c r="R337" t="s">
        <v>2230</v>
      </c>
      <c r="S337" t="s">
        <v>3383</v>
      </c>
      <c r="T337" t="s">
        <v>817</v>
      </c>
      <c r="U337" t="s">
        <v>43</v>
      </c>
      <c r="V337" t="s">
        <v>3384</v>
      </c>
      <c r="W337" t="s">
        <v>3385</v>
      </c>
      <c r="Y337" t="str">
        <f>HYPERLINK("https://recruiter.shine.com/resume/download/?resumeid=gAAAAABbk2UO4VdCFtdAo_i012Q_HKH5WQe_Iy6tojAX9E4dGsmIdly3GJOjZhLjv1mgtcTG5hu5igO1X4SmN_OdHbs6cuA7tLqpJuBwCCNZ-CZfouI6V3LElMK-TBoEautY75-73jD2")</f>
        <v>https://recruiter.shine.com/resume/download/?resumeid=gAAAAABbk2UO4VdCFtdAo_i012Q_HKH5WQe_Iy6tojAX9E4dGsmIdly3GJOjZhLjv1mgtcTG5hu5igO1X4SmN_OdHbs6cuA7tLqpJuBwCCNZ-CZfouI6V3LElMK-TBoEautY75-73jD2</v>
      </c>
    </row>
    <row r="338" spans="1:25" ht="39.950000000000003" customHeight="1">
      <c r="A338">
        <v>334</v>
      </c>
      <c r="B338" t="s">
        <v>3386</v>
      </c>
      <c r="C338" t="s">
        <v>3387</v>
      </c>
      <c r="D338" t="s">
        <v>3388</v>
      </c>
      <c r="E338" t="s">
        <v>3389</v>
      </c>
      <c r="F338" t="s">
        <v>29</v>
      </c>
      <c r="G338" t="s">
        <v>29</v>
      </c>
      <c r="H338" t="s">
        <v>31</v>
      </c>
      <c r="I338" t="s">
        <v>32</v>
      </c>
      <c r="J338" t="s">
        <v>882</v>
      </c>
      <c r="K338" t="s">
        <v>3390</v>
      </c>
      <c r="L338" t="s">
        <v>3391</v>
      </c>
      <c r="M338" t="s">
        <v>1755</v>
      </c>
      <c r="N338" t="s">
        <v>3392</v>
      </c>
      <c r="O338" t="s">
        <v>186</v>
      </c>
      <c r="P338" t="s">
        <v>140</v>
      </c>
      <c r="Q338" t="s">
        <v>107</v>
      </c>
      <c r="R338" t="s">
        <v>3391</v>
      </c>
      <c r="S338" t="s">
        <v>3393</v>
      </c>
      <c r="T338" t="s">
        <v>2453</v>
      </c>
      <c r="U338" t="s">
        <v>43</v>
      </c>
      <c r="V338" t="s">
        <v>3394</v>
      </c>
      <c r="W338" t="s">
        <v>3395</v>
      </c>
      <c r="Y338" t="str">
        <f>HYPERLINK("https://recruiter.shine.com/resume/download/?resumeid=gAAAAABbk2UKnXdHXJCJGbysCZejZrcgIGv9SMIMKcmqlQerG47Sq3H2pOIbjffKcNHwl8YVKR1yeZ_5lrKrnU4fvcLenwW8QeAZ13Y8D2LKe1MV6_Axg337oAZXIB-7DhXjJuaWfYgI")</f>
        <v>https://recruiter.shine.com/resume/download/?resumeid=gAAAAABbk2UKnXdHXJCJGbysCZejZrcgIGv9SMIMKcmqlQerG47Sq3H2pOIbjffKcNHwl8YVKR1yeZ_5lrKrnU4fvcLenwW8QeAZ13Y8D2LKe1MV6_Axg337oAZXIB-7DhXjJuaWfYgI</v>
      </c>
    </row>
    <row r="339" spans="1:25" ht="39.950000000000003" customHeight="1">
      <c r="A339">
        <v>335</v>
      </c>
      <c r="B339" t="s">
        <v>3396</v>
      </c>
      <c r="C339" t="s">
        <v>3397</v>
      </c>
      <c r="D339" t="s">
        <v>3398</v>
      </c>
      <c r="E339" t="s">
        <v>3399</v>
      </c>
      <c r="F339" t="s">
        <v>29</v>
      </c>
      <c r="G339" t="s">
        <v>67</v>
      </c>
      <c r="H339" t="s">
        <v>31</v>
      </c>
      <c r="I339" t="s">
        <v>3400</v>
      </c>
      <c r="J339" t="s">
        <v>135</v>
      </c>
      <c r="K339" t="s">
        <v>3401</v>
      </c>
      <c r="L339" t="s">
        <v>184</v>
      </c>
      <c r="M339" t="s">
        <v>54</v>
      </c>
      <c r="N339" t="s">
        <v>3402</v>
      </c>
      <c r="O339" t="s">
        <v>38</v>
      </c>
      <c r="P339" t="s">
        <v>57</v>
      </c>
      <c r="Q339" t="s">
        <v>90</v>
      </c>
      <c r="R339" t="s">
        <v>1676</v>
      </c>
      <c r="S339" t="s">
        <v>2609</v>
      </c>
      <c r="T339" t="s">
        <v>227</v>
      </c>
      <c r="U339" t="s">
        <v>127</v>
      </c>
      <c r="V339" t="s">
        <v>3403</v>
      </c>
      <c r="W339" t="s">
        <v>3403</v>
      </c>
      <c r="Y339" t="str">
        <f>HYPERLINK("https://recruiter.shine.com/resume/download/?resumeid=gAAAAABbk2UMZWOU51zqhULHaSC3OdSXUY0Opx-pO9dblPv-j7elUG3YMlYlr9V5fElGFOFDLJghY-M5guowCT0HrPCSdqtW4M_zmqBxq0mj8Qz4yzwykTBIQUta9pO6C0dwQono16d0")</f>
        <v>https://recruiter.shine.com/resume/download/?resumeid=gAAAAABbk2UMZWOU51zqhULHaSC3OdSXUY0Opx-pO9dblPv-j7elUG3YMlYlr9V5fElGFOFDLJghY-M5guowCT0HrPCSdqtW4M_zmqBxq0mj8Qz4yzwykTBIQUta9pO6C0dwQono16d0</v>
      </c>
    </row>
    <row r="340" spans="1:25" ht="39.950000000000003" customHeight="1">
      <c r="A340">
        <v>336</v>
      </c>
      <c r="B340" t="s">
        <v>3404</v>
      </c>
      <c r="C340" t="s">
        <v>3405</v>
      </c>
      <c r="D340" t="s">
        <v>3406</v>
      </c>
      <c r="E340" t="s">
        <v>3407</v>
      </c>
      <c r="F340" t="s">
        <v>858</v>
      </c>
      <c r="G340" t="s">
        <v>3408</v>
      </c>
      <c r="H340" t="s">
        <v>31</v>
      </c>
      <c r="I340" t="s">
        <v>362</v>
      </c>
      <c r="J340" t="s">
        <v>135</v>
      </c>
      <c r="L340" t="s">
        <v>363</v>
      </c>
      <c r="M340" t="s">
        <v>364</v>
      </c>
      <c r="Q340" t="s">
        <v>107</v>
      </c>
      <c r="R340" t="s">
        <v>341</v>
      </c>
      <c r="S340" t="s">
        <v>3409</v>
      </c>
      <c r="T340" t="s">
        <v>257</v>
      </c>
      <c r="U340" t="s">
        <v>43</v>
      </c>
      <c r="V340" t="s">
        <v>3410</v>
      </c>
      <c r="W340" t="s">
        <v>3411</v>
      </c>
      <c r="Y340" t="str">
        <f>HYPERLINK("https://recruiter.shine.com/resume/download/?resumeid=gAAAAABbk2UOk3K5-5j-vXFPdnuyMsBNzXiY5oWx4RRqxrAjnf9HlZQnSk2dhEFpmxpf1tSETHrJt7O912gP5uHHXvktTTJw2JTXhnluKZjBQyTu1aa8Ab3pcEpSFjXM4RAdnQeTNjnC0ivQ-pkADV97aH8ofqyP-SU87VLHVZq8t9PNnOZDmw4=")</f>
        <v>https://recruiter.shine.com/resume/download/?resumeid=gAAAAABbk2UOk3K5-5j-vXFPdnuyMsBNzXiY5oWx4RRqxrAjnf9HlZQnSk2dhEFpmxpf1tSETHrJt7O912gP5uHHXvktTTJw2JTXhnluKZjBQyTu1aa8Ab3pcEpSFjXM4RAdnQeTNjnC0ivQ-pkADV97aH8ofqyP-SU87VLHVZq8t9PNnOZDmw4=</v>
      </c>
    </row>
    <row r="341" spans="1:25" ht="39.950000000000003" customHeight="1">
      <c r="A341">
        <v>337</v>
      </c>
      <c r="B341" t="s">
        <v>3412</v>
      </c>
      <c r="C341" t="s">
        <v>3413</v>
      </c>
      <c r="D341" t="s">
        <v>3414</v>
      </c>
      <c r="E341" t="s">
        <v>3415</v>
      </c>
      <c r="F341" t="s">
        <v>29</v>
      </c>
      <c r="G341" t="s">
        <v>780</v>
      </c>
      <c r="H341" t="s">
        <v>234</v>
      </c>
      <c r="I341" t="s">
        <v>134</v>
      </c>
      <c r="J341" t="s">
        <v>3416</v>
      </c>
      <c r="K341" t="s">
        <v>3417</v>
      </c>
      <c r="L341" t="s">
        <v>582</v>
      </c>
      <c r="M341" t="s">
        <v>238</v>
      </c>
      <c r="N341" t="s">
        <v>426</v>
      </c>
      <c r="O341" t="s">
        <v>56</v>
      </c>
      <c r="P341" t="s">
        <v>39</v>
      </c>
      <c r="Q341" t="s">
        <v>90</v>
      </c>
      <c r="R341" t="s">
        <v>292</v>
      </c>
      <c r="S341" t="s">
        <v>3418</v>
      </c>
      <c r="U341" t="s">
        <v>43</v>
      </c>
      <c r="V341" t="s">
        <v>3419</v>
      </c>
      <c r="W341" t="s">
        <v>3420</v>
      </c>
      <c r="Y341" t="str">
        <f>HYPERLINK("https://recruiter.shine.com/resume/download/?resumeid=gAAAAABbk2ULJViXpfhDRvmij9TdzQRd5lk_R7u0nw-Maw8dMPy7GWKbCCpVajogru_2NdjT59U8jenD7kYgyBMMlS_XASnh4SxkgxgbVFQ1EcZfhzUBVE3MBTXRh2u2nfTT2-8b2QD_")</f>
        <v>https://recruiter.shine.com/resume/download/?resumeid=gAAAAABbk2ULJViXpfhDRvmij9TdzQRd5lk_R7u0nw-Maw8dMPy7GWKbCCpVajogru_2NdjT59U8jenD7kYgyBMMlS_XASnh4SxkgxgbVFQ1EcZfhzUBVE3MBTXRh2u2nfTT2-8b2QD_</v>
      </c>
    </row>
    <row r="342" spans="1:25" ht="39.950000000000003" customHeight="1">
      <c r="A342">
        <v>338</v>
      </c>
      <c r="B342" t="s">
        <v>3421</v>
      </c>
      <c r="C342" t="s">
        <v>3422</v>
      </c>
      <c r="D342" t="s">
        <v>3423</v>
      </c>
      <c r="E342" t="s">
        <v>3424</v>
      </c>
      <c r="F342" t="s">
        <v>858</v>
      </c>
      <c r="G342" t="s">
        <v>3425</v>
      </c>
      <c r="H342" t="s">
        <v>234</v>
      </c>
      <c r="I342" t="s">
        <v>825</v>
      </c>
      <c r="J342" t="s">
        <v>135</v>
      </c>
      <c r="K342" t="s">
        <v>3426</v>
      </c>
      <c r="L342" t="s">
        <v>970</v>
      </c>
      <c r="M342" t="s">
        <v>121</v>
      </c>
      <c r="N342" t="s">
        <v>3427</v>
      </c>
      <c r="O342" t="s">
        <v>56</v>
      </c>
      <c r="P342" t="s">
        <v>140</v>
      </c>
      <c r="Q342" t="s">
        <v>489</v>
      </c>
      <c r="R342" t="s">
        <v>490</v>
      </c>
      <c r="S342" t="s">
        <v>3428</v>
      </c>
      <c r="T342" t="s">
        <v>415</v>
      </c>
      <c r="U342" t="s">
        <v>43</v>
      </c>
      <c r="V342" t="s">
        <v>3429</v>
      </c>
      <c r="W342" t="s">
        <v>3429</v>
      </c>
      <c r="Y342" t="str">
        <f>HYPERLINK("https://recruiter.shine.com/resume/download/?resumeid=gAAAAABbk2UN08EFVPHS7s8wundAUXSu685EG0KyXNwJs2SofkqqL_j15ja7alV1bafMwliPyQRxCqGOq1iU6JXx70Zv3AoLODDjiCLcz4nXGwl9a4vKnNXA0njG2kyO6getdM8ywVjk7ISF242mU5r0TeIrXBioil8PPdRkw7_r71rur-pToTQ=")</f>
        <v>https://recruiter.shine.com/resume/download/?resumeid=gAAAAABbk2UN08EFVPHS7s8wundAUXSu685EG0KyXNwJs2SofkqqL_j15ja7alV1bafMwliPyQRxCqGOq1iU6JXx70Zv3AoLODDjiCLcz4nXGwl9a4vKnNXA0njG2kyO6getdM8ywVjk7ISF242mU5r0TeIrXBioil8PPdRkw7_r71rur-pToTQ=</v>
      </c>
    </row>
    <row r="343" spans="1:25" ht="39.950000000000003" customHeight="1">
      <c r="A343">
        <v>339</v>
      </c>
      <c r="B343" t="s">
        <v>3430</v>
      </c>
      <c r="C343" t="s">
        <v>3431</v>
      </c>
      <c r="D343" t="s">
        <v>3432</v>
      </c>
      <c r="E343" t="s">
        <v>3433</v>
      </c>
      <c r="F343" t="s">
        <v>29</v>
      </c>
      <c r="G343" t="s">
        <v>3434</v>
      </c>
      <c r="H343" t="s">
        <v>31</v>
      </c>
      <c r="I343" t="s">
        <v>362</v>
      </c>
      <c r="J343" t="s">
        <v>135</v>
      </c>
      <c r="L343" t="s">
        <v>363</v>
      </c>
      <c r="M343" t="s">
        <v>364</v>
      </c>
      <c r="Q343" t="s">
        <v>107</v>
      </c>
      <c r="R343" t="s">
        <v>341</v>
      </c>
      <c r="S343" t="s">
        <v>3435</v>
      </c>
      <c r="T343" t="s">
        <v>625</v>
      </c>
      <c r="U343" t="s">
        <v>43</v>
      </c>
      <c r="V343" t="s">
        <v>3436</v>
      </c>
      <c r="W343" t="s">
        <v>3437</v>
      </c>
      <c r="Y343" t="str">
        <f>HYPERLINK("https://recruiter.shine.com/resume/download/?resumeid=gAAAAABbk2UObImhEUS6k8UCtBriK6BjNRT_MeZFncQH1g9kHDe1FjE2Ckry1z4V9SIFxPVkGEkpv6ICi5psVbulUHAyRyB_Iq2GHXLIrBAsT7RYLIF5bsfzHmgsjgjtJyEWD1zZi6HLbX1NruETb8kA7ukf1yHbvw==")</f>
        <v>https://recruiter.shine.com/resume/download/?resumeid=gAAAAABbk2UObImhEUS6k8UCtBriK6BjNRT_MeZFncQH1g9kHDe1FjE2Ckry1z4V9SIFxPVkGEkpv6ICi5psVbulUHAyRyB_Iq2GHXLIrBAsT7RYLIF5bsfzHmgsjgjtJyEWD1zZi6HLbX1NruETb8kA7ukf1yHbvw==</v>
      </c>
    </row>
    <row r="344" spans="1:25" ht="39.950000000000003" customHeight="1">
      <c r="A344">
        <v>340</v>
      </c>
      <c r="B344" t="s">
        <v>3438</v>
      </c>
      <c r="C344" t="s">
        <v>3439</v>
      </c>
      <c r="D344" t="s">
        <v>3440</v>
      </c>
      <c r="E344" t="s">
        <v>3441</v>
      </c>
      <c r="F344" t="s">
        <v>29</v>
      </c>
      <c r="G344" t="s">
        <v>29</v>
      </c>
      <c r="H344" t="s">
        <v>31</v>
      </c>
      <c r="I344" t="s">
        <v>2263</v>
      </c>
      <c r="J344" t="s">
        <v>935</v>
      </c>
      <c r="K344" t="s">
        <v>1465</v>
      </c>
      <c r="L344" t="s">
        <v>88</v>
      </c>
      <c r="M344" t="s">
        <v>238</v>
      </c>
      <c r="N344" t="s">
        <v>3442</v>
      </c>
      <c r="O344" t="s">
        <v>224</v>
      </c>
      <c r="P344" t="s">
        <v>57</v>
      </c>
      <c r="Q344" t="s">
        <v>90</v>
      </c>
      <c r="R344" t="s">
        <v>91</v>
      </c>
      <c r="S344" t="s">
        <v>3443</v>
      </c>
      <c r="T344" t="s">
        <v>687</v>
      </c>
      <c r="U344" t="s">
        <v>43</v>
      </c>
      <c r="V344" t="s">
        <v>3444</v>
      </c>
      <c r="W344" t="s">
        <v>3445</v>
      </c>
      <c r="Y344" t="str">
        <f>HYPERLINK("https://recruiter.shine.com/resume/download/?resumeid=gAAAAABbk2ULDI4ukl9jlZ22Q_JEbsdfrbS338mNgSztTS1_z6cYQy03YV1fi8NcPWINBnbOQLzizkwCleLxWVROQWBAW2AfPVrRpe8nhxqGxi7obqrgtXs4FyJ6q2-7YWOahtfKQ3zc")</f>
        <v>https://recruiter.shine.com/resume/download/?resumeid=gAAAAABbk2ULDI4ukl9jlZ22Q_JEbsdfrbS338mNgSztTS1_z6cYQy03YV1fi8NcPWINBnbOQLzizkwCleLxWVROQWBAW2AfPVrRpe8nhxqGxi7obqrgtXs4FyJ6q2-7YWOahtfKQ3zc</v>
      </c>
    </row>
    <row r="345" spans="1:25" ht="39.950000000000003" customHeight="1">
      <c r="A345">
        <v>341</v>
      </c>
      <c r="B345" t="s">
        <v>3446</v>
      </c>
      <c r="C345" t="s">
        <v>3447</v>
      </c>
      <c r="D345" t="s">
        <v>3448</v>
      </c>
      <c r="E345" t="s">
        <v>3449</v>
      </c>
      <c r="F345" t="s">
        <v>29</v>
      </c>
      <c r="G345" t="s">
        <v>3450</v>
      </c>
      <c r="H345" t="s">
        <v>31</v>
      </c>
      <c r="I345" t="s">
        <v>32</v>
      </c>
      <c r="J345" t="s">
        <v>3451</v>
      </c>
      <c r="K345" t="s">
        <v>3452</v>
      </c>
      <c r="L345" t="s">
        <v>314</v>
      </c>
      <c r="M345" t="s">
        <v>473</v>
      </c>
      <c r="N345" t="s">
        <v>3453</v>
      </c>
      <c r="O345" t="s">
        <v>1041</v>
      </c>
      <c r="P345" t="s">
        <v>140</v>
      </c>
      <c r="Q345" t="s">
        <v>58</v>
      </c>
      <c r="R345" t="s">
        <v>41</v>
      </c>
      <c r="S345" t="s">
        <v>3454</v>
      </c>
      <c r="T345" t="s">
        <v>687</v>
      </c>
      <c r="U345" t="s">
        <v>43</v>
      </c>
      <c r="V345" t="s">
        <v>3455</v>
      </c>
      <c r="W345" t="s">
        <v>3456</v>
      </c>
      <c r="Y345" t="str">
        <f>HYPERLINK("https://recruiter.shine.com/resume/download/?resumeid=gAAAAABbk2UNph9l-tI5SO58Zck3urxcaqRftkTzmzZM-IrFhDKC3QGwgaegWISeWyEjHvPT7l7hQA2RurEbZQ3J_kW9B5bdTKfUY2kI303GCPX_C6RF9Ajlu9yP6gihYsDfCqrb9NCx5QvDq4Uuxyimqgq3BThUeA==")</f>
        <v>https://recruiter.shine.com/resume/download/?resumeid=gAAAAABbk2UNph9l-tI5SO58Zck3urxcaqRftkTzmzZM-IrFhDKC3QGwgaegWISeWyEjHvPT7l7hQA2RurEbZQ3J_kW9B5bdTKfUY2kI303GCPX_C6RF9Ajlu9yP6gihYsDfCqrb9NCx5QvDq4Uuxyimqgq3BThUeA==</v>
      </c>
    </row>
    <row r="346" spans="1:25" ht="39.950000000000003" customHeight="1">
      <c r="A346">
        <v>342</v>
      </c>
      <c r="B346" t="s">
        <v>3457</v>
      </c>
      <c r="C346" t="s">
        <v>3458</v>
      </c>
      <c r="D346" t="s">
        <v>3459</v>
      </c>
      <c r="E346" t="s">
        <v>3460</v>
      </c>
      <c r="F346" t="s">
        <v>29</v>
      </c>
      <c r="G346" t="s">
        <v>29</v>
      </c>
      <c r="H346" t="s">
        <v>31</v>
      </c>
      <c r="I346" t="s">
        <v>134</v>
      </c>
      <c r="J346" t="s">
        <v>102</v>
      </c>
      <c r="K346" t="s">
        <v>3461</v>
      </c>
      <c r="L346" t="s">
        <v>88</v>
      </c>
      <c r="M346" t="s">
        <v>473</v>
      </c>
      <c r="N346" t="s">
        <v>3462</v>
      </c>
      <c r="O346" t="s">
        <v>186</v>
      </c>
      <c r="P346" t="s">
        <v>57</v>
      </c>
      <c r="Q346" t="s">
        <v>365</v>
      </c>
      <c r="R346" t="s">
        <v>41</v>
      </c>
      <c r="S346" t="s">
        <v>3463</v>
      </c>
      <c r="T346" t="s">
        <v>93</v>
      </c>
      <c r="U346" t="s">
        <v>43</v>
      </c>
      <c r="V346" t="s">
        <v>3464</v>
      </c>
      <c r="W346" t="s">
        <v>3465</v>
      </c>
      <c r="Y346" t="str">
        <f>HYPERLINK("https://recruiter.shine.com/resume/download/?resumeid=gAAAAABbk2UORz2edmAJXNiFyL-g628cRLeh9WXd3NpZY1UFSwedLNttr_1HnZDB-iItFbHHh9P2kqehyZbatsj-pfq8AOajqJpRPVc_WufONw2_3aaaEB6cI7wzSWNJKIDLwpFnv9P6gxXjANP9qkEEBDHNpT43IQ==")</f>
        <v>https://recruiter.shine.com/resume/download/?resumeid=gAAAAABbk2UORz2edmAJXNiFyL-g628cRLeh9WXd3NpZY1UFSwedLNttr_1HnZDB-iItFbHHh9P2kqehyZbatsj-pfq8AOajqJpRPVc_WufONw2_3aaaEB6cI7wzSWNJKIDLwpFnv9P6gxXjANP9qkEEBDHNpT43IQ==</v>
      </c>
    </row>
    <row r="347" spans="1:25" ht="39.950000000000003" customHeight="1">
      <c r="A347">
        <v>343</v>
      </c>
      <c r="B347" t="s">
        <v>3466</v>
      </c>
      <c r="C347" t="s">
        <v>3467</v>
      </c>
      <c r="D347" t="s">
        <v>3468</v>
      </c>
      <c r="E347" t="s">
        <v>3469</v>
      </c>
      <c r="F347" t="s">
        <v>29</v>
      </c>
      <c r="G347" t="s">
        <v>67</v>
      </c>
      <c r="H347" t="s">
        <v>31</v>
      </c>
      <c r="I347" t="s">
        <v>3470</v>
      </c>
      <c r="J347" t="s">
        <v>2984</v>
      </c>
      <c r="K347" t="s">
        <v>3471</v>
      </c>
      <c r="L347" t="s">
        <v>338</v>
      </c>
      <c r="M347" t="s">
        <v>684</v>
      </c>
      <c r="N347" t="s">
        <v>3472</v>
      </c>
      <c r="O347" t="s">
        <v>224</v>
      </c>
      <c r="P347" t="s">
        <v>201</v>
      </c>
      <c r="Q347" t="s">
        <v>90</v>
      </c>
      <c r="R347" t="s">
        <v>427</v>
      </c>
      <c r="S347" t="s">
        <v>3473</v>
      </c>
      <c r="T347" t="s">
        <v>304</v>
      </c>
      <c r="U347" t="s">
        <v>94</v>
      </c>
      <c r="V347" t="s">
        <v>3474</v>
      </c>
      <c r="W347" t="s">
        <v>3475</v>
      </c>
      <c r="Y347" t="str">
        <f>HYPERLINK("https://recruiter.shine.com/resume/download/?resumeid=gAAAAABbk2UKaubNEPa2ftv3dHJKmJgDcLF71ConOrHi-sAWDkBNaAwPML10IHreBLLUtX_ydu1y5Lo8EPIv6GTdULKYfNf3n1M1scOfRjjHF-HetZj3yFg-gVMq1Jv3tpoWJNr7QnYa")</f>
        <v>https://recruiter.shine.com/resume/download/?resumeid=gAAAAABbk2UKaubNEPa2ftv3dHJKmJgDcLF71ConOrHi-sAWDkBNaAwPML10IHreBLLUtX_ydu1y5Lo8EPIv6GTdULKYfNf3n1M1scOfRjjHF-HetZj3yFg-gVMq1Jv3tpoWJNr7QnYa</v>
      </c>
    </row>
    <row r="348" spans="1:25" ht="39.950000000000003" customHeight="1">
      <c r="A348">
        <v>344</v>
      </c>
      <c r="B348" t="s">
        <v>3476</v>
      </c>
      <c r="C348" t="s">
        <v>3477</v>
      </c>
      <c r="D348" t="s">
        <v>3478</v>
      </c>
      <c r="E348" t="s">
        <v>3479</v>
      </c>
      <c r="F348" t="s">
        <v>29</v>
      </c>
      <c r="G348" t="s">
        <v>3480</v>
      </c>
      <c r="H348" t="s">
        <v>31</v>
      </c>
      <c r="I348" t="s">
        <v>3481</v>
      </c>
      <c r="J348" t="s">
        <v>871</v>
      </c>
      <c r="K348" t="s">
        <v>595</v>
      </c>
      <c r="L348" t="s">
        <v>290</v>
      </c>
      <c r="M348" t="s">
        <v>238</v>
      </c>
      <c r="N348" t="s">
        <v>1987</v>
      </c>
      <c r="O348" t="s">
        <v>224</v>
      </c>
      <c r="P348" t="s">
        <v>39</v>
      </c>
      <c r="Q348" t="s">
        <v>90</v>
      </c>
      <c r="R348" t="s">
        <v>292</v>
      </c>
      <c r="S348" t="s">
        <v>3482</v>
      </c>
      <c r="T348" t="s">
        <v>415</v>
      </c>
      <c r="U348" t="s">
        <v>43</v>
      </c>
      <c r="V348" t="s">
        <v>3483</v>
      </c>
      <c r="W348" t="s">
        <v>3484</v>
      </c>
      <c r="Y348" t="str">
        <f>HYPERLINK("https://recruiter.shine.com/resume/download/?resumeid=gAAAAABbk2UMvlSrG6Kw-9thFJxo9uX3HZ62dnINuVcyF0WDPbda8Hs4wtFhMsjT4LtiSoEvQzDPJbL41cT3UiEeScIYzRhpKN4WOtkTafSG4ofafJ-ciLhlHt9_np_2EijRWeWTxyAx")</f>
        <v>https://recruiter.shine.com/resume/download/?resumeid=gAAAAABbk2UMvlSrG6Kw-9thFJxo9uX3HZ62dnINuVcyF0WDPbda8Hs4wtFhMsjT4LtiSoEvQzDPJbL41cT3UiEeScIYzRhpKN4WOtkTafSG4ofafJ-ciLhlHt9_np_2EijRWeWTxyAx</v>
      </c>
    </row>
    <row r="349" spans="1:25" ht="39.950000000000003" customHeight="1">
      <c r="A349">
        <v>345</v>
      </c>
      <c r="B349" t="s">
        <v>3485</v>
      </c>
      <c r="D349" t="s">
        <v>3486</v>
      </c>
      <c r="E349" t="s">
        <v>3487</v>
      </c>
      <c r="F349" t="s">
        <v>249</v>
      </c>
      <c r="G349" t="s">
        <v>3488</v>
      </c>
      <c r="H349" t="s">
        <v>31</v>
      </c>
      <c r="I349" t="s">
        <v>1072</v>
      </c>
      <c r="J349" t="s">
        <v>118</v>
      </c>
      <c r="K349" t="s">
        <v>3489</v>
      </c>
      <c r="L349" t="s">
        <v>199</v>
      </c>
      <c r="M349" t="s">
        <v>54</v>
      </c>
      <c r="N349" t="s">
        <v>355</v>
      </c>
      <c r="O349" t="s">
        <v>157</v>
      </c>
      <c r="Q349" t="s">
        <v>699</v>
      </c>
      <c r="R349" t="s">
        <v>41</v>
      </c>
      <c r="S349" t="s">
        <v>3490</v>
      </c>
      <c r="T349" t="s">
        <v>441</v>
      </c>
      <c r="U349" t="s">
        <v>94</v>
      </c>
      <c r="V349" t="s">
        <v>3491</v>
      </c>
      <c r="W349" t="s">
        <v>3492</v>
      </c>
      <c r="Y349" t="str">
        <f>HYPERLINK("https://recruiter.shine.com/resume/download/?resumeid=gAAAAABbk2UOYZOFKQnjwkpyB7LXG3b4Ggrm5PXfDwa6rD9wx1b2CVRlYxm9T5YlQ84qEOmf6hCoF7XAT6fXeZfx0NNJ5eFOinOpaUErqzW2_OP1NRLSsv2l-eG-QrY0S36UBClWeO3TzhCQ0h2Y52xCMJd6l_KApA==")</f>
        <v>https://recruiter.shine.com/resume/download/?resumeid=gAAAAABbk2UOYZOFKQnjwkpyB7LXG3b4Ggrm5PXfDwa6rD9wx1b2CVRlYxm9T5YlQ84qEOmf6hCoF7XAT6fXeZfx0NNJ5eFOinOpaUErqzW2_OP1NRLSsv2l-eG-QrY0S36UBClWeO3TzhCQ0h2Y52xCMJd6l_KApA==</v>
      </c>
    </row>
    <row r="350" spans="1:25" ht="39.950000000000003" customHeight="1">
      <c r="A350">
        <v>346</v>
      </c>
      <c r="B350" t="s">
        <v>3493</v>
      </c>
      <c r="C350" t="s">
        <v>3494</v>
      </c>
      <c r="D350" t="s">
        <v>3495</v>
      </c>
      <c r="E350" t="s">
        <v>3496</v>
      </c>
      <c r="F350" t="s">
        <v>29</v>
      </c>
      <c r="G350" t="s">
        <v>67</v>
      </c>
      <c r="H350" t="s">
        <v>31</v>
      </c>
      <c r="I350" t="s">
        <v>1265</v>
      </c>
      <c r="J350" t="s">
        <v>871</v>
      </c>
      <c r="K350" t="s">
        <v>3497</v>
      </c>
      <c r="L350" t="s">
        <v>462</v>
      </c>
      <c r="M350" t="s">
        <v>583</v>
      </c>
      <c r="N350" t="s">
        <v>3498</v>
      </c>
      <c r="O350" t="s">
        <v>56</v>
      </c>
      <c r="P350" t="s">
        <v>73</v>
      </c>
      <c r="Q350" t="s">
        <v>90</v>
      </c>
      <c r="R350" t="s">
        <v>465</v>
      </c>
      <c r="S350" t="s">
        <v>1053</v>
      </c>
      <c r="T350" t="s">
        <v>415</v>
      </c>
      <c r="U350" t="s">
        <v>127</v>
      </c>
      <c r="V350" t="s">
        <v>3499</v>
      </c>
      <c r="W350" t="s">
        <v>3500</v>
      </c>
      <c r="Y350" t="str">
        <f>HYPERLINK("https://recruiter.shine.com/resume/download/?resumeid=gAAAAABbk2ULW1v78jAwHZ8pOrSt804SjDGp_XiJmMukjGcf5bh5xoIF-rrv2qj0X1vxQ3ZVtURxWftWkRWnQRA4WbczQp75i5Ef5HZXvVu-PmQispKi-4hlau7aOfYAvQ_GTUlnpbdh")</f>
        <v>https://recruiter.shine.com/resume/download/?resumeid=gAAAAABbk2ULW1v78jAwHZ8pOrSt804SjDGp_XiJmMukjGcf5bh5xoIF-rrv2qj0X1vxQ3ZVtURxWftWkRWnQRA4WbczQp75i5Ef5HZXvVu-PmQispKi-4hlau7aOfYAvQ_GTUlnpbdh</v>
      </c>
    </row>
    <row r="351" spans="1:25" ht="39.950000000000003" customHeight="1">
      <c r="A351">
        <v>347</v>
      </c>
      <c r="B351" t="s">
        <v>3501</v>
      </c>
      <c r="C351" t="s">
        <v>3502</v>
      </c>
      <c r="D351" t="s">
        <v>3503</v>
      </c>
      <c r="E351" t="s">
        <v>3504</v>
      </c>
      <c r="F351" t="s">
        <v>29</v>
      </c>
      <c r="G351" t="s">
        <v>29</v>
      </c>
      <c r="H351" t="s">
        <v>31</v>
      </c>
      <c r="I351" t="s">
        <v>998</v>
      </c>
      <c r="J351" t="s">
        <v>705</v>
      </c>
      <c r="K351" t="s">
        <v>3505</v>
      </c>
      <c r="L351" t="s">
        <v>266</v>
      </c>
      <c r="M351" t="s">
        <v>105</v>
      </c>
      <c r="N351" t="s">
        <v>3506</v>
      </c>
      <c r="O351" t="s">
        <v>186</v>
      </c>
      <c r="P351" t="s">
        <v>771</v>
      </c>
      <c r="Q351" t="s">
        <v>489</v>
      </c>
      <c r="R351" t="s">
        <v>490</v>
      </c>
      <c r="S351" t="s">
        <v>3507</v>
      </c>
      <c r="T351" t="s">
        <v>110</v>
      </c>
      <c r="U351" t="s">
        <v>43</v>
      </c>
      <c r="V351" t="s">
        <v>3508</v>
      </c>
      <c r="W351" t="s">
        <v>3509</v>
      </c>
      <c r="Y351" t="str">
        <f>HYPERLINK("https://recruiter.shine.com/resume/download/?resumeid=gAAAAABbk2UMLjuudxbgGQCwRVR76xq7JEbj3sdOlgC-9iLDSQlyfCS97QLtuBqYWVy_cCuWd0LlIIIWBuoNXultnuYzbiJc9yIHIaZJSpgfdQNaaD-gUPmNBbHE1b_iLzY6p0Z0Srj7CBKRYmlOSekj5ktDe_XA7GF8G6eEVBpFLYFkP6epn8c=")</f>
        <v>https://recruiter.shine.com/resume/download/?resumeid=gAAAAABbk2UMLjuudxbgGQCwRVR76xq7JEbj3sdOlgC-9iLDSQlyfCS97QLtuBqYWVy_cCuWd0LlIIIWBuoNXultnuYzbiJc9yIHIaZJSpgfdQNaaD-gUPmNBbHE1b_iLzY6p0Z0Srj7CBKRYmlOSekj5ktDe_XA7GF8G6eEVBpFLYFkP6epn8c=</v>
      </c>
    </row>
    <row r="352" spans="1:25" ht="39.950000000000003" customHeight="1">
      <c r="A352">
        <v>348</v>
      </c>
      <c r="B352" t="s">
        <v>3510</v>
      </c>
      <c r="C352" t="s">
        <v>3511</v>
      </c>
      <c r="D352" t="s">
        <v>3512</v>
      </c>
      <c r="E352" t="s">
        <v>3513</v>
      </c>
      <c r="F352" t="s">
        <v>29</v>
      </c>
      <c r="G352" t="s">
        <v>29</v>
      </c>
      <c r="H352" t="s">
        <v>31</v>
      </c>
      <c r="I352" t="s">
        <v>3514</v>
      </c>
      <c r="J352" t="s">
        <v>2189</v>
      </c>
      <c r="K352" t="s">
        <v>3515</v>
      </c>
      <c r="L352" t="s">
        <v>120</v>
      </c>
      <c r="M352" t="s">
        <v>138</v>
      </c>
      <c r="N352" t="s">
        <v>3516</v>
      </c>
      <c r="O352" t="s">
        <v>56</v>
      </c>
      <c r="P352" t="s">
        <v>140</v>
      </c>
      <c r="Q352" t="s">
        <v>187</v>
      </c>
      <c r="R352" t="s">
        <v>124</v>
      </c>
      <c r="S352" t="s">
        <v>188</v>
      </c>
      <c r="T352" t="s">
        <v>761</v>
      </c>
      <c r="U352" t="s">
        <v>43</v>
      </c>
      <c r="V352" t="s">
        <v>3517</v>
      </c>
      <c r="W352" t="s">
        <v>3518</v>
      </c>
      <c r="Y352" t="str">
        <f>HYPERLINK("https://recruiter.shine.com/resume/download/?resumeid=gAAAAABbk2UOW9SNrSIzFy2JsaQWdtRbpu7NLQ9Ao3O5GtBvs1CJmBdnqeYap0kUQkn4aaZ6eNQcYhcth44HojMnPi0jG9s-gjo2aSrVeCm7VdqsWI_O6vPJZOmEE1zlPXxup2CSqRnhcMFjeiwnyuVpsIDhvSPO0A==")</f>
        <v>https://recruiter.shine.com/resume/download/?resumeid=gAAAAABbk2UOW9SNrSIzFy2JsaQWdtRbpu7NLQ9Ao3O5GtBvs1CJmBdnqeYap0kUQkn4aaZ6eNQcYhcth44HojMnPi0jG9s-gjo2aSrVeCm7VdqsWI_O6vPJZOmEE1zlPXxup2CSqRnhcMFjeiwnyuVpsIDhvSPO0A==</v>
      </c>
    </row>
    <row r="353" spans="1:25" ht="39.950000000000003" customHeight="1">
      <c r="A353">
        <v>349</v>
      </c>
      <c r="B353" t="s">
        <v>3519</v>
      </c>
      <c r="C353" t="s">
        <v>3520</v>
      </c>
      <c r="D353" t="s">
        <v>3521</v>
      </c>
      <c r="E353" t="s">
        <v>3522</v>
      </c>
      <c r="F353" t="s">
        <v>29</v>
      </c>
      <c r="G353" t="s">
        <v>3523</v>
      </c>
      <c r="H353" t="s">
        <v>31</v>
      </c>
      <c r="I353" t="s">
        <v>85</v>
      </c>
      <c r="J353" t="s">
        <v>1028</v>
      </c>
      <c r="K353" t="s">
        <v>3524</v>
      </c>
      <c r="L353" t="s">
        <v>3525</v>
      </c>
      <c r="M353" t="s">
        <v>827</v>
      </c>
      <c r="N353" t="s">
        <v>718</v>
      </c>
      <c r="O353" t="s">
        <v>585</v>
      </c>
      <c r="P353" t="s">
        <v>268</v>
      </c>
      <c r="Q353" t="s">
        <v>141</v>
      </c>
      <c r="R353" t="s">
        <v>142</v>
      </c>
      <c r="S353" t="s">
        <v>3526</v>
      </c>
      <c r="T353" t="s">
        <v>399</v>
      </c>
      <c r="U353" t="s">
        <v>43</v>
      </c>
      <c r="V353" t="s">
        <v>3527</v>
      </c>
      <c r="W353" t="s">
        <v>3527</v>
      </c>
      <c r="Y353" t="str">
        <f>HYPERLINK("https://recruiter.shine.com/resume/download/?resumeid=gAAAAABbk2UKk_DeDLQqiH5bZbqPRYQ1forPPf_V0meUyg_Z5-K_dLgC6xwkfbwtwtwn03lk3AiRUUlo2yXqP8yK0TBbrCM3rNo2ZB4JnypBczDebt3joAhsVIpc1gFAvpAEk-2_BTnH")</f>
        <v>https://recruiter.shine.com/resume/download/?resumeid=gAAAAABbk2UKk_DeDLQqiH5bZbqPRYQ1forPPf_V0meUyg_Z5-K_dLgC6xwkfbwtwtwn03lk3AiRUUlo2yXqP8yK0TBbrCM3rNo2ZB4JnypBczDebt3joAhsVIpc1gFAvpAEk-2_BTnH</v>
      </c>
    </row>
    <row r="354" spans="1:25" ht="39.950000000000003" customHeight="1">
      <c r="A354">
        <v>350</v>
      </c>
      <c r="B354" t="s">
        <v>3528</v>
      </c>
      <c r="C354" t="s">
        <v>3529</v>
      </c>
      <c r="D354" t="s">
        <v>3530</v>
      </c>
      <c r="E354" t="s">
        <v>3531</v>
      </c>
      <c r="F354" t="s">
        <v>29</v>
      </c>
      <c r="G354" t="s">
        <v>3532</v>
      </c>
      <c r="H354" t="s">
        <v>31</v>
      </c>
      <c r="I354" t="s">
        <v>362</v>
      </c>
      <c r="J354" t="s">
        <v>135</v>
      </c>
      <c r="L354" t="s">
        <v>363</v>
      </c>
      <c r="M354" t="s">
        <v>364</v>
      </c>
      <c r="Q354" t="s">
        <v>365</v>
      </c>
      <c r="R354" t="s">
        <v>2230</v>
      </c>
      <c r="S354" t="s">
        <v>3533</v>
      </c>
      <c r="U354" t="s">
        <v>94</v>
      </c>
      <c r="V354" t="s">
        <v>3534</v>
      </c>
      <c r="W354" t="s">
        <v>3535</v>
      </c>
      <c r="Y354" t="str">
        <f>HYPERLINK("https://recruiter.shine.com/resume/download/?resumeid=gAAAAABbk2UMYGS9EwWGDxq4iX9zDB0O0PsdoCbvwv_mEgFeiKAgsjem48AiBdrO_adWAA6g66oVKDHlGCqXXVBN_BbDBnK3HhYZDluUo1-N3KIcAiGP-H3zDUqZqNZ-kNvFC7WUl3TGgO_KtUPWZvf8ObmBb9shakMgIros30zlHJnF6PKMlzk=")</f>
        <v>https://recruiter.shine.com/resume/download/?resumeid=gAAAAABbk2UMYGS9EwWGDxq4iX9zDB0O0PsdoCbvwv_mEgFeiKAgsjem48AiBdrO_adWAA6g66oVKDHlGCqXXVBN_BbDBnK3HhYZDluUo1-N3KIcAiGP-H3zDUqZqNZ-kNvFC7WUl3TGgO_KtUPWZvf8ObmBb9shakMgIros30zlHJnF6PKMlzk=</v>
      </c>
    </row>
    <row r="355" spans="1:25" ht="39.950000000000003" customHeight="1">
      <c r="A355">
        <v>351</v>
      </c>
      <c r="B355" t="s">
        <v>3536</v>
      </c>
      <c r="C355" t="s">
        <v>3537</v>
      </c>
      <c r="D355" t="s">
        <v>3538</v>
      </c>
      <c r="E355" t="s">
        <v>3539</v>
      </c>
      <c r="F355" t="s">
        <v>29</v>
      </c>
      <c r="G355" t="s">
        <v>67</v>
      </c>
      <c r="H355" t="s">
        <v>234</v>
      </c>
      <c r="I355" t="s">
        <v>68</v>
      </c>
      <c r="J355" t="s">
        <v>51</v>
      </c>
      <c r="K355" t="s">
        <v>3540</v>
      </c>
      <c r="L355" t="s">
        <v>486</v>
      </c>
      <c r="M355" t="s">
        <v>463</v>
      </c>
      <c r="N355" t="s">
        <v>3541</v>
      </c>
      <c r="O355" t="s">
        <v>1041</v>
      </c>
      <c r="P355" t="s">
        <v>57</v>
      </c>
      <c r="Q355" t="s">
        <v>40</v>
      </c>
      <c r="R355" t="s">
        <v>476</v>
      </c>
      <c r="S355" t="s">
        <v>3542</v>
      </c>
      <c r="T355" t="s">
        <v>227</v>
      </c>
      <c r="U355" t="s">
        <v>43</v>
      </c>
      <c r="V355" t="s">
        <v>3543</v>
      </c>
      <c r="W355" t="s">
        <v>3544</v>
      </c>
      <c r="Y355" t="str">
        <f>HYPERLINK("https://recruiter.shine.com/resume/download/?resumeid=gAAAAABbk2UOx5d0cpoqWijQ7ye5lNFfNXItOEdfuZzoY54mQNWxD2o9lUudKqQuyySB2UQWK3VxEU0KetGOXmFPfUOAp3l_8ESguNEaU1U3dMyMeHJadgpyHllqRlVGKX3mj0VOD_xMvFbJqRxCs1Z6xRhJ3C8mXo9LZ16d9u5xjXDur2GD7tE=")</f>
        <v>https://recruiter.shine.com/resume/download/?resumeid=gAAAAABbk2UOx5d0cpoqWijQ7ye5lNFfNXItOEdfuZzoY54mQNWxD2o9lUudKqQuyySB2UQWK3VxEU0KetGOXmFPfUOAp3l_8ESguNEaU1U3dMyMeHJadgpyHllqRlVGKX3mj0VOD_xMvFbJqRxCs1Z6xRhJ3C8mXo9LZ16d9u5xjXDur2GD7tE=</v>
      </c>
    </row>
    <row r="356" spans="1:25" ht="39.950000000000003" customHeight="1">
      <c r="A356">
        <v>352</v>
      </c>
      <c r="B356" t="s">
        <v>3545</v>
      </c>
      <c r="C356" t="s">
        <v>3546</v>
      </c>
      <c r="D356" t="s">
        <v>3547</v>
      </c>
      <c r="E356" t="s">
        <v>3548</v>
      </c>
      <c r="F356" t="s">
        <v>29</v>
      </c>
      <c r="G356" t="s">
        <v>100</v>
      </c>
      <c r="H356" t="s">
        <v>31</v>
      </c>
      <c r="I356" t="s">
        <v>3549</v>
      </c>
      <c r="J356" t="s">
        <v>1186</v>
      </c>
      <c r="K356" t="s">
        <v>3550</v>
      </c>
      <c r="L356" t="s">
        <v>266</v>
      </c>
      <c r="M356" t="s">
        <v>105</v>
      </c>
      <c r="N356" t="s">
        <v>3551</v>
      </c>
      <c r="O356" t="s">
        <v>38</v>
      </c>
      <c r="P356" t="s">
        <v>57</v>
      </c>
      <c r="Q356" t="s">
        <v>90</v>
      </c>
      <c r="R356" t="s">
        <v>317</v>
      </c>
      <c r="S356" t="s">
        <v>3552</v>
      </c>
      <c r="T356" t="s">
        <v>304</v>
      </c>
      <c r="U356" t="s">
        <v>43</v>
      </c>
      <c r="V356" t="s">
        <v>3553</v>
      </c>
      <c r="W356" t="s">
        <v>3554</v>
      </c>
      <c r="Y356" t="str">
        <f>HYPERLINK("https://recruiter.shine.com/resume/download/?resumeid=gAAAAABbk2ULDrafwPHsnVVF_ihYjmKi_ATQj36iKoq2V7wiX4cg5E16j3H3UG8ZIgKDt983amXhMg1BTi6znDSbzbVnQD52rolyce6jGEfJSPznE2dD0woJ50BxINX3iYmtkyfOASLd")</f>
        <v>https://recruiter.shine.com/resume/download/?resumeid=gAAAAABbk2ULDrafwPHsnVVF_ihYjmKi_ATQj36iKoq2V7wiX4cg5E16j3H3UG8ZIgKDt983amXhMg1BTi6znDSbzbVnQD52rolyce6jGEfJSPznE2dD0woJ50BxINX3iYmtkyfOASLd</v>
      </c>
    </row>
    <row r="357" spans="1:25" ht="39.950000000000003" customHeight="1">
      <c r="A357">
        <v>353</v>
      </c>
      <c r="B357" t="s">
        <v>3555</v>
      </c>
      <c r="C357" t="s">
        <v>3556</v>
      </c>
      <c r="D357" t="s">
        <v>3557</v>
      </c>
      <c r="E357" t="s">
        <v>3558</v>
      </c>
      <c r="F357" t="s">
        <v>29</v>
      </c>
      <c r="G357" t="s">
        <v>233</v>
      </c>
      <c r="H357" t="s">
        <v>31</v>
      </c>
      <c r="I357" t="s">
        <v>196</v>
      </c>
      <c r="J357" t="s">
        <v>278</v>
      </c>
      <c r="K357" t="s">
        <v>236</v>
      </c>
      <c r="L357" t="s">
        <v>237</v>
      </c>
      <c r="M357" t="s">
        <v>238</v>
      </c>
      <c r="N357" t="s">
        <v>3559</v>
      </c>
      <c r="O357" t="s">
        <v>56</v>
      </c>
      <c r="P357" t="s">
        <v>39</v>
      </c>
      <c r="Q357" t="s">
        <v>240</v>
      </c>
      <c r="R357" t="s">
        <v>241</v>
      </c>
      <c r="S357" t="s">
        <v>3560</v>
      </c>
      <c r="T357" t="s">
        <v>110</v>
      </c>
      <c r="U357" t="s">
        <v>43</v>
      </c>
      <c r="V357" t="s">
        <v>3561</v>
      </c>
      <c r="W357" t="s">
        <v>3561</v>
      </c>
      <c r="Y357" t="str">
        <f>HYPERLINK("https://recruiter.shine.com/resume/download/?resumeid=gAAAAABbk2UNInlNVNWcKSTfDUj7dNdivUA0P9Gx0Lrly_9xMpBWNK_m9ECFKzrC6VgrY3zkML41p8vNl8-5BQ5m2wN4JGLgZpL_pdFDXI8sY8q8GrHqzEQSms0VtxLth5oO0yytN2nDgv9apxPCH-GOGaLBJrwd3-IdNHzpTxs4WaryjLKesLY=")</f>
        <v>https://recruiter.shine.com/resume/download/?resumeid=gAAAAABbk2UNInlNVNWcKSTfDUj7dNdivUA0P9Gx0Lrly_9xMpBWNK_m9ECFKzrC6VgrY3zkML41p8vNl8-5BQ5m2wN4JGLgZpL_pdFDXI8sY8q8GrHqzEQSms0VtxLth5oO0yytN2nDgv9apxPCH-GOGaLBJrwd3-IdNHzpTxs4WaryjLKesLY=</v>
      </c>
    </row>
    <row r="358" spans="1:25" ht="39.950000000000003" customHeight="1">
      <c r="A358">
        <v>354</v>
      </c>
      <c r="B358" t="s">
        <v>3562</v>
      </c>
      <c r="D358" t="s">
        <v>3563</v>
      </c>
      <c r="E358" t="s">
        <v>3564</v>
      </c>
      <c r="F358" t="s">
        <v>29</v>
      </c>
      <c r="G358" t="s">
        <v>29</v>
      </c>
      <c r="H358" t="s">
        <v>31</v>
      </c>
      <c r="I358" t="s">
        <v>1774</v>
      </c>
      <c r="J358" t="s">
        <v>135</v>
      </c>
      <c r="K358" t="s">
        <v>3565</v>
      </c>
      <c r="L358" t="s">
        <v>3566</v>
      </c>
      <c r="M358" t="s">
        <v>3355</v>
      </c>
      <c r="N358" t="s">
        <v>3567</v>
      </c>
      <c r="O358" t="s">
        <v>186</v>
      </c>
      <c r="Q358" t="s">
        <v>40</v>
      </c>
      <c r="R358" t="s">
        <v>476</v>
      </c>
      <c r="S358" t="s">
        <v>3568</v>
      </c>
      <c r="T358" t="s">
        <v>625</v>
      </c>
      <c r="U358" t="s">
        <v>43</v>
      </c>
      <c r="V358" t="s">
        <v>3569</v>
      </c>
      <c r="W358" t="s">
        <v>3570</v>
      </c>
      <c r="Y358" t="str">
        <f>HYPERLINK("https://recruiter.shine.com/resume/download/?resumeid=gAAAAABbk2UOD69HhDCcHto8_0C2oEqxS22YiN1iTYJrqBYIRPSfCh_M9SjpzR5B5iz5Cs05EIXTlMVfyqt9PePj9RDGUyi7rClL5bVTk77CyIAGH-EZvUHw1F1axumoWT3JwEfejS685ffxTY0LjC_HKdXwp9Eviw==")</f>
        <v>https://recruiter.shine.com/resume/download/?resumeid=gAAAAABbk2UOD69HhDCcHto8_0C2oEqxS22YiN1iTYJrqBYIRPSfCh_M9SjpzR5B5iz5Cs05EIXTlMVfyqt9PePj9RDGUyi7rClL5bVTk77CyIAGH-EZvUHw1F1axumoWT3JwEfejS685ffxTY0LjC_HKdXwp9Eviw==</v>
      </c>
    </row>
    <row r="359" spans="1:25" ht="39.950000000000003" customHeight="1">
      <c r="A359">
        <v>355</v>
      </c>
      <c r="B359" t="s">
        <v>3571</v>
      </c>
      <c r="D359" t="s">
        <v>3572</v>
      </c>
      <c r="E359" t="s">
        <v>3573</v>
      </c>
      <c r="F359" t="s">
        <v>29</v>
      </c>
      <c r="G359" t="s">
        <v>67</v>
      </c>
      <c r="I359" t="s">
        <v>825</v>
      </c>
      <c r="J359" t="s">
        <v>299</v>
      </c>
      <c r="K359" t="s">
        <v>3574</v>
      </c>
      <c r="L359" t="s">
        <v>199</v>
      </c>
      <c r="M359" t="s">
        <v>172</v>
      </c>
      <c r="N359" t="s">
        <v>718</v>
      </c>
      <c r="O359" t="s">
        <v>186</v>
      </c>
      <c r="Q359" t="s">
        <v>40</v>
      </c>
      <c r="R359" t="s">
        <v>476</v>
      </c>
      <c r="S359" t="s">
        <v>188</v>
      </c>
      <c r="U359" t="s">
        <v>43</v>
      </c>
      <c r="V359" t="s">
        <v>3575</v>
      </c>
      <c r="W359" t="s">
        <v>3576</v>
      </c>
      <c r="Y359" t="str">
        <f>HYPERLINK("https://recruiter.shine.com/resume/download/?resumeid=gAAAAABbk2UL5sNQn6TSB6RLVW2Fzo2nJfVmSSl19RCRMUYRatecS8k_B-nz_N8xDqOpFOrPu9NnP-VYtKu-vuMQBqF1smKUqI2nmiq2yWk9NKiG_drhhRkzQQd1q6wZFp9gxsUH8sFmOz7LfufTGT3LzaXtF44r3g==")</f>
        <v>https://recruiter.shine.com/resume/download/?resumeid=gAAAAABbk2UL5sNQn6TSB6RLVW2Fzo2nJfVmSSl19RCRMUYRatecS8k_B-nz_N8xDqOpFOrPu9NnP-VYtKu-vuMQBqF1smKUqI2nmiq2yWk9NKiG_drhhRkzQQd1q6wZFp9gxsUH8sFmOz7LfufTGT3LzaXtF44r3g==</v>
      </c>
    </row>
    <row r="360" spans="1:25" ht="39.950000000000003" customHeight="1">
      <c r="A360">
        <v>356</v>
      </c>
      <c r="B360" t="s">
        <v>3577</v>
      </c>
      <c r="C360" t="s">
        <v>3578</v>
      </c>
      <c r="D360" t="s">
        <v>3579</v>
      </c>
      <c r="E360" t="s">
        <v>3580</v>
      </c>
      <c r="F360" t="s">
        <v>29</v>
      </c>
      <c r="G360" t="s">
        <v>3581</v>
      </c>
      <c r="H360" t="s">
        <v>31</v>
      </c>
      <c r="I360" t="s">
        <v>714</v>
      </c>
      <c r="J360" t="s">
        <v>3147</v>
      </c>
      <c r="K360" t="s">
        <v>1167</v>
      </c>
      <c r="L360" t="s">
        <v>266</v>
      </c>
      <c r="M360" t="s">
        <v>105</v>
      </c>
      <c r="N360" t="s">
        <v>3582</v>
      </c>
      <c r="O360" t="s">
        <v>3583</v>
      </c>
      <c r="P360" t="s">
        <v>57</v>
      </c>
      <c r="Q360" t="s">
        <v>90</v>
      </c>
      <c r="R360" t="s">
        <v>427</v>
      </c>
      <c r="S360" t="s">
        <v>3584</v>
      </c>
      <c r="T360" t="s">
        <v>110</v>
      </c>
      <c r="U360" t="s">
        <v>43</v>
      </c>
      <c r="V360" t="s">
        <v>3585</v>
      </c>
      <c r="W360" t="s">
        <v>3586</v>
      </c>
      <c r="Y360" t="str">
        <f>HYPERLINK("https://recruiter.shine.com/resume/download/?resumeid=gAAAAABbk2UNCW6MHKkvznayxWurzKq8JEiKA_Wmo3-3Pi1ONA5MZzuabV8TGyT8lIHYKIxIUjQ_4dCZna8dkEPuav7AsCKUYUsLqxXu-rK3B0x99UVcrfGehlgR_SNqQTk68tGn_LzkyueLX2ulzOxpPmYxzu2YSmvNdbTkBB3gBKNVxRI-oNc=")</f>
        <v>https://recruiter.shine.com/resume/download/?resumeid=gAAAAABbk2UNCW6MHKkvznayxWurzKq8JEiKA_Wmo3-3Pi1ONA5MZzuabV8TGyT8lIHYKIxIUjQ_4dCZna8dkEPuav7AsCKUYUsLqxXu-rK3B0x99UVcrfGehlgR_SNqQTk68tGn_LzkyueLX2ulzOxpPmYxzu2YSmvNdbTkBB3gBKNVxRI-oNc=</v>
      </c>
    </row>
    <row r="361" spans="1:25" ht="39.950000000000003" customHeight="1">
      <c r="A361">
        <v>357</v>
      </c>
      <c r="B361" t="s">
        <v>3587</v>
      </c>
      <c r="D361" t="s">
        <v>3588</v>
      </c>
      <c r="E361" t="s">
        <v>3589</v>
      </c>
      <c r="F361" t="s">
        <v>29</v>
      </c>
      <c r="G361" t="s">
        <v>29</v>
      </c>
      <c r="H361" t="s">
        <v>31</v>
      </c>
      <c r="I361" t="s">
        <v>3590</v>
      </c>
      <c r="J361" t="s">
        <v>3591</v>
      </c>
      <c r="K361" t="s">
        <v>3592</v>
      </c>
      <c r="L361" t="s">
        <v>199</v>
      </c>
      <c r="M361" t="s">
        <v>36</v>
      </c>
      <c r="N361" t="s">
        <v>1636</v>
      </c>
      <c r="O361" t="s">
        <v>224</v>
      </c>
      <c r="Q361" t="s">
        <v>412</v>
      </c>
      <c r="R361" t="s">
        <v>3593</v>
      </c>
      <c r="S361" t="s">
        <v>3594</v>
      </c>
      <c r="T361" t="s">
        <v>304</v>
      </c>
      <c r="U361" t="s">
        <v>43</v>
      </c>
      <c r="V361" t="s">
        <v>3595</v>
      </c>
      <c r="W361" t="s">
        <v>3596</v>
      </c>
      <c r="Y361" t="str">
        <f>HYPERLINK("https://recruiter.shine.com/resume/download/?resumeid=gAAAAABbk2UN77NAZ1Iz_Ch_9JWHNv-l_DQGMtgrZl-lchgWZZ2qPDQDLt-BTxVjCyYr1TiqoG8DEmF9NFyTTGIabLfoqiaNSMNiI2IqYsHCwZVkZtbjIxI9mnSbStcrRT8qMZ_Jg_kYnZYsbIWnf7bK0v4WxKys1CJfyo8rZ3nFqfTDZ73ZU54=")</f>
        <v>https://recruiter.shine.com/resume/download/?resumeid=gAAAAABbk2UN77NAZ1Iz_Ch_9JWHNv-l_DQGMtgrZl-lchgWZZ2qPDQDLt-BTxVjCyYr1TiqoG8DEmF9NFyTTGIabLfoqiaNSMNiI2IqYsHCwZVkZtbjIxI9mnSbStcrRT8qMZ_Jg_kYnZYsbIWnf7bK0v4WxKys1CJfyo8rZ3nFqfTDZ73ZU54=</v>
      </c>
    </row>
    <row r="362" spans="1:25" ht="39.950000000000003" customHeight="1">
      <c r="A362">
        <v>358</v>
      </c>
      <c r="B362" t="s">
        <v>3597</v>
      </c>
      <c r="C362" t="s">
        <v>3598</v>
      </c>
      <c r="D362" t="s">
        <v>3599</v>
      </c>
      <c r="E362" t="s">
        <v>3600</v>
      </c>
      <c r="F362" t="s">
        <v>29</v>
      </c>
      <c r="G362" t="s">
        <v>3601</v>
      </c>
      <c r="H362" t="s">
        <v>31</v>
      </c>
      <c r="I362" t="s">
        <v>152</v>
      </c>
      <c r="J362" t="s">
        <v>3602</v>
      </c>
      <c r="K362" t="s">
        <v>3603</v>
      </c>
      <c r="L362" t="s">
        <v>171</v>
      </c>
      <c r="M362" t="s">
        <v>172</v>
      </c>
      <c r="N362" t="s">
        <v>3604</v>
      </c>
      <c r="O362" t="s">
        <v>56</v>
      </c>
      <c r="P362" t="s">
        <v>57</v>
      </c>
      <c r="Q362" t="s">
        <v>90</v>
      </c>
      <c r="R362" t="s">
        <v>91</v>
      </c>
      <c r="S362" t="s">
        <v>3605</v>
      </c>
      <c r="T362" t="s">
        <v>687</v>
      </c>
      <c r="U362" t="s">
        <v>43</v>
      </c>
      <c r="V362" t="s">
        <v>3606</v>
      </c>
      <c r="W362" t="s">
        <v>3607</v>
      </c>
      <c r="Y362" t="str">
        <f>HYPERLINK("https://recruiter.shine.com/resume/download/?resumeid=gAAAAABbk2ULitOT97AWLAUz_tf9c-PhllaUWE07Ea-OP1jgY2neWHN8jrsR_nClW-faSHG2iAtnRc5wfOSAp_QPUpgRC_5xMbg8hxWvTUGjEpMSM0EotbUYhfczeKWxq5rdVyH7Je0V")</f>
        <v>https://recruiter.shine.com/resume/download/?resumeid=gAAAAABbk2ULitOT97AWLAUz_tf9c-PhllaUWE07Ea-OP1jgY2neWHN8jrsR_nClW-faSHG2iAtnRc5wfOSAp_QPUpgRC_5xMbg8hxWvTUGjEpMSM0EotbUYhfczeKWxq5rdVyH7Je0V</v>
      </c>
    </row>
    <row r="363" spans="1:25" ht="39.950000000000003" customHeight="1">
      <c r="A363">
        <v>359</v>
      </c>
      <c r="B363" t="s">
        <v>3608</v>
      </c>
      <c r="C363" t="s">
        <v>1793</v>
      </c>
      <c r="D363" t="s">
        <v>3609</v>
      </c>
      <c r="E363" t="s">
        <v>3610</v>
      </c>
      <c r="F363" t="s">
        <v>29</v>
      </c>
      <c r="G363" t="s">
        <v>29</v>
      </c>
      <c r="H363" t="s">
        <v>31</v>
      </c>
      <c r="I363" t="s">
        <v>662</v>
      </c>
      <c r="J363" t="s">
        <v>705</v>
      </c>
      <c r="K363" t="s">
        <v>1187</v>
      </c>
      <c r="L363" t="s">
        <v>486</v>
      </c>
      <c r="M363" t="s">
        <v>238</v>
      </c>
      <c r="N363" t="s">
        <v>3611</v>
      </c>
      <c r="O363" t="s">
        <v>38</v>
      </c>
      <c r="P363" t="s">
        <v>201</v>
      </c>
      <c r="Q363" t="s">
        <v>123</v>
      </c>
      <c r="R363" t="s">
        <v>124</v>
      </c>
      <c r="S363" t="s">
        <v>188</v>
      </c>
      <c r="T363" t="s">
        <v>61</v>
      </c>
      <c r="U363" t="s">
        <v>43</v>
      </c>
      <c r="V363" t="s">
        <v>3612</v>
      </c>
      <c r="W363" t="s">
        <v>3613</v>
      </c>
      <c r="Y363" t="str">
        <f>HYPERLINK("https://recruiter.shine.com/resume/download/?resumeid=gAAAAABbk2UN2vN9ljXTrVmNEHcEYD_6w7wt6XR9GQT3_TBmX5pAhocML4rVZcEB3mTCnvQrMOxqML3ZfV8HqgwgA4t_7XOncPXAP7uBzlhaKxTbPypHu4mtRG_Xiqd0z_in2XyCg7HaVg6rzuRCVqNELCaswrBszQ==")</f>
        <v>https://recruiter.shine.com/resume/download/?resumeid=gAAAAABbk2UN2vN9ljXTrVmNEHcEYD_6w7wt6XR9GQT3_TBmX5pAhocML4rVZcEB3mTCnvQrMOxqML3ZfV8HqgwgA4t_7XOncPXAP7uBzlhaKxTbPypHu4mtRG_Xiqd0z_in2XyCg7HaVg6rzuRCVqNELCaswrBszQ==</v>
      </c>
    </row>
    <row r="364" spans="1:25" ht="39.950000000000003" customHeight="1">
      <c r="A364">
        <v>360</v>
      </c>
      <c r="B364" t="s">
        <v>3614</v>
      </c>
      <c r="D364" t="s">
        <v>3615</v>
      </c>
      <c r="E364" t="s">
        <v>3616</v>
      </c>
      <c r="F364" t="s">
        <v>29</v>
      </c>
      <c r="G364" t="s">
        <v>29</v>
      </c>
      <c r="H364" t="s">
        <v>31</v>
      </c>
      <c r="I364" t="s">
        <v>836</v>
      </c>
      <c r="J364" t="s">
        <v>3617</v>
      </c>
      <c r="K364" t="s">
        <v>3618</v>
      </c>
      <c r="L364" t="s">
        <v>184</v>
      </c>
      <c r="M364" t="s">
        <v>238</v>
      </c>
      <c r="N364" t="s">
        <v>3619</v>
      </c>
      <c r="O364" t="s">
        <v>38</v>
      </c>
      <c r="Q364" t="s">
        <v>40</v>
      </c>
      <c r="R364" t="s">
        <v>41</v>
      </c>
      <c r="S364" t="s">
        <v>3620</v>
      </c>
      <c r="T364" t="s">
        <v>110</v>
      </c>
      <c r="U364" t="s">
        <v>43</v>
      </c>
      <c r="V364" t="s">
        <v>3621</v>
      </c>
      <c r="W364" t="s">
        <v>3622</v>
      </c>
      <c r="Y364" t="str">
        <f>HYPERLINK("https://recruiter.shine.com/resume/download/?resumeid=gAAAAABbk2UO8ve4FRditbQphtsV2epn0GV2nNvqOCgPIXMOffg-sYSIk4p96-5x-aXO_i45bKrwwzgH73ndl9InSbWO84NnnJT4ESLOALHRhUIoucjXuQYKy_fTNRbTIxiSoD2VIRhtefbKMoUW6NxY9FTYdEcFXg==")</f>
        <v>https://recruiter.shine.com/resume/download/?resumeid=gAAAAABbk2UO8ve4FRditbQphtsV2epn0GV2nNvqOCgPIXMOffg-sYSIk4p96-5x-aXO_i45bKrwwzgH73ndl9InSbWO84NnnJT4ESLOALHRhUIoucjXuQYKy_fTNRbTIxiSoD2VIRhtefbKMoUW6NxY9FTYdEcFXg==</v>
      </c>
    </row>
    <row r="365" spans="1:25" ht="39.950000000000003" customHeight="1">
      <c r="A365">
        <v>361</v>
      </c>
      <c r="B365" t="s">
        <v>3623</v>
      </c>
      <c r="C365" t="s">
        <v>3624</v>
      </c>
      <c r="D365" t="s">
        <v>3625</v>
      </c>
      <c r="E365" t="s">
        <v>3626</v>
      </c>
      <c r="F365" t="s">
        <v>29</v>
      </c>
      <c r="G365" t="s">
        <v>3168</v>
      </c>
      <c r="H365" t="s">
        <v>31</v>
      </c>
      <c r="I365" t="s">
        <v>714</v>
      </c>
      <c r="J365" t="s">
        <v>169</v>
      </c>
      <c r="K365" t="s">
        <v>1167</v>
      </c>
      <c r="L365" t="s">
        <v>664</v>
      </c>
      <c r="M365" t="s">
        <v>36</v>
      </c>
      <c r="N365" t="s">
        <v>3627</v>
      </c>
      <c r="O365" t="s">
        <v>224</v>
      </c>
      <c r="P365" t="s">
        <v>73</v>
      </c>
      <c r="Q365" t="s">
        <v>107</v>
      </c>
      <c r="R365" t="s">
        <v>341</v>
      </c>
      <c r="S365" t="s">
        <v>188</v>
      </c>
      <c r="T365" t="s">
        <v>687</v>
      </c>
      <c r="U365" t="s">
        <v>43</v>
      </c>
      <c r="V365" t="s">
        <v>3628</v>
      </c>
      <c r="W365" t="s">
        <v>3629</v>
      </c>
      <c r="Y365" t="str">
        <f>HYPERLINK("https://recruiter.shine.com/resume/download/?resumeid=gAAAAABbk2ULXFaHClva3vYyveDNWz2o3TJxTU1wUpMOa_Uj7vrv3NxUjY2M8VQdnBkMM2aUckE9RU_02XhV9j9SuvwwZASW-irKMn6w_oJWUVRRANiLmbu6RhYNq-d1_voLRlxvBbvg")</f>
        <v>https://recruiter.shine.com/resume/download/?resumeid=gAAAAABbk2ULXFaHClva3vYyveDNWz2o3TJxTU1wUpMOa_Uj7vrv3NxUjY2M8VQdnBkMM2aUckE9RU_02XhV9j9SuvwwZASW-irKMn6w_oJWUVRRANiLmbu6RhYNq-d1_voLRlxvBbvg</v>
      </c>
    </row>
    <row r="366" spans="1:25" ht="39.950000000000003" customHeight="1">
      <c r="A366">
        <v>362</v>
      </c>
      <c r="B366" t="s">
        <v>3630</v>
      </c>
      <c r="C366" t="s">
        <v>3631</v>
      </c>
      <c r="D366" t="s">
        <v>3632</v>
      </c>
      <c r="E366" t="s">
        <v>3633</v>
      </c>
      <c r="F366" t="s">
        <v>29</v>
      </c>
      <c r="G366" t="s">
        <v>3634</v>
      </c>
      <c r="H366" t="s">
        <v>31</v>
      </c>
      <c r="I366" t="s">
        <v>1293</v>
      </c>
      <c r="J366" t="s">
        <v>506</v>
      </c>
      <c r="K366" t="s">
        <v>3635</v>
      </c>
      <c r="L366" t="s">
        <v>3636</v>
      </c>
      <c r="M366" t="s">
        <v>1356</v>
      </c>
      <c r="N366" t="s">
        <v>3637</v>
      </c>
      <c r="O366" t="s">
        <v>186</v>
      </c>
      <c r="P366" t="s">
        <v>57</v>
      </c>
      <c r="Q366" t="s">
        <v>141</v>
      </c>
      <c r="R366" t="s">
        <v>142</v>
      </c>
      <c r="S366" t="s">
        <v>3638</v>
      </c>
      <c r="T366" t="s">
        <v>304</v>
      </c>
      <c r="U366" t="s">
        <v>43</v>
      </c>
      <c r="V366" t="s">
        <v>3639</v>
      </c>
      <c r="W366" t="s">
        <v>3640</v>
      </c>
      <c r="Y366" t="str">
        <f>HYPERLINK("https://recruiter.shine.com/resume/download/?resumeid=gAAAAABbk2UMR-tI1T68kvS2RKINzZ_lrNfpS9Bzu4JS0_nHoyGewcKteHh1FXUMnZPqhVFXfv_7-lImhzXQhiqR9m4DDRQXHrkM3B4tZvryAP7WHbUbW4yiMzO-OqZ-K4rn01L3rfohlniLuBOvRqcrHCJfvAHlbA==")</f>
        <v>https://recruiter.shine.com/resume/download/?resumeid=gAAAAABbk2UMR-tI1T68kvS2RKINzZ_lrNfpS9Bzu4JS0_nHoyGewcKteHh1FXUMnZPqhVFXfv_7-lImhzXQhiqR9m4DDRQXHrkM3B4tZvryAP7WHbUbW4yiMzO-OqZ-K4rn01L3rfohlniLuBOvRqcrHCJfvAHlbA==</v>
      </c>
    </row>
    <row r="367" spans="1:25" ht="39.950000000000003" customHeight="1">
      <c r="A367">
        <v>363</v>
      </c>
      <c r="B367" t="s">
        <v>3641</v>
      </c>
      <c r="D367" t="s">
        <v>3642</v>
      </c>
      <c r="E367" t="s">
        <v>3643</v>
      </c>
      <c r="F367" t="s">
        <v>29</v>
      </c>
      <c r="G367" t="s">
        <v>29</v>
      </c>
      <c r="H367" t="s">
        <v>31</v>
      </c>
      <c r="I367" t="s">
        <v>32</v>
      </c>
      <c r="J367" t="s">
        <v>3644</v>
      </c>
      <c r="K367" t="s">
        <v>3645</v>
      </c>
      <c r="L367" t="s">
        <v>88</v>
      </c>
      <c r="M367" t="s">
        <v>105</v>
      </c>
      <c r="N367" t="s">
        <v>3646</v>
      </c>
      <c r="O367" t="s">
        <v>56</v>
      </c>
      <c r="P367" t="s">
        <v>57</v>
      </c>
      <c r="Q367" t="s">
        <v>90</v>
      </c>
      <c r="R367" t="s">
        <v>91</v>
      </c>
      <c r="S367" t="s">
        <v>3647</v>
      </c>
      <c r="T367" t="s">
        <v>175</v>
      </c>
      <c r="U367" t="s">
        <v>94</v>
      </c>
      <c r="V367" t="s">
        <v>3648</v>
      </c>
      <c r="W367" t="s">
        <v>3649</v>
      </c>
      <c r="Y367" t="str">
        <f>HYPERLINK("https://recruiter.shine.com/resume/download/?resumeid=gAAAAABbk2UO38iVNYb6sYhgkoLp8PCKjqc0MGOm_XMW50algyWjOYdA_KCehEzNymBJCBxokmt4P-zydGzcShR-L-jDAPZLr5DG-bp0Qt-a7jmx5CXk62lQyegJFlLia8g-ou22EUDsVLiQfxPoFBsEU7nZqUX4LeT5SvhavAFmNOM5lQZ5QK8=")</f>
        <v>https://recruiter.shine.com/resume/download/?resumeid=gAAAAABbk2UO38iVNYb6sYhgkoLp8PCKjqc0MGOm_XMW50algyWjOYdA_KCehEzNymBJCBxokmt4P-zydGzcShR-L-jDAPZLr5DG-bp0Qt-a7jmx5CXk62lQyegJFlLia8g-ou22EUDsVLiQfxPoFBsEU7nZqUX4LeT5SvhavAFmNOM5lQZ5QK8=</v>
      </c>
    </row>
    <row r="368" spans="1:25" ht="39.950000000000003" customHeight="1">
      <c r="A368">
        <v>364</v>
      </c>
      <c r="B368" t="s">
        <v>3650</v>
      </c>
      <c r="D368" t="s">
        <v>3651</v>
      </c>
      <c r="E368" t="s">
        <v>3652</v>
      </c>
      <c r="F368" t="s">
        <v>29</v>
      </c>
      <c r="G368" t="s">
        <v>3653</v>
      </c>
      <c r="I368" t="s">
        <v>714</v>
      </c>
      <c r="J368" t="s">
        <v>3654</v>
      </c>
      <c r="K368" t="s">
        <v>3655</v>
      </c>
      <c r="L368" t="s">
        <v>1674</v>
      </c>
      <c r="M368" t="s">
        <v>717</v>
      </c>
      <c r="N368" t="s">
        <v>718</v>
      </c>
      <c r="O368" t="s">
        <v>186</v>
      </c>
      <c r="Q368" t="s">
        <v>90</v>
      </c>
      <c r="R368" t="s">
        <v>91</v>
      </c>
      <c r="S368" t="s">
        <v>1031</v>
      </c>
      <c r="U368" t="s">
        <v>43</v>
      </c>
      <c r="V368" t="s">
        <v>3656</v>
      </c>
      <c r="W368" t="s">
        <v>3657</v>
      </c>
      <c r="Y368" t="str">
        <f>HYPERLINK("https://recruiter.shine.com/resume/download/?resumeid=gAAAAABbk2UL_olVAQ4FIeo9UDWU0cSU1_hYcezqLA1UnvOSrJTMAuYGAMfEeEkCjZqVVE0e5QgL_WP6Hutva1xCjsQveUeBE-FrPyvqmhN-3Wyeh1lfzLrWBoAy0B1TJdpYQzkK1X4y")</f>
        <v>https://recruiter.shine.com/resume/download/?resumeid=gAAAAABbk2UL_olVAQ4FIeo9UDWU0cSU1_hYcezqLA1UnvOSrJTMAuYGAMfEeEkCjZqVVE0e5QgL_WP6Hutva1xCjsQveUeBE-FrPyvqmhN-3Wyeh1lfzLrWBoAy0B1TJdpYQzkK1X4y</v>
      </c>
    </row>
    <row r="369" spans="1:25" ht="39.950000000000003" customHeight="1">
      <c r="A369">
        <v>365</v>
      </c>
      <c r="B369" t="s">
        <v>3658</v>
      </c>
      <c r="C369" t="s">
        <v>3659</v>
      </c>
      <c r="D369" t="s">
        <v>3660</v>
      </c>
      <c r="E369" t="s">
        <v>3661</v>
      </c>
      <c r="F369" t="s">
        <v>29</v>
      </c>
      <c r="G369" t="s">
        <v>29</v>
      </c>
      <c r="H369" t="s">
        <v>31</v>
      </c>
      <c r="I369" t="s">
        <v>1408</v>
      </c>
      <c r="J369" t="s">
        <v>51</v>
      </c>
      <c r="K369" t="s">
        <v>3662</v>
      </c>
      <c r="L369" t="s">
        <v>486</v>
      </c>
      <c r="M369" t="s">
        <v>238</v>
      </c>
      <c r="N369" t="s">
        <v>3663</v>
      </c>
      <c r="O369" t="s">
        <v>56</v>
      </c>
      <c r="P369" t="s">
        <v>73</v>
      </c>
      <c r="Q369" t="s">
        <v>123</v>
      </c>
      <c r="R369" t="s">
        <v>124</v>
      </c>
      <c r="S369" t="s">
        <v>3664</v>
      </c>
      <c r="T369" t="s">
        <v>415</v>
      </c>
      <c r="U369" t="s">
        <v>43</v>
      </c>
      <c r="V369" t="s">
        <v>3665</v>
      </c>
      <c r="W369" t="s">
        <v>3666</v>
      </c>
      <c r="Y369" t="str">
        <f>HYPERLINK("https://recruiter.shine.com/resume/download/?resumeid=gAAAAABbk2UM7Fz6kchNca7NP9boj3h3AmYDJIgrmAAvSLG8-Yyynq0gLKovskfh-UZvwgZ14F-G41bMycpHesSRa_NPs0c8xhDYJLZ2n3drKileN3jo4s7-TF1jmoVw0JPWHd5x1jf9DpOfFXn4FoypUa6pMHVe3Mvwx0oOYNDRrIm4Sxch7L8=")</f>
        <v>https://recruiter.shine.com/resume/download/?resumeid=gAAAAABbk2UM7Fz6kchNca7NP9boj3h3AmYDJIgrmAAvSLG8-Yyynq0gLKovskfh-UZvwgZ14F-G41bMycpHesSRa_NPs0c8xhDYJLZ2n3drKileN3jo4s7-TF1jmoVw0JPWHd5x1jf9DpOfFXn4FoypUa6pMHVe3Mvwx0oOYNDRrIm4Sxch7L8=</v>
      </c>
    </row>
    <row r="370" spans="1:25" ht="39.950000000000003" customHeight="1">
      <c r="A370">
        <v>366</v>
      </c>
      <c r="B370" t="s">
        <v>3667</v>
      </c>
      <c r="C370" t="s">
        <v>3668</v>
      </c>
      <c r="D370" t="s">
        <v>3669</v>
      </c>
      <c r="E370" t="s">
        <v>3670</v>
      </c>
      <c r="F370" t="s">
        <v>249</v>
      </c>
      <c r="G370" t="s">
        <v>249</v>
      </c>
      <c r="H370" t="s">
        <v>31</v>
      </c>
      <c r="I370" t="s">
        <v>3671</v>
      </c>
      <c r="J370" t="s">
        <v>278</v>
      </c>
      <c r="K370" t="s">
        <v>3672</v>
      </c>
      <c r="L370" t="s">
        <v>266</v>
      </c>
      <c r="M370" t="s">
        <v>36</v>
      </c>
      <c r="N370" t="s">
        <v>3673</v>
      </c>
      <c r="O370" t="s">
        <v>1041</v>
      </c>
      <c r="P370" t="s">
        <v>73</v>
      </c>
      <c r="Q370" t="s">
        <v>90</v>
      </c>
      <c r="R370" t="s">
        <v>317</v>
      </c>
      <c r="S370" t="s">
        <v>1217</v>
      </c>
      <c r="T370" t="s">
        <v>304</v>
      </c>
      <c r="U370" t="s">
        <v>43</v>
      </c>
      <c r="V370" t="s">
        <v>3674</v>
      </c>
      <c r="W370" t="s">
        <v>3675</v>
      </c>
      <c r="Y370" t="str">
        <f>HYPERLINK("https://recruiter.shine.com/resume/download/?resumeid=gAAAAABbk2UO33vXKT3hOBWZFCvMakahBCq4vkorXrFIyk9yUFFwH0lFdkOPXW0tqlndqAe2E6URmk5zdAO1ioKm33HP-bFGEL3yE1u1sWd4zSzCkho20fbe9BQ155BLaYb4NOUDRQiWwHUlenQAGb3ka0M0KR1Z9DVB7I7EWsV4jTfN-piqYN8=")</f>
        <v>https://recruiter.shine.com/resume/download/?resumeid=gAAAAABbk2UO33vXKT3hOBWZFCvMakahBCq4vkorXrFIyk9yUFFwH0lFdkOPXW0tqlndqAe2E6URmk5zdAO1ioKm33HP-bFGEL3yE1u1sWd4zSzCkho20fbe9BQ155BLaYb4NOUDRQiWwHUlenQAGb3ka0M0KR1Z9DVB7I7EWsV4jTfN-piqYN8=</v>
      </c>
    </row>
    <row r="371" spans="1:25" ht="39.950000000000003" customHeight="1">
      <c r="A371">
        <v>367</v>
      </c>
      <c r="B371" t="s">
        <v>3676</v>
      </c>
      <c r="D371" t="s">
        <v>3677</v>
      </c>
      <c r="E371" t="s">
        <v>3678</v>
      </c>
      <c r="F371" t="s">
        <v>29</v>
      </c>
      <c r="G371" t="s">
        <v>3679</v>
      </c>
      <c r="H371" t="s">
        <v>31</v>
      </c>
      <c r="I371" t="s">
        <v>836</v>
      </c>
      <c r="J371" t="s">
        <v>801</v>
      </c>
      <c r="K371" t="s">
        <v>3680</v>
      </c>
      <c r="L371" t="s">
        <v>266</v>
      </c>
      <c r="M371" t="s">
        <v>395</v>
      </c>
      <c r="N371" t="s">
        <v>3681</v>
      </c>
      <c r="O371" t="s">
        <v>585</v>
      </c>
      <c r="P371" t="s">
        <v>57</v>
      </c>
      <c r="Q371" t="s">
        <v>412</v>
      </c>
      <c r="R371" t="s">
        <v>3593</v>
      </c>
      <c r="S371" t="s">
        <v>3682</v>
      </c>
      <c r="T371" t="s">
        <v>227</v>
      </c>
      <c r="U371" t="s">
        <v>43</v>
      </c>
      <c r="V371" t="s">
        <v>3683</v>
      </c>
      <c r="W371" t="s">
        <v>3683</v>
      </c>
      <c r="Y371" t="str">
        <f>HYPERLINK("https://recruiter.shine.com/resume/download/?resumeid=gAAAAABbk2UL4E-YdIf8IBwzuFW7QgDT0w0Tc1gXDeuoj4AUMfz7VpTA0hKXyjLSPrdBYLIUg4dl69PvdI7FlukoCvZE21IT5To0CWJ7-4s6FlS_ueP1s4dhj7B-EQDboLi4Xgc8HALr")</f>
        <v>https://recruiter.shine.com/resume/download/?resumeid=gAAAAABbk2UL4E-YdIf8IBwzuFW7QgDT0w0Tc1gXDeuoj4AUMfz7VpTA0hKXyjLSPrdBYLIUg4dl69PvdI7FlukoCvZE21IT5To0CWJ7-4s6FlS_ueP1s4dhj7B-EQDboLi4Xgc8HALr</v>
      </c>
    </row>
    <row r="372" spans="1:25" ht="39.950000000000003" customHeight="1">
      <c r="A372">
        <v>368</v>
      </c>
      <c r="B372" t="s">
        <v>3684</v>
      </c>
      <c r="C372" t="s">
        <v>3685</v>
      </c>
      <c r="D372" t="s">
        <v>3686</v>
      </c>
      <c r="E372" t="s">
        <v>3687</v>
      </c>
      <c r="F372" t="s">
        <v>29</v>
      </c>
      <c r="G372" t="s">
        <v>29</v>
      </c>
      <c r="H372" t="s">
        <v>31</v>
      </c>
      <c r="I372" t="s">
        <v>2263</v>
      </c>
      <c r="J372" t="s">
        <v>2130</v>
      </c>
      <c r="K372" t="s">
        <v>3688</v>
      </c>
      <c r="L372" t="s">
        <v>120</v>
      </c>
      <c r="M372" t="s">
        <v>717</v>
      </c>
      <c r="N372" t="s">
        <v>3689</v>
      </c>
      <c r="O372" t="s">
        <v>56</v>
      </c>
      <c r="P372" t="s">
        <v>57</v>
      </c>
      <c r="Q372" t="s">
        <v>123</v>
      </c>
      <c r="R372" t="s">
        <v>124</v>
      </c>
      <c r="S372" t="s">
        <v>3690</v>
      </c>
      <c r="T372" t="s">
        <v>441</v>
      </c>
      <c r="U372" t="s">
        <v>127</v>
      </c>
      <c r="V372" t="s">
        <v>3691</v>
      </c>
      <c r="W372" t="s">
        <v>3692</v>
      </c>
      <c r="Y372" t="str">
        <f>HYPERLINK("https://recruiter.shine.com/resume/download/?resumeid=gAAAAABbk2UMP3opGAoOZM73KQhs5NbP1BnJVK0NfyYem7a_O2V1X5ugH0q23xSBaPH5DCN0TVcHCw15fDbGI1jhfdYDh5HmM8CqGNLvb2kjLktgobBigU241oPF84cglOYSHhtonsWXxm05GvLiaZTNQeW8gfsxwmVRhAb8v0gzaQlYXd9pYt4=")</f>
        <v>https://recruiter.shine.com/resume/download/?resumeid=gAAAAABbk2UMP3opGAoOZM73KQhs5NbP1BnJVK0NfyYem7a_O2V1X5ugH0q23xSBaPH5DCN0TVcHCw15fDbGI1jhfdYDh5HmM8CqGNLvb2kjLktgobBigU241oPF84cglOYSHhtonsWXxm05GvLiaZTNQeW8gfsxwmVRhAb8v0gzaQlYXd9pYt4=</v>
      </c>
    </row>
    <row r="373" spans="1:25" ht="39.950000000000003" customHeight="1">
      <c r="A373">
        <v>369</v>
      </c>
      <c r="B373" t="s">
        <v>3693</v>
      </c>
      <c r="C373" t="s">
        <v>3694</v>
      </c>
      <c r="D373" t="s">
        <v>3695</v>
      </c>
      <c r="E373" t="s">
        <v>3696</v>
      </c>
      <c r="F373" t="s">
        <v>29</v>
      </c>
      <c r="G373" t="s">
        <v>29</v>
      </c>
      <c r="H373" t="s">
        <v>31</v>
      </c>
      <c r="I373" t="s">
        <v>208</v>
      </c>
      <c r="J373" t="s">
        <v>871</v>
      </c>
      <c r="K373" t="s">
        <v>3277</v>
      </c>
      <c r="L373" t="s">
        <v>88</v>
      </c>
      <c r="M373" t="s">
        <v>487</v>
      </c>
      <c r="N373" t="s">
        <v>3697</v>
      </c>
      <c r="O373" t="s">
        <v>38</v>
      </c>
      <c r="Q373" t="s">
        <v>90</v>
      </c>
      <c r="R373" t="s">
        <v>91</v>
      </c>
      <c r="S373" t="s">
        <v>3698</v>
      </c>
      <c r="T373" t="s">
        <v>161</v>
      </c>
      <c r="U373" t="s">
        <v>43</v>
      </c>
      <c r="V373" t="s">
        <v>3699</v>
      </c>
      <c r="W373" t="s">
        <v>3700</v>
      </c>
      <c r="Y373" t="str">
        <f>HYPERLINK("https://recruiter.shine.com/resume/download/?resumeid=gAAAAABbk2UOMqgG5cPdKZzQpYT9cG5zuQLuUEB_mAQenjA0CdZl8kq70QiAmnT-iHfKL-dlp1CowqPBwPXMTLWKXi01s8v9BgLtdQ35JPXSH9-PnMTTYZSHX27V5ja4sWpGApEtEd4F4roBpnzEUSZ1qiQWdMnxQw==")</f>
        <v>https://recruiter.shine.com/resume/download/?resumeid=gAAAAABbk2UOMqgG5cPdKZzQpYT9cG5zuQLuUEB_mAQenjA0CdZl8kq70QiAmnT-iHfKL-dlp1CowqPBwPXMTLWKXi01s8v9BgLtdQ35JPXSH9-PnMTTYZSHX27V5ja4sWpGApEtEd4F4roBpnzEUSZ1qiQWdMnxQw==</v>
      </c>
    </row>
    <row r="374" spans="1:25" ht="39.950000000000003" customHeight="1">
      <c r="A374">
        <v>370</v>
      </c>
      <c r="B374" t="s">
        <v>3701</v>
      </c>
      <c r="C374" t="s">
        <v>3702</v>
      </c>
      <c r="D374" t="s">
        <v>3703</v>
      </c>
      <c r="E374" t="s">
        <v>3704</v>
      </c>
      <c r="F374" t="s">
        <v>29</v>
      </c>
      <c r="G374" t="s">
        <v>3705</v>
      </c>
      <c r="H374" t="s">
        <v>31</v>
      </c>
      <c r="I374" t="s">
        <v>134</v>
      </c>
      <c r="J374" t="s">
        <v>3706</v>
      </c>
      <c r="K374" t="s">
        <v>3707</v>
      </c>
      <c r="L374" t="s">
        <v>120</v>
      </c>
      <c r="M374" t="s">
        <v>238</v>
      </c>
      <c r="N374" t="s">
        <v>3708</v>
      </c>
      <c r="O374" t="s">
        <v>157</v>
      </c>
      <c r="P374" t="s">
        <v>57</v>
      </c>
      <c r="Q374" t="s">
        <v>90</v>
      </c>
      <c r="R374" t="s">
        <v>292</v>
      </c>
      <c r="S374" t="s">
        <v>3709</v>
      </c>
      <c r="T374" t="s">
        <v>415</v>
      </c>
      <c r="U374" t="s">
        <v>43</v>
      </c>
      <c r="V374" t="s">
        <v>3710</v>
      </c>
      <c r="W374" t="s">
        <v>3711</v>
      </c>
      <c r="Y374" t="str">
        <f>HYPERLINK("https://recruiter.shine.com/resume/download/?resumeid=gAAAAABbk2ULaVgLk4hxe21LsPRjoH_uaL1oJRIvmhbba75WtfIkts8tY8zrtz9b0HGrSvhHRV_KBKpERowyV9ZEnBQFo1tzm8d331smTjgf-USFC6JKgTv3Wm5mZiiY0dCGMHj75co3")</f>
        <v>https://recruiter.shine.com/resume/download/?resumeid=gAAAAABbk2ULaVgLk4hxe21LsPRjoH_uaL1oJRIvmhbba75WtfIkts8tY8zrtz9b0HGrSvhHRV_KBKpERowyV9ZEnBQFo1tzm8d331smTjgf-USFC6JKgTv3Wm5mZiiY0dCGMHj75co3</v>
      </c>
    </row>
    <row r="375" spans="1:25" ht="39.950000000000003" customHeight="1">
      <c r="A375">
        <v>371</v>
      </c>
      <c r="B375" t="s">
        <v>3712</v>
      </c>
      <c r="C375" t="s">
        <v>3713</v>
      </c>
      <c r="D375" t="s">
        <v>3714</v>
      </c>
      <c r="E375" t="s">
        <v>3715</v>
      </c>
      <c r="F375" t="s">
        <v>858</v>
      </c>
      <c r="G375" t="s">
        <v>3716</v>
      </c>
      <c r="H375" t="s">
        <v>31</v>
      </c>
      <c r="I375" t="s">
        <v>958</v>
      </c>
      <c r="J375" t="s">
        <v>312</v>
      </c>
      <c r="K375" t="s">
        <v>3717</v>
      </c>
      <c r="L375" t="s">
        <v>237</v>
      </c>
      <c r="M375" t="s">
        <v>238</v>
      </c>
      <c r="N375" t="s">
        <v>3718</v>
      </c>
      <c r="O375" t="s">
        <v>38</v>
      </c>
      <c r="P375" t="s">
        <v>39</v>
      </c>
      <c r="Q375" t="s">
        <v>90</v>
      </c>
      <c r="R375" t="s">
        <v>292</v>
      </c>
      <c r="S375" t="s">
        <v>3719</v>
      </c>
      <c r="T375" t="s">
        <v>441</v>
      </c>
      <c r="U375" t="s">
        <v>43</v>
      </c>
      <c r="V375" t="s">
        <v>3720</v>
      </c>
      <c r="W375" t="s">
        <v>3721</v>
      </c>
      <c r="Y375" t="str">
        <f>HYPERLINK("https://recruiter.shine.com/resume/download/?resumeid=gAAAAABbk2UMuT515VQ_Y-cp4LAIDIw5jOr13TFPCewQm73ADcr_RZK9AfszIGe686_JA21ud1uu1Du7SLIWXDKpM3jSObmQ1aGm94_f7oNN1Rs64QBK5AFH1tFC9R4_h6ojdxkD7UERnuUSInStdlAFS_RcF3GJFw==")</f>
        <v>https://recruiter.shine.com/resume/download/?resumeid=gAAAAABbk2UMuT515VQ_Y-cp4LAIDIw5jOr13TFPCewQm73ADcr_RZK9AfszIGe686_JA21ud1uu1Du7SLIWXDKpM3jSObmQ1aGm94_f7oNN1Rs64QBK5AFH1tFC9R4_h6ojdxkD7UERnuUSInStdlAFS_RcF3GJFw==</v>
      </c>
    </row>
    <row r="376" spans="1:25" ht="39.950000000000003" customHeight="1">
      <c r="A376">
        <v>372</v>
      </c>
      <c r="B376" t="s">
        <v>3722</v>
      </c>
      <c r="C376" t="s">
        <v>3723</v>
      </c>
      <c r="D376" t="s">
        <v>3724</v>
      </c>
      <c r="E376" t="s">
        <v>3725</v>
      </c>
      <c r="F376" t="s">
        <v>29</v>
      </c>
      <c r="G376" t="s">
        <v>3726</v>
      </c>
      <c r="H376" t="s">
        <v>31</v>
      </c>
      <c r="I376" t="s">
        <v>1463</v>
      </c>
      <c r="J376" t="s">
        <v>3727</v>
      </c>
      <c r="K376" t="s">
        <v>1609</v>
      </c>
      <c r="L376" t="s">
        <v>266</v>
      </c>
      <c r="M376" t="s">
        <v>105</v>
      </c>
      <c r="N376" t="s">
        <v>3728</v>
      </c>
      <c r="O376" t="s">
        <v>56</v>
      </c>
      <c r="P376" t="s">
        <v>57</v>
      </c>
      <c r="Q376" t="s">
        <v>107</v>
      </c>
      <c r="R376" t="s">
        <v>159</v>
      </c>
      <c r="S376" t="s">
        <v>202</v>
      </c>
      <c r="T376" t="s">
        <v>175</v>
      </c>
      <c r="U376" t="s">
        <v>43</v>
      </c>
      <c r="V376" t="s">
        <v>3729</v>
      </c>
      <c r="W376" t="s">
        <v>3730</v>
      </c>
      <c r="Y376" t="str">
        <f>HYPERLINK("https://recruiter.shine.com/resume/download/?resumeid=gAAAAABbk2UOb5B2p3vO9VrIWGG7D7YXP78YWg7PhzAQ0yM4xlJiq1gEW9ApnuSdckc8YwGWjeog7JwhdW01yo2QaArmsUB4WGIDNjqhq4Vfr75_M16PhpFdqUinbwmFJeCuW56I9FcakTe3xs_Jqw8rncJ4DUDJFrpJIKYPcO4M9dbpYQCGCCI=")</f>
        <v>https://recruiter.shine.com/resume/download/?resumeid=gAAAAABbk2UOb5B2p3vO9VrIWGG7D7YXP78YWg7PhzAQ0yM4xlJiq1gEW9ApnuSdckc8YwGWjeog7JwhdW01yo2QaArmsUB4WGIDNjqhq4Vfr75_M16PhpFdqUinbwmFJeCuW56I9FcakTe3xs_Jqw8rncJ4DUDJFrpJIKYPcO4M9dbpYQCGCCI=</v>
      </c>
    </row>
    <row r="377" spans="1:25" ht="39.950000000000003" customHeight="1">
      <c r="A377">
        <v>373</v>
      </c>
      <c r="B377" t="s">
        <v>3731</v>
      </c>
      <c r="C377" t="s">
        <v>3732</v>
      </c>
      <c r="D377" t="s">
        <v>3733</v>
      </c>
      <c r="E377" t="s">
        <v>3734</v>
      </c>
      <c r="F377" t="s">
        <v>249</v>
      </c>
      <c r="G377" t="s">
        <v>29</v>
      </c>
      <c r="H377" t="s">
        <v>31</v>
      </c>
      <c r="I377" t="s">
        <v>448</v>
      </c>
      <c r="J377" t="s">
        <v>745</v>
      </c>
      <c r="K377" t="s">
        <v>3735</v>
      </c>
      <c r="L377" t="s">
        <v>266</v>
      </c>
      <c r="M377" t="s">
        <v>105</v>
      </c>
      <c r="N377" t="s">
        <v>3736</v>
      </c>
      <c r="O377" t="s">
        <v>56</v>
      </c>
      <c r="P377" t="s">
        <v>73</v>
      </c>
      <c r="Q377" t="s">
        <v>107</v>
      </c>
      <c r="R377" t="s">
        <v>159</v>
      </c>
      <c r="S377" t="s">
        <v>3737</v>
      </c>
      <c r="T377" t="s">
        <v>1137</v>
      </c>
      <c r="U377" t="s">
        <v>43</v>
      </c>
      <c r="V377" t="s">
        <v>3738</v>
      </c>
      <c r="W377" t="s">
        <v>3739</v>
      </c>
      <c r="Y377" t="str">
        <f>HYPERLINK("https://recruiter.shine.com/resume/download/?resumeid=gAAAAABbk2ULRYO0sk0kGDhrLMmp0KV_zFLPezXvgYdgH7bJu952MT8OJFP5LrN1na4cT4Zudh7BZQrw10XLRmJXui8gVWmqjGvgrv9_BNfBy_U826dWfcjGFKowzw8LYYpmz4nEcfhn")</f>
        <v>https://recruiter.shine.com/resume/download/?resumeid=gAAAAABbk2ULRYO0sk0kGDhrLMmp0KV_zFLPezXvgYdgH7bJu952MT8OJFP5LrN1na4cT4Zudh7BZQrw10XLRmJXui8gVWmqjGvgrv9_BNfBy_U826dWfcjGFKowzw8LYYpmz4nEcfhn</v>
      </c>
    </row>
    <row r="378" spans="1:25" ht="39.950000000000003" customHeight="1">
      <c r="A378">
        <v>374</v>
      </c>
      <c r="B378" t="s">
        <v>3740</v>
      </c>
      <c r="C378" t="s">
        <v>3741</v>
      </c>
      <c r="D378" t="s">
        <v>3742</v>
      </c>
      <c r="E378" t="s">
        <v>3743</v>
      </c>
      <c r="F378" t="s">
        <v>29</v>
      </c>
      <c r="G378" t="s">
        <v>3744</v>
      </c>
      <c r="H378" t="s">
        <v>31</v>
      </c>
      <c r="I378" t="s">
        <v>3745</v>
      </c>
      <c r="J378" t="s">
        <v>51</v>
      </c>
      <c r="K378" t="s">
        <v>3746</v>
      </c>
      <c r="L378" t="s">
        <v>199</v>
      </c>
      <c r="M378" t="s">
        <v>36</v>
      </c>
      <c r="N378" t="s">
        <v>3747</v>
      </c>
      <c r="O378" t="s">
        <v>56</v>
      </c>
      <c r="P378" t="s">
        <v>140</v>
      </c>
      <c r="Q378" t="s">
        <v>107</v>
      </c>
      <c r="R378" t="s">
        <v>341</v>
      </c>
      <c r="S378" t="s">
        <v>3748</v>
      </c>
      <c r="T378" t="s">
        <v>304</v>
      </c>
      <c r="U378" t="s">
        <v>43</v>
      </c>
      <c r="V378" t="s">
        <v>3749</v>
      </c>
      <c r="W378" t="s">
        <v>3750</v>
      </c>
      <c r="Y378" t="str">
        <f>HYPERLINK("https://recruiter.shine.com/resume/download/?resumeid=gAAAAABbk2UNlTITKCnSrwYwt3NIiW-Ko9WZP11VFljarcwS-JhrndtNGWN3IVz1ojJGRMmCWc10x7FukZXkANgfI99GfqoUZgbhskyJ-zjeVtLQzRrbk7LI-e2HezWJMPn1tyzGz1tgXvlGr1J0bL6Dk9aAhDpMReyl2-i2gaXPLbVb2Sa8_S0=")</f>
        <v>https://recruiter.shine.com/resume/download/?resumeid=gAAAAABbk2UNlTITKCnSrwYwt3NIiW-Ko9WZP11VFljarcwS-JhrndtNGWN3IVz1ojJGRMmCWc10x7FukZXkANgfI99GfqoUZgbhskyJ-zjeVtLQzRrbk7LI-e2HezWJMPn1tyzGz1tgXvlGr1J0bL6Dk9aAhDpMReyl2-i2gaXPLbVb2Sa8_S0=</v>
      </c>
    </row>
    <row r="379" spans="1:25" ht="39.950000000000003" customHeight="1">
      <c r="A379">
        <v>375</v>
      </c>
      <c r="B379" t="s">
        <v>3751</v>
      </c>
      <c r="D379" t="s">
        <v>3752</v>
      </c>
      <c r="E379" t="s">
        <v>3753</v>
      </c>
      <c r="F379" t="s">
        <v>29</v>
      </c>
      <c r="G379" t="s">
        <v>29</v>
      </c>
      <c r="H379" t="s">
        <v>31</v>
      </c>
      <c r="I379" t="s">
        <v>3754</v>
      </c>
      <c r="J379" t="s">
        <v>3755</v>
      </c>
      <c r="K379" t="s">
        <v>3756</v>
      </c>
      <c r="L379" t="s">
        <v>3757</v>
      </c>
      <c r="M379" t="s">
        <v>238</v>
      </c>
      <c r="N379" t="s">
        <v>3758</v>
      </c>
      <c r="O379" t="s">
        <v>3583</v>
      </c>
      <c r="Q379" t="s">
        <v>489</v>
      </c>
      <c r="R379" t="s">
        <v>490</v>
      </c>
      <c r="S379" t="s">
        <v>188</v>
      </c>
      <c r="T379" t="s">
        <v>399</v>
      </c>
      <c r="U379" t="s">
        <v>43</v>
      </c>
      <c r="V379" t="s">
        <v>3759</v>
      </c>
      <c r="W379" t="s">
        <v>3760</v>
      </c>
      <c r="Y379" t="str">
        <f>HYPERLINK("https://recruiter.shine.com/resume/download/?resumeid=gAAAAABbk2UOnUlbkB1Y3eg6lcMCg-XExwdI-J1Sph4RupWLdk1eWhusIQFD23vFg1RX1J_5NQRysX3Dl6CdtOrPG0R-oXRjYSqOG-M49CIVHJlN4f94b-UNbBDXbUKJm6-ueH06IVPbiaHNWIRRKwtYGsc_9NUaXJtF-fI6Z2TmtQnZJwhZYYE=")</f>
        <v>https://recruiter.shine.com/resume/download/?resumeid=gAAAAABbk2UOnUlbkB1Y3eg6lcMCg-XExwdI-J1Sph4RupWLdk1eWhusIQFD23vFg1RX1J_5NQRysX3Dl6CdtOrPG0R-oXRjYSqOG-M49CIVHJlN4f94b-UNbBDXbUKJm6-ueH06IVPbiaHNWIRRKwtYGsc_9NUaXJtF-fI6Z2TmtQnZJwhZYYE=</v>
      </c>
    </row>
    <row r="380" spans="1:25" ht="39.950000000000003" customHeight="1">
      <c r="A380">
        <v>376</v>
      </c>
      <c r="B380" t="s">
        <v>3761</v>
      </c>
      <c r="C380" t="s">
        <v>3762</v>
      </c>
      <c r="D380" t="s">
        <v>3763</v>
      </c>
      <c r="E380" t="s">
        <v>3764</v>
      </c>
      <c r="F380" t="s">
        <v>29</v>
      </c>
      <c r="G380" t="s">
        <v>3765</v>
      </c>
      <c r="H380" t="s">
        <v>31</v>
      </c>
      <c r="I380" t="s">
        <v>2354</v>
      </c>
      <c r="J380" t="s">
        <v>781</v>
      </c>
      <c r="K380" t="s">
        <v>3766</v>
      </c>
      <c r="L380" t="s">
        <v>3767</v>
      </c>
      <c r="M380" t="s">
        <v>1335</v>
      </c>
      <c r="N380" t="s">
        <v>3768</v>
      </c>
      <c r="O380" t="s">
        <v>38</v>
      </c>
      <c r="P380" t="s">
        <v>201</v>
      </c>
      <c r="Q380" t="s">
        <v>90</v>
      </c>
      <c r="R380" t="s">
        <v>317</v>
      </c>
      <c r="S380" t="s">
        <v>3769</v>
      </c>
      <c r="T380" t="s">
        <v>227</v>
      </c>
      <c r="U380" t="s">
        <v>94</v>
      </c>
      <c r="V380" t="s">
        <v>3770</v>
      </c>
      <c r="W380" t="s">
        <v>3770</v>
      </c>
      <c r="Y380" t="str">
        <f>HYPERLINK("https://recruiter.shine.com/resume/download/?resumeid=gAAAAABbk2UKUXHaHVSniooCNp977a-qCJodgsfnRlRSRqm-pWOosisT-Mp-O22Mw1-ISC6_M8e1_tl0LK1H_HBJOrpPPseszimZl2XsGep03ixCefUjujkawlQJkL7rCdmGGbJPwcEQZ50RUJd_58ntnf0Ev7T89A==")</f>
        <v>https://recruiter.shine.com/resume/download/?resumeid=gAAAAABbk2UKUXHaHVSniooCNp977a-qCJodgsfnRlRSRqm-pWOosisT-Mp-O22Mw1-ISC6_M8e1_tl0LK1H_HBJOrpPPseszimZl2XsGep03ixCefUjujkawlQJkL7rCdmGGbJPwcEQZ50RUJd_58ntnf0Ev7T89A==</v>
      </c>
    </row>
    <row r="381" spans="1:25" ht="39.950000000000003" customHeight="1">
      <c r="A381">
        <v>377</v>
      </c>
      <c r="B381" t="s">
        <v>3771</v>
      </c>
      <c r="C381" t="s">
        <v>3772</v>
      </c>
      <c r="D381" t="s">
        <v>3773</v>
      </c>
      <c r="E381" t="s">
        <v>3774</v>
      </c>
      <c r="F381" t="s">
        <v>29</v>
      </c>
      <c r="G381" t="s">
        <v>3775</v>
      </c>
      <c r="H381" t="s">
        <v>31</v>
      </c>
      <c r="I381" t="s">
        <v>673</v>
      </c>
      <c r="J381" t="s">
        <v>135</v>
      </c>
      <c r="K381" t="s">
        <v>3776</v>
      </c>
      <c r="L381" t="s">
        <v>35</v>
      </c>
      <c r="M381" t="s">
        <v>315</v>
      </c>
      <c r="N381" t="s">
        <v>3777</v>
      </c>
      <c r="O381" t="s">
        <v>56</v>
      </c>
      <c r="P381" t="s">
        <v>201</v>
      </c>
      <c r="Q381" t="s">
        <v>783</v>
      </c>
      <c r="R381" t="s">
        <v>490</v>
      </c>
      <c r="S381" t="s">
        <v>3778</v>
      </c>
      <c r="T381" t="s">
        <v>110</v>
      </c>
      <c r="U381" t="s">
        <v>43</v>
      </c>
      <c r="V381" t="s">
        <v>3779</v>
      </c>
      <c r="W381" t="s">
        <v>3780</v>
      </c>
      <c r="Y381" t="str">
        <f>HYPERLINK("https://recruiter.shine.com/resume/download/?resumeid=gAAAAABbk2UNwFYH8MYaAtAo4sFl0VQ5qLZ65h3uu-oS23JwigapzyEC2q7Nn_mCjNoJbQ8HjE0GI7vSemKMhN6P1qIENHeaeggNRQTOYXzcipP9EXRqdfQZo0iG8uEm194kfoOzgnx08fo53bGt1Xi1bmudkdNU0YpGEeYkhoECwKqrOa4TVc8=")</f>
        <v>https://recruiter.shine.com/resume/download/?resumeid=gAAAAABbk2UNwFYH8MYaAtAo4sFl0VQ5qLZ65h3uu-oS23JwigapzyEC2q7Nn_mCjNoJbQ8HjE0GI7vSemKMhN6P1qIENHeaeggNRQTOYXzcipP9EXRqdfQZo0iG8uEm194kfoOzgnx08fo53bGt1Xi1bmudkdNU0YpGEeYkhoECwKqrOa4TVc8=</v>
      </c>
    </row>
    <row r="382" spans="1:25" ht="39.950000000000003" customHeight="1">
      <c r="A382">
        <v>378</v>
      </c>
      <c r="B382" t="s">
        <v>3781</v>
      </c>
      <c r="D382" t="s">
        <v>3782</v>
      </c>
      <c r="E382" t="s">
        <v>3783</v>
      </c>
      <c r="F382" t="s">
        <v>29</v>
      </c>
      <c r="I382" t="s">
        <v>3784</v>
      </c>
      <c r="J382" t="s">
        <v>169</v>
      </c>
      <c r="K382" t="s">
        <v>3785</v>
      </c>
      <c r="L382" t="s">
        <v>582</v>
      </c>
      <c r="M382" t="s">
        <v>238</v>
      </c>
      <c r="N382" t="s">
        <v>3785</v>
      </c>
      <c r="O382" t="s">
        <v>1041</v>
      </c>
      <c r="Q382" t="s">
        <v>90</v>
      </c>
      <c r="R382" t="s">
        <v>292</v>
      </c>
      <c r="S382" t="s">
        <v>951</v>
      </c>
      <c r="T382" t="s">
        <v>1921</v>
      </c>
      <c r="U382" t="s">
        <v>43</v>
      </c>
      <c r="V382" t="s">
        <v>3786</v>
      </c>
      <c r="W382" t="s">
        <v>3786</v>
      </c>
      <c r="Y382" t="str">
        <f>HYPERLINK("https://recruiter.shine.com/resume/download/?resumeid=gAAAAABbk2UOCtuX9ItX92GfzT7YueyEG1cJM1lHcOmBvK6clFnifyebWuX3gxJebdexS1yYb6iZgNLTqvIPKd4ub68m6tcKoHJsTySjrlLWsy9nvtxoXzjMHD_d1EOmH0g1ZbWszuMgOvnB1q5B-Ll92Xk0mm_HCXNGEfSs9AeJSD7wK2dPIvs=")</f>
        <v>https://recruiter.shine.com/resume/download/?resumeid=gAAAAABbk2UOCtuX9ItX92GfzT7YueyEG1cJM1lHcOmBvK6clFnifyebWuX3gxJebdexS1yYb6iZgNLTqvIPKd4ub68m6tcKoHJsTySjrlLWsy9nvtxoXzjMHD_d1EOmH0g1ZbWszuMgOvnB1q5B-Ll92Xk0mm_HCXNGEfSs9AeJSD7wK2dPIvs=</v>
      </c>
    </row>
    <row r="383" spans="1:25" ht="39.950000000000003" customHeight="1">
      <c r="A383">
        <v>379</v>
      </c>
      <c r="B383" t="s">
        <v>3787</v>
      </c>
      <c r="C383" t="s">
        <v>3788</v>
      </c>
      <c r="D383" t="s">
        <v>3789</v>
      </c>
      <c r="E383" t="s">
        <v>3790</v>
      </c>
      <c r="F383" t="s">
        <v>29</v>
      </c>
      <c r="G383" t="s">
        <v>3791</v>
      </c>
      <c r="H383" t="s">
        <v>31</v>
      </c>
      <c r="I383" t="s">
        <v>3239</v>
      </c>
      <c r="J383" t="s">
        <v>153</v>
      </c>
      <c r="K383" t="s">
        <v>2825</v>
      </c>
      <c r="L383" t="s">
        <v>3792</v>
      </c>
      <c r="M383" t="s">
        <v>121</v>
      </c>
      <c r="N383" t="s">
        <v>3793</v>
      </c>
      <c r="O383" t="s">
        <v>475</v>
      </c>
      <c r="P383" t="s">
        <v>57</v>
      </c>
      <c r="Q383" t="s">
        <v>90</v>
      </c>
      <c r="R383" t="s">
        <v>292</v>
      </c>
      <c r="S383" t="s">
        <v>3794</v>
      </c>
      <c r="T383" t="s">
        <v>144</v>
      </c>
      <c r="U383" t="s">
        <v>43</v>
      </c>
      <c r="V383" t="s">
        <v>3795</v>
      </c>
      <c r="W383" t="s">
        <v>3795</v>
      </c>
      <c r="Y383" t="str">
        <f>HYPERLINK("https://recruiter.shine.com/resume/download/?resumeid=gAAAAABbk2ULtpQD74rCCP7Y7yGDne_FWEo4cdHf-77UWCp1qB3q16eV4O5zgpkLlqvi16TPYCL50LURldYJqVzw0LgTKde1kCPMUoVrIXuBJrZXQO276V9Gjqw-B9IaspdR4WyXKzVS")</f>
        <v>https://recruiter.shine.com/resume/download/?resumeid=gAAAAABbk2ULtpQD74rCCP7Y7yGDne_FWEo4cdHf-77UWCp1qB3q16eV4O5zgpkLlqvi16TPYCL50LURldYJqVzw0LgTKde1kCPMUoVrIXuBJrZXQO276V9Gjqw-B9IaspdR4WyXKzVS</v>
      </c>
    </row>
    <row r="384" spans="1:25" ht="39.950000000000003" customHeight="1">
      <c r="A384">
        <v>380</v>
      </c>
      <c r="B384" t="s">
        <v>3796</v>
      </c>
      <c r="C384" t="s">
        <v>3797</v>
      </c>
      <c r="D384" t="s">
        <v>3798</v>
      </c>
      <c r="E384" t="s">
        <v>3799</v>
      </c>
      <c r="F384" t="s">
        <v>29</v>
      </c>
      <c r="G384" t="s">
        <v>30</v>
      </c>
      <c r="H384" t="s">
        <v>31</v>
      </c>
      <c r="I384" t="s">
        <v>2354</v>
      </c>
      <c r="J384" t="s">
        <v>1816</v>
      </c>
      <c r="K384" t="s">
        <v>3800</v>
      </c>
      <c r="L384" t="s">
        <v>3801</v>
      </c>
      <c r="M384" t="s">
        <v>54</v>
      </c>
      <c r="N384" t="s">
        <v>3802</v>
      </c>
      <c r="O384" t="s">
        <v>1041</v>
      </c>
      <c r="P384" t="s">
        <v>57</v>
      </c>
      <c r="Q384" t="s">
        <v>2267</v>
      </c>
      <c r="R384" t="s">
        <v>2150</v>
      </c>
      <c r="S384" t="s">
        <v>188</v>
      </c>
      <c r="T384" t="s">
        <v>2358</v>
      </c>
      <c r="U384" t="s">
        <v>43</v>
      </c>
      <c r="V384" t="s">
        <v>3803</v>
      </c>
      <c r="W384" t="s">
        <v>3804</v>
      </c>
      <c r="Y384" t="str">
        <f>HYPERLINK("https://recruiter.shine.com/resume/download/?resumeid=gAAAAABbk2UNvb_CYO077nWna_Y0GU9j8_-hdnngFD6B8OkIa8dE3A7VGOtwK7rjUHJyV3NkM5TD2HmjnQVwGpRutZ41arbO_AyZgw93zKjZPWmHr6JZyh46Unl2buHzg_Q3VpjW9A3GZZb5ZNH034NBWDeJ10fs_A42SSg_REbXL5knHmgXy48=")</f>
        <v>https://recruiter.shine.com/resume/download/?resumeid=gAAAAABbk2UNvb_CYO077nWna_Y0GU9j8_-hdnngFD6B8OkIa8dE3A7VGOtwK7rjUHJyV3NkM5TD2HmjnQVwGpRutZ41arbO_AyZgw93zKjZPWmHr6JZyh46Unl2buHzg_Q3VpjW9A3GZZb5ZNH034NBWDeJ10fs_A42SSg_REbXL5knHmgXy48=</v>
      </c>
    </row>
    <row r="385" spans="1:25" ht="39.950000000000003" customHeight="1">
      <c r="A385">
        <v>381</v>
      </c>
      <c r="B385" t="s">
        <v>3805</v>
      </c>
      <c r="D385" t="s">
        <v>3806</v>
      </c>
      <c r="E385" t="s">
        <v>3807</v>
      </c>
      <c r="F385" t="s">
        <v>29</v>
      </c>
      <c r="H385" t="s">
        <v>31</v>
      </c>
      <c r="I385" t="s">
        <v>1463</v>
      </c>
      <c r="J385" t="s">
        <v>3808</v>
      </c>
      <c r="K385" t="s">
        <v>3809</v>
      </c>
      <c r="L385" t="s">
        <v>1674</v>
      </c>
      <c r="M385" t="s">
        <v>54</v>
      </c>
      <c r="N385" t="s">
        <v>355</v>
      </c>
      <c r="O385" t="s">
        <v>3810</v>
      </c>
      <c r="Q385" t="s">
        <v>123</v>
      </c>
      <c r="R385" t="s">
        <v>124</v>
      </c>
      <c r="S385" t="s">
        <v>3811</v>
      </c>
      <c r="T385" t="s">
        <v>561</v>
      </c>
      <c r="U385" t="s">
        <v>43</v>
      </c>
      <c r="V385" t="s">
        <v>3812</v>
      </c>
      <c r="W385" t="s">
        <v>3813</v>
      </c>
      <c r="Y385" t="str">
        <f>HYPERLINK("https://recruiter.shine.com/resume/download/?resumeid=gAAAAABbk2UNIeUr9jMMnTXTAGDKWyRa8GLadmP1b8IOMgIjdGt55iG96SM9tBv2haFcpo8_pa31141tJpef9pM2BanW9Bv1y2Vp_2Uv8xIedmljfzeIzViRU3vT_wsnmLG537tOjTr0pv0uLef3gAiythj-6X52vQ==")</f>
        <v>https://recruiter.shine.com/resume/download/?resumeid=gAAAAABbk2UNIeUr9jMMnTXTAGDKWyRa8GLadmP1b8IOMgIjdGt55iG96SM9tBv2haFcpo8_pa31141tJpef9pM2BanW9Bv1y2Vp_2Uv8xIedmljfzeIzViRU3vT_wsnmLG537tOjTr0pv0uLef3gAiythj-6X52vQ==</v>
      </c>
    </row>
    <row r="386" spans="1:25" ht="39.950000000000003" customHeight="1">
      <c r="A386">
        <v>382</v>
      </c>
      <c r="B386" t="s">
        <v>3814</v>
      </c>
      <c r="C386" t="s">
        <v>3815</v>
      </c>
      <c r="D386" t="s">
        <v>3816</v>
      </c>
      <c r="E386" t="s">
        <v>3817</v>
      </c>
      <c r="F386" t="s">
        <v>29</v>
      </c>
      <c r="G386" t="s">
        <v>3818</v>
      </c>
      <c r="H386" t="s">
        <v>31</v>
      </c>
      <c r="I386" t="s">
        <v>1709</v>
      </c>
      <c r="J386" t="s">
        <v>3819</v>
      </c>
      <c r="K386" t="s">
        <v>3820</v>
      </c>
      <c r="L386" t="s">
        <v>664</v>
      </c>
      <c r="M386" t="s">
        <v>54</v>
      </c>
      <c r="N386" t="s">
        <v>3821</v>
      </c>
      <c r="O386" t="s">
        <v>157</v>
      </c>
      <c r="P386" t="s">
        <v>73</v>
      </c>
      <c r="Q386" t="s">
        <v>58</v>
      </c>
      <c r="R386" t="s">
        <v>897</v>
      </c>
      <c r="S386" t="s">
        <v>3822</v>
      </c>
      <c r="T386" t="s">
        <v>887</v>
      </c>
      <c r="U386" t="s">
        <v>43</v>
      </c>
      <c r="V386" t="s">
        <v>3823</v>
      </c>
      <c r="W386" t="s">
        <v>3824</v>
      </c>
      <c r="Y386" t="str">
        <f>HYPERLINK("https://recruiter.shine.com/resume/download/?resumeid=gAAAAABbk2ULHlVSt0EFeRWzPUmejlFi0yi8bsgNVzRnPfQScw-YS7-t58962p5sBrb8SqaqwVNd_yGFC2jzPrmODIDmebKTlcjXmppUGIRd1pAgxOj6WxgZFNFao8hP3w_14MjH7GNf")</f>
        <v>https://recruiter.shine.com/resume/download/?resumeid=gAAAAABbk2ULHlVSt0EFeRWzPUmejlFi0yi8bsgNVzRnPfQScw-YS7-t58962p5sBrb8SqaqwVNd_yGFC2jzPrmODIDmebKTlcjXmppUGIRd1pAgxOj6WxgZFNFao8hP3w_14MjH7GNf</v>
      </c>
    </row>
    <row r="387" spans="1:25" ht="39.950000000000003" customHeight="1">
      <c r="A387">
        <v>383</v>
      </c>
      <c r="B387" t="s">
        <v>3825</v>
      </c>
      <c r="C387" t="s">
        <v>3826</v>
      </c>
      <c r="D387" t="s">
        <v>3827</v>
      </c>
      <c r="E387" t="s">
        <v>3828</v>
      </c>
      <c r="F387" t="s">
        <v>29</v>
      </c>
      <c r="G387" t="s">
        <v>3829</v>
      </c>
      <c r="H387" t="s">
        <v>31</v>
      </c>
      <c r="I387" t="s">
        <v>1774</v>
      </c>
      <c r="J387" t="s">
        <v>801</v>
      </c>
      <c r="K387" t="s">
        <v>3830</v>
      </c>
      <c r="L387" t="s">
        <v>1487</v>
      </c>
      <c r="M387" t="s">
        <v>36</v>
      </c>
      <c r="N387" t="s">
        <v>3831</v>
      </c>
      <c r="O387" t="s">
        <v>186</v>
      </c>
      <c r="P387" t="s">
        <v>57</v>
      </c>
      <c r="Q387" t="s">
        <v>90</v>
      </c>
      <c r="R387" t="s">
        <v>91</v>
      </c>
      <c r="S387" t="s">
        <v>3832</v>
      </c>
      <c r="T387" t="s">
        <v>625</v>
      </c>
      <c r="U387" t="s">
        <v>43</v>
      </c>
      <c r="V387" t="s">
        <v>3833</v>
      </c>
      <c r="W387" t="s">
        <v>3834</v>
      </c>
      <c r="Y387" t="str">
        <f>HYPERLINK("https://recruiter.shine.com/resume/download/?resumeid=gAAAAABbk2UNRNymOrLPtZnonER7TIdwVYa42Jmb9UXJP_ofr6_eeruq5Afe27YrQQrHAIN7zfEdCLJMpgsKgfxolLfAiY564llVIXt5-XE6d6aZ0xOIER93XtPjtrSj3V3R2IripEcs0zjnvjxUSJc1Ftp6ykuQzCnsNiaKt5bwi6OG7KWx9m8=")</f>
        <v>https://recruiter.shine.com/resume/download/?resumeid=gAAAAABbk2UNRNymOrLPtZnonER7TIdwVYa42Jmb9UXJP_ofr6_eeruq5Afe27YrQQrHAIN7zfEdCLJMpgsKgfxolLfAiY564llVIXt5-XE6d6aZ0xOIER93XtPjtrSj3V3R2IripEcs0zjnvjxUSJc1Ftp6ykuQzCnsNiaKt5bwi6OG7KWx9m8=</v>
      </c>
    </row>
    <row r="388" spans="1:25" ht="39.950000000000003" customHeight="1">
      <c r="A388">
        <v>384</v>
      </c>
      <c r="B388" t="s">
        <v>3835</v>
      </c>
      <c r="D388" t="s">
        <v>3836</v>
      </c>
      <c r="E388" t="s">
        <v>3837</v>
      </c>
      <c r="F388" t="s">
        <v>29</v>
      </c>
      <c r="G388" t="s">
        <v>29</v>
      </c>
      <c r="H388" t="s">
        <v>31</v>
      </c>
      <c r="I388" t="s">
        <v>1059</v>
      </c>
      <c r="J388" t="s">
        <v>169</v>
      </c>
      <c r="K388" t="s">
        <v>3838</v>
      </c>
      <c r="L388" t="s">
        <v>1674</v>
      </c>
      <c r="M388" t="s">
        <v>36</v>
      </c>
      <c r="N388" t="s">
        <v>3839</v>
      </c>
      <c r="O388" t="s">
        <v>56</v>
      </c>
      <c r="Q388" t="s">
        <v>90</v>
      </c>
      <c r="R388" t="s">
        <v>317</v>
      </c>
      <c r="S388" t="s">
        <v>3840</v>
      </c>
      <c r="T388" t="s">
        <v>227</v>
      </c>
      <c r="U388" t="s">
        <v>94</v>
      </c>
      <c r="V388" t="s">
        <v>3841</v>
      </c>
      <c r="W388" t="s">
        <v>3841</v>
      </c>
      <c r="Y388" t="str">
        <f>HYPERLINK("https://recruiter.shine.com/resume/download/?resumeid=gAAAAABbk2UON8jpnyoopMRi0WUN0IGqh3qk71TsBy-dKLu5kUw0HGguK8-F-OVaOPRgsUvsxIyGFTFpZQq8Hu4L-pROapKAFNxN--5yAPTbL7SxBPuk02HXgSDgEwZW3XlEmjP9cEzNfZDsJbdwkC2o9Wj9OyrlJZvo9NZ7HmkpwN4yzeTunv8=")</f>
        <v>https://recruiter.shine.com/resume/download/?resumeid=gAAAAABbk2UON8jpnyoopMRi0WUN0IGqh3qk71TsBy-dKLu5kUw0HGguK8-F-OVaOPRgsUvsxIyGFTFpZQq8Hu4L-pROapKAFNxN--5yAPTbL7SxBPuk02HXgSDgEwZW3XlEmjP9cEzNfZDsJbdwkC2o9Wj9OyrlJZvo9NZ7HmkpwN4yzeTunv8=</v>
      </c>
    </row>
    <row r="389" spans="1:25" ht="39.950000000000003" customHeight="1">
      <c r="A389">
        <v>385</v>
      </c>
      <c r="B389" t="s">
        <v>3842</v>
      </c>
      <c r="C389" t="s">
        <v>3843</v>
      </c>
      <c r="D389" t="s">
        <v>3844</v>
      </c>
      <c r="E389" t="s">
        <v>3845</v>
      </c>
      <c r="F389" t="s">
        <v>29</v>
      </c>
      <c r="G389" t="s">
        <v>29</v>
      </c>
      <c r="H389" t="s">
        <v>234</v>
      </c>
      <c r="I389" t="s">
        <v>825</v>
      </c>
      <c r="J389" t="s">
        <v>251</v>
      </c>
      <c r="K389" t="s">
        <v>3846</v>
      </c>
      <c r="L389" t="s">
        <v>1918</v>
      </c>
      <c r="M389" t="s">
        <v>1755</v>
      </c>
      <c r="N389" t="s">
        <v>3847</v>
      </c>
      <c r="O389" t="s">
        <v>157</v>
      </c>
      <c r="P389" t="s">
        <v>57</v>
      </c>
      <c r="Q389" t="s">
        <v>123</v>
      </c>
      <c r="R389" t="s">
        <v>124</v>
      </c>
      <c r="S389" t="s">
        <v>188</v>
      </c>
      <c r="U389" t="s">
        <v>127</v>
      </c>
      <c r="V389" t="s">
        <v>3848</v>
      </c>
      <c r="W389" t="s">
        <v>3849</v>
      </c>
      <c r="Y389" t="str">
        <f>HYPERLINK("https://recruiter.shine.com/resume/download/?resumeid=gAAAAABbk2UK3_e1xpe_1rS3Jj99RSGq_NAV-Q8bGfMsgB3unEi-SACRQnXyba7ux0xxslxWMc6r19Ai9qY0o2FPcDy5WBSKvV8bZhnKp_fPSVxEyKBHGe7wzRitpEO3PZ-YYzSPbFCu")</f>
        <v>https://recruiter.shine.com/resume/download/?resumeid=gAAAAABbk2UK3_e1xpe_1rS3Jj99RSGq_NAV-Q8bGfMsgB3unEi-SACRQnXyba7ux0xxslxWMc6r19Ai9qY0o2FPcDy5WBSKvV8bZhnKp_fPSVxEyKBHGe7wzRitpEO3PZ-YYzSPbFCu</v>
      </c>
    </row>
    <row r="390" spans="1:25" ht="39.950000000000003" customHeight="1">
      <c r="A390">
        <v>386</v>
      </c>
      <c r="B390" t="s">
        <v>3850</v>
      </c>
      <c r="C390" t="s">
        <v>3851</v>
      </c>
      <c r="D390" t="s">
        <v>3852</v>
      </c>
      <c r="E390" t="s">
        <v>3853</v>
      </c>
      <c r="F390" t="s">
        <v>29</v>
      </c>
      <c r="G390" t="s">
        <v>1049</v>
      </c>
      <c r="H390" t="s">
        <v>31</v>
      </c>
      <c r="I390" t="s">
        <v>836</v>
      </c>
      <c r="J390" t="s">
        <v>3147</v>
      </c>
      <c r="K390" t="s">
        <v>3854</v>
      </c>
      <c r="L390" t="s">
        <v>486</v>
      </c>
      <c r="M390" t="s">
        <v>238</v>
      </c>
      <c r="N390" t="s">
        <v>3855</v>
      </c>
      <c r="O390" t="s">
        <v>585</v>
      </c>
      <c r="P390" t="s">
        <v>73</v>
      </c>
      <c r="Q390" t="s">
        <v>90</v>
      </c>
      <c r="R390" t="s">
        <v>292</v>
      </c>
      <c r="S390" t="s">
        <v>3856</v>
      </c>
      <c r="U390" t="s">
        <v>43</v>
      </c>
      <c r="V390" t="s">
        <v>3857</v>
      </c>
      <c r="W390" t="s">
        <v>3858</v>
      </c>
      <c r="Y390" t="str">
        <f>HYPERLINK("https://recruiter.shine.com/resume/download/?resumeid=gAAAAABbk2UMDmL5hKw6Bt_SIic9EG9nUs2_i22_1-D-GC-7t1rbp0RxZD807sJLTlmg_HRFlGku2KmNEeW3ShplVC0b8_w1yTGzH4ZsVLkKIFfpjJ9J5Hr-5qz02s62x8Wy9NiMdiZGKupbbzpap37ty8xKWqaBYa9vC60x6eVSeaXll3NZUyk=")</f>
        <v>https://recruiter.shine.com/resume/download/?resumeid=gAAAAABbk2UMDmL5hKw6Bt_SIic9EG9nUs2_i22_1-D-GC-7t1rbp0RxZD807sJLTlmg_HRFlGku2KmNEeW3ShplVC0b8_w1yTGzH4ZsVLkKIFfpjJ9J5Hr-5qz02s62x8Wy9NiMdiZGKupbbzpap37ty8xKWqaBYa9vC60x6eVSeaXll3NZUyk=</v>
      </c>
    </row>
    <row r="391" spans="1:25" ht="39.950000000000003" customHeight="1">
      <c r="A391">
        <v>387</v>
      </c>
      <c r="B391" t="s">
        <v>3859</v>
      </c>
      <c r="C391" t="s">
        <v>3860</v>
      </c>
      <c r="D391" t="s">
        <v>3861</v>
      </c>
      <c r="E391" t="s">
        <v>3862</v>
      </c>
      <c r="F391" t="s">
        <v>29</v>
      </c>
      <c r="G391" t="s">
        <v>29</v>
      </c>
      <c r="H391" t="s">
        <v>31</v>
      </c>
      <c r="I391" t="s">
        <v>1876</v>
      </c>
      <c r="J391" t="s">
        <v>3863</v>
      </c>
      <c r="K391" t="s">
        <v>1167</v>
      </c>
      <c r="L391" t="s">
        <v>266</v>
      </c>
      <c r="M391" t="s">
        <v>2845</v>
      </c>
      <c r="N391" t="s">
        <v>3864</v>
      </c>
      <c r="O391" t="s">
        <v>38</v>
      </c>
      <c r="P391" t="s">
        <v>57</v>
      </c>
      <c r="Q391" t="s">
        <v>90</v>
      </c>
      <c r="R391" t="s">
        <v>91</v>
      </c>
      <c r="S391" t="s">
        <v>3865</v>
      </c>
      <c r="T391" t="s">
        <v>93</v>
      </c>
      <c r="U391" t="s">
        <v>43</v>
      </c>
      <c r="V391" t="s">
        <v>3866</v>
      </c>
      <c r="W391" t="s">
        <v>3867</v>
      </c>
      <c r="Y391" t="str">
        <f>HYPERLINK("https://recruiter.shine.com/resume/download/?resumeid=gAAAAABbk2UOyPfHdnjUn_ZKccm6xSQclmor2W40XEV7C0XYqLn5h6EiQPhxXpXyDN0egUD_duo2Qh7qhdO5N0aJT2id5iou4NrvitgJ4y8Ubnh_S9RLD-c28A_tOxdx25UhaOY71Ma-CMHNN6mL9HjTF_waAEsJjfg3Arqz2CcBRpDwDhXTtig=")</f>
        <v>https://recruiter.shine.com/resume/download/?resumeid=gAAAAABbk2UOyPfHdnjUn_ZKccm6xSQclmor2W40XEV7C0XYqLn5h6EiQPhxXpXyDN0egUD_duo2Qh7qhdO5N0aJT2id5iou4NrvitgJ4y8Ubnh_S9RLD-c28A_tOxdx25UhaOY71Ma-CMHNN6mL9HjTF_waAEsJjfg3Arqz2CcBRpDwDhXTtig=</v>
      </c>
    </row>
    <row r="392" spans="1:25" ht="39.950000000000003" customHeight="1">
      <c r="A392">
        <v>388</v>
      </c>
      <c r="B392" t="s">
        <v>3868</v>
      </c>
      <c r="C392" t="s">
        <v>3869</v>
      </c>
      <c r="D392" t="s">
        <v>3870</v>
      </c>
      <c r="E392" t="s">
        <v>286</v>
      </c>
      <c r="F392" t="s">
        <v>29</v>
      </c>
      <c r="G392" t="s">
        <v>2129</v>
      </c>
      <c r="H392" t="s">
        <v>31</v>
      </c>
      <c r="I392" t="s">
        <v>287</v>
      </c>
      <c r="J392" t="s">
        <v>288</v>
      </c>
      <c r="K392" t="s">
        <v>3871</v>
      </c>
      <c r="L392" t="s">
        <v>290</v>
      </c>
      <c r="M392" t="s">
        <v>238</v>
      </c>
      <c r="N392" t="s">
        <v>291</v>
      </c>
      <c r="O392" t="s">
        <v>56</v>
      </c>
      <c r="P392" t="s">
        <v>39</v>
      </c>
      <c r="Q392" t="s">
        <v>123</v>
      </c>
      <c r="R392" t="s">
        <v>124</v>
      </c>
      <c r="S392" t="s">
        <v>188</v>
      </c>
      <c r="T392" t="s">
        <v>227</v>
      </c>
      <c r="U392" t="s">
        <v>43</v>
      </c>
      <c r="V392" t="s">
        <v>3872</v>
      </c>
      <c r="W392" t="s">
        <v>3873</v>
      </c>
      <c r="Y392" t="str">
        <f>HYPERLINK("https://recruiter.shine.com/resume/download/?resumeid=gAAAAABbk2ULYx8JGsWjiejE904QoWnLsj4p1LEhZl3Oz0ShA319HAJHtIo6SyChjYIK9r44eY87UO3bUuuiQzLAr7UNQ9HEfsqZ67ClbIJ8gtSS0kxpfQ9Fo-Z2LArHLfGLrGuAgzZv")</f>
        <v>https://recruiter.shine.com/resume/download/?resumeid=gAAAAABbk2ULYx8JGsWjiejE904QoWnLsj4p1LEhZl3Oz0ShA319HAJHtIo6SyChjYIK9r44eY87UO3bUuuiQzLAr7UNQ9HEfsqZ67ClbIJ8gtSS0kxpfQ9Fo-Z2LArHLfGLrGuAgzZv</v>
      </c>
    </row>
    <row r="393" spans="1:25" ht="39.950000000000003" customHeight="1">
      <c r="A393">
        <v>389</v>
      </c>
      <c r="B393" t="s">
        <v>3874</v>
      </c>
      <c r="C393" t="s">
        <v>3875</v>
      </c>
      <c r="D393" t="s">
        <v>3876</v>
      </c>
      <c r="E393" t="s">
        <v>3877</v>
      </c>
      <c r="F393" t="s">
        <v>29</v>
      </c>
      <c r="G393" t="s">
        <v>29</v>
      </c>
      <c r="H393" t="s">
        <v>31</v>
      </c>
      <c r="I393" t="s">
        <v>2892</v>
      </c>
      <c r="J393" t="s">
        <v>312</v>
      </c>
      <c r="K393" t="s">
        <v>3878</v>
      </c>
      <c r="L393" t="s">
        <v>3566</v>
      </c>
      <c r="M393" t="s">
        <v>121</v>
      </c>
      <c r="N393" t="s">
        <v>3879</v>
      </c>
      <c r="O393" t="s">
        <v>224</v>
      </c>
      <c r="Q393" t="s">
        <v>40</v>
      </c>
      <c r="R393" t="s">
        <v>41</v>
      </c>
      <c r="S393" t="s">
        <v>3880</v>
      </c>
      <c r="T393" t="s">
        <v>110</v>
      </c>
      <c r="U393" t="s">
        <v>43</v>
      </c>
      <c r="V393" t="s">
        <v>3881</v>
      </c>
      <c r="W393" t="s">
        <v>3882</v>
      </c>
      <c r="Y393" t="str">
        <f>HYPERLINK("https://recruiter.shine.com/resume/download/?resumeid=gAAAAABbk2UM52swWuHDcmNUK6dmahdhnv_1Gp25t7Nng955KMuNOmPYMXq4aiWrYp3Lxdq5pGD0lQfgIYuPPcYjGFPIu3i7cnHcgR-8L8MMNpZTYca9HYjsqL4ykcYF-Kf2ulM5sA8XK9mSPp4Joeb-6i9lRbBuSyaNFMDa1MFknXakEuajp4E=")</f>
        <v>https://recruiter.shine.com/resume/download/?resumeid=gAAAAABbk2UM52swWuHDcmNUK6dmahdhnv_1Gp25t7Nng955KMuNOmPYMXq4aiWrYp3Lxdq5pGD0lQfgIYuPPcYjGFPIu3i7cnHcgR-8L8MMNpZTYca9HYjsqL4ykcYF-Kf2ulM5sA8XK9mSPp4Joeb-6i9lRbBuSyaNFMDa1MFknXakEuajp4E=</v>
      </c>
    </row>
    <row r="394" spans="1:25" ht="39.950000000000003" customHeight="1">
      <c r="A394">
        <v>390</v>
      </c>
      <c r="B394" t="s">
        <v>3883</v>
      </c>
      <c r="C394" t="s">
        <v>3884</v>
      </c>
      <c r="D394" t="s">
        <v>3885</v>
      </c>
      <c r="E394" t="s">
        <v>3886</v>
      </c>
      <c r="F394" t="s">
        <v>29</v>
      </c>
      <c r="G394" t="s">
        <v>29</v>
      </c>
      <c r="H394" t="s">
        <v>234</v>
      </c>
      <c r="I394" t="s">
        <v>662</v>
      </c>
      <c r="J394" t="s">
        <v>299</v>
      </c>
      <c r="K394" t="s">
        <v>518</v>
      </c>
      <c r="L394" t="s">
        <v>266</v>
      </c>
      <c r="M394" t="s">
        <v>684</v>
      </c>
      <c r="N394" t="s">
        <v>3887</v>
      </c>
      <c r="O394" t="s">
        <v>56</v>
      </c>
      <c r="P394" t="s">
        <v>201</v>
      </c>
      <c r="Q394" t="s">
        <v>107</v>
      </c>
      <c r="R394" t="s">
        <v>159</v>
      </c>
      <c r="S394" t="s">
        <v>3888</v>
      </c>
      <c r="T394" t="s">
        <v>110</v>
      </c>
      <c r="U394" t="s">
        <v>43</v>
      </c>
      <c r="V394" t="s">
        <v>3889</v>
      </c>
      <c r="W394" t="s">
        <v>3890</v>
      </c>
      <c r="Y394" t="str">
        <f>HYPERLINK("https://recruiter.shine.com/resume/download/?resumeid=gAAAAABbk2UOYK_bLhTItj7ZaG-_GqE3fUFCD6kJ0IQA6wm7XE9E-E3hTh4wL2GIdzH7jv5GIkDgyvpmwVKAH0tGq4BXfqnw5s_Y8TPGdT66KBpFMWah0-zwrorVkOtozo2aremsp96KUDlhEke6LJPiwLYGKPlQmTO7Vc-EV603cKV9vriDDmo=")</f>
        <v>https://recruiter.shine.com/resume/download/?resumeid=gAAAAABbk2UOYK_bLhTItj7ZaG-_GqE3fUFCD6kJ0IQA6wm7XE9E-E3hTh4wL2GIdzH7jv5GIkDgyvpmwVKAH0tGq4BXfqnw5s_Y8TPGdT66KBpFMWah0-zwrorVkOtozo2aremsp96KUDlhEke6LJPiwLYGKPlQmTO7Vc-EV603cKV9vriDDmo=</v>
      </c>
    </row>
    <row r="395" spans="1:25" ht="39.950000000000003" customHeight="1">
      <c r="A395">
        <v>391</v>
      </c>
      <c r="B395" t="s">
        <v>3891</v>
      </c>
      <c r="C395" t="s">
        <v>3892</v>
      </c>
      <c r="D395" t="s">
        <v>3893</v>
      </c>
      <c r="E395" t="s">
        <v>3894</v>
      </c>
      <c r="F395" t="s">
        <v>29</v>
      </c>
      <c r="G395" t="s">
        <v>29</v>
      </c>
      <c r="H395" t="s">
        <v>234</v>
      </c>
      <c r="I395" t="s">
        <v>836</v>
      </c>
      <c r="J395" t="s">
        <v>1785</v>
      </c>
      <c r="K395" t="s">
        <v>3895</v>
      </c>
      <c r="L395" t="s">
        <v>937</v>
      </c>
      <c r="M395" t="s">
        <v>3896</v>
      </c>
      <c r="N395" t="s">
        <v>3897</v>
      </c>
      <c r="O395" t="s">
        <v>585</v>
      </c>
      <c r="P395" t="s">
        <v>201</v>
      </c>
      <c r="Q395" t="s">
        <v>90</v>
      </c>
      <c r="R395" t="s">
        <v>292</v>
      </c>
      <c r="S395" t="s">
        <v>3898</v>
      </c>
      <c r="T395" t="s">
        <v>415</v>
      </c>
      <c r="U395" t="s">
        <v>127</v>
      </c>
      <c r="V395" t="s">
        <v>3899</v>
      </c>
      <c r="W395" t="s">
        <v>3900</v>
      </c>
      <c r="Y395" t="str">
        <f>HYPERLINK("https://recruiter.shine.com/resume/download/?resumeid=gAAAAABbk2ULc44wMtwUmZyYhiGPj8Ia_lGpQWYkO2wj3BsU5pbIS14pkTCY6HMd9BdMffty2av2xcEbHKTMbwroAB8Rg6UpXTx7uD2j67lwiBXBPxnsmacy6O59fQK32ABnHawt4N6D")</f>
        <v>https://recruiter.shine.com/resume/download/?resumeid=gAAAAABbk2ULc44wMtwUmZyYhiGPj8Ia_lGpQWYkO2wj3BsU5pbIS14pkTCY6HMd9BdMffty2av2xcEbHKTMbwroAB8Rg6UpXTx7uD2j67lwiBXBPxnsmacy6O59fQK32ABnHawt4N6D</v>
      </c>
    </row>
    <row r="396" spans="1:25" ht="39.950000000000003" customHeight="1">
      <c r="A396">
        <v>392</v>
      </c>
      <c r="B396" t="s">
        <v>3901</v>
      </c>
      <c r="C396" t="s">
        <v>3902</v>
      </c>
      <c r="D396" t="s">
        <v>3903</v>
      </c>
      <c r="E396" t="s">
        <v>3904</v>
      </c>
      <c r="F396" t="s">
        <v>29</v>
      </c>
      <c r="G396" t="s">
        <v>3905</v>
      </c>
      <c r="H396" t="s">
        <v>31</v>
      </c>
      <c r="I396" t="s">
        <v>998</v>
      </c>
      <c r="J396" t="s">
        <v>3906</v>
      </c>
      <c r="K396" t="s">
        <v>3907</v>
      </c>
      <c r="L396" t="s">
        <v>1390</v>
      </c>
      <c r="M396" t="s">
        <v>138</v>
      </c>
      <c r="N396" t="s">
        <v>3908</v>
      </c>
      <c r="O396" t="s">
        <v>186</v>
      </c>
      <c r="P396" t="s">
        <v>57</v>
      </c>
      <c r="Q396" t="s">
        <v>107</v>
      </c>
      <c r="R396" t="s">
        <v>3100</v>
      </c>
      <c r="S396" t="s">
        <v>3909</v>
      </c>
      <c r="T396" t="s">
        <v>441</v>
      </c>
      <c r="U396" t="s">
        <v>43</v>
      </c>
      <c r="V396" t="s">
        <v>3910</v>
      </c>
      <c r="W396" t="s">
        <v>3911</v>
      </c>
      <c r="Y396" t="str">
        <f>HYPERLINK("https://recruiter.shine.com/resume/download/?resumeid=gAAAAABbk2UMSsNI6x0NT_9DFndg2_gpZVw4JYS4JPohEUW-Bmq49Qr7IBkOkcAkMjspRVd-kkHimH9mQEGs-L39o7E5g1jqAYhbq5GGLvseeOe_4YfLAk3T_qwXMvCIAQ7z2Sb1wOEeI_fC4rE0yWwChOUhWUS2fo1PeJBACUqvgDC3d_gynIc=")</f>
        <v>https://recruiter.shine.com/resume/download/?resumeid=gAAAAABbk2UMSsNI6x0NT_9DFndg2_gpZVw4JYS4JPohEUW-Bmq49Qr7IBkOkcAkMjspRVd-kkHimH9mQEGs-L39o7E5g1jqAYhbq5GGLvseeOe_4YfLAk3T_qwXMvCIAQ7z2Sb1wOEeI_fC4rE0yWwChOUhWUS2fo1PeJBACUqvgDC3d_gynIc=</v>
      </c>
    </row>
    <row r="397" spans="1:25" ht="39.950000000000003" customHeight="1">
      <c r="A397">
        <v>393</v>
      </c>
      <c r="B397" t="s">
        <v>3912</v>
      </c>
      <c r="C397" t="s">
        <v>3913</v>
      </c>
      <c r="D397" t="s">
        <v>3914</v>
      </c>
      <c r="E397" t="s">
        <v>3915</v>
      </c>
      <c r="F397" t="s">
        <v>249</v>
      </c>
      <c r="G397" t="s">
        <v>249</v>
      </c>
      <c r="H397" t="s">
        <v>31</v>
      </c>
      <c r="I397" t="s">
        <v>3016</v>
      </c>
      <c r="J397" t="s">
        <v>153</v>
      </c>
      <c r="K397" t="s">
        <v>3916</v>
      </c>
      <c r="L397" t="s">
        <v>664</v>
      </c>
      <c r="M397" t="s">
        <v>36</v>
      </c>
      <c r="N397" t="s">
        <v>3917</v>
      </c>
      <c r="O397" t="s">
        <v>157</v>
      </c>
      <c r="P397" t="s">
        <v>57</v>
      </c>
      <c r="Q397" t="s">
        <v>107</v>
      </c>
      <c r="R397" t="s">
        <v>341</v>
      </c>
      <c r="S397" t="s">
        <v>3918</v>
      </c>
      <c r="T397" t="s">
        <v>110</v>
      </c>
      <c r="U397" t="s">
        <v>43</v>
      </c>
      <c r="V397" t="s">
        <v>3919</v>
      </c>
      <c r="W397" t="s">
        <v>3920</v>
      </c>
      <c r="Y397" t="str">
        <f>HYPERLINK("https://recruiter.shine.com/resume/download/?resumeid=gAAAAABbk2UOOxdRWwTfN19HohSi3UtQBlWMeLW1jj6prdTw6wT46lCxEWTWod6KsBgB7kP_YindP6xn_OF9t8kKCGjQwqKvJHhrh8Gbnw2RjmH7xVd_6xgEqSf6P8U5ydjpPpmCMGflfHD3CjnzbSWswQcLF6Pq4Q==")</f>
        <v>https://recruiter.shine.com/resume/download/?resumeid=gAAAAABbk2UOOxdRWwTfN19HohSi3UtQBlWMeLW1jj6prdTw6wT46lCxEWTWod6KsBgB7kP_YindP6xn_OF9t8kKCGjQwqKvJHhrh8Gbnw2RjmH7xVd_6xgEqSf6P8U5ydjpPpmCMGflfHD3CjnzbSWswQcLF6Pq4Q==</v>
      </c>
    </row>
    <row r="398" spans="1:25" ht="39.950000000000003" customHeight="1">
      <c r="A398">
        <v>394</v>
      </c>
      <c r="B398" t="s">
        <v>3921</v>
      </c>
      <c r="C398" t="s">
        <v>3922</v>
      </c>
      <c r="D398" t="s">
        <v>3923</v>
      </c>
      <c r="E398" t="s">
        <v>3924</v>
      </c>
      <c r="F398" t="s">
        <v>29</v>
      </c>
      <c r="G398" t="s">
        <v>29</v>
      </c>
      <c r="H398" t="s">
        <v>31</v>
      </c>
      <c r="I398" t="s">
        <v>152</v>
      </c>
      <c r="J398" t="s">
        <v>3925</v>
      </c>
      <c r="K398" t="s">
        <v>3926</v>
      </c>
      <c r="L398" t="s">
        <v>237</v>
      </c>
      <c r="M398" t="s">
        <v>238</v>
      </c>
      <c r="N398" t="s">
        <v>3927</v>
      </c>
      <c r="O398" t="s">
        <v>224</v>
      </c>
      <c r="P398" t="s">
        <v>73</v>
      </c>
      <c r="Q398" t="s">
        <v>90</v>
      </c>
      <c r="R398" t="s">
        <v>292</v>
      </c>
      <c r="S398" t="s">
        <v>3928</v>
      </c>
      <c r="T398" t="s">
        <v>304</v>
      </c>
      <c r="U398" t="s">
        <v>94</v>
      </c>
      <c r="V398" t="s">
        <v>3929</v>
      </c>
      <c r="W398" t="s">
        <v>3930</v>
      </c>
      <c r="Y398" t="str">
        <f>HYPERLINK("https://recruiter.shine.com/resume/download/?resumeid=gAAAAABbk2ULIyP8e9E95or2-gRoCJ1WyTwZKxPFh3OkTiMz19pgwIbifZ5KBtQezJTt6FqK17RFXGDQ5BgMwhL4WGZutYHM9hMd9WBFjLmW0UgAM14yE4JZPrqQZ37BWzK-dtjZiv59phKn7Dzh4jmKdxQr-h1_gg==")</f>
        <v>https://recruiter.shine.com/resume/download/?resumeid=gAAAAABbk2ULIyP8e9E95or2-gRoCJ1WyTwZKxPFh3OkTiMz19pgwIbifZ5KBtQezJTt6FqK17RFXGDQ5BgMwhL4WGZutYHM9hMd9WBFjLmW0UgAM14yE4JZPrqQZ37BWzK-dtjZiv59phKn7Dzh4jmKdxQr-h1_gg==</v>
      </c>
    </row>
    <row r="399" spans="1:25" ht="39.950000000000003" customHeight="1">
      <c r="A399">
        <v>395</v>
      </c>
      <c r="B399" t="s">
        <v>3931</v>
      </c>
      <c r="C399" t="s">
        <v>3932</v>
      </c>
      <c r="D399" t="s">
        <v>3933</v>
      </c>
      <c r="E399" t="s">
        <v>3934</v>
      </c>
      <c r="F399" t="s">
        <v>29</v>
      </c>
      <c r="G399" t="s">
        <v>29</v>
      </c>
      <c r="H399" t="s">
        <v>234</v>
      </c>
      <c r="I399" t="s">
        <v>362</v>
      </c>
      <c r="J399" t="s">
        <v>135</v>
      </c>
      <c r="L399" t="s">
        <v>363</v>
      </c>
      <c r="M399" t="s">
        <v>364</v>
      </c>
      <c r="Q399" t="s">
        <v>41</v>
      </c>
      <c r="R399" t="s">
        <v>3935</v>
      </c>
      <c r="S399" t="s">
        <v>3936</v>
      </c>
      <c r="T399" t="s">
        <v>625</v>
      </c>
      <c r="U399" t="s">
        <v>43</v>
      </c>
      <c r="V399" t="s">
        <v>3937</v>
      </c>
      <c r="W399" t="s">
        <v>3937</v>
      </c>
      <c r="Y399" t="str">
        <f>HYPERLINK("https://recruiter.shine.com/resume/download/?resumeid=gAAAAABbk2UMsKwygP1Nk6mb9NH4RvJ4JWILXxA4v0LTpxG0bjKtjqk4QwDRHle1YlKiFd-k2oY_7hgfFeaES2ELyMkJ4tD07hyLaL6CP1ToTo06t98mYgc2o3SvsO54_bTMGs1Qp0iG-_YNFMFUI7ItefNc-qAgsT0n-mopNRO-qv8-Bx51eEw=")</f>
        <v>https://recruiter.shine.com/resume/download/?resumeid=gAAAAABbk2UMsKwygP1Nk6mb9NH4RvJ4JWILXxA4v0LTpxG0bjKtjqk4QwDRHle1YlKiFd-k2oY_7hgfFeaES2ELyMkJ4tD07hyLaL6CP1ToTo06t98mYgc2o3SvsO54_bTMGs1Qp0iG-_YNFMFUI7ItefNc-qAgsT0n-mopNRO-qv8-Bx51eEw=</v>
      </c>
    </row>
    <row r="400" spans="1:25" ht="39.950000000000003" customHeight="1">
      <c r="A400">
        <v>396</v>
      </c>
      <c r="B400" t="s">
        <v>3938</v>
      </c>
      <c r="C400" t="s">
        <v>3939</v>
      </c>
      <c r="D400" t="s">
        <v>3940</v>
      </c>
      <c r="E400" t="s">
        <v>3941</v>
      </c>
      <c r="F400" t="s">
        <v>29</v>
      </c>
      <c r="G400" t="s">
        <v>29</v>
      </c>
      <c r="H400" t="s">
        <v>31</v>
      </c>
      <c r="I400" t="s">
        <v>32</v>
      </c>
      <c r="J400" t="s">
        <v>336</v>
      </c>
      <c r="K400" t="s">
        <v>3942</v>
      </c>
      <c r="L400" t="s">
        <v>1674</v>
      </c>
      <c r="M400" t="s">
        <v>3183</v>
      </c>
      <c r="N400" t="s">
        <v>3943</v>
      </c>
      <c r="O400" t="s">
        <v>56</v>
      </c>
      <c r="P400" t="s">
        <v>73</v>
      </c>
      <c r="Q400" t="s">
        <v>412</v>
      </c>
      <c r="R400" t="s">
        <v>41</v>
      </c>
      <c r="S400" t="s">
        <v>3944</v>
      </c>
      <c r="T400" t="s">
        <v>441</v>
      </c>
      <c r="U400" t="s">
        <v>94</v>
      </c>
      <c r="V400" t="s">
        <v>3945</v>
      </c>
      <c r="W400" t="s">
        <v>3946</v>
      </c>
      <c r="Y400" t="str">
        <f>HYPERLINK("https://recruiter.shine.com/resume/download/?resumeid=gAAAAABbk2UOmUyxv4HAX-NFwd-rAT0RVWanpj1MaWiIfyNBs8oni4ONqmAhPLH-PiGuJcP-RDAFfvmrxY81UYPmZKJysiGutxLAesLG4ePX6pLBYR-ILE1Jkexm0G5M2NzQfo2rArOfs33mHluUeD-xHRss3kw8u-qlyUyElkkvtebQNku8pn8=")</f>
        <v>https://recruiter.shine.com/resume/download/?resumeid=gAAAAABbk2UOmUyxv4HAX-NFwd-rAT0RVWanpj1MaWiIfyNBs8oni4ONqmAhPLH-PiGuJcP-RDAFfvmrxY81UYPmZKJysiGutxLAesLG4ePX6pLBYR-ILE1Jkexm0G5M2NzQfo2rArOfs33mHluUeD-xHRss3kw8u-qlyUyElkkvtebQNku8pn8=</v>
      </c>
    </row>
    <row r="401" spans="1:25" ht="39.950000000000003" customHeight="1">
      <c r="A401">
        <v>397</v>
      </c>
      <c r="B401" t="s">
        <v>3947</v>
      </c>
      <c r="C401" t="s">
        <v>3948</v>
      </c>
      <c r="D401" t="s">
        <v>3949</v>
      </c>
      <c r="E401" t="s">
        <v>3950</v>
      </c>
      <c r="F401" t="s">
        <v>29</v>
      </c>
      <c r="G401" t="s">
        <v>29</v>
      </c>
      <c r="H401" t="s">
        <v>31</v>
      </c>
      <c r="I401" t="s">
        <v>3951</v>
      </c>
      <c r="J401" t="s">
        <v>3952</v>
      </c>
      <c r="K401" t="s">
        <v>3953</v>
      </c>
      <c r="L401" t="s">
        <v>450</v>
      </c>
      <c r="M401" t="s">
        <v>684</v>
      </c>
      <c r="N401" t="s">
        <v>3954</v>
      </c>
      <c r="O401" t="s">
        <v>585</v>
      </c>
      <c r="P401" t="s">
        <v>73</v>
      </c>
      <c r="Q401" t="s">
        <v>90</v>
      </c>
      <c r="R401" t="s">
        <v>91</v>
      </c>
      <c r="S401" t="s">
        <v>3955</v>
      </c>
      <c r="T401" t="s">
        <v>1137</v>
      </c>
      <c r="U401" t="s">
        <v>43</v>
      </c>
      <c r="V401" t="s">
        <v>3956</v>
      </c>
      <c r="W401" t="s">
        <v>3957</v>
      </c>
      <c r="Y401" t="str">
        <f>HYPERLINK("https://recruiter.shine.com/resume/download/?resumeid=gAAAAABbk2UKK8E58lYSTNEdyNhiECCt92uR5tL4cLbKxaJQ4E8c2JRapbbB8g6DxYZcOme0WUZ5olqt-EO7Fy0Tv07Nl9kzkkFnXYb1kT071QtWj9H6zcYgXKWAm-XujDOrNKOS-YhQ")</f>
        <v>https://recruiter.shine.com/resume/download/?resumeid=gAAAAABbk2UKK8E58lYSTNEdyNhiECCt92uR5tL4cLbKxaJQ4E8c2JRapbbB8g6DxYZcOme0WUZ5olqt-EO7Fy0Tv07Nl9kzkkFnXYb1kT071QtWj9H6zcYgXKWAm-XujDOrNKOS-YhQ</v>
      </c>
    </row>
    <row r="402" spans="1:25" ht="39.950000000000003" customHeight="1">
      <c r="A402">
        <v>398</v>
      </c>
      <c r="B402" t="s">
        <v>3958</v>
      </c>
      <c r="D402" t="s">
        <v>3959</v>
      </c>
      <c r="E402" t="s">
        <v>3960</v>
      </c>
      <c r="F402" t="s">
        <v>29</v>
      </c>
      <c r="G402" t="s">
        <v>3961</v>
      </c>
      <c r="H402" t="s">
        <v>31</v>
      </c>
      <c r="I402" t="s">
        <v>3400</v>
      </c>
      <c r="J402" t="s">
        <v>801</v>
      </c>
      <c r="K402" t="s">
        <v>3962</v>
      </c>
      <c r="L402" t="s">
        <v>2834</v>
      </c>
      <c r="M402" t="s">
        <v>707</v>
      </c>
      <c r="N402" t="s">
        <v>2229</v>
      </c>
      <c r="O402" t="s">
        <v>2301</v>
      </c>
      <c r="P402" t="s">
        <v>140</v>
      </c>
      <c r="Q402" t="s">
        <v>412</v>
      </c>
      <c r="R402" t="s">
        <v>2364</v>
      </c>
      <c r="S402" t="s">
        <v>3963</v>
      </c>
      <c r="T402" t="s">
        <v>110</v>
      </c>
      <c r="U402" t="s">
        <v>43</v>
      </c>
      <c r="V402" t="s">
        <v>3964</v>
      </c>
      <c r="W402" t="s">
        <v>3965</v>
      </c>
      <c r="Y402" t="str">
        <f>HYPERLINK("https://recruiter.shine.com/resume/download/?resumeid=gAAAAABbk2UMMUwGjUp6j0hFT_IQDewHqybxS2oa0Bbmi9sYpS2ezf1fAVA1vKshXuka_bH1N9AgJlKSzsg8n2nO1c8afOkBQf0XIZcVboiFCEP2BePaB6KTcT5Pwb5v8d8fKstKMM4BbrJAM_eHcXxj23uQQIuJ00DeESIFwSqbsvM_RcNGFp8=")</f>
        <v>https://recruiter.shine.com/resume/download/?resumeid=gAAAAABbk2UMMUwGjUp6j0hFT_IQDewHqybxS2oa0Bbmi9sYpS2ezf1fAVA1vKshXuka_bH1N9AgJlKSzsg8n2nO1c8afOkBQf0XIZcVboiFCEP2BePaB6KTcT5Pwb5v8d8fKstKMM4BbrJAM_eHcXxj23uQQIuJ00DeESIFwSqbsvM_RcNGFp8=</v>
      </c>
    </row>
    <row r="403" spans="1:25" ht="39.950000000000003" customHeight="1">
      <c r="A403">
        <v>399</v>
      </c>
      <c r="B403" t="s">
        <v>3966</v>
      </c>
      <c r="C403" t="s">
        <v>3967</v>
      </c>
      <c r="D403" t="s">
        <v>3968</v>
      </c>
      <c r="E403" t="s">
        <v>3969</v>
      </c>
      <c r="F403" t="s">
        <v>29</v>
      </c>
      <c r="G403" t="s">
        <v>3970</v>
      </c>
      <c r="H403" t="s">
        <v>234</v>
      </c>
      <c r="I403" t="s">
        <v>3971</v>
      </c>
      <c r="J403" t="s">
        <v>312</v>
      </c>
      <c r="K403" t="s">
        <v>3972</v>
      </c>
      <c r="L403" t="s">
        <v>1390</v>
      </c>
      <c r="M403" t="s">
        <v>36</v>
      </c>
      <c r="N403" t="s">
        <v>3973</v>
      </c>
      <c r="O403" t="s">
        <v>56</v>
      </c>
      <c r="P403" t="s">
        <v>57</v>
      </c>
      <c r="Q403" t="s">
        <v>107</v>
      </c>
      <c r="R403" t="s">
        <v>2346</v>
      </c>
      <c r="S403" t="s">
        <v>3974</v>
      </c>
      <c r="T403" t="s">
        <v>126</v>
      </c>
      <c r="U403" t="s">
        <v>43</v>
      </c>
      <c r="V403" t="s">
        <v>3975</v>
      </c>
      <c r="W403" t="s">
        <v>3976</v>
      </c>
      <c r="Y403" t="str">
        <f>HYPERLINK("https://recruiter.shine.com/resume/download/?resumeid=gAAAAABbk2UO5Meo7gjk--kJki1o1Rr3fVPuHEbeGWXS3-6JKLXiyKCTAJ6CYpCU-O_z80vpwUMNCcm7TODVKvscabEOt2X68S0wCbu0su43E_QpKJJaeE84dRoxTFsTCBAC0Gu4PxLhuWnFqdszOmKcY5aHgjo-gO4fOXH5auuKFrYYNHE1ZlQ=")</f>
        <v>https://recruiter.shine.com/resume/download/?resumeid=gAAAAABbk2UO5Meo7gjk--kJki1o1Rr3fVPuHEbeGWXS3-6JKLXiyKCTAJ6CYpCU-O_z80vpwUMNCcm7TODVKvscabEOt2X68S0wCbu0su43E_QpKJJaeE84dRoxTFsTCBAC0Gu4PxLhuWnFqdszOmKcY5aHgjo-gO4fOXH5auuKFrYYNHE1ZlQ=</v>
      </c>
    </row>
    <row r="404" spans="1:25" ht="39.950000000000003" customHeight="1">
      <c r="A404">
        <v>400</v>
      </c>
      <c r="B404" t="s">
        <v>3977</v>
      </c>
      <c r="C404" t="s">
        <v>3978</v>
      </c>
      <c r="D404" t="s">
        <v>3979</v>
      </c>
      <c r="E404" t="s">
        <v>3980</v>
      </c>
      <c r="F404" t="s">
        <v>29</v>
      </c>
      <c r="G404" t="s">
        <v>29</v>
      </c>
      <c r="H404" t="s">
        <v>31</v>
      </c>
      <c r="I404" t="s">
        <v>3981</v>
      </c>
      <c r="J404" t="s">
        <v>278</v>
      </c>
      <c r="K404" t="s">
        <v>595</v>
      </c>
      <c r="L404" t="s">
        <v>184</v>
      </c>
      <c r="M404" t="s">
        <v>938</v>
      </c>
      <c r="N404" t="s">
        <v>3982</v>
      </c>
      <c r="O404" t="s">
        <v>804</v>
      </c>
      <c r="P404" t="s">
        <v>57</v>
      </c>
      <c r="Q404" t="s">
        <v>123</v>
      </c>
      <c r="R404" t="s">
        <v>124</v>
      </c>
      <c r="S404" t="s">
        <v>188</v>
      </c>
      <c r="T404" t="s">
        <v>2358</v>
      </c>
      <c r="U404" t="s">
        <v>43</v>
      </c>
      <c r="V404" t="s">
        <v>3983</v>
      </c>
      <c r="W404" t="s">
        <v>3984</v>
      </c>
      <c r="Y404" t="str">
        <f>HYPERLINK("https://recruiter.shine.com/resume/download/?resumeid=gAAAAABbk2UK3_crCTZ1q0htY4sWjrfbUywHXZpezfIcNqc8SZfWl2XPhLddHCGCf9_9gn2TpQLhp5hqfsMwo-fcsuIl_VX28qqKTSrfBOf5Ns__GSW4s9qdaMmBcfjP4gOVxZZOY-8v")</f>
        <v>https://recruiter.shine.com/resume/download/?resumeid=gAAAAABbk2UK3_crCTZ1q0htY4sWjrfbUywHXZpezfIcNqc8SZfWl2XPhLddHCGCf9_9gn2TpQLhp5hqfsMwo-fcsuIl_VX28qqKTSrfBOf5Ns__GSW4s9qdaMmBcfjP4gOVxZZOY-8v</v>
      </c>
    </row>
    <row r="405" spans="1:25" ht="39.950000000000003" customHeight="1">
      <c r="A405">
        <v>401</v>
      </c>
      <c r="B405" t="s">
        <v>3985</v>
      </c>
      <c r="C405" t="s">
        <v>3986</v>
      </c>
      <c r="D405" t="s">
        <v>3987</v>
      </c>
      <c r="E405" t="s">
        <v>3988</v>
      </c>
      <c r="F405" t="s">
        <v>29</v>
      </c>
      <c r="G405" t="s">
        <v>29</v>
      </c>
      <c r="I405" t="s">
        <v>1554</v>
      </c>
      <c r="J405" t="s">
        <v>1785</v>
      </c>
      <c r="K405" t="s">
        <v>3989</v>
      </c>
      <c r="L405" t="s">
        <v>794</v>
      </c>
      <c r="M405" t="s">
        <v>684</v>
      </c>
      <c r="N405" t="s">
        <v>3990</v>
      </c>
      <c r="O405" t="s">
        <v>38</v>
      </c>
      <c r="P405" t="s">
        <v>140</v>
      </c>
      <c r="Q405" t="s">
        <v>158</v>
      </c>
      <c r="R405" t="s">
        <v>1665</v>
      </c>
      <c r="S405" t="s">
        <v>3991</v>
      </c>
      <c r="T405" t="s">
        <v>161</v>
      </c>
      <c r="U405" t="s">
        <v>94</v>
      </c>
      <c r="V405" t="s">
        <v>3992</v>
      </c>
      <c r="W405" t="s">
        <v>3993</v>
      </c>
      <c r="Y405" t="str">
        <f>HYPERLINK("https://recruiter.shine.com/resume/download/?resumeid=gAAAAABbk2UMV8-runb4haEBNvyoGUxiYwt7IdvZY2d5u6apqfc3t3xnKctrpmgUXBYd-udYT-Xv_8VfSYdH7cv-vZCw4FA1BDdnK7coMvPVaFDpzA4d75fIiYL1-Uw4yyD5W2W0s4L45fJZrO3nC6LWgwfaRfEkMNqFvqa4Z8_Nmhy97VrIfgQ=")</f>
        <v>https://recruiter.shine.com/resume/download/?resumeid=gAAAAABbk2UMV8-runb4haEBNvyoGUxiYwt7IdvZY2d5u6apqfc3t3xnKctrpmgUXBYd-udYT-Xv_8VfSYdH7cv-vZCw4FA1BDdnK7coMvPVaFDpzA4d75fIiYL1-Uw4yyD5W2W0s4L45fJZrO3nC6LWgwfaRfEkMNqFvqa4Z8_Nmhy97VrIfgQ=</v>
      </c>
    </row>
    <row r="406" spans="1:25" ht="39.950000000000003" customHeight="1">
      <c r="A406">
        <v>402</v>
      </c>
      <c r="B406" t="s">
        <v>3994</v>
      </c>
      <c r="C406" t="s">
        <v>3995</v>
      </c>
      <c r="D406" t="s">
        <v>3996</v>
      </c>
      <c r="E406" t="s">
        <v>3997</v>
      </c>
      <c r="F406" t="s">
        <v>29</v>
      </c>
      <c r="G406" t="s">
        <v>29</v>
      </c>
      <c r="H406" t="s">
        <v>31</v>
      </c>
      <c r="I406" t="s">
        <v>3998</v>
      </c>
      <c r="J406" t="s">
        <v>51</v>
      </c>
      <c r="K406" t="s">
        <v>3999</v>
      </c>
      <c r="L406" t="s">
        <v>486</v>
      </c>
      <c r="M406" t="s">
        <v>487</v>
      </c>
      <c r="N406" t="s">
        <v>4000</v>
      </c>
      <c r="O406" t="s">
        <v>38</v>
      </c>
      <c r="P406" t="s">
        <v>57</v>
      </c>
      <c r="Q406" t="s">
        <v>123</v>
      </c>
      <c r="R406" t="s">
        <v>124</v>
      </c>
      <c r="S406" t="s">
        <v>188</v>
      </c>
      <c r="T406" t="s">
        <v>61</v>
      </c>
      <c r="U406" t="s">
        <v>43</v>
      </c>
      <c r="V406" t="s">
        <v>4001</v>
      </c>
      <c r="W406" t="s">
        <v>4002</v>
      </c>
      <c r="Y406" t="str">
        <f>HYPERLINK("https://recruiter.shine.com/resume/download/?resumeid=gAAAAABbk2UO9WxPsFGN-Zd6wecRBIEZQxwc1Ie5JC5bUJEy1T75q2anL86IDG4Aw1GlVtMVdfqiZDwfOCwx3la3-R-3eIh-S6BL6vaUnpWy3esoa597eNzuQdSffXky74bsDUe4H1GHnskX-cYg8_1VVjDtD6Vm8vfzXI6MaXwq2NkvwVAd0gg=")</f>
        <v>https://recruiter.shine.com/resume/download/?resumeid=gAAAAABbk2UO9WxPsFGN-Zd6wecRBIEZQxwc1Ie5JC5bUJEy1T75q2anL86IDG4Aw1GlVtMVdfqiZDwfOCwx3la3-R-3eIh-S6BL6vaUnpWy3esoa597eNzuQdSffXky74bsDUe4H1GHnskX-cYg8_1VVjDtD6Vm8vfzXI6MaXwq2NkvwVAd0gg=</v>
      </c>
    </row>
    <row r="407" spans="1:25" ht="39.950000000000003" customHeight="1">
      <c r="A407">
        <v>403</v>
      </c>
      <c r="B407" t="s">
        <v>4003</v>
      </c>
      <c r="C407" t="s">
        <v>4004</v>
      </c>
      <c r="D407" t="s">
        <v>4005</v>
      </c>
      <c r="E407" t="s">
        <v>4006</v>
      </c>
      <c r="F407" t="s">
        <v>29</v>
      </c>
      <c r="G407" t="s">
        <v>29</v>
      </c>
      <c r="H407" t="s">
        <v>31</v>
      </c>
      <c r="I407" t="s">
        <v>4007</v>
      </c>
      <c r="J407" t="s">
        <v>4008</v>
      </c>
      <c r="K407" t="s">
        <v>3461</v>
      </c>
      <c r="L407" t="s">
        <v>88</v>
      </c>
      <c r="M407" t="s">
        <v>473</v>
      </c>
      <c r="N407" t="s">
        <v>4009</v>
      </c>
      <c r="O407" t="s">
        <v>186</v>
      </c>
      <c r="P407" t="s">
        <v>57</v>
      </c>
      <c r="Q407" t="s">
        <v>783</v>
      </c>
      <c r="R407" t="s">
        <v>490</v>
      </c>
      <c r="S407" t="s">
        <v>4010</v>
      </c>
      <c r="T407" t="s">
        <v>441</v>
      </c>
      <c r="U407" t="s">
        <v>94</v>
      </c>
      <c r="V407" t="s">
        <v>4011</v>
      </c>
      <c r="W407" t="s">
        <v>4012</v>
      </c>
      <c r="Y407" t="str">
        <f>HYPERLINK("https://recruiter.shine.com/resume/download/?resumeid=gAAAAABbk2ULaJAmvizjc203qikMxo5CxFCX_N2hTdo4Xm_Yt2eAE8Dl18Y6h9oXPCVbBAy3-TZkIEEPiMCuPKbbP9D_gAhY-XyGBoRvcAnj2He0mzF8i_ZiNNyNyNicXcLnFQY3p8OL")</f>
        <v>https://recruiter.shine.com/resume/download/?resumeid=gAAAAABbk2ULaJAmvizjc203qikMxo5CxFCX_N2hTdo4Xm_Yt2eAE8Dl18Y6h9oXPCVbBAy3-TZkIEEPiMCuPKbbP9D_gAhY-XyGBoRvcAnj2He0mzF8i_ZiNNyNyNicXcLnFQY3p8OL</v>
      </c>
    </row>
    <row r="408" spans="1:25" ht="39.950000000000003" customHeight="1">
      <c r="A408">
        <v>404</v>
      </c>
      <c r="B408" t="s">
        <v>4013</v>
      </c>
      <c r="C408" t="s">
        <v>4014</v>
      </c>
      <c r="D408" t="s">
        <v>4015</v>
      </c>
      <c r="E408" t="s">
        <v>4016</v>
      </c>
      <c r="F408" t="s">
        <v>29</v>
      </c>
      <c r="G408" t="s">
        <v>4017</v>
      </c>
      <c r="H408" t="s">
        <v>31</v>
      </c>
      <c r="I408" t="s">
        <v>1019</v>
      </c>
      <c r="J408" t="s">
        <v>3276</v>
      </c>
      <c r="K408" t="s">
        <v>4018</v>
      </c>
      <c r="L408" t="s">
        <v>266</v>
      </c>
      <c r="M408" t="s">
        <v>105</v>
      </c>
      <c r="N408" t="s">
        <v>2451</v>
      </c>
      <c r="O408" t="s">
        <v>186</v>
      </c>
      <c r="P408" t="s">
        <v>771</v>
      </c>
      <c r="Q408" t="s">
        <v>107</v>
      </c>
      <c r="R408" t="s">
        <v>559</v>
      </c>
      <c r="S408" t="s">
        <v>4019</v>
      </c>
      <c r="T408" t="s">
        <v>61</v>
      </c>
      <c r="U408" t="s">
        <v>43</v>
      </c>
      <c r="V408" t="s">
        <v>4020</v>
      </c>
      <c r="W408" t="s">
        <v>4021</v>
      </c>
      <c r="Y408" t="str">
        <f>HYPERLINK("https://recruiter.shine.com/resume/download/?resumeid=gAAAAABbk2UMTzLmRDRzi4NKK1H50Bk3JKojD3a_8DDD1ZnVwC1rg2rW0ZF7pUZMFo0RPsOIIwKjpGX5TbjaTVz6XP_pM1hyF2bp0NOtYXqaGYk7y3gj2sCS7M8Qx_KDP35K0yklvWFF_ICUO3VBPZXw9Ugd8aRiZnWAGyR2bzknmBqolsFkv08=")</f>
        <v>https://recruiter.shine.com/resume/download/?resumeid=gAAAAABbk2UMTzLmRDRzi4NKK1H50Bk3JKojD3a_8DDD1ZnVwC1rg2rW0ZF7pUZMFo0RPsOIIwKjpGX5TbjaTVz6XP_pM1hyF2bp0NOtYXqaGYk7y3gj2sCS7M8Qx_KDP35K0yklvWFF_ICUO3VBPZXw9Ugd8aRiZnWAGyR2bzknmBqolsFkv08=</v>
      </c>
    </row>
    <row r="409" spans="1:25" ht="39.950000000000003" customHeight="1">
      <c r="A409">
        <v>405</v>
      </c>
      <c r="B409" t="s">
        <v>4022</v>
      </c>
      <c r="D409" t="s">
        <v>4023</v>
      </c>
      <c r="E409" t="s">
        <v>4024</v>
      </c>
      <c r="F409" t="s">
        <v>29</v>
      </c>
      <c r="G409" t="s">
        <v>67</v>
      </c>
      <c r="H409" t="s">
        <v>31</v>
      </c>
      <c r="I409" t="s">
        <v>1419</v>
      </c>
      <c r="J409" t="s">
        <v>871</v>
      </c>
      <c r="K409" t="s">
        <v>4025</v>
      </c>
      <c r="L409" t="s">
        <v>184</v>
      </c>
      <c r="M409" t="s">
        <v>172</v>
      </c>
      <c r="N409" t="s">
        <v>4026</v>
      </c>
      <c r="O409" t="s">
        <v>38</v>
      </c>
      <c r="Q409" t="s">
        <v>90</v>
      </c>
      <c r="R409" t="s">
        <v>292</v>
      </c>
      <c r="S409" t="s">
        <v>4027</v>
      </c>
      <c r="T409" t="s">
        <v>415</v>
      </c>
      <c r="U409" t="s">
        <v>43</v>
      </c>
      <c r="V409" t="s">
        <v>4028</v>
      </c>
      <c r="W409" t="s">
        <v>4029</v>
      </c>
      <c r="Y409" t="str">
        <f>HYPERLINK("https://recruiter.shine.com/resume/download/?resumeid=gAAAAABbk2UOUd81dIWTcfPgBbHi-zyDEJoKHee1v2G5FYcd41HsgqqjW4dg9bNFBRUDFi6s3uEO7d1Sf-650x6gP1Czqpcy7HyOqnZYWVt0Ur3xqVPUbbEShOnfqHMjGEdrKBWgo7oTJxLIOF73loHG4AIqieYvaX_k_2BAbCgzsHanuePaoe8=")</f>
        <v>https://recruiter.shine.com/resume/download/?resumeid=gAAAAABbk2UOUd81dIWTcfPgBbHi-zyDEJoKHee1v2G5FYcd41HsgqqjW4dg9bNFBRUDFi6s3uEO7d1Sf-650x6gP1Czqpcy7HyOqnZYWVt0Ur3xqVPUbbEShOnfqHMjGEdrKBWgo7oTJxLIOF73loHG4AIqieYvaX_k_2BAbCgzsHanuePaoe8=</v>
      </c>
    </row>
    <row r="410" spans="1:25" ht="39.950000000000003" customHeight="1">
      <c r="A410">
        <v>406</v>
      </c>
      <c r="B410" t="s">
        <v>4030</v>
      </c>
      <c r="C410" t="s">
        <v>4031</v>
      </c>
      <c r="D410" t="s">
        <v>4032</v>
      </c>
      <c r="E410" t="s">
        <v>4033</v>
      </c>
      <c r="F410" t="s">
        <v>29</v>
      </c>
      <c r="G410" t="s">
        <v>29</v>
      </c>
      <c r="H410" t="s">
        <v>31</v>
      </c>
      <c r="I410" t="s">
        <v>4034</v>
      </c>
      <c r="J410" t="s">
        <v>506</v>
      </c>
      <c r="K410" t="s">
        <v>4035</v>
      </c>
      <c r="L410" t="s">
        <v>237</v>
      </c>
      <c r="M410" t="s">
        <v>238</v>
      </c>
      <c r="N410" t="s">
        <v>4036</v>
      </c>
      <c r="O410" t="s">
        <v>56</v>
      </c>
      <c r="P410" t="s">
        <v>57</v>
      </c>
      <c r="Q410" t="s">
        <v>123</v>
      </c>
      <c r="R410" t="s">
        <v>124</v>
      </c>
      <c r="S410" t="s">
        <v>4037</v>
      </c>
      <c r="T410" t="s">
        <v>161</v>
      </c>
      <c r="U410" t="s">
        <v>43</v>
      </c>
      <c r="V410" t="s">
        <v>4038</v>
      </c>
      <c r="W410" t="s">
        <v>4039</v>
      </c>
      <c r="Y410" t="str">
        <f>HYPERLINK("https://recruiter.shine.com/resume/download/?resumeid=gAAAAABbk2ULz0eBQO651vdRmmpRQmilPi7xXADkpuPyXJYYGuTLEvZII0mCU5cdmXpTvMmzgya00ZMYnH4WoeqAr4GXWtASg1T04lEyRQYRhaI01wupPP2knARMpeN8URLSnoFuSH2o")</f>
        <v>https://recruiter.shine.com/resume/download/?resumeid=gAAAAABbk2ULz0eBQO651vdRmmpRQmilPi7xXADkpuPyXJYYGuTLEvZII0mCU5cdmXpTvMmzgya00ZMYnH4WoeqAr4GXWtASg1T04lEyRQYRhaI01wupPP2knARMpeN8URLSnoFuSH2o</v>
      </c>
    </row>
    <row r="411" spans="1:25" ht="39.950000000000003" customHeight="1">
      <c r="A411">
        <v>407</v>
      </c>
      <c r="B411" t="s">
        <v>4040</v>
      </c>
      <c r="C411" t="s">
        <v>4041</v>
      </c>
      <c r="D411" t="s">
        <v>4042</v>
      </c>
      <c r="E411" t="s">
        <v>4043</v>
      </c>
      <c r="F411" t="s">
        <v>29</v>
      </c>
      <c r="G411" t="s">
        <v>29</v>
      </c>
      <c r="H411" t="s">
        <v>31</v>
      </c>
      <c r="I411" t="s">
        <v>825</v>
      </c>
      <c r="J411" t="s">
        <v>959</v>
      </c>
      <c r="K411" t="s">
        <v>1187</v>
      </c>
      <c r="L411" t="s">
        <v>290</v>
      </c>
      <c r="M411" t="s">
        <v>238</v>
      </c>
      <c r="N411" t="s">
        <v>4044</v>
      </c>
      <c r="O411" t="s">
        <v>186</v>
      </c>
      <c r="P411" t="s">
        <v>771</v>
      </c>
      <c r="Q411" t="s">
        <v>123</v>
      </c>
      <c r="R411" t="s">
        <v>124</v>
      </c>
      <c r="S411" t="s">
        <v>188</v>
      </c>
      <c r="T411" t="s">
        <v>304</v>
      </c>
      <c r="U411" t="s">
        <v>43</v>
      </c>
      <c r="V411" t="s">
        <v>4045</v>
      </c>
      <c r="W411" t="s">
        <v>4046</v>
      </c>
      <c r="Y411" t="str">
        <f>HYPERLINK("https://recruiter.shine.com/resume/download/?resumeid=gAAAAABbk2UMVHQsmvqHghWyY48eKJDxPMggqnrnwOr8adL6YUZbumCoSyaz-Cd_1rtZ1eKd_fuZXVPr38yBLYLkbfaJqQDfLUd70RUvCuSrvIW9rraI81J6eRTKMWYRL_ikhJX9BlnUpC0AVT_VZfoZRxut4X9kUw==")</f>
        <v>https://recruiter.shine.com/resume/download/?resumeid=gAAAAABbk2UMVHQsmvqHghWyY48eKJDxPMggqnrnwOr8adL6YUZbumCoSyaz-Cd_1rtZ1eKd_fuZXVPr38yBLYLkbfaJqQDfLUd70RUvCuSrvIW9rraI81J6eRTKMWYRL_ikhJX9BlnUpC0AVT_VZfoZRxut4X9kUw==</v>
      </c>
    </row>
    <row r="412" spans="1:25" ht="39.950000000000003" customHeight="1">
      <c r="A412">
        <v>408</v>
      </c>
      <c r="B412" t="s">
        <v>4047</v>
      </c>
      <c r="D412" t="s">
        <v>4048</v>
      </c>
      <c r="E412" t="s">
        <v>4049</v>
      </c>
      <c r="F412" t="s">
        <v>29</v>
      </c>
      <c r="G412" t="s">
        <v>29</v>
      </c>
      <c r="H412" t="s">
        <v>31</v>
      </c>
      <c r="I412" t="s">
        <v>152</v>
      </c>
      <c r="J412" t="s">
        <v>169</v>
      </c>
      <c r="K412" t="s">
        <v>4050</v>
      </c>
      <c r="L412" t="s">
        <v>171</v>
      </c>
      <c r="M412" t="s">
        <v>121</v>
      </c>
      <c r="N412" t="s">
        <v>4051</v>
      </c>
      <c r="O412" t="s">
        <v>1245</v>
      </c>
      <c r="Q412" t="s">
        <v>123</v>
      </c>
      <c r="R412" t="s">
        <v>124</v>
      </c>
      <c r="S412" t="s">
        <v>4052</v>
      </c>
      <c r="T412" t="s">
        <v>144</v>
      </c>
      <c r="U412" t="s">
        <v>43</v>
      </c>
      <c r="V412" t="s">
        <v>4053</v>
      </c>
      <c r="W412" t="s">
        <v>4054</v>
      </c>
      <c r="Y412" t="str">
        <f>HYPERLINK("https://recruiter.shine.com/resume/download/?resumeid=gAAAAABbk2UOc_LIsmV9jYDGLdeHx8tCUmULF2VBPMJAAwvfCAONQx-PcI4McLExeLYzC5sXwyt6tqLip90VfWCusyw0xLCRN_DDrJ5izpbnzO9_ld9Orny_uHOeuEmKv6zEdWo9VWIJJ0WcQEzJVZH3pzAy9MCpjA==")</f>
        <v>https://recruiter.shine.com/resume/download/?resumeid=gAAAAABbk2UOc_LIsmV9jYDGLdeHx8tCUmULF2VBPMJAAwvfCAONQx-PcI4McLExeLYzC5sXwyt6tqLip90VfWCusyw0xLCRN_DDrJ5izpbnzO9_ld9Orny_uHOeuEmKv6zEdWo9VWIJJ0WcQEzJVZH3pzAy9MCpjA==</v>
      </c>
    </row>
    <row r="413" spans="1:25" ht="39.950000000000003" customHeight="1">
      <c r="A413">
        <v>409</v>
      </c>
      <c r="B413" t="s">
        <v>4055</v>
      </c>
      <c r="C413" t="s">
        <v>1649</v>
      </c>
      <c r="D413" t="s">
        <v>4056</v>
      </c>
      <c r="E413" t="s">
        <v>4057</v>
      </c>
      <c r="F413" t="s">
        <v>29</v>
      </c>
      <c r="G413" t="s">
        <v>4058</v>
      </c>
      <c r="H413" t="s">
        <v>31</v>
      </c>
      <c r="I413" t="s">
        <v>152</v>
      </c>
      <c r="J413" t="s">
        <v>4059</v>
      </c>
      <c r="K413" t="s">
        <v>4060</v>
      </c>
      <c r="L413" t="s">
        <v>199</v>
      </c>
      <c r="M413" t="s">
        <v>54</v>
      </c>
      <c r="N413" t="s">
        <v>355</v>
      </c>
      <c r="O413" t="s">
        <v>1041</v>
      </c>
      <c r="P413" t="s">
        <v>39</v>
      </c>
      <c r="Q413" t="s">
        <v>58</v>
      </c>
      <c r="R413" t="s">
        <v>59</v>
      </c>
      <c r="S413" t="s">
        <v>4061</v>
      </c>
      <c r="T413" t="s">
        <v>625</v>
      </c>
      <c r="U413" t="s">
        <v>127</v>
      </c>
      <c r="V413" t="s">
        <v>4062</v>
      </c>
      <c r="W413" t="s">
        <v>4063</v>
      </c>
      <c r="Y413" t="str">
        <f>HYPERLINK("https://recruiter.shine.com/resume/download/?resumeid=gAAAAABbk2UK4gCDkCww7dMvbMvxCRuhgCeWapuU-80mIVSni0TLUsSpm7fGN1PMyreqMdnnX0U3H09Qs6J9RiUW5vlZ4bzNLWnbDmirtLrP7Vlxdn6TAsL4qNxgQvgBlmZRDoWF8Xhe")</f>
        <v>https://recruiter.shine.com/resume/download/?resumeid=gAAAAABbk2UK4gCDkCww7dMvbMvxCRuhgCeWapuU-80mIVSni0TLUsSpm7fGN1PMyreqMdnnX0U3H09Qs6J9RiUW5vlZ4bzNLWnbDmirtLrP7Vlxdn6TAsL4qNxgQvgBlmZRDoWF8Xhe</v>
      </c>
    </row>
    <row r="414" spans="1:25" ht="39.950000000000003" customHeight="1">
      <c r="A414">
        <v>410</v>
      </c>
      <c r="B414" t="s">
        <v>4064</v>
      </c>
      <c r="C414" t="s">
        <v>4065</v>
      </c>
      <c r="D414" t="s">
        <v>4066</v>
      </c>
      <c r="E414" t="s">
        <v>4067</v>
      </c>
      <c r="F414" t="s">
        <v>29</v>
      </c>
      <c r="G414" t="s">
        <v>29</v>
      </c>
      <c r="H414" t="s">
        <v>31</v>
      </c>
      <c r="I414" t="s">
        <v>4068</v>
      </c>
      <c r="J414" t="s">
        <v>153</v>
      </c>
      <c r="K414" t="s">
        <v>1187</v>
      </c>
      <c r="L414" t="s">
        <v>290</v>
      </c>
      <c r="M414" t="s">
        <v>238</v>
      </c>
      <c r="N414" t="s">
        <v>1987</v>
      </c>
      <c r="O414" t="s">
        <v>56</v>
      </c>
      <c r="P414" t="s">
        <v>39</v>
      </c>
      <c r="Q414" t="s">
        <v>123</v>
      </c>
      <c r="R414" t="s">
        <v>124</v>
      </c>
      <c r="S414" t="s">
        <v>4069</v>
      </c>
      <c r="T414" t="s">
        <v>441</v>
      </c>
      <c r="U414" t="s">
        <v>43</v>
      </c>
      <c r="V414" t="s">
        <v>4070</v>
      </c>
      <c r="W414" t="s">
        <v>4071</v>
      </c>
      <c r="Y414" t="str">
        <f>HYPERLINK("https://recruiter.shine.com/resume/download/?resumeid=gAAAAABbk2UMEnm-JniZsZNOuef3JHiCsPmLeW3qTIyBnbKtacUatHCqoJ80fhsl4rMqHH0R8LiXGJAfIUIXn201Jf83u5ogBfqYMpff1_AMpO_1pnGwM-IHdSC2ILRRCqs8ReCLsYxcyOah9Qfg0647MP07pDzknw==")</f>
        <v>https://recruiter.shine.com/resume/download/?resumeid=gAAAAABbk2UMEnm-JniZsZNOuef3JHiCsPmLeW3qTIyBnbKtacUatHCqoJ80fhsl4rMqHH0R8LiXGJAfIUIXn201Jf83u5ogBfqYMpff1_AMpO_1pnGwM-IHdSC2ILRRCqs8ReCLsYxcyOah9Qfg0647MP07pDzknw==</v>
      </c>
    </row>
    <row r="415" spans="1:25" ht="39.950000000000003" customHeight="1">
      <c r="A415">
        <v>411</v>
      </c>
      <c r="B415" t="s">
        <v>4072</v>
      </c>
      <c r="D415" t="s">
        <v>4073</v>
      </c>
      <c r="E415" t="s">
        <v>4074</v>
      </c>
      <c r="F415" t="s">
        <v>29</v>
      </c>
      <c r="G415" t="s">
        <v>29</v>
      </c>
      <c r="H415" t="s">
        <v>31</v>
      </c>
      <c r="I415" t="s">
        <v>998</v>
      </c>
      <c r="J415" t="s">
        <v>135</v>
      </c>
      <c r="K415" t="s">
        <v>4075</v>
      </c>
      <c r="L415" t="s">
        <v>3757</v>
      </c>
      <c r="M415" t="s">
        <v>938</v>
      </c>
      <c r="N415" t="s">
        <v>4076</v>
      </c>
      <c r="O415" t="s">
        <v>38</v>
      </c>
      <c r="Q415" t="s">
        <v>4077</v>
      </c>
      <c r="R415" t="s">
        <v>546</v>
      </c>
      <c r="S415" t="s">
        <v>4078</v>
      </c>
      <c r="T415" t="s">
        <v>415</v>
      </c>
      <c r="U415" t="s">
        <v>43</v>
      </c>
      <c r="V415" t="s">
        <v>4079</v>
      </c>
      <c r="W415" t="s">
        <v>4079</v>
      </c>
      <c r="Y415" t="str">
        <f>HYPERLINK("https://recruiter.shine.com/resume/download/?resumeid=gAAAAABbk2UOmRDt2BI4fpTtrGdofKAGQxUpYn-NG1jjQictZ_VL2zXHnHLc_lnwmL9NjOyUGIwjFSmiN9n1Otzbyexktr-w2zbtmkfvl2z6zR24sUUy9uXFWA-AtEpToLmL8FN3ebbjJ87dYJkqOgyPwXgNmXWHAUmvjW00UBb3rMljmdScvl8=")</f>
        <v>https://recruiter.shine.com/resume/download/?resumeid=gAAAAABbk2UOmRDt2BI4fpTtrGdofKAGQxUpYn-NG1jjQictZ_VL2zXHnHLc_lnwmL9NjOyUGIwjFSmiN9n1Otzbyexktr-w2zbtmkfvl2z6zR24sUUy9uXFWA-AtEpToLmL8FN3ebbjJ87dYJkqOgyPwXgNmXWHAUmvjW00UBb3rMljmdScvl8=</v>
      </c>
    </row>
    <row r="416" spans="1:25" ht="39.950000000000003" customHeight="1">
      <c r="A416">
        <v>412</v>
      </c>
      <c r="B416" t="s">
        <v>4080</v>
      </c>
      <c r="C416" t="s">
        <v>4081</v>
      </c>
      <c r="D416" t="s">
        <v>4082</v>
      </c>
      <c r="E416" t="s">
        <v>4083</v>
      </c>
      <c r="F416" t="s">
        <v>29</v>
      </c>
      <c r="G416" t="s">
        <v>4084</v>
      </c>
      <c r="H416" t="s">
        <v>31</v>
      </c>
      <c r="I416" t="s">
        <v>836</v>
      </c>
      <c r="J416" t="s">
        <v>801</v>
      </c>
      <c r="K416" t="s">
        <v>4085</v>
      </c>
      <c r="L416" t="s">
        <v>664</v>
      </c>
      <c r="M416" t="s">
        <v>222</v>
      </c>
      <c r="N416" t="s">
        <v>4086</v>
      </c>
      <c r="O416" t="s">
        <v>224</v>
      </c>
      <c r="P416" t="s">
        <v>57</v>
      </c>
      <c r="Q416" t="s">
        <v>107</v>
      </c>
      <c r="R416" t="s">
        <v>341</v>
      </c>
      <c r="S416" t="s">
        <v>4087</v>
      </c>
      <c r="T416" t="s">
        <v>227</v>
      </c>
      <c r="U416" t="s">
        <v>43</v>
      </c>
      <c r="V416" t="s">
        <v>4088</v>
      </c>
      <c r="W416" t="s">
        <v>4089</v>
      </c>
      <c r="Y416" t="str">
        <f>HYPERLINK("https://recruiter.shine.com/resume/download/?resumeid=gAAAAABbk2ULD6_WYa1LB2-iASAP0I0G17eg-FiiNSZSSnOG774gWudbapQxMq0JIO1y76LquslLS9i8nlYXl5UzSdskesAjVN5jFdm5bzugj5O2EW7vVhcZNLM7uEXRedxxrYo-TQe6")</f>
        <v>https://recruiter.shine.com/resume/download/?resumeid=gAAAAABbk2ULD6_WYa1LB2-iASAP0I0G17eg-FiiNSZSSnOG774gWudbapQxMq0JIO1y76LquslLS9i8nlYXl5UzSdskesAjVN5jFdm5bzugj5O2EW7vVhcZNLM7uEXRedxxrYo-TQe6</v>
      </c>
    </row>
    <row r="417" spans="1:25" ht="39.950000000000003" customHeight="1">
      <c r="A417">
        <v>413</v>
      </c>
      <c r="B417" t="s">
        <v>4090</v>
      </c>
      <c r="C417" t="s">
        <v>4091</v>
      </c>
      <c r="D417" t="s">
        <v>4092</v>
      </c>
      <c r="E417" t="s">
        <v>4093</v>
      </c>
      <c r="F417" t="s">
        <v>29</v>
      </c>
      <c r="G417" t="s">
        <v>4094</v>
      </c>
      <c r="H417" t="s">
        <v>31</v>
      </c>
      <c r="I417" t="s">
        <v>2729</v>
      </c>
      <c r="J417" t="s">
        <v>408</v>
      </c>
      <c r="K417" t="s">
        <v>4095</v>
      </c>
      <c r="L417" t="s">
        <v>4096</v>
      </c>
      <c r="M417" t="s">
        <v>827</v>
      </c>
      <c r="N417" t="s">
        <v>4097</v>
      </c>
      <c r="O417" t="s">
        <v>186</v>
      </c>
      <c r="P417" t="s">
        <v>940</v>
      </c>
      <c r="Q417" t="s">
        <v>365</v>
      </c>
      <c r="R417" t="s">
        <v>4098</v>
      </c>
      <c r="S417" t="s">
        <v>4099</v>
      </c>
      <c r="T417" t="s">
        <v>2554</v>
      </c>
      <c r="U417" t="s">
        <v>43</v>
      </c>
      <c r="V417" t="s">
        <v>4100</v>
      </c>
      <c r="W417" t="s">
        <v>4100</v>
      </c>
      <c r="Y417" t="str">
        <f>HYPERLINK("https://recruiter.shine.com/resume/download/?resumeid=gAAAAABbk2UMk4hTa7NmCLczvI-bIbmFDZ-Tjob9Bl1g1QfPRAqZGNvaJm9pczmtNpIzrdkYiKwHASckOpeCZtCAVQ9iI_mKQyBmyv7T19MGEtdvofkuLjrxfEzyZntxViEXcHBdhjzv2dbIOPx81L6F8p0KIOlqUw==")</f>
        <v>https://recruiter.shine.com/resume/download/?resumeid=gAAAAABbk2UMk4hTa7NmCLczvI-bIbmFDZ-Tjob9Bl1g1QfPRAqZGNvaJm9pczmtNpIzrdkYiKwHASckOpeCZtCAVQ9iI_mKQyBmyv7T19MGEtdvofkuLjrxfEzyZntxViEXcHBdhjzv2dbIOPx81L6F8p0KIOlqUw==</v>
      </c>
    </row>
    <row r="418" spans="1:25" ht="39.950000000000003" customHeight="1">
      <c r="A418">
        <v>414</v>
      </c>
      <c r="B418" t="s">
        <v>4101</v>
      </c>
      <c r="C418" t="s">
        <v>4102</v>
      </c>
      <c r="D418" t="s">
        <v>4103</v>
      </c>
      <c r="E418" t="s">
        <v>4104</v>
      </c>
      <c r="F418" t="s">
        <v>29</v>
      </c>
      <c r="I418" t="s">
        <v>32</v>
      </c>
      <c r="J418" t="s">
        <v>4105</v>
      </c>
      <c r="K418" t="s">
        <v>4106</v>
      </c>
      <c r="L418" t="s">
        <v>266</v>
      </c>
      <c r="M418" t="s">
        <v>105</v>
      </c>
      <c r="N418" t="s">
        <v>4107</v>
      </c>
      <c r="O418" t="s">
        <v>38</v>
      </c>
      <c r="P418" t="s">
        <v>39</v>
      </c>
      <c r="Q418" t="s">
        <v>107</v>
      </c>
      <c r="R418" t="s">
        <v>159</v>
      </c>
      <c r="S418" t="s">
        <v>4108</v>
      </c>
      <c r="T418" t="s">
        <v>2453</v>
      </c>
      <c r="U418" t="s">
        <v>43</v>
      </c>
      <c r="V418" t="s">
        <v>4109</v>
      </c>
      <c r="W418" t="s">
        <v>4110</v>
      </c>
      <c r="Y418" t="str">
        <f>HYPERLINK("https://recruiter.shine.com/resume/download/?resumeid=gAAAAABbk2UNunMFzVIS5Xg5NQBr_2g5LyWMp1pJ8BkUP0YfPej9aMwsE8WAEQq1n0g4j8yxDUt3oITu_RAkPskogueMwSNzGnsvhtZqGaQ-Ij25mIWxFfrlqCRxMeJR_gg_uZMOwksgPh9lTRzqD2YGCn2e0u08AGDj3m4fOk8C_xdEOx7TsIs=")</f>
        <v>https://recruiter.shine.com/resume/download/?resumeid=gAAAAABbk2UNunMFzVIS5Xg5NQBr_2g5LyWMp1pJ8BkUP0YfPej9aMwsE8WAEQq1n0g4j8yxDUt3oITu_RAkPskogueMwSNzGnsvhtZqGaQ-Ij25mIWxFfrlqCRxMeJR_gg_uZMOwksgPh9lTRzqD2YGCn2e0u08AGDj3m4fOk8C_xdEOx7TsIs=</v>
      </c>
    </row>
    <row r="419" spans="1:25" ht="39.950000000000003" customHeight="1">
      <c r="A419">
        <v>415</v>
      </c>
      <c r="B419" t="s">
        <v>4111</v>
      </c>
      <c r="C419" t="s">
        <v>4112</v>
      </c>
      <c r="D419" t="s">
        <v>4113</v>
      </c>
      <c r="E419" t="s">
        <v>4114</v>
      </c>
      <c r="F419" t="s">
        <v>29</v>
      </c>
      <c r="G419" t="s">
        <v>29</v>
      </c>
      <c r="H419" t="s">
        <v>31</v>
      </c>
      <c r="I419" t="s">
        <v>825</v>
      </c>
      <c r="J419" t="s">
        <v>312</v>
      </c>
      <c r="K419" t="s">
        <v>4115</v>
      </c>
      <c r="L419" t="s">
        <v>266</v>
      </c>
      <c r="M419" t="s">
        <v>339</v>
      </c>
      <c r="N419" t="s">
        <v>4116</v>
      </c>
      <c r="O419" t="s">
        <v>585</v>
      </c>
      <c r="P419" t="s">
        <v>201</v>
      </c>
      <c r="Q419" t="s">
        <v>158</v>
      </c>
      <c r="R419" t="s">
        <v>559</v>
      </c>
      <c r="S419" t="s">
        <v>4117</v>
      </c>
      <c r="T419" t="s">
        <v>144</v>
      </c>
      <c r="U419" t="s">
        <v>43</v>
      </c>
      <c r="V419" t="s">
        <v>4118</v>
      </c>
      <c r="W419" t="s">
        <v>4119</v>
      </c>
      <c r="Y419" t="str">
        <f>HYPERLINK("https://recruiter.shine.com/resume/download/?resumeid=gAAAAABbk2UKyUYX-l67CQg4rq2J8h5uNSzVwAt6p2dcVIqB-XGu7NtA5GnmA5QzERTxY-el81LN7_0FIF2XqYdXvykyxIgievkVQNkHQP-lWZKiBkhqCGMpAwCgNat2S0DUnSM_umW9")</f>
        <v>https://recruiter.shine.com/resume/download/?resumeid=gAAAAABbk2UKyUYX-l67CQg4rq2J8h5uNSzVwAt6p2dcVIqB-XGu7NtA5GnmA5QzERTxY-el81LN7_0FIF2XqYdXvykyxIgievkVQNkHQP-lWZKiBkhqCGMpAwCgNat2S0DUnSM_umW9</v>
      </c>
    </row>
    <row r="420" spans="1:25" ht="39.950000000000003" customHeight="1">
      <c r="A420">
        <v>416</v>
      </c>
      <c r="B420" t="s">
        <v>4120</v>
      </c>
      <c r="C420" t="s">
        <v>954</v>
      </c>
      <c r="D420" t="s">
        <v>4121</v>
      </c>
      <c r="E420" t="s">
        <v>4122</v>
      </c>
      <c r="F420" t="s">
        <v>858</v>
      </c>
      <c r="G420" t="s">
        <v>4123</v>
      </c>
      <c r="H420" t="s">
        <v>31</v>
      </c>
      <c r="I420" t="s">
        <v>4124</v>
      </c>
      <c r="J420" t="s">
        <v>299</v>
      </c>
      <c r="K420" t="s">
        <v>4125</v>
      </c>
      <c r="L420" t="s">
        <v>266</v>
      </c>
      <c r="M420" t="s">
        <v>339</v>
      </c>
      <c r="N420" t="s">
        <v>4126</v>
      </c>
      <c r="O420" t="s">
        <v>56</v>
      </c>
      <c r="P420" t="s">
        <v>57</v>
      </c>
      <c r="Q420" t="s">
        <v>107</v>
      </c>
      <c r="R420" t="s">
        <v>341</v>
      </c>
      <c r="S420" t="s">
        <v>4127</v>
      </c>
      <c r="T420" t="s">
        <v>441</v>
      </c>
      <c r="U420" t="s">
        <v>43</v>
      </c>
      <c r="V420" t="s">
        <v>4128</v>
      </c>
      <c r="W420" t="s">
        <v>4129</v>
      </c>
      <c r="Y420" t="str">
        <f>HYPERLINK("https://recruiter.shine.com/resume/download/?resumeid=gAAAAABbk2UMv20B0I04Fx_XMeQgu8h9OQz-h1EFwsPxvBo4so6xSCPycbQz3OO_4D9XRevcK3HYj4r7vhoXvIHF79QNcas27oMiBNMcnxEkWHK7uXk-QCbFYGVZbotWWDecQplyeZj3ztNU74KzVK8_nLLd0r4SOhF8sAAFS1p2O8Fv3qLsHfM=")</f>
        <v>https://recruiter.shine.com/resume/download/?resumeid=gAAAAABbk2UMv20B0I04Fx_XMeQgu8h9OQz-h1EFwsPxvBo4so6xSCPycbQz3OO_4D9XRevcK3HYj4r7vhoXvIHF79QNcas27oMiBNMcnxEkWHK7uXk-QCbFYGVZbotWWDecQplyeZj3ztNU74KzVK8_nLLd0r4SOhF8sAAFS1p2O8Fv3qLsHfM=</v>
      </c>
    </row>
    <row r="421" spans="1:25" ht="39.950000000000003" customHeight="1">
      <c r="A421">
        <v>417</v>
      </c>
      <c r="B421" t="s">
        <v>4130</v>
      </c>
      <c r="C421" t="s">
        <v>4131</v>
      </c>
      <c r="D421" t="s">
        <v>4132</v>
      </c>
      <c r="E421" t="s">
        <v>4133</v>
      </c>
      <c r="F421" t="s">
        <v>29</v>
      </c>
      <c r="G421" t="s">
        <v>4134</v>
      </c>
      <c r="H421" t="s">
        <v>234</v>
      </c>
      <c r="I421" t="s">
        <v>4135</v>
      </c>
      <c r="J421" t="s">
        <v>801</v>
      </c>
      <c r="K421" t="s">
        <v>4136</v>
      </c>
      <c r="L421" t="s">
        <v>266</v>
      </c>
      <c r="M421" t="s">
        <v>684</v>
      </c>
      <c r="N421" t="s">
        <v>37</v>
      </c>
      <c r="O421" t="s">
        <v>56</v>
      </c>
      <c r="P421" t="s">
        <v>73</v>
      </c>
      <c r="Q421" t="s">
        <v>107</v>
      </c>
      <c r="R421" t="s">
        <v>108</v>
      </c>
      <c r="S421" t="s">
        <v>4137</v>
      </c>
      <c r="T421" t="s">
        <v>625</v>
      </c>
      <c r="U421" t="s">
        <v>43</v>
      </c>
      <c r="V421" t="s">
        <v>4138</v>
      </c>
      <c r="W421" t="s">
        <v>4139</v>
      </c>
      <c r="Y421" t="str">
        <f>HYPERLINK("https://recruiter.shine.com/resume/download/?resumeid=gAAAAABbk2UO3FXUnBqNbt-vh-uyOwGksKBRnoN6vKB4TBgzpV141BRYu28zhIUetcR0RIQwVrssItkMVaOzuswkPDr8gimiHUR93n65aqZj3TyCsLr3f66CkZP61uMC-tivVwfXYJKXXTbuehvNwtnGuM6j2MS1Vg==")</f>
        <v>https://recruiter.shine.com/resume/download/?resumeid=gAAAAABbk2UO3FXUnBqNbt-vh-uyOwGksKBRnoN6vKB4TBgzpV141BRYu28zhIUetcR0RIQwVrssItkMVaOzuswkPDr8gimiHUR93n65aqZj3TyCsLr3f66CkZP61uMC-tivVwfXYJKXXTbuehvNwtnGuM6j2MS1Vg==</v>
      </c>
    </row>
    <row r="422" spans="1:25" ht="39.950000000000003" customHeight="1">
      <c r="A422">
        <v>418</v>
      </c>
      <c r="B422" t="s">
        <v>4140</v>
      </c>
      <c r="C422" t="s">
        <v>4141</v>
      </c>
      <c r="D422" t="s">
        <v>4142</v>
      </c>
      <c r="E422" t="s">
        <v>4143</v>
      </c>
      <c r="F422" t="s">
        <v>29</v>
      </c>
      <c r="G422" t="s">
        <v>4144</v>
      </c>
      <c r="H422" t="s">
        <v>31</v>
      </c>
      <c r="I422" t="s">
        <v>1265</v>
      </c>
      <c r="J422" t="s">
        <v>935</v>
      </c>
      <c r="K422" t="s">
        <v>4145</v>
      </c>
      <c r="L422" t="s">
        <v>4146</v>
      </c>
      <c r="M422" t="s">
        <v>757</v>
      </c>
      <c r="N422" t="s">
        <v>4147</v>
      </c>
      <c r="O422" t="s">
        <v>56</v>
      </c>
      <c r="P422" t="s">
        <v>940</v>
      </c>
      <c r="Q422" t="s">
        <v>783</v>
      </c>
      <c r="R422" t="s">
        <v>4148</v>
      </c>
      <c r="S422" t="s">
        <v>4149</v>
      </c>
      <c r="T422" t="s">
        <v>561</v>
      </c>
      <c r="U422" t="s">
        <v>43</v>
      </c>
      <c r="V422" t="s">
        <v>4150</v>
      </c>
      <c r="W422" t="s">
        <v>4151</v>
      </c>
      <c r="Y422" t="str">
        <f>HYPERLINK("https://recruiter.shine.com/resume/download/?resumeid=gAAAAABbk2ULGTYKtJG52LV4OfZE1acQlPXxKp4U9mvuDTJ8bF0sqbQs2OwWiN8ygjQXqRCgQYoPXdbfd9Tk0xClHRZ0m-8SQk1EeWkw2W5avfydXewa_RWAomtyiALrT4HU2btCSYHo")</f>
        <v>https://recruiter.shine.com/resume/download/?resumeid=gAAAAABbk2ULGTYKtJG52LV4OfZE1acQlPXxKp4U9mvuDTJ8bF0sqbQs2OwWiN8ygjQXqRCgQYoPXdbfd9Tk0xClHRZ0m-8SQk1EeWkw2W5avfydXewa_RWAomtyiALrT4HU2btCSYHo</v>
      </c>
    </row>
    <row r="423" spans="1:25" ht="39.950000000000003" customHeight="1">
      <c r="A423">
        <v>419</v>
      </c>
      <c r="B423" t="s">
        <v>4152</v>
      </c>
      <c r="C423" t="s">
        <v>4153</v>
      </c>
      <c r="D423" t="s">
        <v>4154</v>
      </c>
      <c r="E423" t="s">
        <v>4155</v>
      </c>
      <c r="F423" t="s">
        <v>29</v>
      </c>
      <c r="G423" t="s">
        <v>67</v>
      </c>
      <c r="H423" t="s">
        <v>31</v>
      </c>
      <c r="I423" t="s">
        <v>196</v>
      </c>
      <c r="J423" t="s">
        <v>182</v>
      </c>
      <c r="K423" t="s">
        <v>4156</v>
      </c>
      <c r="L423" t="s">
        <v>1255</v>
      </c>
      <c r="M423" t="s">
        <v>121</v>
      </c>
      <c r="N423" t="s">
        <v>2274</v>
      </c>
      <c r="O423" t="s">
        <v>56</v>
      </c>
      <c r="P423" t="s">
        <v>57</v>
      </c>
      <c r="Q423" t="s">
        <v>4157</v>
      </c>
      <c r="R423" t="s">
        <v>1255</v>
      </c>
      <c r="S423" t="s">
        <v>4158</v>
      </c>
      <c r="T423" t="s">
        <v>61</v>
      </c>
      <c r="U423" t="s">
        <v>43</v>
      </c>
      <c r="V423" t="s">
        <v>4159</v>
      </c>
      <c r="W423" t="s">
        <v>4159</v>
      </c>
      <c r="Y423" t="str">
        <f>HYPERLINK("https://recruiter.shine.com/resume/download/?resumeid=gAAAAABbk2UNzFWmpATDwtFiQ6AFDgw2fQSZop0rBR72UqQDlKG02oKWRNhseVOnI1WXqLHP9mm7bmjZidYN3ikTx_7xyCteyzHvpjuE4J_7oKqlgS9TLGdjDzZjhYB0NFTMJvYAkj0Dc2A2Q51vYOWHz20GCoaHsEz_3DLoA7RoP5N-VYZciRo=")</f>
        <v>https://recruiter.shine.com/resume/download/?resumeid=gAAAAABbk2UNzFWmpATDwtFiQ6AFDgw2fQSZop0rBR72UqQDlKG02oKWRNhseVOnI1WXqLHP9mm7bmjZidYN3ikTx_7xyCteyzHvpjuE4J_7oKqlgS9TLGdjDzZjhYB0NFTMJvYAkj0Dc2A2Q51vYOWHz20GCoaHsEz_3DLoA7RoP5N-VYZciRo=</v>
      </c>
    </row>
    <row r="424" spans="1:25" ht="39.950000000000003" customHeight="1">
      <c r="A424">
        <v>420</v>
      </c>
      <c r="B424" t="s">
        <v>4160</v>
      </c>
      <c r="C424" t="s">
        <v>4161</v>
      </c>
      <c r="D424" t="s">
        <v>4162</v>
      </c>
      <c r="E424" t="s">
        <v>4163</v>
      </c>
      <c r="F424" t="s">
        <v>249</v>
      </c>
      <c r="G424" t="s">
        <v>249</v>
      </c>
      <c r="H424" t="s">
        <v>31</v>
      </c>
      <c r="I424" t="s">
        <v>825</v>
      </c>
      <c r="J424" t="s">
        <v>102</v>
      </c>
      <c r="K424" t="s">
        <v>4164</v>
      </c>
      <c r="L424" t="s">
        <v>314</v>
      </c>
      <c r="M424" t="s">
        <v>105</v>
      </c>
      <c r="N424" t="s">
        <v>4165</v>
      </c>
      <c r="O424" t="s">
        <v>572</v>
      </c>
      <c r="P424" t="s">
        <v>201</v>
      </c>
      <c r="Q424" t="s">
        <v>187</v>
      </c>
      <c r="R424" t="s">
        <v>124</v>
      </c>
      <c r="S424" t="s">
        <v>4166</v>
      </c>
      <c r="T424" t="s">
        <v>773</v>
      </c>
      <c r="U424" t="s">
        <v>43</v>
      </c>
      <c r="V424" t="s">
        <v>4167</v>
      </c>
      <c r="W424" t="s">
        <v>4168</v>
      </c>
      <c r="Y424" t="str">
        <f>HYPERLINK("https://recruiter.shine.com/resume/download/?resumeid=gAAAAABbk2UOc2uComxQAbTjRzQr1WfFK0FoRA5XuWegySuWgQ0urDvl0yo-Mo6_9ypLn6LQ_FRrXqYz5p9nZCs5HqwUeMn0-gh7S_AfxNhUzHtx-xM7qv4PJ_o63wHsUQchV1dzdQHPOBv7ReVN2mzf_fAveaXBP1G8k1iERqMUQWi7UmdbYzw=")</f>
        <v>https://recruiter.shine.com/resume/download/?resumeid=gAAAAABbk2UOc2uComxQAbTjRzQr1WfFK0FoRA5XuWegySuWgQ0urDvl0yo-Mo6_9ypLn6LQ_FRrXqYz5p9nZCs5HqwUeMn0-gh7S_AfxNhUzHtx-xM7qv4PJ_o63wHsUQchV1dzdQHPOBv7ReVN2mzf_fAveaXBP1G8k1iERqMUQWi7UmdbYzw=</v>
      </c>
    </row>
    <row r="425" spans="1:25" ht="39.950000000000003" customHeight="1">
      <c r="A425">
        <v>421</v>
      </c>
      <c r="B425" t="s">
        <v>4169</v>
      </c>
      <c r="C425" t="s">
        <v>4170</v>
      </c>
      <c r="D425" t="s">
        <v>4171</v>
      </c>
      <c r="E425" t="s">
        <v>4172</v>
      </c>
      <c r="F425" t="s">
        <v>29</v>
      </c>
      <c r="G425" t="s">
        <v>29</v>
      </c>
      <c r="H425" t="s">
        <v>31</v>
      </c>
      <c r="I425" t="s">
        <v>2343</v>
      </c>
      <c r="J425" t="s">
        <v>1294</v>
      </c>
      <c r="K425" t="s">
        <v>989</v>
      </c>
      <c r="L425" t="s">
        <v>486</v>
      </c>
      <c r="M425" t="s">
        <v>238</v>
      </c>
      <c r="N425" t="s">
        <v>4173</v>
      </c>
      <c r="O425" t="s">
        <v>56</v>
      </c>
      <c r="P425" t="s">
        <v>57</v>
      </c>
      <c r="Q425" t="s">
        <v>123</v>
      </c>
      <c r="R425" t="s">
        <v>124</v>
      </c>
      <c r="S425" t="s">
        <v>188</v>
      </c>
      <c r="T425" t="s">
        <v>144</v>
      </c>
      <c r="U425" t="s">
        <v>43</v>
      </c>
      <c r="V425" t="s">
        <v>4174</v>
      </c>
      <c r="W425" t="s">
        <v>4174</v>
      </c>
      <c r="Y425" t="str">
        <f>HYPERLINK("https://recruiter.shine.com/resume/download/?resumeid=gAAAAABbk2UKD64c_jeS2U5EugygpF5d_vT4y3x1vL6mW0FthFpd6i-c6hv7ZRDqo-JMA6mTZ5Gecz4MCBwxePW2f6sDmoD59_FXxscKHvsYeMWf4U-G42tzYF--czcwI6FjGdPu4eM6")</f>
        <v>https://recruiter.shine.com/resume/download/?resumeid=gAAAAABbk2UKD64c_jeS2U5EugygpF5d_vT4y3x1vL6mW0FthFpd6i-c6hv7ZRDqo-JMA6mTZ5Gecz4MCBwxePW2f6sDmoD59_FXxscKHvsYeMWf4U-G42tzYF--czcwI6FjGdPu4eM6</v>
      </c>
    </row>
    <row r="426" spans="1:25" ht="39.950000000000003" customHeight="1">
      <c r="A426">
        <v>422</v>
      </c>
      <c r="B426" t="s">
        <v>4175</v>
      </c>
      <c r="C426" t="s">
        <v>4176</v>
      </c>
      <c r="D426" t="s">
        <v>4177</v>
      </c>
      <c r="E426" t="s">
        <v>4178</v>
      </c>
      <c r="F426" t="s">
        <v>29</v>
      </c>
      <c r="G426" t="s">
        <v>29</v>
      </c>
      <c r="H426" t="s">
        <v>31</v>
      </c>
      <c r="I426" t="s">
        <v>1554</v>
      </c>
      <c r="J426" t="s">
        <v>781</v>
      </c>
      <c r="K426" t="s">
        <v>4179</v>
      </c>
      <c r="L426" t="s">
        <v>1889</v>
      </c>
      <c r="M426" t="s">
        <v>138</v>
      </c>
      <c r="N426" t="s">
        <v>4180</v>
      </c>
      <c r="O426" t="s">
        <v>186</v>
      </c>
      <c r="P426" t="s">
        <v>57</v>
      </c>
      <c r="Q426" t="s">
        <v>4181</v>
      </c>
      <c r="R426" t="s">
        <v>4182</v>
      </c>
      <c r="S426" t="s">
        <v>4183</v>
      </c>
      <c r="T426" t="s">
        <v>304</v>
      </c>
      <c r="U426" t="s">
        <v>43</v>
      </c>
      <c r="V426" t="s">
        <v>4184</v>
      </c>
      <c r="W426" t="s">
        <v>4185</v>
      </c>
      <c r="Y426" t="str">
        <f>HYPERLINK("https://recruiter.shine.com/resume/download/?resumeid=gAAAAABbk2UMuMio84hMkJbXCmgJGZHH7EuBbr46jduTle_ik2l22KDANmlG6elYdfd1-mEtGOEHoYKg4IdyJt3vMUjIcEX5Lk9oi5D1uKCXk2NWvSs4S_QUm5HtDJzdlVjm0xiDdLyv3zDGB6WpYYDz5nL0tS6qqQ==")</f>
        <v>https://recruiter.shine.com/resume/download/?resumeid=gAAAAABbk2UMuMio84hMkJbXCmgJGZHH7EuBbr46jduTle_ik2l22KDANmlG6elYdfd1-mEtGOEHoYKg4IdyJt3vMUjIcEX5Lk9oi5D1uKCXk2NWvSs4S_QUm5HtDJzdlVjm0xiDdLyv3zDGB6WpYYDz5nL0tS6qqQ==</v>
      </c>
    </row>
    <row r="427" spans="1:25" ht="39.950000000000003" customHeight="1">
      <c r="A427">
        <v>423</v>
      </c>
      <c r="B427" t="s">
        <v>4186</v>
      </c>
      <c r="C427" t="s">
        <v>4187</v>
      </c>
      <c r="D427" t="s">
        <v>4188</v>
      </c>
      <c r="E427" t="s">
        <v>4189</v>
      </c>
      <c r="F427" t="s">
        <v>29</v>
      </c>
      <c r="G427" t="s">
        <v>29</v>
      </c>
      <c r="H427" t="s">
        <v>31</v>
      </c>
      <c r="I427" t="s">
        <v>836</v>
      </c>
      <c r="J427" t="s">
        <v>569</v>
      </c>
      <c r="K427" t="s">
        <v>4190</v>
      </c>
      <c r="L427" t="s">
        <v>266</v>
      </c>
      <c r="M427" t="s">
        <v>105</v>
      </c>
      <c r="N427" t="s">
        <v>4191</v>
      </c>
      <c r="O427" t="s">
        <v>224</v>
      </c>
      <c r="P427" t="s">
        <v>771</v>
      </c>
      <c r="Q427" t="s">
        <v>158</v>
      </c>
      <c r="R427" t="s">
        <v>159</v>
      </c>
      <c r="S427" t="s">
        <v>4192</v>
      </c>
      <c r="T427" t="s">
        <v>161</v>
      </c>
      <c r="U427" t="s">
        <v>127</v>
      </c>
      <c r="V427" t="s">
        <v>4193</v>
      </c>
      <c r="W427" t="s">
        <v>4194</v>
      </c>
      <c r="Y427" t="str">
        <f>HYPERLINK("https://recruiter.shine.com/resume/download/?resumeid=gAAAAABbk2UNRZKMd2IIrdaSVqwnZb9Vny_ryy7GztPZsneCQNnLjuTXLAFNSBvR60KrBGyBdJvGHhe4NETTHIw9sl-XQSsE__5hmefg2aA62oB5iL0GUFOLQOW9rZnl0bRVOfUbeHljBBG2jCjTSFjXlM4yXAF3tKDKE5bTYeahQMiZKxTA7S0=")</f>
        <v>https://recruiter.shine.com/resume/download/?resumeid=gAAAAABbk2UNRZKMd2IIrdaSVqwnZb9Vny_ryy7GztPZsneCQNnLjuTXLAFNSBvR60KrBGyBdJvGHhe4NETTHIw9sl-XQSsE__5hmefg2aA62oB5iL0GUFOLQOW9rZnl0bRVOfUbeHljBBG2jCjTSFjXlM4yXAF3tKDKE5bTYeahQMiZKxTA7S0=</v>
      </c>
    </row>
    <row r="428" spans="1:25" ht="39.950000000000003" customHeight="1">
      <c r="A428">
        <v>424</v>
      </c>
      <c r="B428" t="s">
        <v>4195</v>
      </c>
      <c r="C428" t="s">
        <v>4196</v>
      </c>
      <c r="D428" t="s">
        <v>4197</v>
      </c>
      <c r="E428" t="s">
        <v>4198</v>
      </c>
      <c r="F428" t="s">
        <v>29</v>
      </c>
      <c r="G428" t="s">
        <v>4199</v>
      </c>
      <c r="H428" t="s">
        <v>31</v>
      </c>
      <c r="I428" t="s">
        <v>152</v>
      </c>
      <c r="J428" t="s">
        <v>393</v>
      </c>
      <c r="K428" t="s">
        <v>4200</v>
      </c>
      <c r="L428" t="s">
        <v>4201</v>
      </c>
      <c r="M428" t="s">
        <v>121</v>
      </c>
      <c r="N428" t="s">
        <v>4202</v>
      </c>
      <c r="O428" t="s">
        <v>38</v>
      </c>
      <c r="P428" t="s">
        <v>57</v>
      </c>
      <c r="Q428" t="s">
        <v>783</v>
      </c>
      <c r="R428" t="s">
        <v>91</v>
      </c>
      <c r="S428" t="s">
        <v>4203</v>
      </c>
      <c r="T428" t="s">
        <v>1921</v>
      </c>
      <c r="U428" t="s">
        <v>43</v>
      </c>
      <c r="V428" t="s">
        <v>4204</v>
      </c>
      <c r="W428" t="s">
        <v>4204</v>
      </c>
      <c r="Y428" t="str">
        <f>HYPERLINK("https://recruiter.shine.com/resume/download/?resumeid=gAAAAABbk2UKJHhv7EIM1YuHeAFyOPY0g5L2v_PawzfCeFKyzzvz4ckOUiShvwtBT-lr0H0sJECieR64LuiP53cB8taXygmGW87V92qrX90WrYIpyeKQyq8Vek55lqpy_rprj7IpzzEq")</f>
        <v>https://recruiter.shine.com/resume/download/?resumeid=gAAAAABbk2UKJHhv7EIM1YuHeAFyOPY0g5L2v_PawzfCeFKyzzvz4ckOUiShvwtBT-lr0H0sJECieR64LuiP53cB8taXygmGW87V92qrX90WrYIpyeKQyq8Vek55lqpy_rprj7IpzzEq</v>
      </c>
    </row>
    <row r="429" spans="1:25" ht="39.950000000000003" customHeight="1">
      <c r="A429">
        <v>425</v>
      </c>
      <c r="B429" t="s">
        <v>4205</v>
      </c>
      <c r="C429" t="s">
        <v>4206</v>
      </c>
      <c r="D429" t="s">
        <v>4207</v>
      </c>
      <c r="E429" t="s">
        <v>4208</v>
      </c>
      <c r="F429" t="s">
        <v>858</v>
      </c>
      <c r="G429" t="s">
        <v>4209</v>
      </c>
      <c r="H429" t="s">
        <v>31</v>
      </c>
      <c r="I429" t="s">
        <v>362</v>
      </c>
      <c r="J429" t="s">
        <v>135</v>
      </c>
      <c r="L429" t="s">
        <v>363</v>
      </c>
      <c r="M429" t="s">
        <v>364</v>
      </c>
      <c r="P429" t="s">
        <v>940</v>
      </c>
      <c r="Q429" t="s">
        <v>365</v>
      </c>
      <c r="R429" t="s">
        <v>124</v>
      </c>
      <c r="S429" t="s">
        <v>4210</v>
      </c>
      <c r="U429" t="s">
        <v>43</v>
      </c>
      <c r="V429" t="s">
        <v>4211</v>
      </c>
      <c r="W429" t="s">
        <v>4212</v>
      </c>
      <c r="Y429" t="str">
        <f>HYPERLINK("https://recruiter.shine.com/resume/download/?resumeid=gAAAAABbk2UM572Lfz94F8LB1gbPGhGMvTTxhr7g9RtjZf45rq_P7fGxrhY01e8XbvkXS3Wo4q2ZjZY4IeF2ZvdYwEXPH_lG1S2130Ip1Fz03YSsq8PwTvmM51NGIvZZovXPXKXngFOi7Vpt9UZwBSLbbMb5WlgDU8U3HcHzp6YpAn4hDaKEblE=")</f>
        <v>https://recruiter.shine.com/resume/download/?resumeid=gAAAAABbk2UM572Lfz94F8LB1gbPGhGMvTTxhr7g9RtjZf45rq_P7fGxrhY01e8XbvkXS3Wo4q2ZjZY4IeF2ZvdYwEXPH_lG1S2130Ip1Fz03YSsq8PwTvmM51NGIvZZovXPXKXngFOi7Vpt9UZwBSLbbMb5WlgDU8U3HcHzp6YpAn4hDaKEblE=</v>
      </c>
    </row>
    <row r="430" spans="1:25" ht="39.950000000000003" customHeight="1">
      <c r="A430">
        <v>426</v>
      </c>
      <c r="B430" t="s">
        <v>4213</v>
      </c>
      <c r="D430" t="s">
        <v>4214</v>
      </c>
      <c r="E430" t="s">
        <v>4215</v>
      </c>
      <c r="F430" t="s">
        <v>858</v>
      </c>
      <c r="G430" t="s">
        <v>858</v>
      </c>
      <c r="H430" t="s">
        <v>234</v>
      </c>
      <c r="I430" t="s">
        <v>1093</v>
      </c>
      <c r="J430" t="s">
        <v>801</v>
      </c>
      <c r="K430" t="s">
        <v>595</v>
      </c>
      <c r="L430" t="s">
        <v>184</v>
      </c>
      <c r="M430" t="s">
        <v>238</v>
      </c>
      <c r="N430" t="s">
        <v>4216</v>
      </c>
      <c r="O430" t="s">
        <v>38</v>
      </c>
      <c r="Q430" t="s">
        <v>90</v>
      </c>
      <c r="R430" t="s">
        <v>292</v>
      </c>
      <c r="S430" t="s">
        <v>4217</v>
      </c>
      <c r="T430" t="s">
        <v>441</v>
      </c>
      <c r="U430" t="s">
        <v>43</v>
      </c>
      <c r="V430" t="s">
        <v>4218</v>
      </c>
      <c r="W430" t="s">
        <v>4219</v>
      </c>
      <c r="Y430" t="str">
        <f>HYPERLINK("https://recruiter.shine.com/resume/download/?resumeid=gAAAAABbk2UNpaktpyeFV-jC4aaIeURGFb-XUYwHQmwJYP5SuU3LzyeagW9YQEPW5qsFLBql30xnyYJo6dSt4LKMvFwEgVeZYoLfoa-v7d3pjYHYwLWigR5NLz1_hH96LkCUks662lUUQrSPzH2LAjKdpL78ykzQkvfXuBXJcMOTFS9pcZ6J3Gg=")</f>
        <v>https://recruiter.shine.com/resume/download/?resumeid=gAAAAABbk2UNpaktpyeFV-jC4aaIeURGFb-XUYwHQmwJYP5SuU3LzyeagW9YQEPW5qsFLBql30xnyYJo6dSt4LKMvFwEgVeZYoLfoa-v7d3pjYHYwLWigR5NLz1_hH96LkCUks662lUUQrSPzH2LAjKdpL78ykzQkvfXuBXJcMOTFS9pcZ6J3Gg=</v>
      </c>
    </row>
    <row r="431" spans="1:25" ht="39.950000000000003" customHeight="1">
      <c r="A431">
        <v>427</v>
      </c>
      <c r="B431" t="s">
        <v>4220</v>
      </c>
      <c r="C431" t="s">
        <v>4221</v>
      </c>
      <c r="D431" t="s">
        <v>4222</v>
      </c>
      <c r="E431" t="s">
        <v>4223</v>
      </c>
      <c r="F431" t="s">
        <v>29</v>
      </c>
      <c r="G431" t="s">
        <v>4224</v>
      </c>
      <c r="H431" t="s">
        <v>31</v>
      </c>
      <c r="I431" t="s">
        <v>791</v>
      </c>
      <c r="J431" t="s">
        <v>437</v>
      </c>
      <c r="K431" t="s">
        <v>2825</v>
      </c>
      <c r="L431" t="s">
        <v>253</v>
      </c>
      <c r="M431" t="s">
        <v>238</v>
      </c>
      <c r="N431" t="s">
        <v>4225</v>
      </c>
      <c r="O431" t="s">
        <v>475</v>
      </c>
      <c r="P431" t="s">
        <v>57</v>
      </c>
      <c r="Q431" t="s">
        <v>123</v>
      </c>
      <c r="R431" t="s">
        <v>124</v>
      </c>
      <c r="S431" t="s">
        <v>4226</v>
      </c>
      <c r="T431" t="s">
        <v>415</v>
      </c>
      <c r="U431" t="s">
        <v>43</v>
      </c>
      <c r="V431" t="s">
        <v>4227</v>
      </c>
      <c r="W431" t="s">
        <v>4228</v>
      </c>
      <c r="Y431" t="str">
        <f>HYPERLINK("https://recruiter.shine.com/resume/download/?resumeid=gAAAAABbk2UKik-I-7FMsXdhfe9qXLsAm1PFylNIvzND7C7cg6e12WYnEKv-Q38Z-JXvZSw4BUH7QC9ZRhfsb7-RWEvWdpoaXGJJe7ZLoqNtHB9xwNaO5kfb-hf5RWxdxsPrwpX9xqVO")</f>
        <v>https://recruiter.shine.com/resume/download/?resumeid=gAAAAABbk2UKik-I-7FMsXdhfe9qXLsAm1PFylNIvzND7C7cg6e12WYnEKv-Q38Z-JXvZSw4BUH7QC9ZRhfsb7-RWEvWdpoaXGJJe7ZLoqNtHB9xwNaO5kfb-hf5RWxdxsPrwpX9xqVO</v>
      </c>
    </row>
    <row r="432" spans="1:25" ht="39.950000000000003" customHeight="1">
      <c r="A432">
        <v>428</v>
      </c>
      <c r="B432" t="s">
        <v>4229</v>
      </c>
      <c r="C432" t="s">
        <v>4230</v>
      </c>
      <c r="D432" t="s">
        <v>4231</v>
      </c>
      <c r="E432" t="s">
        <v>4232</v>
      </c>
      <c r="F432" t="s">
        <v>29</v>
      </c>
      <c r="G432" t="s">
        <v>29</v>
      </c>
      <c r="H432" t="s">
        <v>31</v>
      </c>
      <c r="I432" t="s">
        <v>543</v>
      </c>
      <c r="J432" t="s">
        <v>871</v>
      </c>
      <c r="K432" t="s">
        <v>4233</v>
      </c>
      <c r="L432" t="s">
        <v>290</v>
      </c>
      <c r="M432" t="s">
        <v>315</v>
      </c>
      <c r="N432" t="s">
        <v>4234</v>
      </c>
      <c r="O432" t="s">
        <v>56</v>
      </c>
      <c r="P432" t="s">
        <v>57</v>
      </c>
      <c r="Q432" t="s">
        <v>90</v>
      </c>
      <c r="R432" t="s">
        <v>292</v>
      </c>
      <c r="S432" t="s">
        <v>4235</v>
      </c>
      <c r="T432" t="s">
        <v>144</v>
      </c>
      <c r="U432" t="s">
        <v>94</v>
      </c>
      <c r="V432" t="s">
        <v>4236</v>
      </c>
      <c r="W432" t="s">
        <v>4236</v>
      </c>
      <c r="Y432" t="str">
        <f>HYPERLINK("https://recruiter.shine.com/resume/download/?resumeid=gAAAAABbk2UMs5pBoswoMjiX1ECLZQUJ4nZtPcpXMkrpwgruM55eddPuIbSUnqWb4LRWFZ8H6hZxZhCM56vHfYBqmQFR4l8UwjRkTLMTxXuj9Ytr4-zTUGLqZs5Vn1WEr1l75XmiWJzSSuRDORdMqFXL_A2Z3OwMfSyT13IufkbV3XaZNn92HiE=")</f>
        <v>https://recruiter.shine.com/resume/download/?resumeid=gAAAAABbk2UMs5pBoswoMjiX1ECLZQUJ4nZtPcpXMkrpwgruM55eddPuIbSUnqWb4LRWFZ8H6hZxZhCM56vHfYBqmQFR4l8UwjRkTLMTxXuj9Ytr4-zTUGLqZs5Vn1WEr1l75XmiWJzSSuRDORdMqFXL_A2Z3OwMfSyT13IufkbV3XaZNn92HiE=</v>
      </c>
    </row>
    <row r="433" spans="1:25" ht="39.950000000000003" customHeight="1">
      <c r="A433">
        <v>429</v>
      </c>
      <c r="B433" t="s">
        <v>4237</v>
      </c>
      <c r="C433" t="s">
        <v>4238</v>
      </c>
      <c r="D433" t="s">
        <v>4239</v>
      </c>
      <c r="E433" t="s">
        <v>4240</v>
      </c>
      <c r="F433" t="s">
        <v>29</v>
      </c>
      <c r="G433" t="s">
        <v>4241</v>
      </c>
      <c r="I433" t="s">
        <v>362</v>
      </c>
      <c r="J433" t="s">
        <v>135</v>
      </c>
      <c r="L433" t="s">
        <v>363</v>
      </c>
      <c r="M433" t="s">
        <v>364</v>
      </c>
      <c r="Q433" t="s">
        <v>107</v>
      </c>
      <c r="R433" t="s">
        <v>341</v>
      </c>
      <c r="S433" t="s">
        <v>4242</v>
      </c>
      <c r="T433" t="s">
        <v>126</v>
      </c>
      <c r="U433" t="s">
        <v>43</v>
      </c>
      <c r="V433" t="s">
        <v>4243</v>
      </c>
      <c r="W433" t="s">
        <v>4244</v>
      </c>
      <c r="Y433" t="str">
        <f>HYPERLINK("https://recruiter.shine.com/resume/download/?resumeid=gAAAAABbk2UNCaEUiwTMC4rqmEDFf361IiolFqZgCXRAAz2xkJYwjFeDvd39U_NbvMZK0b3_CMDEC0d3el05QZ1PnlogCs3TD1oJ1oRcmMfc_xuJlmWlQc-wvlNplU-_2G-fQg5G-BYl9Ink7rTFjbyrWSwG4H7oCQ==")</f>
        <v>https://recruiter.shine.com/resume/download/?resumeid=gAAAAABbk2UNCaEUiwTMC4rqmEDFf361IiolFqZgCXRAAz2xkJYwjFeDvd39U_NbvMZK0b3_CMDEC0d3el05QZ1PnlogCs3TD1oJ1oRcmMfc_xuJlmWlQc-wvlNplU-_2G-fQg5G-BYl9Ink7rTFjbyrWSwG4H7oCQ==</v>
      </c>
    </row>
    <row r="434" spans="1:25" ht="39.950000000000003" customHeight="1">
      <c r="A434">
        <v>430</v>
      </c>
      <c r="B434" t="s">
        <v>4245</v>
      </c>
      <c r="C434" t="s">
        <v>4246</v>
      </c>
      <c r="D434" t="s">
        <v>4247</v>
      </c>
      <c r="E434" t="s">
        <v>4248</v>
      </c>
      <c r="F434" t="s">
        <v>29</v>
      </c>
      <c r="G434" t="s">
        <v>2644</v>
      </c>
      <c r="H434" t="s">
        <v>234</v>
      </c>
      <c r="I434" t="s">
        <v>836</v>
      </c>
      <c r="J434" t="s">
        <v>135</v>
      </c>
      <c r="K434" t="s">
        <v>4249</v>
      </c>
      <c r="L434" t="s">
        <v>4250</v>
      </c>
      <c r="M434" t="s">
        <v>315</v>
      </c>
      <c r="N434" t="s">
        <v>4251</v>
      </c>
      <c r="O434" t="s">
        <v>38</v>
      </c>
      <c r="P434" t="s">
        <v>140</v>
      </c>
      <c r="Q434" t="s">
        <v>187</v>
      </c>
      <c r="R434" t="s">
        <v>124</v>
      </c>
      <c r="S434" t="s">
        <v>188</v>
      </c>
      <c r="T434" t="s">
        <v>227</v>
      </c>
      <c r="U434" t="s">
        <v>127</v>
      </c>
      <c r="V434" t="s">
        <v>4252</v>
      </c>
      <c r="W434" t="s">
        <v>4253</v>
      </c>
      <c r="Y434" t="str">
        <f>HYPERLINK("https://recruiter.shine.com/resume/download/?resumeid=gAAAAABbk2UL1-ZQAyaJQ-IOWEFnmaD_O5nDn25x8dyo5jmeqrZn9EB1CCIvYtXX5P40KmNKIZkVBx2v1-bwqEeSwp5xGTiEQtUj1F6pDmn-xJWagZGIkF-SdRNUBWOuxzXREVoGYaQE")</f>
        <v>https://recruiter.shine.com/resume/download/?resumeid=gAAAAABbk2UL1-ZQAyaJQ-IOWEFnmaD_O5nDn25x8dyo5jmeqrZn9EB1CCIvYtXX5P40KmNKIZkVBx2v1-bwqEeSwp5xGTiEQtUj1F6pDmn-xJWagZGIkF-SdRNUBWOuxzXREVoGYaQE</v>
      </c>
    </row>
    <row r="435" spans="1:25" ht="39.950000000000003" customHeight="1">
      <c r="A435">
        <v>431</v>
      </c>
      <c r="B435" t="s">
        <v>4254</v>
      </c>
      <c r="C435" t="s">
        <v>4255</v>
      </c>
      <c r="D435" t="s">
        <v>4256</v>
      </c>
      <c r="E435" t="s">
        <v>4257</v>
      </c>
      <c r="F435" t="s">
        <v>29</v>
      </c>
      <c r="G435" t="s">
        <v>4258</v>
      </c>
      <c r="H435" t="s">
        <v>31</v>
      </c>
      <c r="I435" t="s">
        <v>604</v>
      </c>
      <c r="J435" t="s">
        <v>705</v>
      </c>
      <c r="K435" t="s">
        <v>4259</v>
      </c>
      <c r="L435" t="s">
        <v>266</v>
      </c>
      <c r="M435" t="s">
        <v>105</v>
      </c>
      <c r="N435" t="s">
        <v>4260</v>
      </c>
      <c r="O435" t="s">
        <v>56</v>
      </c>
      <c r="P435" t="s">
        <v>57</v>
      </c>
      <c r="Q435" t="s">
        <v>107</v>
      </c>
      <c r="R435" t="s">
        <v>159</v>
      </c>
      <c r="S435" t="s">
        <v>4261</v>
      </c>
      <c r="T435" t="s">
        <v>110</v>
      </c>
      <c r="U435" t="s">
        <v>43</v>
      </c>
      <c r="V435" t="s">
        <v>4262</v>
      </c>
      <c r="W435" t="s">
        <v>4263</v>
      </c>
      <c r="Y435" t="str">
        <f>HYPERLINK("https://recruiter.shine.com/resume/download/?resumeid=gAAAAABbk2UMZ_xdws9wRMlZWKasJrZsAPWl93cSiZaMt9XoNtBnA27DJEYojMlQaB6F7c03PRUwIsrTX57bSECd9KxWVUXX9naQ13O1mpy0Ps8jkp_Kl1_Efm2ccEdvbuZul68BkVFh-QBvGEFCP8uuzAMh7dciAg==")</f>
        <v>https://recruiter.shine.com/resume/download/?resumeid=gAAAAABbk2UMZ_xdws9wRMlZWKasJrZsAPWl93cSiZaMt9XoNtBnA27DJEYojMlQaB6F7c03PRUwIsrTX57bSECd9KxWVUXX9naQ13O1mpy0Ps8jkp_Kl1_Efm2ccEdvbuZul68BkVFh-QBvGEFCP8uuzAMh7dciAg==</v>
      </c>
    </row>
    <row r="436" spans="1:25" ht="39.950000000000003" customHeight="1">
      <c r="A436">
        <v>432</v>
      </c>
      <c r="B436" t="s">
        <v>4264</v>
      </c>
      <c r="C436" t="s">
        <v>4265</v>
      </c>
      <c r="D436" t="s">
        <v>4266</v>
      </c>
      <c r="E436" t="s">
        <v>4267</v>
      </c>
      <c r="F436" t="s">
        <v>29</v>
      </c>
      <c r="G436" t="s">
        <v>29</v>
      </c>
      <c r="H436" t="s">
        <v>31</v>
      </c>
      <c r="I436" t="s">
        <v>4268</v>
      </c>
      <c r="J436" t="s">
        <v>1081</v>
      </c>
      <c r="K436" t="s">
        <v>4269</v>
      </c>
      <c r="L436" t="s">
        <v>1524</v>
      </c>
      <c r="M436" t="s">
        <v>717</v>
      </c>
      <c r="N436" t="s">
        <v>520</v>
      </c>
      <c r="O436" t="s">
        <v>56</v>
      </c>
      <c r="Q436" t="s">
        <v>365</v>
      </c>
      <c r="R436" t="s">
        <v>124</v>
      </c>
      <c r="S436" t="s">
        <v>4270</v>
      </c>
      <c r="T436" t="s">
        <v>61</v>
      </c>
      <c r="U436" t="s">
        <v>43</v>
      </c>
      <c r="V436" t="s">
        <v>4271</v>
      </c>
      <c r="W436" t="s">
        <v>4271</v>
      </c>
      <c r="Y436" t="str">
        <f>HYPERLINK("https://recruiter.shine.com/resume/download/?resumeid=gAAAAABbk2UOHHU29z388kTx_6cQgKPULIN-wXlhMgni7ePHos5ntZjVYupVsQtZvPrH43kO3P5j-tiMa9H22ftZ9sAgm3UVhLu8XF2-LaNLZYxYG1P0hv_UjkJRG8yg62f_3ulRl3jNbaBwe8XfWiDdiXR_6J5pJTZI1cW4750YYeaTJLl1u-k=")</f>
        <v>https://recruiter.shine.com/resume/download/?resumeid=gAAAAABbk2UOHHU29z388kTx_6cQgKPULIN-wXlhMgni7ePHos5ntZjVYupVsQtZvPrH43kO3P5j-tiMa9H22ftZ9sAgm3UVhLu8XF2-LaNLZYxYG1P0hv_UjkJRG8yg62f_3ulRl3jNbaBwe8XfWiDdiXR_6J5pJTZI1cW4750YYeaTJLl1u-k=</v>
      </c>
    </row>
    <row r="437" spans="1:25" ht="39.950000000000003" customHeight="1">
      <c r="A437">
        <v>433</v>
      </c>
      <c r="B437" t="s">
        <v>4272</v>
      </c>
      <c r="C437" t="s">
        <v>3252</v>
      </c>
      <c r="D437" t="s">
        <v>4273</v>
      </c>
      <c r="E437" t="s">
        <v>4274</v>
      </c>
      <c r="F437" t="s">
        <v>29</v>
      </c>
      <c r="G437" t="s">
        <v>406</v>
      </c>
      <c r="H437" t="s">
        <v>31</v>
      </c>
      <c r="I437" t="s">
        <v>1565</v>
      </c>
      <c r="J437" t="s">
        <v>801</v>
      </c>
      <c r="K437" t="s">
        <v>1167</v>
      </c>
      <c r="L437" t="s">
        <v>794</v>
      </c>
      <c r="M437" t="s">
        <v>105</v>
      </c>
      <c r="N437" t="s">
        <v>4275</v>
      </c>
      <c r="O437" t="s">
        <v>38</v>
      </c>
      <c r="P437" t="s">
        <v>57</v>
      </c>
      <c r="Q437" t="s">
        <v>107</v>
      </c>
      <c r="R437" t="s">
        <v>341</v>
      </c>
      <c r="S437" t="s">
        <v>4276</v>
      </c>
      <c r="T437" t="s">
        <v>687</v>
      </c>
      <c r="U437" t="s">
        <v>43</v>
      </c>
      <c r="V437" t="s">
        <v>4277</v>
      </c>
      <c r="W437" t="s">
        <v>4278</v>
      </c>
      <c r="Y437" t="str">
        <f>HYPERLINK("https://recruiter.shine.com/resume/download/?resumeid=gAAAAABbk2UKXpunarlIFWrGc3s32TCMZ5Kl-N3HF4XeUCdWaIUH0ZwVn6b67MLRjVDRsN0a8rIdA3E684uswY1JL_eQhzaGRqW0rTQQPUXmWPrsJ939jx0hMMYTXEkIA1H-ofD3Wj7X")</f>
        <v>https://recruiter.shine.com/resume/download/?resumeid=gAAAAABbk2UKXpunarlIFWrGc3s32TCMZ5Kl-N3HF4XeUCdWaIUH0ZwVn6b67MLRjVDRsN0a8rIdA3E684uswY1JL_eQhzaGRqW0rTQQPUXmWPrsJ939jx0hMMYTXEkIA1H-ofD3Wj7X</v>
      </c>
    </row>
    <row r="438" spans="1:25" ht="39.950000000000003" customHeight="1">
      <c r="A438">
        <v>434</v>
      </c>
      <c r="B438" t="s">
        <v>4279</v>
      </c>
      <c r="C438" t="s">
        <v>4280</v>
      </c>
      <c r="D438" t="s">
        <v>4281</v>
      </c>
      <c r="E438" t="s">
        <v>4282</v>
      </c>
      <c r="F438" t="s">
        <v>29</v>
      </c>
      <c r="G438" t="s">
        <v>1049</v>
      </c>
      <c r="H438" t="s">
        <v>234</v>
      </c>
      <c r="I438" t="s">
        <v>650</v>
      </c>
      <c r="J438" t="s">
        <v>801</v>
      </c>
      <c r="K438" t="s">
        <v>4283</v>
      </c>
      <c r="L438" t="s">
        <v>88</v>
      </c>
      <c r="M438" t="s">
        <v>36</v>
      </c>
      <c r="N438" t="s">
        <v>4284</v>
      </c>
      <c r="O438" t="s">
        <v>186</v>
      </c>
      <c r="P438" t="s">
        <v>201</v>
      </c>
      <c r="Q438" t="s">
        <v>107</v>
      </c>
      <c r="R438" t="s">
        <v>559</v>
      </c>
      <c r="S438" t="s">
        <v>4285</v>
      </c>
      <c r="T438" t="s">
        <v>304</v>
      </c>
      <c r="U438" t="s">
        <v>43</v>
      </c>
      <c r="V438" t="s">
        <v>4286</v>
      </c>
      <c r="W438" t="s">
        <v>4287</v>
      </c>
      <c r="Y438" t="str">
        <f>HYPERLINK("https://recruiter.shine.com/resume/download/?resumeid=gAAAAABbk2UMX7DlDy7I3iETfdMQHh3mFO51EaI4AaWnlua_ZBbzmNy4NvGqBU2pyOJMEzEImb2mCvL5ikBcXZBPU-2Tzixqox1-8y68cedDb_z7pMZcWSFq6Fo55nip40s2rpFJJkswT1Fku_oaU52fHCepp6nyWSuntDTYSKVXR4F6CXZXq8E=")</f>
        <v>https://recruiter.shine.com/resume/download/?resumeid=gAAAAABbk2UMX7DlDy7I3iETfdMQHh3mFO51EaI4AaWnlua_ZBbzmNy4NvGqBU2pyOJMEzEImb2mCvL5ikBcXZBPU-2Tzixqox1-8y68cedDb_z7pMZcWSFq6Fo55nip40s2rpFJJkswT1Fku_oaU52fHCepp6nyWSuntDTYSKVXR4F6CXZXq8E=</v>
      </c>
    </row>
    <row r="439" spans="1:25" ht="39.950000000000003" customHeight="1">
      <c r="A439">
        <v>435</v>
      </c>
      <c r="B439" t="s">
        <v>4288</v>
      </c>
      <c r="D439" t="s">
        <v>4289</v>
      </c>
      <c r="E439" t="s">
        <v>4290</v>
      </c>
      <c r="F439" t="s">
        <v>29</v>
      </c>
      <c r="G439" t="s">
        <v>29</v>
      </c>
      <c r="H439" t="s">
        <v>31</v>
      </c>
      <c r="I439" t="s">
        <v>4291</v>
      </c>
      <c r="J439" t="s">
        <v>4292</v>
      </c>
      <c r="K439" t="s">
        <v>4293</v>
      </c>
      <c r="L439" t="s">
        <v>338</v>
      </c>
      <c r="M439" t="s">
        <v>105</v>
      </c>
      <c r="N439" t="s">
        <v>4294</v>
      </c>
      <c r="O439" t="s">
        <v>1422</v>
      </c>
      <c r="P439" t="s">
        <v>57</v>
      </c>
      <c r="Q439" t="s">
        <v>158</v>
      </c>
      <c r="R439" t="s">
        <v>225</v>
      </c>
      <c r="S439" t="s">
        <v>4295</v>
      </c>
      <c r="T439" t="s">
        <v>561</v>
      </c>
      <c r="U439" t="s">
        <v>43</v>
      </c>
      <c r="V439" t="s">
        <v>4296</v>
      </c>
      <c r="W439" t="s">
        <v>4297</v>
      </c>
      <c r="Y439" t="str">
        <f>HYPERLINK("https://recruiter.shine.com/resume/download/?resumeid=gAAAAABbk2UNiwF0vSjT1fwXI-ywEKvNE3K8YNDG1fksAqnX4li22_EEb9xMNSWYDL4BwWYj02Au5BgKY6B9xLZtgdPSilTjgudMTlsD4goGyHIFf5lILq8rQu9_TRfVA_hXgPB0yO9J79G2Zr4HXcBo_QL2DpUXnQ==")</f>
        <v>https://recruiter.shine.com/resume/download/?resumeid=gAAAAABbk2UNiwF0vSjT1fwXI-ywEKvNE3K8YNDG1fksAqnX4li22_EEb9xMNSWYDL4BwWYj02Au5BgKY6B9xLZtgdPSilTjgudMTlsD4goGyHIFf5lILq8rQu9_TRfVA_hXgPB0yO9J79G2Zr4HXcBo_QL2DpUXnQ==</v>
      </c>
    </row>
    <row r="440" spans="1:25" ht="39.950000000000003" customHeight="1">
      <c r="A440">
        <v>436</v>
      </c>
      <c r="B440" t="s">
        <v>4298</v>
      </c>
      <c r="D440" t="s">
        <v>4299</v>
      </c>
      <c r="E440" t="s">
        <v>4300</v>
      </c>
      <c r="F440" t="s">
        <v>29</v>
      </c>
      <c r="G440" t="s">
        <v>29</v>
      </c>
      <c r="H440" t="s">
        <v>31</v>
      </c>
      <c r="I440" t="s">
        <v>32</v>
      </c>
      <c r="J440" t="s">
        <v>935</v>
      </c>
      <c r="K440" t="s">
        <v>2813</v>
      </c>
      <c r="L440" t="s">
        <v>184</v>
      </c>
      <c r="M440" t="s">
        <v>238</v>
      </c>
      <c r="N440" t="s">
        <v>4301</v>
      </c>
      <c r="O440" t="s">
        <v>38</v>
      </c>
      <c r="P440" t="s">
        <v>57</v>
      </c>
      <c r="Q440" t="s">
        <v>90</v>
      </c>
      <c r="R440" t="s">
        <v>292</v>
      </c>
      <c r="S440" t="s">
        <v>4302</v>
      </c>
      <c r="T440" t="s">
        <v>941</v>
      </c>
      <c r="U440" t="s">
        <v>43</v>
      </c>
      <c r="V440" t="s">
        <v>4303</v>
      </c>
      <c r="W440" t="s">
        <v>4304</v>
      </c>
      <c r="Y440" t="str">
        <f>HYPERLINK("https://recruiter.shine.com/resume/download/?resumeid=gAAAAABbk2UL63sg9QhKxzvyqY3k7ywBe2F0Y53BIm2KEUXWK-C9Lt9hyUzf1jTLAWWCXxX6ZK5gr6-UIUelpuU4jNagAd3qomO-xXVuriTTiAjBeIL2n9HMv1mVK8ivsFsdSgXey_YT")</f>
        <v>https://recruiter.shine.com/resume/download/?resumeid=gAAAAABbk2UL63sg9QhKxzvyqY3k7ywBe2F0Y53BIm2KEUXWK-C9Lt9hyUzf1jTLAWWCXxX6ZK5gr6-UIUelpuU4jNagAd3qomO-xXVuriTTiAjBeIL2n9HMv1mVK8ivsFsdSgXey_YT</v>
      </c>
    </row>
    <row r="441" spans="1:25" ht="39.950000000000003" customHeight="1">
      <c r="A441">
        <v>437</v>
      </c>
      <c r="B441" t="s">
        <v>4305</v>
      </c>
      <c r="C441" t="s">
        <v>4306</v>
      </c>
      <c r="D441" t="s">
        <v>4307</v>
      </c>
      <c r="E441" t="s">
        <v>4308</v>
      </c>
      <c r="F441" t="s">
        <v>29</v>
      </c>
      <c r="G441" t="s">
        <v>4309</v>
      </c>
      <c r="H441" t="s">
        <v>31</v>
      </c>
      <c r="I441" t="s">
        <v>4310</v>
      </c>
      <c r="J441" t="s">
        <v>278</v>
      </c>
      <c r="K441" t="s">
        <v>4311</v>
      </c>
      <c r="L441" t="s">
        <v>2132</v>
      </c>
      <c r="M441" t="s">
        <v>473</v>
      </c>
      <c r="N441" t="s">
        <v>4312</v>
      </c>
      <c r="O441" t="s">
        <v>2301</v>
      </c>
      <c r="P441" t="s">
        <v>39</v>
      </c>
      <c r="Q441" t="s">
        <v>90</v>
      </c>
      <c r="R441" t="s">
        <v>465</v>
      </c>
      <c r="S441" t="s">
        <v>4313</v>
      </c>
      <c r="T441" t="s">
        <v>587</v>
      </c>
      <c r="U441" t="s">
        <v>43</v>
      </c>
      <c r="V441" t="s">
        <v>4314</v>
      </c>
      <c r="W441" t="s">
        <v>4315</v>
      </c>
      <c r="Y441" t="str">
        <f>HYPERLINK("https://recruiter.shine.com/resume/download/?resumeid=gAAAAABbk2UN034rMXnA-WVLgLPtBJDG6mOWTx-ysj3jWzjbxSVzA5xek7javpzBKgt0JMEo-hBGbUchje8ohfRYY6O_rCcsaKj2KKtrXoALJQ8zfLHVQi-Gb2kniS8LWneJKiWPoQhlmu0f5PRZlyIz6SBH8-mjHA==")</f>
        <v>https://recruiter.shine.com/resume/download/?resumeid=gAAAAABbk2UN034rMXnA-WVLgLPtBJDG6mOWTx-ysj3jWzjbxSVzA5xek7javpzBKgt0JMEo-hBGbUchje8ohfRYY6O_rCcsaKj2KKtrXoALJQ8zfLHVQi-Gb2kniS8LWneJKiWPoQhlmu0f5PRZlyIz6SBH8-mjHA==</v>
      </c>
    </row>
    <row r="442" spans="1:25" ht="39.950000000000003" customHeight="1">
      <c r="A442">
        <v>438</v>
      </c>
      <c r="B442" t="s">
        <v>4316</v>
      </c>
      <c r="D442" t="s">
        <v>4317</v>
      </c>
      <c r="E442" t="s">
        <v>4318</v>
      </c>
      <c r="F442" t="s">
        <v>29</v>
      </c>
      <c r="G442" t="s">
        <v>29</v>
      </c>
      <c r="H442" t="s">
        <v>31</v>
      </c>
      <c r="I442" t="s">
        <v>362</v>
      </c>
      <c r="J442" t="s">
        <v>135</v>
      </c>
      <c r="L442" t="s">
        <v>363</v>
      </c>
      <c r="M442" t="s">
        <v>364</v>
      </c>
      <c r="Q442" t="s">
        <v>107</v>
      </c>
      <c r="R442" t="s">
        <v>4319</v>
      </c>
      <c r="S442" t="s">
        <v>4320</v>
      </c>
      <c r="T442" t="s">
        <v>61</v>
      </c>
      <c r="U442" t="s">
        <v>43</v>
      </c>
      <c r="V442" t="s">
        <v>4321</v>
      </c>
      <c r="W442" t="s">
        <v>4322</v>
      </c>
      <c r="Y442" t="str">
        <f>HYPERLINK("https://recruiter.shine.com/resume/download/?resumeid=gAAAAABbk2UONLkx6-i7JsH-A1mpd1n_Y2JzQDVjVTxP7y97_MQdYadN4dcFIS7gSNqmi-iS7xNoflKBBs9Qu5sSnmFv1Br4IYNg4tDhd3T0uOUXLyzBS6kFZHpADuiUKK12r-gGiaz3t6cpMpaMN09G7AMU_gz9xafO8F_iNypYIS865qesEGw=")</f>
        <v>https://recruiter.shine.com/resume/download/?resumeid=gAAAAABbk2UONLkx6-i7JsH-A1mpd1n_Y2JzQDVjVTxP7y97_MQdYadN4dcFIS7gSNqmi-iS7xNoflKBBs9Qu5sSnmFv1Br4IYNg4tDhd3T0uOUXLyzBS6kFZHpADuiUKK12r-gGiaz3t6cpMpaMN09G7AMU_gz9xafO8F_iNypYIS865qesEGw=</v>
      </c>
    </row>
    <row r="443" spans="1:25" ht="39.950000000000003" customHeight="1">
      <c r="A443">
        <v>439</v>
      </c>
      <c r="B443" t="s">
        <v>4323</v>
      </c>
      <c r="C443" t="s">
        <v>4324</v>
      </c>
      <c r="D443" t="s">
        <v>4325</v>
      </c>
      <c r="E443" t="s">
        <v>4326</v>
      </c>
      <c r="F443" t="s">
        <v>29</v>
      </c>
      <c r="G443" t="s">
        <v>29</v>
      </c>
      <c r="H443" t="s">
        <v>234</v>
      </c>
      <c r="I443" t="s">
        <v>152</v>
      </c>
      <c r="J443" t="s">
        <v>408</v>
      </c>
      <c r="K443" t="s">
        <v>4327</v>
      </c>
      <c r="L443" t="s">
        <v>462</v>
      </c>
      <c r="M443" t="s">
        <v>2133</v>
      </c>
      <c r="N443" t="s">
        <v>4328</v>
      </c>
      <c r="O443" t="s">
        <v>186</v>
      </c>
      <c r="P443" t="s">
        <v>57</v>
      </c>
      <c r="Q443" t="s">
        <v>90</v>
      </c>
      <c r="R443" t="s">
        <v>465</v>
      </c>
      <c r="S443" t="s">
        <v>4329</v>
      </c>
      <c r="T443" t="s">
        <v>110</v>
      </c>
      <c r="U443" t="s">
        <v>94</v>
      </c>
      <c r="V443" t="s">
        <v>4330</v>
      </c>
      <c r="W443" t="s">
        <v>4330</v>
      </c>
      <c r="Y443" t="str">
        <f>HYPERLINK("https://recruiter.shine.com/resume/download/?resumeid=gAAAAABbk2ULq1p0nJuBGG8lCWYplhuJgANd20Ath43CDzNnV4bBbRVckcdfUnFAuHqOGPM_6uEr2Ha7y6lrlCZT90OJNd6lwzjXjNCRzQC9QUGWZ1fIy5wp97aiHsX47By6Z4NUWuCs")</f>
        <v>https://recruiter.shine.com/resume/download/?resumeid=gAAAAABbk2ULq1p0nJuBGG8lCWYplhuJgANd20Ath43CDzNnV4bBbRVckcdfUnFAuHqOGPM_6uEr2Ha7y6lrlCZT90OJNd6lwzjXjNCRzQC9QUGWZ1fIy5wp97aiHsX47By6Z4NUWuCs</v>
      </c>
    </row>
    <row r="444" spans="1:25" ht="39.950000000000003" customHeight="1">
      <c r="A444">
        <v>440</v>
      </c>
      <c r="B444" t="s">
        <v>4331</v>
      </c>
      <c r="C444" t="s">
        <v>4332</v>
      </c>
      <c r="D444" t="s">
        <v>4333</v>
      </c>
      <c r="E444" t="s">
        <v>4334</v>
      </c>
      <c r="F444" t="s">
        <v>29</v>
      </c>
      <c r="G444" t="s">
        <v>4335</v>
      </c>
      <c r="H444" t="s">
        <v>31</v>
      </c>
      <c r="I444" t="s">
        <v>50</v>
      </c>
      <c r="J444" t="s">
        <v>408</v>
      </c>
      <c r="K444" t="s">
        <v>4336</v>
      </c>
      <c r="L444" t="s">
        <v>266</v>
      </c>
      <c r="M444" t="s">
        <v>105</v>
      </c>
      <c r="N444" t="s">
        <v>4337</v>
      </c>
      <c r="O444" t="s">
        <v>56</v>
      </c>
      <c r="P444" t="s">
        <v>140</v>
      </c>
      <c r="Q444" t="s">
        <v>107</v>
      </c>
      <c r="R444" t="s">
        <v>864</v>
      </c>
      <c r="S444" t="s">
        <v>4338</v>
      </c>
      <c r="T444" t="s">
        <v>441</v>
      </c>
      <c r="U444" t="s">
        <v>43</v>
      </c>
      <c r="V444" t="s">
        <v>4339</v>
      </c>
      <c r="W444" t="s">
        <v>4340</v>
      </c>
      <c r="Y444" t="str">
        <f>HYPERLINK("https://recruiter.shine.com/resume/download/?resumeid=gAAAAABbk2UMsTpqM67SYUL42_050BCLLswuPQoO3BdCtT7VlnkeIf-ty7x7WXVKvaK6OkdrkYZyuA7hOf5N1dUaLwSYzGlM4o-EbtEa5sTdgtGlOOkdm8t5Wbbiv6L-HvdoBcV7J5ELBahxLpu640zXxDQ56cINpGy_hkNCzaJkP8q7Uv6V4K4=")</f>
        <v>https://recruiter.shine.com/resume/download/?resumeid=gAAAAABbk2UMsTpqM67SYUL42_050BCLLswuPQoO3BdCtT7VlnkeIf-ty7x7WXVKvaK6OkdrkYZyuA7hOf5N1dUaLwSYzGlM4o-EbtEa5sTdgtGlOOkdm8t5Wbbiv6L-HvdoBcV7J5ELBahxLpu640zXxDQ56cINpGy_hkNCzaJkP8q7Uv6V4K4=</v>
      </c>
    </row>
    <row r="445" spans="1:25" ht="39.950000000000003" customHeight="1">
      <c r="A445">
        <v>441</v>
      </c>
      <c r="B445" t="s">
        <v>4341</v>
      </c>
      <c r="D445" t="s">
        <v>4342</v>
      </c>
      <c r="E445" t="s">
        <v>4343</v>
      </c>
      <c r="F445" t="s">
        <v>29</v>
      </c>
      <c r="G445" t="s">
        <v>67</v>
      </c>
      <c r="H445" t="s">
        <v>31</v>
      </c>
      <c r="I445" t="s">
        <v>1122</v>
      </c>
      <c r="J445" t="s">
        <v>135</v>
      </c>
      <c r="K445" t="s">
        <v>4344</v>
      </c>
      <c r="L445" t="s">
        <v>664</v>
      </c>
      <c r="M445" t="s">
        <v>1901</v>
      </c>
      <c r="N445" t="s">
        <v>4345</v>
      </c>
      <c r="O445" t="s">
        <v>186</v>
      </c>
      <c r="Q445" t="s">
        <v>107</v>
      </c>
      <c r="R445" t="s">
        <v>341</v>
      </c>
      <c r="S445" t="s">
        <v>4346</v>
      </c>
      <c r="T445" t="s">
        <v>429</v>
      </c>
      <c r="U445" t="s">
        <v>43</v>
      </c>
      <c r="V445" t="s">
        <v>4347</v>
      </c>
      <c r="W445" t="s">
        <v>4348</v>
      </c>
      <c r="Y445" t="str">
        <f>HYPERLINK("https://recruiter.shine.com/resume/download/?resumeid=gAAAAABbk2UNIZnpggFb8rIk0f1ZNuHwtSD-nKdRnykmwvawLpKnrqMI6L5iiiRlTB5zwfr5bY3bSYJhWDIZjRApyxRuUSnFs-HvfJuqNtB-fzLrYw3vFX8sYXEm429ZKrYs0ZXavUBz3zBplgo6dMBXttPo8BgY697o_la-bbdWvAsDAI5-d9M=")</f>
        <v>https://recruiter.shine.com/resume/download/?resumeid=gAAAAABbk2UNIZnpggFb8rIk0f1ZNuHwtSD-nKdRnykmwvawLpKnrqMI6L5iiiRlTB5zwfr5bY3bSYJhWDIZjRApyxRuUSnFs-HvfJuqNtB-fzLrYw3vFX8sYXEm429ZKrYs0ZXavUBz3zBplgo6dMBXttPo8BgY697o_la-bbdWvAsDAI5-d9M=</v>
      </c>
    </row>
    <row r="446" spans="1:25" ht="39.950000000000003" customHeight="1">
      <c r="A446">
        <v>442</v>
      </c>
      <c r="B446" t="s">
        <v>4349</v>
      </c>
      <c r="C446" t="s">
        <v>4350</v>
      </c>
      <c r="D446" t="s">
        <v>4351</v>
      </c>
      <c r="E446" t="s">
        <v>4352</v>
      </c>
      <c r="F446" t="s">
        <v>29</v>
      </c>
      <c r="G446" t="s">
        <v>67</v>
      </c>
      <c r="H446" t="s">
        <v>31</v>
      </c>
      <c r="I446" t="s">
        <v>152</v>
      </c>
      <c r="J446" t="s">
        <v>801</v>
      </c>
      <c r="K446" t="s">
        <v>4353</v>
      </c>
      <c r="L446" t="s">
        <v>486</v>
      </c>
      <c r="M446" t="s">
        <v>238</v>
      </c>
      <c r="N446" t="s">
        <v>4354</v>
      </c>
      <c r="O446" t="s">
        <v>1041</v>
      </c>
      <c r="P446" t="s">
        <v>73</v>
      </c>
      <c r="Q446" t="s">
        <v>90</v>
      </c>
      <c r="R446" t="s">
        <v>292</v>
      </c>
      <c r="S446" t="s">
        <v>3928</v>
      </c>
      <c r="T446" t="s">
        <v>61</v>
      </c>
      <c r="U446" t="s">
        <v>94</v>
      </c>
      <c r="V446" t="s">
        <v>4355</v>
      </c>
      <c r="W446" t="s">
        <v>4356</v>
      </c>
      <c r="Y446" t="str">
        <f>HYPERLINK("https://recruiter.shine.com/resume/download/?resumeid=gAAAAABbk2UK8Dg5ob2CpA5xTKqwqaURuazZFRhcKyCSeVSEZVxRYZmWEFNU3a-vcmiPW1roHqLY6v-3uN7XmtfG342DQme50cwSya4FMibueI7ghrolTay4IlOFn7dvfW85wEyKtsSj")</f>
        <v>https://recruiter.shine.com/resume/download/?resumeid=gAAAAABbk2UK8Dg5ob2CpA5xTKqwqaURuazZFRhcKyCSeVSEZVxRYZmWEFNU3a-vcmiPW1roHqLY6v-3uN7XmtfG342DQme50cwSya4FMibueI7ghrolTay4IlOFn7dvfW85wEyKtsSj</v>
      </c>
    </row>
    <row r="447" spans="1:25" ht="39.950000000000003" customHeight="1">
      <c r="A447">
        <v>443</v>
      </c>
      <c r="B447" t="s">
        <v>4357</v>
      </c>
      <c r="C447" t="s">
        <v>4358</v>
      </c>
      <c r="D447" t="s">
        <v>4359</v>
      </c>
      <c r="E447" t="s">
        <v>4360</v>
      </c>
      <c r="F447" t="s">
        <v>29</v>
      </c>
      <c r="G447" t="s">
        <v>29</v>
      </c>
      <c r="H447" t="s">
        <v>31</v>
      </c>
      <c r="I447" t="s">
        <v>117</v>
      </c>
      <c r="J447" t="s">
        <v>118</v>
      </c>
      <c r="K447" t="s">
        <v>4361</v>
      </c>
      <c r="L447" t="s">
        <v>1524</v>
      </c>
      <c r="M447" t="s">
        <v>238</v>
      </c>
      <c r="N447" t="s">
        <v>4362</v>
      </c>
      <c r="O447" t="s">
        <v>56</v>
      </c>
      <c r="Q447" t="s">
        <v>40</v>
      </c>
      <c r="R447" t="s">
        <v>2364</v>
      </c>
      <c r="S447" t="s">
        <v>4363</v>
      </c>
      <c r="T447" t="s">
        <v>687</v>
      </c>
      <c r="U447" t="s">
        <v>43</v>
      </c>
      <c r="V447" t="s">
        <v>4364</v>
      </c>
      <c r="W447" t="s">
        <v>4365</v>
      </c>
      <c r="Y447" t="str">
        <f>HYPERLINK("https://recruiter.shine.com/resume/download/?resumeid=gAAAAABbk2UMV5h_h0vQYVRRhrnPsyDDZFFcHNAzbDrpwehgfxUoEVlKxROcF74kfa0BXHgO_EvMBz1ruyhUJmucd7ihX_1qtI1ZcyQ0FN9POyhNyHQeKr39RgUejbM6ySRLUy_-mUrIrwBYmlAbOWTEWps2uxRTDw==")</f>
        <v>https://recruiter.shine.com/resume/download/?resumeid=gAAAAABbk2UMV5h_h0vQYVRRhrnPsyDDZFFcHNAzbDrpwehgfxUoEVlKxROcF74kfa0BXHgO_EvMBz1ruyhUJmucd7ihX_1qtI1ZcyQ0FN9POyhNyHQeKr39RgUejbM6ySRLUy_-mUrIrwBYmlAbOWTEWps2uxRTDw==</v>
      </c>
    </row>
    <row r="448" spans="1:25" ht="39.950000000000003" customHeight="1">
      <c r="A448">
        <v>444</v>
      </c>
      <c r="B448" t="s">
        <v>4366</v>
      </c>
      <c r="D448" t="s">
        <v>4367</v>
      </c>
      <c r="E448" t="s">
        <v>4368</v>
      </c>
      <c r="F448" t="s">
        <v>29</v>
      </c>
      <c r="G448" t="s">
        <v>67</v>
      </c>
      <c r="H448" t="s">
        <v>31</v>
      </c>
      <c r="I448" t="s">
        <v>568</v>
      </c>
      <c r="J448" t="s">
        <v>1133</v>
      </c>
      <c r="K448" t="s">
        <v>4369</v>
      </c>
      <c r="L448" t="s">
        <v>155</v>
      </c>
      <c r="M448" t="s">
        <v>105</v>
      </c>
      <c r="N448" t="s">
        <v>4370</v>
      </c>
      <c r="O448" t="s">
        <v>38</v>
      </c>
      <c r="P448" t="s">
        <v>140</v>
      </c>
      <c r="Q448" t="s">
        <v>158</v>
      </c>
      <c r="R448" t="s">
        <v>341</v>
      </c>
      <c r="S448" t="s">
        <v>4371</v>
      </c>
      <c r="T448" t="s">
        <v>773</v>
      </c>
      <c r="U448" t="s">
        <v>43</v>
      </c>
      <c r="V448" t="s">
        <v>4372</v>
      </c>
      <c r="W448" t="s">
        <v>4373</v>
      </c>
      <c r="Y448" t="str">
        <f>HYPERLINK("https://recruiter.shine.com/resume/download/?resumeid=gAAAAABbk2UO5s1snA5Dmjcc6GJBwyyM1HBQFZRWnOmkrDfMjNsNBqx3vP7GhXUk1hzqapOgS1CiOTKCnqkeiVRCaYuxsRAQONnSbEvxrJgv8-aEVPu7oMJdryyjdf0DwH0elmm69z2tDJ7M5UFwtbV4Eym2CuV_QQ==")</f>
        <v>https://recruiter.shine.com/resume/download/?resumeid=gAAAAABbk2UO5s1snA5Dmjcc6GJBwyyM1HBQFZRWnOmkrDfMjNsNBqx3vP7GhXUk1hzqapOgS1CiOTKCnqkeiVRCaYuxsRAQONnSbEvxrJgv8-aEVPu7oMJdryyjdf0DwH0elmm69z2tDJ7M5UFwtbV4Eym2CuV_QQ==</v>
      </c>
    </row>
    <row r="449" spans="1:25" ht="39.950000000000003" customHeight="1">
      <c r="A449">
        <v>445</v>
      </c>
      <c r="B449" t="s">
        <v>4374</v>
      </c>
      <c r="D449" t="s">
        <v>4375</v>
      </c>
      <c r="E449" t="s">
        <v>4376</v>
      </c>
      <c r="F449" t="s">
        <v>29</v>
      </c>
      <c r="G449" t="s">
        <v>29</v>
      </c>
      <c r="I449" t="s">
        <v>168</v>
      </c>
      <c r="J449" t="s">
        <v>4377</v>
      </c>
      <c r="K449" t="s">
        <v>4378</v>
      </c>
      <c r="L449" t="s">
        <v>199</v>
      </c>
      <c r="M449" t="s">
        <v>121</v>
      </c>
      <c r="N449" t="s">
        <v>4379</v>
      </c>
      <c r="O449" t="s">
        <v>1063</v>
      </c>
      <c r="Q449" t="s">
        <v>40</v>
      </c>
      <c r="R449" t="s">
        <v>760</v>
      </c>
      <c r="S449" t="s">
        <v>4380</v>
      </c>
      <c r="U449" t="s">
        <v>43</v>
      </c>
      <c r="V449" t="s">
        <v>4381</v>
      </c>
      <c r="W449" t="s">
        <v>4382</v>
      </c>
      <c r="Y449" t="str">
        <f>HYPERLINK("https://recruiter.shine.com/resume/download/?resumeid=gAAAAABbk2UKsXtLqvvRP-OA-xa-nQHXAf0pCLxHDy7qC8f8CD3aJwrkj5vLGjRjdRpSyVZ3xXocerO81AYnfmARvepc2hYHnVMFucjXsbkYhhwO8j_Zp0Iv-qdmP3calV7AgFKODxzH")</f>
        <v>https://recruiter.shine.com/resume/download/?resumeid=gAAAAABbk2UKsXtLqvvRP-OA-xa-nQHXAf0pCLxHDy7qC8f8CD3aJwrkj5vLGjRjdRpSyVZ3xXocerO81AYnfmARvepc2hYHnVMFucjXsbkYhhwO8j_Zp0Iv-qdmP3calV7AgFKODxzH</v>
      </c>
    </row>
    <row r="450" spans="1:25" ht="39.950000000000003" customHeight="1">
      <c r="A450">
        <v>446</v>
      </c>
      <c r="B450" t="s">
        <v>4383</v>
      </c>
      <c r="C450" t="s">
        <v>4384</v>
      </c>
      <c r="D450" t="s">
        <v>4385</v>
      </c>
      <c r="E450" t="s">
        <v>4386</v>
      </c>
      <c r="F450" t="s">
        <v>29</v>
      </c>
      <c r="G450" t="s">
        <v>67</v>
      </c>
      <c r="H450" t="s">
        <v>31</v>
      </c>
      <c r="I450" t="s">
        <v>196</v>
      </c>
      <c r="J450" t="s">
        <v>118</v>
      </c>
      <c r="K450" t="s">
        <v>198</v>
      </c>
      <c r="L450" t="s">
        <v>155</v>
      </c>
      <c r="M450" t="s">
        <v>339</v>
      </c>
      <c r="N450" t="s">
        <v>4387</v>
      </c>
      <c r="O450" t="s">
        <v>186</v>
      </c>
      <c r="Q450" t="s">
        <v>107</v>
      </c>
      <c r="R450" t="s">
        <v>559</v>
      </c>
      <c r="S450" t="s">
        <v>4388</v>
      </c>
      <c r="T450" t="s">
        <v>441</v>
      </c>
      <c r="U450" t="s">
        <v>43</v>
      </c>
      <c r="V450" t="s">
        <v>4389</v>
      </c>
      <c r="W450" t="s">
        <v>4390</v>
      </c>
      <c r="Y450" t="str">
        <f>HYPERLINK("https://recruiter.shine.com/resume/download/?resumeid=gAAAAABbk2UMJYa8Kna8f2GXmaKcMaGiUGj8f0PTTfIXEV-MXXSPmXgGLlNe7e124Z2ImwagzTEtrGeWbgUtcBePUFZRlFn8nBYHJWSR4i_gn0jsVMJuqF1oYO8DDVKeVjdsgVMMPs5JShXqKZRfg5XYamMl7xDi28xaOlFFz9WdAyYqcVhxfnY=")</f>
        <v>https://recruiter.shine.com/resume/download/?resumeid=gAAAAABbk2UMJYa8Kna8f2GXmaKcMaGiUGj8f0PTTfIXEV-MXXSPmXgGLlNe7e124Z2ImwagzTEtrGeWbgUtcBePUFZRlFn8nBYHJWSR4i_gn0jsVMJuqF1oYO8DDVKeVjdsgVMMPs5JShXqKZRfg5XYamMl7xDi28xaOlFFz9WdAyYqcVhxfnY=</v>
      </c>
    </row>
    <row r="451" spans="1:25" ht="39.950000000000003" customHeight="1">
      <c r="A451">
        <v>447</v>
      </c>
      <c r="B451" t="s">
        <v>4391</v>
      </c>
      <c r="C451" t="s">
        <v>2908</v>
      </c>
      <c r="D451" t="s">
        <v>4392</v>
      </c>
      <c r="E451" t="s">
        <v>4393</v>
      </c>
      <c r="F451" t="s">
        <v>29</v>
      </c>
      <c r="G451" t="s">
        <v>4394</v>
      </c>
      <c r="H451" t="s">
        <v>234</v>
      </c>
      <c r="I451" t="s">
        <v>2892</v>
      </c>
      <c r="J451" t="s">
        <v>580</v>
      </c>
      <c r="K451" t="s">
        <v>2825</v>
      </c>
      <c r="L451" t="s">
        <v>290</v>
      </c>
      <c r="M451" t="s">
        <v>238</v>
      </c>
      <c r="N451" t="s">
        <v>4395</v>
      </c>
      <c r="O451" t="s">
        <v>224</v>
      </c>
      <c r="P451" t="s">
        <v>39</v>
      </c>
      <c r="Q451" t="s">
        <v>187</v>
      </c>
      <c r="R451" t="s">
        <v>124</v>
      </c>
      <c r="S451" t="s">
        <v>188</v>
      </c>
      <c r="T451" t="s">
        <v>429</v>
      </c>
      <c r="U451" t="s">
        <v>43</v>
      </c>
      <c r="V451" t="s">
        <v>4396</v>
      </c>
      <c r="W451" t="s">
        <v>4397</v>
      </c>
      <c r="Y451" t="str">
        <f>HYPERLINK("https://recruiter.shine.com/resume/download/?resumeid=gAAAAABbk2UO88wkcQ9bvXE36NjWImvmUCRaeKUUY2h12PLJlt2HSJVCaFdxAQECGx5fhYjv6IfkkvDVnsUFAnHxGt4AuYcB-UP-roII_MROM6HWrGWOJxGhT_eGfpDjH_RkyVjKYadihSEA8tmw8qKfOv6XFli8jw==")</f>
        <v>https://recruiter.shine.com/resume/download/?resumeid=gAAAAABbk2UO88wkcQ9bvXE36NjWImvmUCRaeKUUY2h12PLJlt2HSJVCaFdxAQECGx5fhYjv6IfkkvDVnsUFAnHxGt4AuYcB-UP-roII_MROM6HWrGWOJxGhT_eGfpDjH_RkyVjKYadihSEA8tmw8qKfOv6XFli8jw==</v>
      </c>
    </row>
    <row r="452" spans="1:25" ht="39.950000000000003" customHeight="1">
      <c r="A452">
        <v>448</v>
      </c>
      <c r="B452" t="s">
        <v>4398</v>
      </c>
      <c r="C452" t="s">
        <v>4399</v>
      </c>
      <c r="D452" t="s">
        <v>4400</v>
      </c>
      <c r="E452" t="s">
        <v>4401</v>
      </c>
      <c r="F452" t="s">
        <v>29</v>
      </c>
      <c r="G452" t="s">
        <v>4402</v>
      </c>
      <c r="H452" t="s">
        <v>31</v>
      </c>
      <c r="I452" t="s">
        <v>4403</v>
      </c>
      <c r="J452" t="s">
        <v>4404</v>
      </c>
      <c r="K452" t="s">
        <v>4405</v>
      </c>
      <c r="L452" t="s">
        <v>664</v>
      </c>
      <c r="M452" t="s">
        <v>684</v>
      </c>
      <c r="N452" t="s">
        <v>4406</v>
      </c>
      <c r="O452" t="s">
        <v>56</v>
      </c>
      <c r="P452" t="s">
        <v>57</v>
      </c>
      <c r="Q452" t="s">
        <v>107</v>
      </c>
      <c r="R452" t="s">
        <v>341</v>
      </c>
      <c r="S452" t="s">
        <v>4407</v>
      </c>
      <c r="T452" t="s">
        <v>1921</v>
      </c>
      <c r="U452" t="s">
        <v>43</v>
      </c>
      <c r="V452" t="s">
        <v>4408</v>
      </c>
      <c r="W452" t="s">
        <v>4409</v>
      </c>
      <c r="Y452" t="str">
        <f>HYPERLINK("https://recruiter.shine.com/resume/download/?resumeid=gAAAAABbk2ULe9FT29p-lNbS_4lh9BmSYruj2zXBSqTUqvuYKH50HksOOJlrrbn2ZHuwMECikwE28g6px6DsQVh8BDHUkqal8tJxbysQVs0sJRqpzEWWCwKf9UM0YIt-5Ih2ZFFHUErwWMlWOXw1k8tR_Hs0qmpR9Q==")</f>
        <v>https://recruiter.shine.com/resume/download/?resumeid=gAAAAABbk2ULe9FT29p-lNbS_4lh9BmSYruj2zXBSqTUqvuYKH50HksOOJlrrbn2ZHuwMECikwE28g6px6DsQVh8BDHUkqal8tJxbysQVs0sJRqpzEWWCwKf9UM0YIt-5Ih2ZFFHUErwWMlWOXw1k8tR_Hs0qmpR9Q==</v>
      </c>
    </row>
    <row r="453" spans="1:25" ht="39.950000000000003" customHeight="1">
      <c r="A453">
        <v>449</v>
      </c>
      <c r="B453" t="s">
        <v>4410</v>
      </c>
      <c r="C453" t="s">
        <v>4411</v>
      </c>
      <c r="D453" t="s">
        <v>4412</v>
      </c>
      <c r="E453" t="s">
        <v>4413</v>
      </c>
      <c r="F453" t="s">
        <v>29</v>
      </c>
      <c r="G453" t="s">
        <v>4414</v>
      </c>
      <c r="H453" t="s">
        <v>31</v>
      </c>
      <c r="I453" t="s">
        <v>196</v>
      </c>
      <c r="J453" t="s">
        <v>801</v>
      </c>
      <c r="K453" t="s">
        <v>2748</v>
      </c>
      <c r="L453" t="s">
        <v>794</v>
      </c>
      <c r="M453" t="s">
        <v>684</v>
      </c>
      <c r="N453" t="s">
        <v>4415</v>
      </c>
      <c r="O453" t="s">
        <v>38</v>
      </c>
      <c r="P453" t="s">
        <v>140</v>
      </c>
      <c r="Q453" t="s">
        <v>107</v>
      </c>
      <c r="R453" t="s">
        <v>341</v>
      </c>
      <c r="S453" t="s">
        <v>4416</v>
      </c>
      <c r="T453" t="s">
        <v>441</v>
      </c>
      <c r="U453" t="s">
        <v>43</v>
      </c>
      <c r="V453" t="s">
        <v>4417</v>
      </c>
      <c r="W453" t="s">
        <v>4418</v>
      </c>
      <c r="Y453" t="str">
        <f>HYPERLINK("https://recruiter.shine.com/resume/download/?resumeid=gAAAAABbk2UN1p8fLeZ1pa29JhviSp2jWQx252SuxadtL7CHPe0_5XG5kzfHbg7tzS4OSY4rYml8-XdOMN-lXhvbW1xGZN5AV86cW1MsSbtYOxyDegy4FeU8oq5A_ZrNvKDEvdriIIwu-pDsx5Lk89vXzwfv9aQsEQD9R_1bX7lnUfM_6rlZVbA=")</f>
        <v>https://recruiter.shine.com/resume/download/?resumeid=gAAAAABbk2UN1p8fLeZ1pa29JhviSp2jWQx252SuxadtL7CHPe0_5XG5kzfHbg7tzS4OSY4rYml8-XdOMN-lXhvbW1xGZN5AV86cW1MsSbtYOxyDegy4FeU8oq5A_ZrNvKDEvdriIIwu-pDsx5Lk89vXzwfv9aQsEQD9R_1bX7lnUfM_6rlZVbA=</v>
      </c>
    </row>
    <row r="454" spans="1:25" ht="39.950000000000003" customHeight="1">
      <c r="A454">
        <v>450</v>
      </c>
      <c r="B454" t="s">
        <v>4419</v>
      </c>
      <c r="D454" t="s">
        <v>4420</v>
      </c>
      <c r="E454" t="s">
        <v>4421</v>
      </c>
      <c r="F454" t="s">
        <v>249</v>
      </c>
      <c r="H454" t="s">
        <v>234</v>
      </c>
      <c r="I454" t="s">
        <v>1122</v>
      </c>
      <c r="J454" t="s">
        <v>4422</v>
      </c>
      <c r="K454" t="s">
        <v>4423</v>
      </c>
      <c r="L454" t="s">
        <v>596</v>
      </c>
      <c r="M454" t="s">
        <v>254</v>
      </c>
      <c r="N454" t="s">
        <v>4424</v>
      </c>
      <c r="O454" t="s">
        <v>38</v>
      </c>
      <c r="Q454" t="s">
        <v>107</v>
      </c>
      <c r="R454" t="s">
        <v>642</v>
      </c>
      <c r="S454" t="s">
        <v>4425</v>
      </c>
      <c r="T454" t="s">
        <v>61</v>
      </c>
      <c r="U454" t="s">
        <v>127</v>
      </c>
      <c r="V454" t="s">
        <v>4426</v>
      </c>
      <c r="W454" t="s">
        <v>4427</v>
      </c>
      <c r="Y454" t="str">
        <f>HYPERLINK("https://recruiter.shine.com/resume/download/?resumeid=gAAAAABbk2UNntBVy2YLjJKLvkO8w6BAIXSFcoLZHuHjSyYK_OnWbd54Q-JdPEqkm2uwJuY53XfM04lOCO6RJBMfJeEFZkJWxGkSkoHe6_h2SXvIT2EM_xE8LwZARxUstYos1ktbs7f5ORmK0O5lGJkuxzdcrGwXpe6orheo_dGRzV4895TUK4Y=")</f>
        <v>https://recruiter.shine.com/resume/download/?resumeid=gAAAAABbk2UNntBVy2YLjJKLvkO8w6BAIXSFcoLZHuHjSyYK_OnWbd54Q-JdPEqkm2uwJuY53XfM04lOCO6RJBMfJeEFZkJWxGkSkoHe6_h2SXvIT2EM_xE8LwZARxUstYos1ktbs7f5ORmK0O5lGJkuxzdcrGwXpe6orheo_dGRzV4895TUK4Y=</v>
      </c>
    </row>
    <row r="455" spans="1:25" ht="39.950000000000003" customHeight="1">
      <c r="A455">
        <v>451</v>
      </c>
      <c r="B455" t="s">
        <v>4428</v>
      </c>
      <c r="C455" t="s">
        <v>4429</v>
      </c>
      <c r="D455" t="s">
        <v>4430</v>
      </c>
      <c r="E455" t="s">
        <v>4431</v>
      </c>
      <c r="F455" t="s">
        <v>29</v>
      </c>
      <c r="G455" t="s">
        <v>29</v>
      </c>
      <c r="H455" t="s">
        <v>31</v>
      </c>
      <c r="I455" t="s">
        <v>85</v>
      </c>
      <c r="J455" t="s">
        <v>86</v>
      </c>
      <c r="K455" t="s">
        <v>4432</v>
      </c>
      <c r="L455" t="s">
        <v>746</v>
      </c>
      <c r="M455" t="s">
        <v>827</v>
      </c>
      <c r="N455" t="s">
        <v>718</v>
      </c>
      <c r="O455" t="s">
        <v>558</v>
      </c>
      <c r="P455" t="s">
        <v>57</v>
      </c>
      <c r="Q455" t="s">
        <v>1880</v>
      </c>
      <c r="R455" t="s">
        <v>142</v>
      </c>
      <c r="S455" t="s">
        <v>4433</v>
      </c>
      <c r="U455" t="s">
        <v>43</v>
      </c>
      <c r="V455" t="s">
        <v>4434</v>
      </c>
      <c r="W455" t="s">
        <v>4435</v>
      </c>
      <c r="Y455" t="str">
        <f>HYPERLINK("https://recruiter.shine.com/resume/download/?resumeid=gAAAAABbk2ULGyvWWQqJKFHQqGIJF3zk7bbRvA-jL8sKOKUPiWq8SivXP2GuYJelrake6By9FveWgfxM44VN4xXtZeySCLllNkiTfxx_IODomhKFPeTnoROPJ9RI6mF6COtOYYMum5jr")</f>
        <v>https://recruiter.shine.com/resume/download/?resumeid=gAAAAABbk2ULGyvWWQqJKFHQqGIJF3zk7bbRvA-jL8sKOKUPiWq8SivXP2GuYJelrake6By9FveWgfxM44VN4xXtZeySCLllNkiTfxx_IODomhKFPeTnoROPJ9RI6mF6COtOYYMum5jr</v>
      </c>
    </row>
    <row r="456" spans="1:25" ht="39.950000000000003" customHeight="1">
      <c r="A456">
        <v>452</v>
      </c>
      <c r="B456" t="s">
        <v>4436</v>
      </c>
      <c r="C456" t="s">
        <v>4437</v>
      </c>
      <c r="D456" t="s">
        <v>4438</v>
      </c>
      <c r="E456" t="s">
        <v>4439</v>
      </c>
      <c r="F456" t="s">
        <v>29</v>
      </c>
      <c r="G456" t="s">
        <v>4440</v>
      </c>
      <c r="H456" t="s">
        <v>31</v>
      </c>
      <c r="I456" t="s">
        <v>3590</v>
      </c>
      <c r="J456" t="s">
        <v>715</v>
      </c>
      <c r="K456" t="s">
        <v>4441</v>
      </c>
      <c r="L456" t="s">
        <v>266</v>
      </c>
      <c r="M456" t="s">
        <v>105</v>
      </c>
      <c r="N456" t="s">
        <v>4442</v>
      </c>
      <c r="O456" t="s">
        <v>186</v>
      </c>
      <c r="P456" t="s">
        <v>140</v>
      </c>
      <c r="Q456" t="s">
        <v>107</v>
      </c>
      <c r="R456" t="s">
        <v>341</v>
      </c>
      <c r="S456" t="s">
        <v>677</v>
      </c>
      <c r="T456" t="s">
        <v>110</v>
      </c>
      <c r="U456" t="s">
        <v>127</v>
      </c>
      <c r="V456" t="s">
        <v>4443</v>
      </c>
      <c r="W456" t="s">
        <v>4444</v>
      </c>
      <c r="Y456" t="str">
        <f>HYPERLINK("https://recruiter.shine.com/resume/download/?resumeid=gAAAAABbk2UM6jW2iR21trHGXkhXpUo6MlMKcr6Ym0WM8hqXZyO7rsDgSQROedThhc24USevrwneFnZh2X6Xb5cgzHyLoxlkx-VxdZYfyAaK6V_yIrdMKYwjsRH_5P-K86b5g17WZXd9j7hfkNFVl8Krn4Zsg3aw4YCbQvHdVhqBS392kdyAfI8=")</f>
        <v>https://recruiter.shine.com/resume/download/?resumeid=gAAAAABbk2UM6jW2iR21trHGXkhXpUo6MlMKcr6Ym0WM8hqXZyO7rsDgSQROedThhc24USevrwneFnZh2X6Xb5cgzHyLoxlkx-VxdZYfyAaK6V_yIrdMKYwjsRH_5P-K86b5g17WZXd9j7hfkNFVl8Krn4Zsg3aw4YCbQvHdVhqBS392kdyAfI8=</v>
      </c>
    </row>
    <row r="457" spans="1:25" ht="39.950000000000003" customHeight="1">
      <c r="A457">
        <v>453</v>
      </c>
      <c r="B457" t="s">
        <v>4445</v>
      </c>
      <c r="C457" t="s">
        <v>4446</v>
      </c>
      <c r="D457" t="s">
        <v>4447</v>
      </c>
      <c r="E457" t="s">
        <v>4448</v>
      </c>
      <c r="F457" t="s">
        <v>29</v>
      </c>
      <c r="G457" t="s">
        <v>29</v>
      </c>
      <c r="H457" t="s">
        <v>31</v>
      </c>
      <c r="I457" t="s">
        <v>2317</v>
      </c>
      <c r="J457" t="s">
        <v>423</v>
      </c>
      <c r="K457" t="s">
        <v>4449</v>
      </c>
      <c r="L457" t="s">
        <v>3525</v>
      </c>
      <c r="M457" t="s">
        <v>1356</v>
      </c>
      <c r="N457" t="s">
        <v>4450</v>
      </c>
      <c r="O457" t="s">
        <v>56</v>
      </c>
      <c r="Q457" t="s">
        <v>158</v>
      </c>
      <c r="R457" t="s">
        <v>142</v>
      </c>
      <c r="S457" t="s">
        <v>4451</v>
      </c>
      <c r="T457" t="s">
        <v>161</v>
      </c>
      <c r="U457" t="s">
        <v>43</v>
      </c>
      <c r="V457" t="s">
        <v>4452</v>
      </c>
      <c r="W457" t="s">
        <v>4453</v>
      </c>
      <c r="Y457" t="str">
        <f>HYPERLINK("https://recruiter.shine.com/resume/download/?resumeid=gAAAAABbk2UNiPFqnEncmBIdilzzOKbg_ZQj-BaSRACDZIhHVMmdBRNio6Z-fR41C5gC-vIpockL-hUVF5mQJQxFeAzrBuEcVx8wJqhGOJ5Uq6cD3NP4lL1ipPIH9OmMR_5WWpBqj6z-qbxwKdXkqqsuyiPJob_9zg==")</f>
        <v>https://recruiter.shine.com/resume/download/?resumeid=gAAAAABbk2UNiPFqnEncmBIdilzzOKbg_ZQj-BaSRACDZIhHVMmdBRNio6Z-fR41C5gC-vIpockL-hUVF5mQJQxFeAzrBuEcVx8wJqhGOJ5Uq6cD3NP4lL1ipPIH9OmMR_5WWpBqj6z-qbxwKdXkqqsuyiPJob_9zg==</v>
      </c>
    </row>
    <row r="458" spans="1:25" ht="39.950000000000003" customHeight="1">
      <c r="A458">
        <v>454</v>
      </c>
      <c r="B458" t="s">
        <v>4454</v>
      </c>
      <c r="C458" t="s">
        <v>4455</v>
      </c>
      <c r="D458" t="s">
        <v>4456</v>
      </c>
      <c r="E458" t="s">
        <v>4457</v>
      </c>
      <c r="F458" t="s">
        <v>29</v>
      </c>
      <c r="G458" t="s">
        <v>29</v>
      </c>
      <c r="H458" t="s">
        <v>31</v>
      </c>
      <c r="I458" t="s">
        <v>1419</v>
      </c>
      <c r="J458" t="s">
        <v>135</v>
      </c>
      <c r="K458" t="s">
        <v>4458</v>
      </c>
      <c r="L458" t="s">
        <v>1674</v>
      </c>
      <c r="M458" t="s">
        <v>1335</v>
      </c>
      <c r="N458" t="s">
        <v>4459</v>
      </c>
      <c r="O458" t="s">
        <v>224</v>
      </c>
      <c r="P458" t="s">
        <v>140</v>
      </c>
      <c r="Q458" t="s">
        <v>90</v>
      </c>
      <c r="R458" t="s">
        <v>1676</v>
      </c>
      <c r="S458" t="s">
        <v>4460</v>
      </c>
      <c r="U458" t="s">
        <v>43</v>
      </c>
      <c r="V458" t="s">
        <v>4461</v>
      </c>
      <c r="W458" t="s">
        <v>4462</v>
      </c>
      <c r="Y458" t="str">
        <f>HYPERLINK("https://recruiter.shine.com/resume/download/?resumeid=gAAAAABbk2UL-fI_aMJWavJJLQgnqaLzoALu5dWv9AK5OKcc1VcejJOto4InYv210mubRNy479xIPEa-5EGtH9cvGtJC2RQjM9UFNZWu_4LimZR1nUKwLrNZatP0TNwchn-7d1qrUOBa")</f>
        <v>https://recruiter.shine.com/resume/download/?resumeid=gAAAAABbk2UL-fI_aMJWavJJLQgnqaLzoALu5dWv9AK5OKcc1VcejJOto4InYv210mubRNy479xIPEa-5EGtH9cvGtJC2RQjM9UFNZWu_4LimZR1nUKwLrNZatP0TNwchn-7d1qrUOBa</v>
      </c>
    </row>
    <row r="459" spans="1:25" ht="39.950000000000003" customHeight="1">
      <c r="A459">
        <v>455</v>
      </c>
      <c r="B459" t="s">
        <v>4463</v>
      </c>
      <c r="C459" t="s">
        <v>4464</v>
      </c>
      <c r="D459" t="s">
        <v>4465</v>
      </c>
      <c r="E459" t="s">
        <v>4466</v>
      </c>
      <c r="F459" t="s">
        <v>29</v>
      </c>
      <c r="G459" t="s">
        <v>4467</v>
      </c>
      <c r="H459" t="s">
        <v>31</v>
      </c>
      <c r="I459" t="s">
        <v>32</v>
      </c>
      <c r="J459" t="s">
        <v>393</v>
      </c>
      <c r="K459" t="s">
        <v>4468</v>
      </c>
      <c r="L459" t="s">
        <v>596</v>
      </c>
      <c r="M459" t="s">
        <v>884</v>
      </c>
      <c r="N459" t="s">
        <v>4469</v>
      </c>
      <c r="O459" t="s">
        <v>38</v>
      </c>
      <c r="P459" t="s">
        <v>57</v>
      </c>
      <c r="Q459" t="s">
        <v>107</v>
      </c>
      <c r="R459" t="s">
        <v>341</v>
      </c>
      <c r="S459" t="s">
        <v>4470</v>
      </c>
      <c r="T459" t="s">
        <v>270</v>
      </c>
      <c r="U459" t="s">
        <v>43</v>
      </c>
      <c r="V459" t="s">
        <v>4471</v>
      </c>
      <c r="W459" t="s">
        <v>964</v>
      </c>
      <c r="Y459" t="str">
        <f>HYPERLINK("https://recruiter.shine.com/resume/download/?resumeid=gAAAAABbk2UMzKeuFfwwJenJVamQD1gjXj8-EAG6Y5yrzZq52pNXSBjbsgY9pImj47RPd0ASZqQMXoluJ-MdX4EFh2nQWxZc7Zem2vJgTJ7t8Xok7CR6LTfEm7zr5WbJjCitGAVx2_Q_NV0yW0cXh2-zcfxYbtDj7MmN4moHgn2hcPFgAavIy4E=")</f>
        <v>https://recruiter.shine.com/resume/download/?resumeid=gAAAAABbk2UMzKeuFfwwJenJVamQD1gjXj8-EAG6Y5yrzZq52pNXSBjbsgY9pImj47RPd0ASZqQMXoluJ-MdX4EFh2nQWxZc7Zem2vJgTJ7t8Xok7CR6LTfEm7zr5WbJjCitGAVx2_Q_NV0yW0cXh2-zcfxYbtDj7MmN4moHgn2hcPFgAavIy4E=</v>
      </c>
    </row>
    <row r="460" spans="1:25" ht="39.950000000000003" customHeight="1">
      <c r="A460">
        <v>456</v>
      </c>
      <c r="B460" t="s">
        <v>4472</v>
      </c>
      <c r="D460" t="s">
        <v>4473</v>
      </c>
      <c r="E460" t="s">
        <v>4474</v>
      </c>
      <c r="F460" t="s">
        <v>29</v>
      </c>
      <c r="G460" t="s">
        <v>4475</v>
      </c>
      <c r="H460" t="s">
        <v>234</v>
      </c>
      <c r="I460" t="s">
        <v>362</v>
      </c>
      <c r="J460" t="s">
        <v>135</v>
      </c>
      <c r="L460" t="s">
        <v>363</v>
      </c>
      <c r="M460" t="s">
        <v>364</v>
      </c>
      <c r="Q460" t="s">
        <v>412</v>
      </c>
      <c r="R460" t="s">
        <v>1257</v>
      </c>
      <c r="S460" t="s">
        <v>4476</v>
      </c>
      <c r="T460" t="s">
        <v>625</v>
      </c>
      <c r="U460" t="s">
        <v>43</v>
      </c>
      <c r="V460" t="s">
        <v>4477</v>
      </c>
      <c r="W460" t="s">
        <v>4478</v>
      </c>
      <c r="Y460" t="str">
        <f>HYPERLINK("https://recruiter.shine.com/resume/download/?resumeid=gAAAAABbk2UOeDRwNaixjNOckCAT6lSJkWX3RWm6TU-A393i5G-yUp1nFE4bhUKTrM7FTT4V1P3DwbLL7Xry6-IYgTgW1l3tqVdwdLoxuq7I-I3fhsFwcutUqPnXo7anV5rttx_EuTqWI7E-38XnTxHl4JZ71m3xqRW1xvBFsVC90oszkDnnxsM=")</f>
        <v>https://recruiter.shine.com/resume/download/?resumeid=gAAAAABbk2UOeDRwNaixjNOckCAT6lSJkWX3RWm6TU-A393i5G-yUp1nFE4bhUKTrM7FTT4V1P3DwbLL7Xry6-IYgTgW1l3tqVdwdLoxuq7I-I3fhsFwcutUqPnXo7anV5rttx_EuTqWI7E-38XnTxHl4JZ71m3xqRW1xvBFsVC90oszkDnnxsM=</v>
      </c>
    </row>
    <row r="461" spans="1:25" ht="39.950000000000003" customHeight="1">
      <c r="A461">
        <v>457</v>
      </c>
      <c r="B461" t="s">
        <v>4479</v>
      </c>
      <c r="C461" t="s">
        <v>4480</v>
      </c>
      <c r="D461" t="s">
        <v>4481</v>
      </c>
      <c r="E461" t="s">
        <v>4482</v>
      </c>
      <c r="F461" t="s">
        <v>29</v>
      </c>
      <c r="G461" t="s">
        <v>29</v>
      </c>
      <c r="H461" t="s">
        <v>234</v>
      </c>
      <c r="I461" t="s">
        <v>85</v>
      </c>
      <c r="J461" t="s">
        <v>135</v>
      </c>
      <c r="K461" t="s">
        <v>4483</v>
      </c>
      <c r="L461" t="s">
        <v>88</v>
      </c>
      <c r="M461" t="s">
        <v>473</v>
      </c>
      <c r="N461" t="s">
        <v>4484</v>
      </c>
      <c r="O461" t="s">
        <v>1041</v>
      </c>
      <c r="P461" t="s">
        <v>57</v>
      </c>
      <c r="Q461" t="s">
        <v>123</v>
      </c>
      <c r="R461" t="s">
        <v>124</v>
      </c>
      <c r="S461" t="s">
        <v>188</v>
      </c>
      <c r="T461" t="s">
        <v>561</v>
      </c>
      <c r="U461" t="s">
        <v>43</v>
      </c>
      <c r="V461" t="s">
        <v>4485</v>
      </c>
      <c r="W461" t="s">
        <v>4485</v>
      </c>
      <c r="Y461" t="str">
        <f>HYPERLINK("https://recruiter.shine.com/resume/download/?resumeid=gAAAAABbk2UKpbkL9jnytwwXF0LMaNUsyUyJ1XS4pQS7zQQYyyq960QDj7uHtNQKgnRAcdB554ySKFEOVMuZDJmodHOCr7xehMvdPx3YRrqOzT7zatpJXKYVqGa9drH8kviYs_lwY-Pb")</f>
        <v>https://recruiter.shine.com/resume/download/?resumeid=gAAAAABbk2UKpbkL9jnytwwXF0LMaNUsyUyJ1XS4pQS7zQQYyyq960QDj7uHtNQKgnRAcdB554ySKFEOVMuZDJmodHOCr7xehMvdPx3YRrqOzT7zatpJXKYVqGa9drH8kviYs_lwY-Pb</v>
      </c>
    </row>
    <row r="462" spans="1:25" ht="39.950000000000003" customHeight="1">
      <c r="A462">
        <v>458</v>
      </c>
      <c r="B462" t="s">
        <v>4486</v>
      </c>
      <c r="C462" t="s">
        <v>4487</v>
      </c>
      <c r="D462" t="s">
        <v>4488</v>
      </c>
      <c r="E462" t="s">
        <v>4489</v>
      </c>
      <c r="F462" t="s">
        <v>29</v>
      </c>
      <c r="G462" t="s">
        <v>29</v>
      </c>
      <c r="H462" t="s">
        <v>234</v>
      </c>
      <c r="I462" t="s">
        <v>725</v>
      </c>
      <c r="J462" t="s">
        <v>408</v>
      </c>
      <c r="K462" t="s">
        <v>4490</v>
      </c>
      <c r="L462" t="s">
        <v>3566</v>
      </c>
      <c r="M462" t="s">
        <v>121</v>
      </c>
      <c r="N462" t="s">
        <v>4491</v>
      </c>
      <c r="O462" t="s">
        <v>56</v>
      </c>
      <c r="P462" t="s">
        <v>57</v>
      </c>
      <c r="Q462" t="s">
        <v>40</v>
      </c>
      <c r="R462" t="s">
        <v>4492</v>
      </c>
      <c r="S462" t="s">
        <v>4493</v>
      </c>
      <c r="T462" t="s">
        <v>441</v>
      </c>
      <c r="U462" t="s">
        <v>43</v>
      </c>
      <c r="V462" t="s">
        <v>4494</v>
      </c>
      <c r="W462" t="s">
        <v>4495</v>
      </c>
      <c r="Y462" t="str">
        <f>HYPERLINK("https://recruiter.shine.com/resume/download/?resumeid=gAAAAABbk2UM-tp_cGeByddD6_pzUkG21E2Eg6qer44W8uUiu9sdjc7yu7CWVPnKWd0XFLV_ZISB2j6PfLxjMG5wFemVKNlifVbTyqXTL3bUb442u9ho9lSkiGO4xaPc3ruoBhXPQC7N_FD2HK9TO1Ji80MCDHyZQQ==")</f>
        <v>https://recruiter.shine.com/resume/download/?resumeid=gAAAAABbk2UM-tp_cGeByddD6_pzUkG21E2Eg6qer44W8uUiu9sdjc7yu7CWVPnKWd0XFLV_ZISB2j6PfLxjMG5wFemVKNlifVbTyqXTL3bUb442u9ho9lSkiGO4xaPc3ruoBhXPQC7N_FD2HK9TO1Ji80MCDHyZQQ==</v>
      </c>
    </row>
    <row r="463" spans="1:25" ht="39.950000000000003" customHeight="1">
      <c r="A463">
        <v>459</v>
      </c>
      <c r="B463" t="s">
        <v>4496</v>
      </c>
      <c r="D463" t="s">
        <v>4497</v>
      </c>
      <c r="E463" t="s">
        <v>4498</v>
      </c>
      <c r="F463" t="s">
        <v>29</v>
      </c>
      <c r="G463" t="s">
        <v>29</v>
      </c>
      <c r="H463" t="s">
        <v>31</v>
      </c>
      <c r="I463" t="s">
        <v>4499</v>
      </c>
      <c r="J463" t="s">
        <v>2063</v>
      </c>
      <c r="K463" t="s">
        <v>4500</v>
      </c>
      <c r="L463" t="s">
        <v>254</v>
      </c>
      <c r="M463" t="s">
        <v>717</v>
      </c>
      <c r="N463" t="s">
        <v>4501</v>
      </c>
      <c r="O463" t="s">
        <v>1245</v>
      </c>
      <c r="Q463" t="s">
        <v>123</v>
      </c>
      <c r="R463" t="s">
        <v>124</v>
      </c>
      <c r="S463" t="s">
        <v>188</v>
      </c>
      <c r="T463" t="s">
        <v>126</v>
      </c>
      <c r="U463" t="s">
        <v>43</v>
      </c>
      <c r="V463" t="s">
        <v>4502</v>
      </c>
      <c r="W463" t="s">
        <v>4503</v>
      </c>
      <c r="Y463" t="str">
        <f>HYPERLINK("https://recruiter.shine.com/resume/download/?resumeid=gAAAAABbk2UO2s0kFKSyDPZCL-YrtdgE7aDBPVDXQSqm-_acOFMmdLM1hUB-4MhBJKd-ziwYFTYvwLWhwISrHAAgKDjNu3atKXv7VJ_oJ9vuUA2vB9uQ4pvGGAF3bOx4MJmQG1WsC4VmEXbWq1PXaqmEBiMcTnXPGsIYvjoB8dJw4bxVBb2CDvQ=")</f>
        <v>https://recruiter.shine.com/resume/download/?resumeid=gAAAAABbk2UO2s0kFKSyDPZCL-YrtdgE7aDBPVDXQSqm-_acOFMmdLM1hUB-4MhBJKd-ziwYFTYvwLWhwISrHAAgKDjNu3atKXv7VJ_oJ9vuUA2vB9uQ4pvGGAF3bOx4MJmQG1WsC4VmEXbWq1PXaqmEBiMcTnXPGsIYvjoB8dJw4bxVBb2CDvQ=</v>
      </c>
    </row>
    <row r="464" spans="1:25" ht="39.950000000000003" customHeight="1">
      <c r="A464">
        <v>460</v>
      </c>
      <c r="B464" t="s">
        <v>4504</v>
      </c>
      <c r="C464" t="s">
        <v>4505</v>
      </c>
      <c r="D464" t="s">
        <v>4506</v>
      </c>
      <c r="E464" t="s">
        <v>4507</v>
      </c>
      <c r="F464" t="s">
        <v>29</v>
      </c>
      <c r="G464" t="s">
        <v>4508</v>
      </c>
      <c r="H464" t="s">
        <v>31</v>
      </c>
      <c r="I464" t="s">
        <v>32</v>
      </c>
      <c r="J464" t="s">
        <v>336</v>
      </c>
      <c r="K464" t="s">
        <v>4509</v>
      </c>
      <c r="L464" t="s">
        <v>184</v>
      </c>
      <c r="M464" t="s">
        <v>105</v>
      </c>
      <c r="N464" t="s">
        <v>4510</v>
      </c>
      <c r="O464" t="s">
        <v>157</v>
      </c>
      <c r="P464" t="s">
        <v>57</v>
      </c>
      <c r="Q464" t="s">
        <v>240</v>
      </c>
      <c r="R464" t="s">
        <v>241</v>
      </c>
      <c r="S464" t="s">
        <v>242</v>
      </c>
      <c r="T464" t="s">
        <v>587</v>
      </c>
      <c r="U464" t="s">
        <v>43</v>
      </c>
      <c r="V464" t="s">
        <v>4511</v>
      </c>
      <c r="W464" t="s">
        <v>4511</v>
      </c>
      <c r="Y464" t="str">
        <f>HYPERLINK("https://recruiter.shine.com/resume/download/?resumeid=gAAAAABbk2ULixXo_ECXj3O4_ZMO-efcNpSX1DIhuEd80XAh8ChcQA4qrFWu5HPzQMuBPJLGZzNEfiCO--SGTHiWoXKFl_qZ3m4aQSLCz0Vxw-gsSiChmKpQHFSOTnuz10kxrMRhsoqq")</f>
        <v>https://recruiter.shine.com/resume/download/?resumeid=gAAAAABbk2ULixXo_ECXj3O4_ZMO-efcNpSX1DIhuEd80XAh8ChcQA4qrFWu5HPzQMuBPJLGZzNEfiCO--SGTHiWoXKFl_qZ3m4aQSLCz0Vxw-gsSiChmKpQHFSOTnuz10kxrMRhsoqq</v>
      </c>
    </row>
    <row r="465" spans="1:25" ht="39.950000000000003" customHeight="1">
      <c r="A465">
        <v>461</v>
      </c>
      <c r="B465" t="s">
        <v>4512</v>
      </c>
      <c r="C465" t="s">
        <v>4513</v>
      </c>
      <c r="D465" t="s">
        <v>4514</v>
      </c>
      <c r="E465" t="s">
        <v>4515</v>
      </c>
      <c r="F465" t="s">
        <v>29</v>
      </c>
      <c r="G465" t="s">
        <v>29</v>
      </c>
      <c r="H465" t="s">
        <v>234</v>
      </c>
      <c r="I465" t="s">
        <v>2688</v>
      </c>
      <c r="J465" t="s">
        <v>3214</v>
      </c>
      <c r="K465" t="s">
        <v>4516</v>
      </c>
      <c r="L465" t="s">
        <v>462</v>
      </c>
      <c r="M465" t="s">
        <v>54</v>
      </c>
      <c r="N465" t="s">
        <v>355</v>
      </c>
      <c r="O465" t="s">
        <v>38</v>
      </c>
      <c r="Q465" t="s">
        <v>90</v>
      </c>
      <c r="R465" t="s">
        <v>465</v>
      </c>
      <c r="S465" t="s">
        <v>4517</v>
      </c>
      <c r="T465" t="s">
        <v>441</v>
      </c>
      <c r="U465" t="s">
        <v>43</v>
      </c>
      <c r="V465" t="s">
        <v>4518</v>
      </c>
      <c r="W465" t="s">
        <v>4519</v>
      </c>
      <c r="Y465" t="str">
        <f>HYPERLINK("https://recruiter.shine.com/resume/download/?resumeid=gAAAAABbk2UMBFbYgJC7gfLJ_h9dqeF8qAIWh6WZNEXNRvfMSzuao9Qs-KXRx8laNS19HaPNawHDnNRU2g4cH79yiBvhzRVXytmx02_IHpg-lad-Z5n5OTsveSgSMxk1pRYtnDPdxlCgy-VvAt1Cf7h6MHJ60263aXzPmNe6U2sWEiQQJZPhWL0=")</f>
        <v>https://recruiter.shine.com/resume/download/?resumeid=gAAAAABbk2UMBFbYgJC7gfLJ_h9dqeF8qAIWh6WZNEXNRvfMSzuao9Qs-KXRx8laNS19HaPNawHDnNRU2g4cH79yiBvhzRVXytmx02_IHpg-lad-Z5n5OTsveSgSMxk1pRYtnDPdxlCgy-VvAt1Cf7h6MHJ60263aXzPmNe6U2sWEiQQJZPhWL0=</v>
      </c>
    </row>
    <row r="466" spans="1:25" ht="39.950000000000003" customHeight="1">
      <c r="A466">
        <v>462</v>
      </c>
      <c r="B466" t="s">
        <v>4520</v>
      </c>
      <c r="D466" t="s">
        <v>4521</v>
      </c>
      <c r="E466" t="s">
        <v>4522</v>
      </c>
      <c r="F466" t="s">
        <v>29</v>
      </c>
      <c r="G466" t="s">
        <v>4523</v>
      </c>
      <c r="H466" t="s">
        <v>31</v>
      </c>
      <c r="I466" t="s">
        <v>3180</v>
      </c>
      <c r="J466" t="s">
        <v>336</v>
      </c>
      <c r="K466" t="s">
        <v>4524</v>
      </c>
      <c r="L466" t="s">
        <v>450</v>
      </c>
      <c r="M466" t="s">
        <v>339</v>
      </c>
      <c r="N466" t="s">
        <v>4525</v>
      </c>
      <c r="O466" t="s">
        <v>186</v>
      </c>
      <c r="P466" t="s">
        <v>57</v>
      </c>
      <c r="Q466" t="s">
        <v>74</v>
      </c>
      <c r="R466" t="s">
        <v>4526</v>
      </c>
      <c r="S466" t="s">
        <v>4527</v>
      </c>
      <c r="T466" t="s">
        <v>77</v>
      </c>
      <c r="U466" t="s">
        <v>94</v>
      </c>
      <c r="V466" t="s">
        <v>4528</v>
      </c>
      <c r="W466" t="s">
        <v>4529</v>
      </c>
      <c r="Y466" t="str">
        <f>HYPERLINK("https://recruiter.shine.com/resume/download/?resumeid=gAAAAABbk2UO0_OexbUzV-VZRywY1Y-n9Zn5qPF8qorZdIbc2LjP_zp7o9_M8sSB924BttIFPhBUCyBGds7T6DDXNcWuH1izr_ca0B0Pq-U5Op3-eLz6avhYU8ROW98iqRS0_qAIvVZmAAy6_x-sbHPiMQuig6fH5A==")</f>
        <v>https://recruiter.shine.com/resume/download/?resumeid=gAAAAABbk2UO0_OexbUzV-VZRywY1Y-n9Zn5qPF8qorZdIbc2LjP_zp7o9_M8sSB924BttIFPhBUCyBGds7T6DDXNcWuH1izr_ca0B0Pq-U5Op3-eLz6avhYU8ROW98iqRS0_qAIvVZmAAy6_x-sbHPiMQuig6fH5A==</v>
      </c>
    </row>
    <row r="467" spans="1:25" ht="39.950000000000003" customHeight="1">
      <c r="A467">
        <v>463</v>
      </c>
      <c r="B467" t="s">
        <v>4530</v>
      </c>
      <c r="C467" t="s">
        <v>4531</v>
      </c>
      <c r="D467" t="s">
        <v>4532</v>
      </c>
      <c r="E467" t="s">
        <v>4533</v>
      </c>
      <c r="F467" t="s">
        <v>29</v>
      </c>
      <c r="G467" t="s">
        <v>29</v>
      </c>
      <c r="H467" t="s">
        <v>31</v>
      </c>
      <c r="I467" t="s">
        <v>32</v>
      </c>
      <c r="J467" t="s">
        <v>1513</v>
      </c>
      <c r="K467" t="s">
        <v>4534</v>
      </c>
      <c r="L467" t="s">
        <v>88</v>
      </c>
      <c r="M467" t="s">
        <v>222</v>
      </c>
      <c r="N467" t="s">
        <v>4535</v>
      </c>
      <c r="O467" t="s">
        <v>186</v>
      </c>
      <c r="P467" t="s">
        <v>73</v>
      </c>
      <c r="Q467" t="s">
        <v>699</v>
      </c>
      <c r="R467" t="s">
        <v>1235</v>
      </c>
      <c r="S467" t="s">
        <v>4536</v>
      </c>
      <c r="U467" t="s">
        <v>43</v>
      </c>
      <c r="V467" t="s">
        <v>4537</v>
      </c>
      <c r="W467" t="s">
        <v>4538</v>
      </c>
      <c r="Y467" t="str">
        <f>HYPERLINK("https://recruiter.shine.com/resume/download/?resumeid=gAAAAABbk2ULMgnoeyZkiP4dGznLgpfcPuldq20ur9G8BX4pb-6sScvx-iQP0pXk9aSuYQT0ufb8TkxfDq2ym6FJCBoFXRwLi0DJRx7JuzSV9DlGmhwshSdewWtREm9OJRCc8QG1eBR1")</f>
        <v>https://recruiter.shine.com/resume/download/?resumeid=gAAAAABbk2ULMgnoeyZkiP4dGznLgpfcPuldq20ur9G8BX4pb-6sScvx-iQP0pXk9aSuYQT0ufb8TkxfDq2ym6FJCBoFXRwLi0DJRx7JuzSV9DlGmhwshSdewWtREm9OJRCc8QG1eBR1</v>
      </c>
    </row>
    <row r="468" spans="1:25" ht="39.950000000000003" customHeight="1">
      <c r="A468">
        <v>464</v>
      </c>
      <c r="B468" t="s">
        <v>4539</v>
      </c>
      <c r="C468" t="s">
        <v>4540</v>
      </c>
      <c r="D468" t="s">
        <v>4541</v>
      </c>
      <c r="E468" t="s">
        <v>4542</v>
      </c>
      <c r="F468" t="s">
        <v>29</v>
      </c>
      <c r="G468" t="s">
        <v>29</v>
      </c>
      <c r="H468" t="s">
        <v>31</v>
      </c>
      <c r="I468" t="s">
        <v>4543</v>
      </c>
      <c r="J468" t="s">
        <v>3071</v>
      </c>
      <c r="K468" t="s">
        <v>4544</v>
      </c>
      <c r="L468" t="s">
        <v>266</v>
      </c>
      <c r="M468" t="s">
        <v>339</v>
      </c>
      <c r="N468" t="s">
        <v>4545</v>
      </c>
      <c r="O468" t="s">
        <v>38</v>
      </c>
      <c r="P468" t="s">
        <v>140</v>
      </c>
      <c r="Q468" t="s">
        <v>107</v>
      </c>
      <c r="R468" t="s">
        <v>341</v>
      </c>
      <c r="S468" t="s">
        <v>4546</v>
      </c>
      <c r="T468" t="s">
        <v>441</v>
      </c>
      <c r="U468" t="s">
        <v>43</v>
      </c>
      <c r="V468" t="s">
        <v>4547</v>
      </c>
      <c r="W468" t="s">
        <v>4548</v>
      </c>
      <c r="Y468" t="str">
        <f>HYPERLINK("https://recruiter.shine.com/resume/download/?resumeid=gAAAAABbk2UMYpemKGDIimREJ8GODjPdW_TV0-Kg1JDGLOlYwGYMHZNyy6MXymEXkAh8R0u8umbvbfp3Aam89YfHwj_7yW4Rf3-vJI-BOVKS03didy_M6SC5DSH6lYsy0mtiSZlZd_Vf2jSUF_K8dPBG4YHrU2reI1pijuFmwe5cTLwV6o7hG-s=")</f>
        <v>https://recruiter.shine.com/resume/download/?resumeid=gAAAAABbk2UMYpemKGDIimREJ8GODjPdW_TV0-Kg1JDGLOlYwGYMHZNyy6MXymEXkAh8R0u8umbvbfp3Aam89YfHwj_7yW4Rf3-vJI-BOVKS03didy_M6SC5DSH6lYsy0mtiSZlZd_Vf2jSUF_K8dPBG4YHrU2reI1pijuFmwe5cTLwV6o7hG-s=</v>
      </c>
    </row>
    <row r="469" spans="1:25" ht="39.950000000000003" customHeight="1">
      <c r="A469">
        <v>465</v>
      </c>
      <c r="B469" t="s">
        <v>4549</v>
      </c>
      <c r="C469" t="s">
        <v>4550</v>
      </c>
      <c r="D469" t="s">
        <v>4551</v>
      </c>
      <c r="E469" t="s">
        <v>4552</v>
      </c>
      <c r="F469" t="s">
        <v>29</v>
      </c>
      <c r="G469" t="s">
        <v>29</v>
      </c>
      <c r="H469" t="s">
        <v>31</v>
      </c>
      <c r="I469" t="s">
        <v>1038</v>
      </c>
      <c r="J469" t="s">
        <v>4553</v>
      </c>
      <c r="K469" t="s">
        <v>4554</v>
      </c>
      <c r="L469" t="s">
        <v>1918</v>
      </c>
      <c r="M469" t="s">
        <v>1755</v>
      </c>
      <c r="N469" t="s">
        <v>4555</v>
      </c>
      <c r="O469" t="s">
        <v>186</v>
      </c>
      <c r="P469" t="s">
        <v>940</v>
      </c>
      <c r="Q469" t="s">
        <v>41</v>
      </c>
      <c r="R469" t="s">
        <v>4556</v>
      </c>
      <c r="S469" t="s">
        <v>4557</v>
      </c>
      <c r="T469" t="s">
        <v>161</v>
      </c>
      <c r="U469" t="s">
        <v>43</v>
      </c>
      <c r="V469" t="s">
        <v>4558</v>
      </c>
      <c r="W469" t="s">
        <v>4559</v>
      </c>
      <c r="Y469" t="str">
        <f>HYPERLINK("https://recruiter.shine.com/resume/download/?resumeid=gAAAAABbk2UONWpU7WEV5I_wimckLYudaBOpPMZ4cbsD0MtVatWHlfMrS_uhzYAxshmJfQ2E2CiTTQVUPDyG0b_q80hEYB8dbEI8EL9CihlOddo-GHoX6iStouCycELdLWsRyFagliRtfPhW-rn4SEfI-uOHo9VE2eKVngw3XqREqqhLC43Xkbw=")</f>
        <v>https://recruiter.shine.com/resume/download/?resumeid=gAAAAABbk2UONWpU7WEV5I_wimckLYudaBOpPMZ4cbsD0MtVatWHlfMrS_uhzYAxshmJfQ2E2CiTTQVUPDyG0b_q80hEYB8dbEI8EL9CihlOddo-GHoX6iStouCycELdLWsRyFagliRtfPhW-rn4SEfI-uOHo9VE2eKVngw3XqREqqhLC43Xkbw=</v>
      </c>
    </row>
    <row r="470" spans="1:25" ht="39.950000000000003" customHeight="1">
      <c r="A470">
        <v>466</v>
      </c>
      <c r="B470" t="s">
        <v>4560</v>
      </c>
      <c r="C470" t="s">
        <v>4561</v>
      </c>
      <c r="D470" t="s">
        <v>4562</v>
      </c>
      <c r="E470" t="s">
        <v>4563</v>
      </c>
      <c r="F470" t="s">
        <v>29</v>
      </c>
      <c r="G470" t="s">
        <v>29</v>
      </c>
      <c r="H470" t="s">
        <v>31</v>
      </c>
      <c r="I470" t="s">
        <v>1774</v>
      </c>
      <c r="J470" t="s">
        <v>33</v>
      </c>
      <c r="K470" t="s">
        <v>4564</v>
      </c>
      <c r="L470" t="s">
        <v>1889</v>
      </c>
      <c r="M470" t="s">
        <v>138</v>
      </c>
      <c r="N470" t="s">
        <v>1889</v>
      </c>
      <c r="O470" t="s">
        <v>585</v>
      </c>
      <c r="P470" t="s">
        <v>140</v>
      </c>
      <c r="Q470" t="s">
        <v>4181</v>
      </c>
      <c r="R470" t="s">
        <v>4565</v>
      </c>
      <c r="S470" t="s">
        <v>4566</v>
      </c>
      <c r="U470" t="s">
        <v>43</v>
      </c>
      <c r="V470" t="s">
        <v>4567</v>
      </c>
      <c r="W470" t="s">
        <v>4568</v>
      </c>
      <c r="Y470" t="str">
        <f>HYPERLINK("https://recruiter.shine.com/resume/download/?resumeid=gAAAAABbk2UKM4A7Oq7ZH63AqZ_hT3oTdga3uVEVrkLdnquqz1Dp5G-BMmGpdKE5prkHhLBnx6jhWmT8nYJOAY4MGx2629Npxu96Y7dPV3NI1hx-zZK6r7hH4Ou-IPga5MagfnFTSBuu")</f>
        <v>https://recruiter.shine.com/resume/download/?resumeid=gAAAAABbk2UKM4A7Oq7ZH63AqZ_hT3oTdga3uVEVrkLdnquqz1Dp5G-BMmGpdKE5prkHhLBnx6jhWmT8nYJOAY4MGx2629Npxu96Y7dPV3NI1hx-zZK6r7hH4Ou-IPga5MagfnFTSBuu</v>
      </c>
    </row>
    <row r="471" spans="1:25" ht="39.950000000000003" customHeight="1">
      <c r="A471">
        <v>467</v>
      </c>
      <c r="B471" t="s">
        <v>4569</v>
      </c>
      <c r="C471" t="s">
        <v>4570</v>
      </c>
      <c r="D471" t="s">
        <v>4571</v>
      </c>
      <c r="E471" t="s">
        <v>4572</v>
      </c>
      <c r="F471" t="s">
        <v>29</v>
      </c>
      <c r="G471" t="s">
        <v>4573</v>
      </c>
      <c r="H471" t="s">
        <v>31</v>
      </c>
      <c r="I471" t="s">
        <v>1224</v>
      </c>
      <c r="J471" t="s">
        <v>3591</v>
      </c>
      <c r="K471" t="s">
        <v>4106</v>
      </c>
      <c r="L471" t="s">
        <v>266</v>
      </c>
      <c r="M471" t="s">
        <v>105</v>
      </c>
      <c r="N471" t="s">
        <v>4574</v>
      </c>
      <c r="O471" t="s">
        <v>38</v>
      </c>
      <c r="P471" t="s">
        <v>140</v>
      </c>
      <c r="Q471" t="s">
        <v>107</v>
      </c>
      <c r="R471" t="s">
        <v>159</v>
      </c>
      <c r="S471" t="s">
        <v>4575</v>
      </c>
      <c r="T471" t="s">
        <v>773</v>
      </c>
      <c r="U471" t="s">
        <v>43</v>
      </c>
      <c r="V471" t="s">
        <v>4576</v>
      </c>
      <c r="W471" t="s">
        <v>4576</v>
      </c>
      <c r="Y471" t="str">
        <f>HYPERLINK("https://recruiter.shine.com/resume/download/?resumeid=gAAAAABbk2UMxrOvcdOK9GtCRiR2eyBl3BUi716f0NAr_Mdg8uUjahF2WrqyQ9S7Fehb-iu4Hm8aOVEAaUgWxWXIqKledEul_6tvgHGo_2cl-2bKkhi0IRZrHVNhowaCtoO6klfYWT8N")</f>
        <v>https://recruiter.shine.com/resume/download/?resumeid=gAAAAABbk2UMxrOvcdOK9GtCRiR2eyBl3BUi716f0NAr_Mdg8uUjahF2WrqyQ9S7Fehb-iu4Hm8aOVEAaUgWxWXIqKledEul_6tvgHGo_2cl-2bKkhi0IRZrHVNhowaCtoO6klfYWT8N</v>
      </c>
    </row>
    <row r="472" spans="1:25" ht="39.950000000000003" customHeight="1">
      <c r="A472">
        <v>468</v>
      </c>
      <c r="B472" t="s">
        <v>4577</v>
      </c>
      <c r="D472" t="s">
        <v>4578</v>
      </c>
      <c r="E472" t="s">
        <v>4579</v>
      </c>
      <c r="F472" t="s">
        <v>29</v>
      </c>
      <c r="G472" t="s">
        <v>29</v>
      </c>
      <c r="H472" t="s">
        <v>31</v>
      </c>
      <c r="I472" t="s">
        <v>1474</v>
      </c>
      <c r="J472" t="s">
        <v>4580</v>
      </c>
      <c r="K472" t="s">
        <v>4581</v>
      </c>
      <c r="L472" t="s">
        <v>266</v>
      </c>
      <c r="M472" t="s">
        <v>105</v>
      </c>
      <c r="N472" t="s">
        <v>4582</v>
      </c>
      <c r="O472" t="s">
        <v>56</v>
      </c>
      <c r="Q472" t="s">
        <v>107</v>
      </c>
      <c r="R472" t="s">
        <v>341</v>
      </c>
      <c r="S472" t="s">
        <v>4583</v>
      </c>
      <c r="T472" t="s">
        <v>441</v>
      </c>
      <c r="U472" t="s">
        <v>43</v>
      </c>
      <c r="V472" t="s">
        <v>4584</v>
      </c>
      <c r="W472" t="s">
        <v>4585</v>
      </c>
      <c r="Y472" t="str">
        <f>HYPERLINK("https://recruiter.shine.com/resume/download/?resumeid=gAAAAABbk2UO7YEEnjlW4I2vvEgBXSg3Q45cl5n3zcitFoUbqn8FhwZbAaNlAyhV96B5ryLsYZhxQCS3WFXVIjXCV9yvXrOLnilAhdcslLHdgGNsFCaazN3C2AC5VL29q8EQKIRmTAq7Fr-V1Ti-gH0A0UMChfhJVw==")</f>
        <v>https://recruiter.shine.com/resume/download/?resumeid=gAAAAABbk2UO7YEEnjlW4I2vvEgBXSg3Q45cl5n3zcitFoUbqn8FhwZbAaNlAyhV96B5ryLsYZhxQCS3WFXVIjXCV9yvXrOLnilAhdcslLHdgGNsFCaazN3C2AC5VL29q8EQKIRmTAq7Fr-V1Ti-gH0A0UMChfhJVw==</v>
      </c>
    </row>
    <row r="473" spans="1:25" ht="39.950000000000003" customHeight="1">
      <c r="A473">
        <v>469</v>
      </c>
      <c r="B473" t="s">
        <v>4586</v>
      </c>
      <c r="C473" t="s">
        <v>4587</v>
      </c>
      <c r="D473" t="s">
        <v>4588</v>
      </c>
      <c r="E473" t="s">
        <v>4589</v>
      </c>
      <c r="F473" t="s">
        <v>29</v>
      </c>
      <c r="G473" t="s">
        <v>780</v>
      </c>
      <c r="H473" t="s">
        <v>31</v>
      </c>
      <c r="I473" t="s">
        <v>4590</v>
      </c>
      <c r="J473" t="s">
        <v>4591</v>
      </c>
      <c r="K473" t="s">
        <v>4592</v>
      </c>
      <c r="L473" t="s">
        <v>664</v>
      </c>
      <c r="M473" t="s">
        <v>105</v>
      </c>
      <c r="N473" t="s">
        <v>4593</v>
      </c>
      <c r="O473" t="s">
        <v>38</v>
      </c>
      <c r="P473" t="s">
        <v>57</v>
      </c>
      <c r="Q473" t="s">
        <v>107</v>
      </c>
      <c r="R473" t="s">
        <v>2346</v>
      </c>
      <c r="S473" t="s">
        <v>4594</v>
      </c>
      <c r="T473" t="s">
        <v>304</v>
      </c>
      <c r="U473" t="s">
        <v>127</v>
      </c>
      <c r="V473" t="s">
        <v>4595</v>
      </c>
      <c r="W473" t="s">
        <v>4596</v>
      </c>
      <c r="Y473" t="str">
        <f>HYPERLINK("https://recruiter.shine.com/resume/download/?resumeid=gAAAAABbk2ULV_QBBUuixT6YcS8xEYrL_5EMwW3dI3Fb6eeazdSH5m4vX8FUDJv9JKhYVu38emwtAoQzxUINxO51yNF6HnyUC1vXH3oPUbS91lUTf3DJwYP5Lwts0cGUmx3usobSkjWk")</f>
        <v>https://recruiter.shine.com/resume/download/?resumeid=gAAAAABbk2ULV_QBBUuixT6YcS8xEYrL_5EMwW3dI3Fb6eeazdSH5m4vX8FUDJv9JKhYVu38emwtAoQzxUINxO51yNF6HnyUC1vXH3oPUbS91lUTf3DJwYP5Lwts0cGUmx3usobSkjWk</v>
      </c>
    </row>
    <row r="474" spans="1:25" ht="39.950000000000003" customHeight="1">
      <c r="A474">
        <v>470</v>
      </c>
      <c r="B474" t="s">
        <v>4597</v>
      </c>
      <c r="C474" t="s">
        <v>4598</v>
      </c>
      <c r="D474" t="s">
        <v>4599</v>
      </c>
      <c r="E474" t="s">
        <v>4600</v>
      </c>
      <c r="F474" t="s">
        <v>29</v>
      </c>
      <c r="G474" t="s">
        <v>2006</v>
      </c>
      <c r="H474" t="s">
        <v>31</v>
      </c>
      <c r="I474" t="s">
        <v>4601</v>
      </c>
      <c r="J474" t="s">
        <v>135</v>
      </c>
      <c r="K474" t="s">
        <v>4602</v>
      </c>
      <c r="L474" t="s">
        <v>254</v>
      </c>
      <c r="M474" t="s">
        <v>884</v>
      </c>
      <c r="N474" t="s">
        <v>737</v>
      </c>
      <c r="O474" t="s">
        <v>186</v>
      </c>
      <c r="P474" t="s">
        <v>73</v>
      </c>
      <c r="Q474" t="s">
        <v>74</v>
      </c>
      <c r="R474" t="s">
        <v>2346</v>
      </c>
      <c r="S474" t="s">
        <v>4603</v>
      </c>
      <c r="T474" t="s">
        <v>126</v>
      </c>
      <c r="U474" t="s">
        <v>43</v>
      </c>
      <c r="V474" t="s">
        <v>4604</v>
      </c>
      <c r="W474" t="s">
        <v>4605</v>
      </c>
      <c r="Y474" t="str">
        <f>HYPERLINK("https://recruiter.shine.com/resume/download/?resumeid=gAAAAABbk2UN6CNXM9qdTQy6pr-qhPctzEfOBqtKIj-70WrVO80D_ddAmqvhKemQ0wTOeHnX0Q4-yks0waOlYRadRAaRWCvkwJiG9gKb_MGBf1bDMJMK7FTid5MlnNJMLvh1y5CnZF4yT-wbschoUSrKZecNRWm8uxJSuhyjggV6EzXC0RmTuDY=")</f>
        <v>https://recruiter.shine.com/resume/download/?resumeid=gAAAAABbk2UN6CNXM9qdTQy6pr-qhPctzEfOBqtKIj-70WrVO80D_ddAmqvhKemQ0wTOeHnX0Q4-yks0waOlYRadRAaRWCvkwJiG9gKb_MGBf1bDMJMK7FTid5MlnNJMLvh1y5CnZF4yT-wbschoUSrKZecNRWm8uxJSuhyjggV6EzXC0RmTuDY=</v>
      </c>
    </row>
    <row r="475" spans="1:25" ht="39.950000000000003" customHeight="1">
      <c r="A475">
        <v>471</v>
      </c>
      <c r="B475" t="s">
        <v>4606</v>
      </c>
      <c r="C475" t="s">
        <v>4607</v>
      </c>
      <c r="D475" t="s">
        <v>4608</v>
      </c>
      <c r="E475" t="s">
        <v>4609</v>
      </c>
      <c r="F475" t="s">
        <v>29</v>
      </c>
      <c r="G475" t="s">
        <v>67</v>
      </c>
      <c r="H475" t="s">
        <v>31</v>
      </c>
      <c r="I475" t="s">
        <v>1774</v>
      </c>
      <c r="J475" t="s">
        <v>135</v>
      </c>
      <c r="K475" t="s">
        <v>4610</v>
      </c>
      <c r="L475" t="s">
        <v>486</v>
      </c>
      <c r="M475" t="s">
        <v>757</v>
      </c>
      <c r="N475" t="s">
        <v>4611</v>
      </c>
      <c r="O475" t="s">
        <v>186</v>
      </c>
      <c r="Q475" t="s">
        <v>40</v>
      </c>
      <c r="R475" t="s">
        <v>4612</v>
      </c>
      <c r="S475" t="s">
        <v>4613</v>
      </c>
      <c r="T475" t="s">
        <v>126</v>
      </c>
      <c r="U475" t="s">
        <v>43</v>
      </c>
      <c r="V475" t="s">
        <v>4614</v>
      </c>
      <c r="W475" t="s">
        <v>4615</v>
      </c>
      <c r="Y475" t="str">
        <f>HYPERLINK("https://recruiter.shine.com/resume/download/?resumeid=gAAAAABbk2UO9gqCVeQZnTfMclJsCVL6vJ5GKMsOSD78cUlXrJ--eqMz0e3JJWZqpeWirsfVOgYauJr-UrvCYltKHIJJ2n9Zkb2ihEgbc43CSKN_CqGlbwzRraB800M5zQEEJTSU2vl1lq2XOaYkam5_Hj9PY0mWdg==")</f>
        <v>https://recruiter.shine.com/resume/download/?resumeid=gAAAAABbk2UO9gqCVeQZnTfMclJsCVL6vJ5GKMsOSD78cUlXrJ--eqMz0e3JJWZqpeWirsfVOgYauJr-UrvCYltKHIJJ2n9Zkb2ihEgbc43CSKN_CqGlbwzRraB800M5zQEEJTSU2vl1lq2XOaYkam5_Hj9PY0mWdg==</v>
      </c>
    </row>
    <row r="476" spans="1:25" ht="39.950000000000003" customHeight="1">
      <c r="A476">
        <v>472</v>
      </c>
      <c r="B476" t="s">
        <v>4616</v>
      </c>
      <c r="C476" t="s">
        <v>4617</v>
      </c>
      <c r="D476" t="s">
        <v>4618</v>
      </c>
      <c r="E476" t="s">
        <v>4619</v>
      </c>
      <c r="F476" t="s">
        <v>29</v>
      </c>
      <c r="G476" t="s">
        <v>29</v>
      </c>
      <c r="H476" t="s">
        <v>31</v>
      </c>
      <c r="I476" t="s">
        <v>4620</v>
      </c>
      <c r="J476" t="s">
        <v>135</v>
      </c>
      <c r="K476" t="s">
        <v>4621</v>
      </c>
      <c r="L476" t="s">
        <v>462</v>
      </c>
      <c r="M476" t="s">
        <v>121</v>
      </c>
      <c r="N476" t="s">
        <v>520</v>
      </c>
      <c r="O476" t="s">
        <v>56</v>
      </c>
      <c r="P476" t="s">
        <v>73</v>
      </c>
      <c r="Q476" t="s">
        <v>412</v>
      </c>
      <c r="R476" t="s">
        <v>41</v>
      </c>
      <c r="S476" t="s">
        <v>4622</v>
      </c>
      <c r="T476" t="s">
        <v>61</v>
      </c>
      <c r="U476" t="s">
        <v>43</v>
      </c>
      <c r="V476" t="s">
        <v>4623</v>
      </c>
      <c r="W476" t="s">
        <v>4623</v>
      </c>
      <c r="Y476" t="str">
        <f>HYPERLINK("https://recruiter.shine.com/resume/download/?resumeid=gAAAAABbk2UKVvTDY8k4qqsnYDnUFTWznlMIvbV87tW2pPMp8xoTDD3V4F2P0anQUR8KTtB-vuSK6HHdDN1AnTUO3ZTl6KIWTqEgjXKWp5UsOgX9GyXkXG7ksSSOav9i_iip4gF0GdlM")</f>
        <v>https://recruiter.shine.com/resume/download/?resumeid=gAAAAABbk2UKVvTDY8k4qqsnYDnUFTWznlMIvbV87tW2pPMp8xoTDD3V4F2P0anQUR8KTtB-vuSK6HHdDN1AnTUO3ZTl6KIWTqEgjXKWp5UsOgX9GyXkXG7ksSSOav9i_iip4gF0GdlM</v>
      </c>
    </row>
    <row r="477" spans="1:25" ht="39.950000000000003" customHeight="1">
      <c r="A477">
        <v>473</v>
      </c>
      <c r="B477" t="s">
        <v>4624</v>
      </c>
      <c r="C477" t="s">
        <v>4625</v>
      </c>
      <c r="D477" t="s">
        <v>4626</v>
      </c>
      <c r="E477" t="s">
        <v>4627</v>
      </c>
      <c r="F477" t="s">
        <v>29</v>
      </c>
      <c r="G477" t="s">
        <v>29</v>
      </c>
      <c r="H477" t="s">
        <v>31</v>
      </c>
      <c r="I477" t="s">
        <v>362</v>
      </c>
      <c r="J477" t="s">
        <v>135</v>
      </c>
      <c r="L477" t="s">
        <v>363</v>
      </c>
      <c r="M477" t="s">
        <v>364</v>
      </c>
      <c r="Q477" t="s">
        <v>107</v>
      </c>
      <c r="R477" t="s">
        <v>108</v>
      </c>
      <c r="S477" t="s">
        <v>4628</v>
      </c>
      <c r="T477" t="s">
        <v>441</v>
      </c>
      <c r="U477" t="s">
        <v>43</v>
      </c>
      <c r="V477" t="s">
        <v>4629</v>
      </c>
      <c r="W477" t="s">
        <v>4630</v>
      </c>
      <c r="Y477" t="str">
        <f>HYPERLINK("https://recruiter.shine.com/resume/download/?resumeid=gAAAAABbk2UNCdVBeueRmszBklXJ22mUP5k9hYsL1rY6krRMEKVDJ_gi165xD9tlnkJp_w6J8ibNW_dnEfiqkttPYz0PcTZ1e2R-lOlS7UTSqRxeqVaKuh0gVfTaNgtd0FYhkbLxeAXsHIM5QYwc2gR7n342yeWZCw==")</f>
        <v>https://recruiter.shine.com/resume/download/?resumeid=gAAAAABbk2UNCdVBeueRmszBklXJ22mUP5k9hYsL1rY6krRMEKVDJ_gi165xD9tlnkJp_w6J8ibNW_dnEfiqkttPYz0PcTZ1e2R-lOlS7UTSqRxeqVaKuh0gVfTaNgtd0FYhkbLxeAXsHIM5QYwc2gR7n342yeWZCw==</v>
      </c>
    </row>
    <row r="478" spans="1:25" ht="39.950000000000003" customHeight="1">
      <c r="A478">
        <v>474</v>
      </c>
      <c r="B478" t="s">
        <v>4631</v>
      </c>
      <c r="D478" t="s">
        <v>4632</v>
      </c>
      <c r="E478" t="s">
        <v>4633</v>
      </c>
      <c r="F478" t="s">
        <v>29</v>
      </c>
      <c r="G478" t="s">
        <v>29</v>
      </c>
      <c r="H478" t="s">
        <v>31</v>
      </c>
      <c r="I478" t="s">
        <v>998</v>
      </c>
      <c r="J478" t="s">
        <v>861</v>
      </c>
      <c r="K478" t="s">
        <v>1476</v>
      </c>
      <c r="L478" t="s">
        <v>120</v>
      </c>
      <c r="M478" t="s">
        <v>684</v>
      </c>
      <c r="N478" t="s">
        <v>4634</v>
      </c>
      <c r="O478" t="s">
        <v>224</v>
      </c>
      <c r="Q478" t="s">
        <v>40</v>
      </c>
      <c r="R478" t="s">
        <v>41</v>
      </c>
      <c r="S478" t="s">
        <v>4635</v>
      </c>
      <c r="T478" t="s">
        <v>441</v>
      </c>
      <c r="U478" t="s">
        <v>43</v>
      </c>
      <c r="V478" t="s">
        <v>4636</v>
      </c>
      <c r="W478" t="s">
        <v>4637</v>
      </c>
      <c r="Y478" t="str">
        <f>HYPERLINK("https://recruiter.shine.com/resume/download/?resumeid=gAAAAABbk2UOverOTBJfNoF6xCPmaxr01lXUeAOBOqrPkNZgKne2MzYWv47G5-LoetSKbgc9LIvqGZ3RPMxYVuOQGpYAxb1350xKl9e7b5I8zTMXBvSJnw7n63mCuorwNii3jGAadh59aK17lmaGKI3Be74rgqA2_1HV3DhdHzjUIXfN36rIESw=")</f>
        <v>https://recruiter.shine.com/resume/download/?resumeid=gAAAAABbk2UOverOTBJfNoF6xCPmaxr01lXUeAOBOqrPkNZgKne2MzYWv47G5-LoetSKbgc9LIvqGZ3RPMxYVuOQGpYAxb1350xKl9e7b5I8zTMXBvSJnw7n63mCuorwNii3jGAadh59aK17lmaGKI3Be74rgqA2_1HV3DhdHzjUIXfN36rIESw=</v>
      </c>
    </row>
    <row r="479" spans="1:25" ht="39.950000000000003" customHeight="1">
      <c r="A479">
        <v>475</v>
      </c>
      <c r="B479" t="s">
        <v>4638</v>
      </c>
      <c r="C479" t="s">
        <v>4639</v>
      </c>
      <c r="D479" t="s">
        <v>4640</v>
      </c>
      <c r="E479" t="s">
        <v>4641</v>
      </c>
      <c r="F479" t="s">
        <v>29</v>
      </c>
      <c r="G479" t="s">
        <v>4642</v>
      </c>
      <c r="H479" t="s">
        <v>31</v>
      </c>
      <c r="I479" t="s">
        <v>3180</v>
      </c>
      <c r="J479" t="s">
        <v>4643</v>
      </c>
      <c r="K479" t="s">
        <v>4644</v>
      </c>
      <c r="L479" t="s">
        <v>472</v>
      </c>
      <c r="M479" t="s">
        <v>105</v>
      </c>
      <c r="N479" t="s">
        <v>4645</v>
      </c>
      <c r="O479" t="s">
        <v>585</v>
      </c>
      <c r="P479" t="s">
        <v>39</v>
      </c>
      <c r="Q479" t="s">
        <v>158</v>
      </c>
      <c r="R479" t="s">
        <v>159</v>
      </c>
      <c r="S479" t="s">
        <v>4646</v>
      </c>
      <c r="T479" t="s">
        <v>281</v>
      </c>
      <c r="U479" t="s">
        <v>43</v>
      </c>
      <c r="V479" t="s">
        <v>4647</v>
      </c>
      <c r="W479" t="s">
        <v>4648</v>
      </c>
      <c r="Y479" t="str">
        <f>HYPERLINK("https://recruiter.shine.com/resume/download/?resumeid=gAAAAABbk2UK3NckXTMCtWiFO4RmpfkICKwqRhSgZq6ux2yAHKeR8gQswuQedh2Y7jVAvBD40Xd7e0uLEQ2MZx-cbTECZn4vy-ZxZC8RCMPoo2Bm7Zwe0VKVWShaNOCbwgurE34tNTeB-7tXkrR7suRV_j3ln8WbhA==")</f>
        <v>https://recruiter.shine.com/resume/download/?resumeid=gAAAAABbk2UK3NckXTMCtWiFO4RmpfkICKwqRhSgZq6ux2yAHKeR8gQswuQedh2Y7jVAvBD40Xd7e0uLEQ2MZx-cbTECZn4vy-ZxZC8RCMPoo2Bm7Zwe0VKVWShaNOCbwgurE34tNTeB-7tXkrR7suRV_j3ln8WbhA==</v>
      </c>
    </row>
    <row r="480" spans="1:25" ht="39.950000000000003" customHeight="1">
      <c r="A480">
        <v>476</v>
      </c>
      <c r="B480" t="s">
        <v>4649</v>
      </c>
      <c r="C480" t="s">
        <v>1119</v>
      </c>
      <c r="D480" t="s">
        <v>4650</v>
      </c>
      <c r="E480" t="s">
        <v>1121</v>
      </c>
      <c r="F480" t="s">
        <v>29</v>
      </c>
      <c r="G480" t="s">
        <v>29</v>
      </c>
      <c r="H480" t="s">
        <v>234</v>
      </c>
      <c r="I480" t="s">
        <v>1122</v>
      </c>
      <c r="J480" t="s">
        <v>51</v>
      </c>
      <c r="K480" t="s">
        <v>1123</v>
      </c>
      <c r="L480" t="s">
        <v>171</v>
      </c>
      <c r="M480" t="s">
        <v>1124</v>
      </c>
      <c r="N480" t="s">
        <v>1125</v>
      </c>
      <c r="O480" t="s">
        <v>56</v>
      </c>
      <c r="P480" t="s">
        <v>771</v>
      </c>
      <c r="Q480" t="s">
        <v>90</v>
      </c>
      <c r="R480" t="s">
        <v>91</v>
      </c>
      <c r="S480" t="s">
        <v>188</v>
      </c>
      <c r="T480" t="s">
        <v>126</v>
      </c>
      <c r="U480" t="s">
        <v>43</v>
      </c>
      <c r="V480" t="s">
        <v>4651</v>
      </c>
      <c r="W480" t="s">
        <v>4652</v>
      </c>
      <c r="Y480" t="str">
        <f>HYPERLINK("https://recruiter.shine.com/resume/download/?resumeid=gAAAAABbk2UMEQwhvMkpq2Sd0svaqyqv71zg7rJDuioyrV_qzdk_xfNs3dK8U2nG2Tehl91CfoQVBuLsbBf2sC_q0PHoSe4Tyq-kdvDVJ3G5e55XneDXKeLSqw82T_uwK_E2H6c--Yf__6QaMVr-0_khk4m0dBwn5SakODHkrXyjJwLTMIvaxBw=")</f>
        <v>https://recruiter.shine.com/resume/download/?resumeid=gAAAAABbk2UMEQwhvMkpq2Sd0svaqyqv71zg7rJDuioyrV_qzdk_xfNs3dK8U2nG2Tehl91CfoQVBuLsbBf2sC_q0PHoSe4Tyq-kdvDVJ3G5e55XneDXKeLSqw82T_uwK_E2H6c--Yf__6QaMVr-0_khk4m0dBwn5SakODHkrXyjJwLTMIvaxBw=</v>
      </c>
    </row>
    <row r="481" spans="1:25" ht="39.950000000000003" customHeight="1">
      <c r="A481">
        <v>477</v>
      </c>
      <c r="B481" t="s">
        <v>4653</v>
      </c>
      <c r="C481" t="s">
        <v>4654</v>
      </c>
      <c r="D481" t="s">
        <v>4655</v>
      </c>
      <c r="E481" t="s">
        <v>4656</v>
      </c>
      <c r="F481" t="s">
        <v>29</v>
      </c>
      <c r="G481" t="s">
        <v>29</v>
      </c>
      <c r="H481" t="s">
        <v>31</v>
      </c>
      <c r="I481" t="s">
        <v>32</v>
      </c>
      <c r="J481" t="s">
        <v>4657</v>
      </c>
      <c r="K481" t="s">
        <v>4658</v>
      </c>
      <c r="L481" t="s">
        <v>266</v>
      </c>
      <c r="M481" t="s">
        <v>105</v>
      </c>
      <c r="N481" t="s">
        <v>4659</v>
      </c>
      <c r="O481" t="s">
        <v>224</v>
      </c>
      <c r="P481" t="s">
        <v>140</v>
      </c>
      <c r="Q481" t="s">
        <v>158</v>
      </c>
      <c r="R481" t="s">
        <v>159</v>
      </c>
      <c r="S481" t="s">
        <v>4660</v>
      </c>
      <c r="T481" t="s">
        <v>817</v>
      </c>
      <c r="U481" t="s">
        <v>43</v>
      </c>
      <c r="V481" t="s">
        <v>4661</v>
      </c>
      <c r="W481" t="s">
        <v>4662</v>
      </c>
      <c r="Y481" t="str">
        <f>HYPERLINK("https://recruiter.shine.com/resume/download/?resumeid=gAAAAABbk2UOzZwcuDfyWDvCCiMJTZNFzknV3j8VH_pKju4zocG7m54FVcZxnaXnQuW9TM5nkh7IT7irobzudXWurSJzSQh_EhGwiA8FfIrXR4_giAB_jSn6DguK7-RjciWwO0F3Md9d9swjpAuVM4R8-0GYdbs6Zg==")</f>
        <v>https://recruiter.shine.com/resume/download/?resumeid=gAAAAABbk2UOzZwcuDfyWDvCCiMJTZNFzknV3j8VH_pKju4zocG7m54FVcZxnaXnQuW9TM5nkh7IT7irobzudXWurSJzSQh_EhGwiA8FfIrXR4_giAB_jSn6DguK7-RjciWwO0F3Md9d9swjpAuVM4R8-0GYdbs6Zg==</v>
      </c>
    </row>
    <row r="482" spans="1:25" ht="39.950000000000003" customHeight="1">
      <c r="A482">
        <v>478</v>
      </c>
      <c r="B482" t="s">
        <v>4663</v>
      </c>
      <c r="C482" t="s">
        <v>4664</v>
      </c>
      <c r="D482" t="s">
        <v>4665</v>
      </c>
      <c r="E482" t="s">
        <v>4666</v>
      </c>
      <c r="F482" t="s">
        <v>29</v>
      </c>
      <c r="G482" t="s">
        <v>4667</v>
      </c>
      <c r="H482" t="s">
        <v>31</v>
      </c>
      <c r="I482" t="s">
        <v>68</v>
      </c>
      <c r="J482" t="s">
        <v>4668</v>
      </c>
      <c r="K482" t="s">
        <v>4669</v>
      </c>
      <c r="L482" t="s">
        <v>199</v>
      </c>
      <c r="M482" t="s">
        <v>138</v>
      </c>
      <c r="N482" t="s">
        <v>4670</v>
      </c>
      <c r="O482" t="s">
        <v>585</v>
      </c>
      <c r="P482" t="s">
        <v>39</v>
      </c>
      <c r="Q482" t="s">
        <v>58</v>
      </c>
      <c r="R482" t="s">
        <v>59</v>
      </c>
      <c r="S482" t="s">
        <v>4671</v>
      </c>
      <c r="T482" t="s">
        <v>304</v>
      </c>
      <c r="U482" t="s">
        <v>94</v>
      </c>
      <c r="V482" t="s">
        <v>4672</v>
      </c>
      <c r="W482" t="s">
        <v>4672</v>
      </c>
      <c r="Y482" t="str">
        <f>HYPERLINK("https://recruiter.shine.com/resume/download/?resumeid=gAAAAABbk2ULINmVWnsg_Zpcs2RWCKtE1_jnQ1RRyQBlLZvrbhlRHkNm6FP9CWFlmY-SRLQf_5uDgEelIt7WCbNTvuJWKav5ryb0M2noYJrRTHqA1joL_XiuKnooid7U5oKnCyiIV2dR9Wdmw9EuKMF5Mj9WylblFw==")</f>
        <v>https://recruiter.shine.com/resume/download/?resumeid=gAAAAABbk2ULINmVWnsg_Zpcs2RWCKtE1_jnQ1RRyQBlLZvrbhlRHkNm6FP9CWFlmY-SRLQf_5uDgEelIt7WCbNTvuJWKav5ryb0M2noYJrRTHqA1joL_XiuKnooid7U5oKnCyiIV2dR9Wdmw9EuKMF5Mj9WylblFw==</v>
      </c>
    </row>
    <row r="483" spans="1:25" ht="39.950000000000003" customHeight="1">
      <c r="A483">
        <v>479</v>
      </c>
      <c r="B483" t="s">
        <v>4673</v>
      </c>
      <c r="C483" t="s">
        <v>4674</v>
      </c>
      <c r="D483" t="s">
        <v>4675</v>
      </c>
      <c r="E483" t="s">
        <v>4676</v>
      </c>
      <c r="F483" t="s">
        <v>29</v>
      </c>
      <c r="G483" t="s">
        <v>1008</v>
      </c>
      <c r="H483" t="s">
        <v>31</v>
      </c>
      <c r="I483" t="s">
        <v>4677</v>
      </c>
      <c r="J483" t="s">
        <v>153</v>
      </c>
      <c r="K483" t="s">
        <v>4678</v>
      </c>
      <c r="L483" t="s">
        <v>155</v>
      </c>
      <c r="M483" t="s">
        <v>684</v>
      </c>
      <c r="N483" t="s">
        <v>4679</v>
      </c>
      <c r="O483" t="s">
        <v>585</v>
      </c>
      <c r="P483" t="s">
        <v>140</v>
      </c>
      <c r="Q483" t="s">
        <v>107</v>
      </c>
      <c r="R483" t="s">
        <v>341</v>
      </c>
      <c r="S483" t="s">
        <v>2018</v>
      </c>
      <c r="T483" t="s">
        <v>61</v>
      </c>
      <c r="U483" t="s">
        <v>43</v>
      </c>
      <c r="V483" t="s">
        <v>4680</v>
      </c>
      <c r="W483" t="s">
        <v>4681</v>
      </c>
      <c r="Y483" t="str">
        <f>HYPERLINK("https://recruiter.shine.com/resume/download/?resumeid=gAAAAABbk2UM8xQPSi5zuTijzKBS_mO9xT5PY5ULoBFjeIUkQKBiuHmgLjfvCkWbyMWb3gmqx6CuareiQ6IpNTqnaXoVrvox2vp1p9_ZcLD4Idf0-THHnNANUnfPS_LCMURo4yMqN3baLXmnKBUlAhdSNNw5mIdONySV72ifZ0Hdf6P5qkM-jmE=")</f>
        <v>https://recruiter.shine.com/resume/download/?resumeid=gAAAAABbk2UM8xQPSi5zuTijzKBS_mO9xT5PY5ULoBFjeIUkQKBiuHmgLjfvCkWbyMWb3gmqx6CuareiQ6IpNTqnaXoVrvox2vp1p9_ZcLD4Idf0-THHnNANUnfPS_LCMURo4yMqN3baLXmnKBUlAhdSNNw5mIdONySV72ifZ0Hdf6P5qkM-jmE=</v>
      </c>
    </row>
    <row r="484" spans="1:25" ht="39.950000000000003" customHeight="1">
      <c r="A484">
        <v>480</v>
      </c>
      <c r="B484" t="s">
        <v>4682</v>
      </c>
      <c r="C484" t="s">
        <v>4683</v>
      </c>
      <c r="D484" t="s">
        <v>4684</v>
      </c>
      <c r="E484" t="s">
        <v>4685</v>
      </c>
      <c r="F484" t="s">
        <v>29</v>
      </c>
      <c r="G484" t="s">
        <v>29</v>
      </c>
      <c r="H484" t="s">
        <v>234</v>
      </c>
      <c r="I484" t="s">
        <v>362</v>
      </c>
      <c r="J484" t="s">
        <v>135</v>
      </c>
      <c r="L484" t="s">
        <v>363</v>
      </c>
      <c r="M484" t="s">
        <v>364</v>
      </c>
      <c r="Q484" t="s">
        <v>90</v>
      </c>
      <c r="R484" t="s">
        <v>465</v>
      </c>
      <c r="S484" t="s">
        <v>4686</v>
      </c>
      <c r="T484" t="s">
        <v>304</v>
      </c>
      <c r="U484" t="s">
        <v>43</v>
      </c>
      <c r="V484" t="s">
        <v>4687</v>
      </c>
      <c r="W484" t="s">
        <v>4688</v>
      </c>
      <c r="Y484" t="str">
        <f>HYPERLINK("https://recruiter.shine.com/resume/download/?resumeid=gAAAAABbk2UN86j-_eV9M4G_rWVB21tXAF33pS7ctBwfvqnb_1_2_aDWZRI4-eNjLbLLP3HebW-Womg3t_vXRVHxPELfEW_xJL8vy6M3nwLXC_v98Y46PH7RbRAHPz-hkO06glhZuyUndYxv9Me75e4xE0D-PYvwNJ0CmhAqv4z8lYzPKqAFxZ0=")</f>
        <v>https://recruiter.shine.com/resume/download/?resumeid=gAAAAABbk2UN86j-_eV9M4G_rWVB21tXAF33pS7ctBwfvqnb_1_2_aDWZRI4-eNjLbLLP3HebW-Womg3t_vXRVHxPELfEW_xJL8vy6M3nwLXC_v98Y46PH7RbRAHPz-hkO06glhZuyUndYxv9Me75e4xE0D-PYvwNJ0CmhAqv4z8lYzPKqAFxZ0=</v>
      </c>
    </row>
    <row r="485" spans="1:25" ht="39.950000000000003" customHeight="1">
      <c r="A485">
        <v>481</v>
      </c>
      <c r="B485" t="s">
        <v>4689</v>
      </c>
      <c r="C485" t="s">
        <v>4690</v>
      </c>
      <c r="D485" t="s">
        <v>4691</v>
      </c>
      <c r="E485" t="s">
        <v>4692</v>
      </c>
      <c r="F485" t="s">
        <v>29</v>
      </c>
      <c r="G485" t="s">
        <v>1495</v>
      </c>
      <c r="H485" t="s">
        <v>31</v>
      </c>
      <c r="I485" t="s">
        <v>4693</v>
      </c>
      <c r="J485" t="s">
        <v>4694</v>
      </c>
      <c r="K485" t="s">
        <v>4695</v>
      </c>
      <c r="L485" t="s">
        <v>290</v>
      </c>
      <c r="M485" t="s">
        <v>238</v>
      </c>
      <c r="N485" t="s">
        <v>4696</v>
      </c>
      <c r="O485" t="s">
        <v>38</v>
      </c>
      <c r="P485" t="s">
        <v>39</v>
      </c>
      <c r="Q485" t="s">
        <v>123</v>
      </c>
      <c r="R485" t="s">
        <v>124</v>
      </c>
      <c r="S485" t="s">
        <v>188</v>
      </c>
      <c r="T485" t="s">
        <v>144</v>
      </c>
      <c r="U485" t="s">
        <v>43</v>
      </c>
      <c r="V485" t="s">
        <v>4697</v>
      </c>
      <c r="W485" t="s">
        <v>4698</v>
      </c>
      <c r="Y485" t="str">
        <f>HYPERLINK("https://recruiter.shine.com/resume/download/?resumeid=gAAAAABbk2ULvkojzAazTUE82Z1Ad22kymyolIu7n4d2Q1CsJco8rNGQEX1Ys4EEGygyJ-BZgcYl6z7iYntRpGUob_AfA6KxUHzPUbr4kGf1Iw4jr_FwmGfJ51LXea9Lu4duq0Wd-gbl")</f>
        <v>https://recruiter.shine.com/resume/download/?resumeid=gAAAAABbk2ULvkojzAazTUE82Z1Ad22kymyolIu7n4d2Q1CsJco8rNGQEX1Ys4EEGygyJ-BZgcYl6z7iYntRpGUob_AfA6KxUHzPUbr4kGf1Iw4jr_FwmGfJ51LXea9Lu4duq0Wd-gbl</v>
      </c>
    </row>
    <row r="486" spans="1:25" ht="39.950000000000003" customHeight="1">
      <c r="A486">
        <v>482</v>
      </c>
      <c r="B486" t="s">
        <v>4699</v>
      </c>
      <c r="C486" t="s">
        <v>4700</v>
      </c>
      <c r="D486" t="s">
        <v>4701</v>
      </c>
      <c r="E486" t="s">
        <v>4702</v>
      </c>
      <c r="F486" t="s">
        <v>29</v>
      </c>
      <c r="G486" t="s">
        <v>100</v>
      </c>
      <c r="H486" t="s">
        <v>31</v>
      </c>
      <c r="I486" t="s">
        <v>362</v>
      </c>
      <c r="J486" t="s">
        <v>135</v>
      </c>
      <c r="L486" t="s">
        <v>363</v>
      </c>
      <c r="M486" t="s">
        <v>364</v>
      </c>
      <c r="Q486" t="s">
        <v>107</v>
      </c>
      <c r="R486" t="s">
        <v>341</v>
      </c>
      <c r="S486" t="s">
        <v>4703</v>
      </c>
      <c r="T486" t="s">
        <v>625</v>
      </c>
      <c r="U486" t="s">
        <v>43</v>
      </c>
      <c r="V486" t="s">
        <v>4704</v>
      </c>
      <c r="W486" t="s">
        <v>4705</v>
      </c>
      <c r="Y486" t="str">
        <f>HYPERLINK("https://recruiter.shine.com/resume/download/?resumeid=gAAAAABbk2UMR1ctDu0-fslXVWotxfbgD97V8w1flldbWOT-QKAVthfkwhEwN0Ph-Fl3RUg8DXYkIoU86RFJ3n9VDwUignucfffzKzFfxfcgH6-reHha3l0qSCHkx85MXjdQHyK1uZIiswnLSy_yFJHhwzTif-lgM0_f3V4Sx3-XxfjqokjTC0Y=")</f>
        <v>https://recruiter.shine.com/resume/download/?resumeid=gAAAAABbk2UMR1ctDu0-fslXVWotxfbgD97V8w1flldbWOT-QKAVthfkwhEwN0Ph-Fl3RUg8DXYkIoU86RFJ3n9VDwUignucfffzKzFfxfcgH6-reHha3l0qSCHkx85MXjdQHyK1uZIiswnLSy_yFJHhwzTif-lgM0_f3V4Sx3-XxfjqokjTC0Y=</v>
      </c>
    </row>
    <row r="487" spans="1:25" ht="39.950000000000003" customHeight="1">
      <c r="A487">
        <v>483</v>
      </c>
      <c r="B487" t="s">
        <v>4706</v>
      </c>
      <c r="C487" t="s">
        <v>4707</v>
      </c>
      <c r="D487" t="s">
        <v>4708</v>
      </c>
      <c r="E487" t="s">
        <v>4709</v>
      </c>
      <c r="F487" t="s">
        <v>29</v>
      </c>
      <c r="G487" t="s">
        <v>29</v>
      </c>
      <c r="H487" t="s">
        <v>31</v>
      </c>
      <c r="I487" t="s">
        <v>208</v>
      </c>
      <c r="J487" t="s">
        <v>801</v>
      </c>
      <c r="K487" t="s">
        <v>4710</v>
      </c>
      <c r="L487" t="s">
        <v>1390</v>
      </c>
      <c r="M487" t="s">
        <v>684</v>
      </c>
      <c r="N487" t="s">
        <v>4711</v>
      </c>
      <c r="O487" t="s">
        <v>572</v>
      </c>
      <c r="P487" t="s">
        <v>57</v>
      </c>
      <c r="Q487" t="s">
        <v>365</v>
      </c>
      <c r="R487" t="s">
        <v>41</v>
      </c>
      <c r="S487" t="s">
        <v>4712</v>
      </c>
      <c r="T487" t="s">
        <v>1921</v>
      </c>
      <c r="U487" t="s">
        <v>43</v>
      </c>
      <c r="V487" t="s">
        <v>4713</v>
      </c>
      <c r="W487" t="s">
        <v>4713</v>
      </c>
      <c r="Y487" t="str">
        <f>HYPERLINK("https://recruiter.shine.com/resume/download/?resumeid=gAAAAABbk2UOIHyx3FQUvwO37GhyWX7nRxlaB-tMtnwVL0-PLwdOp58AlkIK_aG9EDMKE1ucn1vbpDTO1XLNrlwImipoSiJRHhWESdVd88CjUvnP99xkEsgWDQA3DNciTwSdZpSmFEglV2SafZXVG2qkNfF4PwJFFy5cI152inTq85XyNTiHs-o=")</f>
        <v>https://recruiter.shine.com/resume/download/?resumeid=gAAAAABbk2UOIHyx3FQUvwO37GhyWX7nRxlaB-tMtnwVL0-PLwdOp58AlkIK_aG9EDMKE1ucn1vbpDTO1XLNrlwImipoSiJRHhWESdVd88CjUvnP99xkEsgWDQA3DNciTwSdZpSmFEglV2SafZXVG2qkNfF4PwJFFy5cI152inTq85XyNTiHs-o=</v>
      </c>
    </row>
    <row r="488" spans="1:25" ht="39.950000000000003" customHeight="1">
      <c r="A488">
        <v>484</v>
      </c>
      <c r="B488" t="s">
        <v>4714</v>
      </c>
      <c r="C488" t="s">
        <v>4715</v>
      </c>
      <c r="D488" t="s">
        <v>4716</v>
      </c>
      <c r="E488" t="s">
        <v>4717</v>
      </c>
      <c r="F488" t="s">
        <v>29</v>
      </c>
      <c r="G488" t="s">
        <v>1196</v>
      </c>
      <c r="H488" t="s">
        <v>31</v>
      </c>
      <c r="I488" t="s">
        <v>714</v>
      </c>
      <c r="J488" t="s">
        <v>801</v>
      </c>
      <c r="K488" t="s">
        <v>4718</v>
      </c>
      <c r="L488" t="s">
        <v>2423</v>
      </c>
      <c r="M488" t="s">
        <v>105</v>
      </c>
      <c r="N488" t="s">
        <v>4719</v>
      </c>
      <c r="O488" t="s">
        <v>186</v>
      </c>
      <c r="P488" t="s">
        <v>57</v>
      </c>
      <c r="Q488" t="s">
        <v>158</v>
      </c>
      <c r="R488" t="s">
        <v>341</v>
      </c>
      <c r="S488" t="s">
        <v>4720</v>
      </c>
      <c r="T488" t="s">
        <v>625</v>
      </c>
      <c r="U488" t="s">
        <v>94</v>
      </c>
      <c r="V488" t="s">
        <v>4721</v>
      </c>
      <c r="W488" t="s">
        <v>4722</v>
      </c>
      <c r="Y488" t="str">
        <f>HYPERLINK("https://recruiter.shine.com/resume/download/?resumeid=gAAAAABbk2ULRrjEo3g-g2MqgeJamO_vJwuquDpIXFPT6uhMI-eZTtVK4PvDurH2Nm3iKVG5wwn1vwcC99yMLoIlsKl3EJ3KZsi0NBusTO_P-9BEaRSBg4DYQ-DpI1VSWvMGXjjEI22V")</f>
        <v>https://recruiter.shine.com/resume/download/?resumeid=gAAAAABbk2ULRrjEo3g-g2MqgeJamO_vJwuquDpIXFPT6uhMI-eZTtVK4PvDurH2Nm3iKVG5wwn1vwcC99yMLoIlsKl3EJ3KZsi0NBusTO_P-9BEaRSBg4DYQ-DpI1VSWvMGXjjEI22V</v>
      </c>
    </row>
    <row r="489" spans="1:25" ht="39.950000000000003" customHeight="1">
      <c r="A489">
        <v>485</v>
      </c>
      <c r="B489" t="s">
        <v>4723</v>
      </c>
      <c r="C489" t="s">
        <v>4724</v>
      </c>
      <c r="D489" t="s">
        <v>4725</v>
      </c>
      <c r="E489" t="s">
        <v>4726</v>
      </c>
      <c r="F489" t="s">
        <v>29</v>
      </c>
      <c r="G489" t="s">
        <v>29</v>
      </c>
      <c r="H489" t="s">
        <v>31</v>
      </c>
      <c r="I489" t="s">
        <v>32</v>
      </c>
      <c r="J489" t="s">
        <v>781</v>
      </c>
      <c r="K489" t="s">
        <v>4727</v>
      </c>
      <c r="L489" t="s">
        <v>2249</v>
      </c>
      <c r="M489" t="s">
        <v>3183</v>
      </c>
      <c r="N489" t="s">
        <v>4728</v>
      </c>
      <c r="O489" t="s">
        <v>186</v>
      </c>
      <c r="Q489" t="s">
        <v>699</v>
      </c>
      <c r="R489" t="s">
        <v>59</v>
      </c>
      <c r="S489" t="s">
        <v>4729</v>
      </c>
      <c r="T489" t="s">
        <v>2400</v>
      </c>
      <c r="U489" t="s">
        <v>43</v>
      </c>
      <c r="V489" t="s">
        <v>4730</v>
      </c>
      <c r="W489" t="s">
        <v>4731</v>
      </c>
      <c r="Y489" t="str">
        <f>HYPERLINK("https://recruiter.shine.com/resume/download/?resumeid=gAAAAABbk2UNFSdrtWkPpRp3keyo7hETnwUwUMnLBXExqkz0_nr_GDrX8R4KPggVhROZDcGAPO-N8PkFTc2Jrn9mVXl1ZX25LfnbMFSEVqlVocyWEpobNyYZ0_nPgFfzkppCMQIoVCaLTwZuPhNCZTgERvqLIqCHTNXy692lIiI2fwbWs6ZYtqI=")</f>
        <v>https://recruiter.shine.com/resume/download/?resumeid=gAAAAABbk2UNFSdrtWkPpRp3keyo7hETnwUwUMnLBXExqkz0_nr_GDrX8R4KPggVhROZDcGAPO-N8PkFTc2Jrn9mVXl1ZX25LfnbMFSEVqlVocyWEpobNyYZ0_nPgFfzkppCMQIoVCaLTwZuPhNCZTgERvqLIqCHTNXy692lIiI2fwbWs6ZYtqI=</v>
      </c>
    </row>
    <row r="490" spans="1:25" ht="39.950000000000003" customHeight="1">
      <c r="A490">
        <v>486</v>
      </c>
      <c r="B490" t="s">
        <v>4732</v>
      </c>
      <c r="D490" t="s">
        <v>4733</v>
      </c>
      <c r="E490" t="s">
        <v>4734</v>
      </c>
      <c r="F490" t="s">
        <v>858</v>
      </c>
      <c r="G490" t="s">
        <v>858</v>
      </c>
      <c r="H490" t="s">
        <v>31</v>
      </c>
      <c r="I490" t="s">
        <v>32</v>
      </c>
      <c r="J490" t="s">
        <v>4735</v>
      </c>
      <c r="K490" t="s">
        <v>4736</v>
      </c>
      <c r="L490" t="s">
        <v>794</v>
      </c>
      <c r="M490" t="s">
        <v>105</v>
      </c>
      <c r="N490" t="s">
        <v>4737</v>
      </c>
      <c r="O490" t="s">
        <v>38</v>
      </c>
      <c r="Q490" t="s">
        <v>107</v>
      </c>
      <c r="R490" t="s">
        <v>559</v>
      </c>
      <c r="S490" t="s">
        <v>1713</v>
      </c>
      <c r="T490" t="s">
        <v>1065</v>
      </c>
      <c r="U490" t="s">
        <v>43</v>
      </c>
      <c r="V490" t="s">
        <v>4738</v>
      </c>
      <c r="W490" t="s">
        <v>4739</v>
      </c>
      <c r="Y490" t="str">
        <f>HYPERLINK("https://recruiter.shine.com/resume/download/?resumeid=gAAAAABbk2UOi-OCXKTL0w6rVrQeOdbSR39bJEfnXw2_OWVeHag4IxkEEua-R6VoJfTJZidsWohYDgAKH-Wpmm2_Qd8HwE4YWkDgzr7264rl5OU9tM7Fzu3cDMgXgJPLUCrHgQXuBCh4OangO-KQDsjkDxoDL_kn7Q==")</f>
        <v>https://recruiter.shine.com/resume/download/?resumeid=gAAAAABbk2UOi-OCXKTL0w6rVrQeOdbSR39bJEfnXw2_OWVeHag4IxkEEua-R6VoJfTJZidsWohYDgAKH-Wpmm2_Qd8HwE4YWkDgzr7264rl5OU9tM7Fzu3cDMgXgJPLUCrHgQXuBCh4OangO-KQDsjkDxoDL_kn7Q==</v>
      </c>
    </row>
    <row r="491" spans="1:25" ht="39.950000000000003" customHeight="1">
      <c r="A491">
        <v>487</v>
      </c>
      <c r="B491" t="s">
        <v>4740</v>
      </c>
      <c r="C491" t="s">
        <v>4741</v>
      </c>
      <c r="D491" t="s">
        <v>4742</v>
      </c>
      <c r="E491" t="s">
        <v>4743</v>
      </c>
      <c r="F491" t="s">
        <v>29</v>
      </c>
      <c r="G491" t="s">
        <v>29</v>
      </c>
      <c r="H491" t="s">
        <v>31</v>
      </c>
      <c r="I491" t="s">
        <v>1365</v>
      </c>
      <c r="J491" t="s">
        <v>312</v>
      </c>
      <c r="K491" t="s">
        <v>4744</v>
      </c>
      <c r="L491" t="s">
        <v>3566</v>
      </c>
      <c r="M491" t="s">
        <v>172</v>
      </c>
      <c r="N491" t="s">
        <v>4745</v>
      </c>
      <c r="O491" t="s">
        <v>38</v>
      </c>
      <c r="P491" t="s">
        <v>940</v>
      </c>
      <c r="Q491" t="s">
        <v>123</v>
      </c>
      <c r="R491" t="s">
        <v>124</v>
      </c>
      <c r="S491" t="s">
        <v>4746</v>
      </c>
      <c r="T491" t="s">
        <v>93</v>
      </c>
      <c r="U491" t="s">
        <v>127</v>
      </c>
      <c r="V491" t="s">
        <v>4747</v>
      </c>
      <c r="W491" t="s">
        <v>4748</v>
      </c>
      <c r="Y491" t="str">
        <f>HYPERLINK("https://recruiter.shine.com/resume/download/?resumeid=gAAAAABbk2ULwBzz6tuBtAmcNRqDWM87e87ad1e5lcskpFhQ7VER1nY9F54jqVLz3dlxSEK4jBqDuiA30wD7i5d-G-k10YgspZYCu64u74Hs1LcsfsWC3Si3w-G0a_ZAXaENlLG3B-h_")</f>
        <v>https://recruiter.shine.com/resume/download/?resumeid=gAAAAABbk2ULwBzz6tuBtAmcNRqDWM87e87ad1e5lcskpFhQ7VER1nY9F54jqVLz3dlxSEK4jBqDuiA30wD7i5d-G-k10YgspZYCu64u74Hs1LcsfsWC3Si3w-G0a_ZAXaENlLG3B-h_</v>
      </c>
    </row>
    <row r="492" spans="1:25" ht="39.950000000000003" customHeight="1">
      <c r="A492">
        <v>488</v>
      </c>
      <c r="B492" t="s">
        <v>4749</v>
      </c>
      <c r="C492" t="s">
        <v>4750</v>
      </c>
      <c r="D492" t="s">
        <v>4751</v>
      </c>
      <c r="E492" t="s">
        <v>4752</v>
      </c>
      <c r="F492" t="s">
        <v>29</v>
      </c>
      <c r="G492" t="s">
        <v>29</v>
      </c>
      <c r="H492" t="s">
        <v>31</v>
      </c>
      <c r="I492" t="s">
        <v>3481</v>
      </c>
      <c r="J492" t="s">
        <v>1050</v>
      </c>
      <c r="K492" t="s">
        <v>2571</v>
      </c>
      <c r="L492" t="s">
        <v>199</v>
      </c>
      <c r="M492" t="s">
        <v>121</v>
      </c>
      <c r="N492" t="s">
        <v>4753</v>
      </c>
      <c r="O492" t="s">
        <v>186</v>
      </c>
      <c r="P492" t="s">
        <v>39</v>
      </c>
      <c r="Q492" t="s">
        <v>123</v>
      </c>
      <c r="R492" t="s">
        <v>124</v>
      </c>
      <c r="S492" t="s">
        <v>188</v>
      </c>
      <c r="T492" t="s">
        <v>61</v>
      </c>
      <c r="U492" t="s">
        <v>43</v>
      </c>
      <c r="V492" t="s">
        <v>4754</v>
      </c>
      <c r="W492" t="s">
        <v>4755</v>
      </c>
      <c r="Y492" t="str">
        <f>HYPERLINK("https://recruiter.shine.com/resume/download/?resumeid=gAAAAABbk2UM3zLnCxmJSN60OOYXj_6D0GWlZF8SriPWifipcu7YH3T0pR7rMWtmy6XGa0H-jVJafLQ741L0UyuHPyTMor_6kcmmtE6Xv97ZLaUwu31bihUgPL-AsF7aRVGUyEjznyQZLDy45Zd8aW28_gT8DUKfuC4t9pBeBFl5wNs1wFUp_D8=")</f>
        <v>https://recruiter.shine.com/resume/download/?resumeid=gAAAAABbk2UM3zLnCxmJSN60OOYXj_6D0GWlZF8SriPWifipcu7YH3T0pR7rMWtmy6XGa0H-jVJafLQ741L0UyuHPyTMor_6kcmmtE6Xv97ZLaUwu31bihUgPL-AsF7aRVGUyEjznyQZLDy45Zd8aW28_gT8DUKfuC4t9pBeBFl5wNs1wFUp_D8=</v>
      </c>
    </row>
    <row r="493" spans="1:25" ht="39.950000000000003" customHeight="1">
      <c r="A493">
        <v>489</v>
      </c>
      <c r="B493" t="s">
        <v>4756</v>
      </c>
      <c r="C493" t="s">
        <v>4757</v>
      </c>
      <c r="D493" t="s">
        <v>4758</v>
      </c>
      <c r="E493" t="s">
        <v>4759</v>
      </c>
      <c r="F493" t="s">
        <v>29</v>
      </c>
      <c r="G493" t="s">
        <v>29</v>
      </c>
      <c r="H493" t="s">
        <v>31</v>
      </c>
      <c r="I493" t="s">
        <v>4760</v>
      </c>
      <c r="J493" t="s">
        <v>517</v>
      </c>
      <c r="K493" t="s">
        <v>4761</v>
      </c>
      <c r="L493" t="s">
        <v>794</v>
      </c>
      <c r="M493" t="s">
        <v>684</v>
      </c>
      <c r="N493" t="s">
        <v>4762</v>
      </c>
      <c r="O493" t="s">
        <v>56</v>
      </c>
      <c r="P493" t="s">
        <v>940</v>
      </c>
      <c r="Q493" t="s">
        <v>107</v>
      </c>
      <c r="R493" t="s">
        <v>341</v>
      </c>
      <c r="S493" t="s">
        <v>4763</v>
      </c>
      <c r="T493" t="s">
        <v>429</v>
      </c>
      <c r="U493" t="s">
        <v>43</v>
      </c>
      <c r="V493" t="s">
        <v>4764</v>
      </c>
      <c r="W493" t="s">
        <v>4765</v>
      </c>
      <c r="Y493" t="str">
        <f>HYPERLINK("https://recruiter.shine.com/resume/download/?resumeid=gAAAAABbk2UODGmYNcM_iEwupfzC2otqdBLeDSMiKygdZMH7ZhtiRD3DQHaFgpEQy1VM2Qdx_5_wajh2ByZ_v-fDhcum9-HKRSUg6apaVH2I6N9YIeQ08vAA7o9u12ug-Y4STHOsoaW6UwOHBzovZ-_xmkko_uEpaw==")</f>
        <v>https://recruiter.shine.com/resume/download/?resumeid=gAAAAABbk2UODGmYNcM_iEwupfzC2otqdBLeDSMiKygdZMH7ZhtiRD3DQHaFgpEQy1VM2Qdx_5_wajh2ByZ_v-fDhcum9-HKRSUg6apaVH2I6N9YIeQ08vAA7o9u12ug-Y4STHOsoaW6UwOHBzovZ-_xmkko_uEpaw==</v>
      </c>
    </row>
    <row r="494" spans="1:25" ht="39.950000000000003" customHeight="1">
      <c r="A494">
        <v>490</v>
      </c>
      <c r="B494" t="s">
        <v>4766</v>
      </c>
      <c r="C494" t="s">
        <v>4767</v>
      </c>
      <c r="D494" t="s">
        <v>4768</v>
      </c>
      <c r="E494" t="s">
        <v>4769</v>
      </c>
      <c r="F494" t="s">
        <v>29</v>
      </c>
      <c r="G494" t="s">
        <v>67</v>
      </c>
      <c r="H494" t="s">
        <v>31</v>
      </c>
      <c r="I494" t="s">
        <v>168</v>
      </c>
      <c r="J494" t="s">
        <v>1028</v>
      </c>
      <c r="K494" t="s">
        <v>4770</v>
      </c>
      <c r="L494" t="s">
        <v>88</v>
      </c>
      <c r="M494" t="s">
        <v>339</v>
      </c>
      <c r="N494" t="s">
        <v>4771</v>
      </c>
      <c r="O494" t="s">
        <v>186</v>
      </c>
      <c r="P494" t="s">
        <v>73</v>
      </c>
      <c r="Q494" t="s">
        <v>90</v>
      </c>
      <c r="R494" t="s">
        <v>292</v>
      </c>
      <c r="S494" t="s">
        <v>4772</v>
      </c>
      <c r="T494" t="s">
        <v>144</v>
      </c>
      <c r="U494" t="s">
        <v>43</v>
      </c>
      <c r="V494" t="s">
        <v>4773</v>
      </c>
      <c r="W494" t="s">
        <v>4774</v>
      </c>
      <c r="Y494" t="str">
        <f>HYPERLINK("https://recruiter.shine.com/resume/download/?resumeid=gAAAAABbk2ULr7mS3dUgPCAFpuBR8PhkLWFmuEVMDL1qS0kyKlQsSnxCrAs4Eji8wnZIqt9Vw2W2lM3nRpD7-OrO6rEY8HaWmElgm8Ha8D6KrBzxJ9mAQtDUxRo07wKZi1rOWJyCCHkb")</f>
        <v>https://recruiter.shine.com/resume/download/?resumeid=gAAAAABbk2ULr7mS3dUgPCAFpuBR8PhkLWFmuEVMDL1qS0kyKlQsSnxCrAs4Eji8wnZIqt9Vw2W2lM3nRpD7-OrO6rEY8HaWmElgm8Ha8D6KrBzxJ9mAQtDUxRo07wKZi1rOWJyCCHkb</v>
      </c>
    </row>
    <row r="495" spans="1:25" ht="39.950000000000003" customHeight="1">
      <c r="A495">
        <v>491</v>
      </c>
      <c r="B495" t="s">
        <v>4775</v>
      </c>
      <c r="C495" t="s">
        <v>4776</v>
      </c>
      <c r="D495" t="s">
        <v>4777</v>
      </c>
      <c r="E495" t="s">
        <v>4778</v>
      </c>
      <c r="F495" t="s">
        <v>29</v>
      </c>
      <c r="G495" t="s">
        <v>4779</v>
      </c>
      <c r="H495" t="s">
        <v>31</v>
      </c>
      <c r="I495" t="s">
        <v>4780</v>
      </c>
      <c r="J495" t="s">
        <v>715</v>
      </c>
      <c r="K495" t="s">
        <v>4781</v>
      </c>
      <c r="L495" t="s">
        <v>35</v>
      </c>
      <c r="M495" t="s">
        <v>1124</v>
      </c>
      <c r="N495" t="s">
        <v>4782</v>
      </c>
      <c r="O495" t="s">
        <v>3583</v>
      </c>
      <c r="P495" t="s">
        <v>73</v>
      </c>
      <c r="Q495" t="s">
        <v>699</v>
      </c>
      <c r="R495" t="s">
        <v>4783</v>
      </c>
      <c r="S495" t="s">
        <v>4784</v>
      </c>
      <c r="T495" t="s">
        <v>304</v>
      </c>
      <c r="U495" t="s">
        <v>43</v>
      </c>
      <c r="V495" t="s">
        <v>4785</v>
      </c>
      <c r="W495" t="s">
        <v>4786</v>
      </c>
      <c r="Y495" t="str">
        <f>HYPERLINK("https://recruiter.shine.com/resume/download/?resumeid=gAAAAABbk2UM3Yb4IQwhVQPoTVnHYlnPf6TuT3kHXZg0zTgSPiYQIWRD_gpKw9aB6I04KAOzY4bC_LX2fdQ6qMv6QsjtPQDOJ3Uz0z32C_V8MF9xU0wVfywJH_LGCsY2xQ48MCH42Nu88lTvmTn-QHogEnrNcGIydA==")</f>
        <v>https://recruiter.shine.com/resume/download/?resumeid=gAAAAABbk2UM3Yb4IQwhVQPoTVnHYlnPf6TuT3kHXZg0zTgSPiYQIWRD_gpKw9aB6I04KAOzY4bC_LX2fdQ6qMv6QsjtPQDOJ3Uz0z32C_V8MF9xU0wVfywJH_LGCsY2xQ48MCH42Nu88lTvmTn-QHogEnrNcGIydA==</v>
      </c>
    </row>
    <row r="496" spans="1:25" ht="39.950000000000003" customHeight="1">
      <c r="A496">
        <v>492</v>
      </c>
      <c r="B496" t="s">
        <v>4787</v>
      </c>
      <c r="C496" t="s">
        <v>4788</v>
      </c>
      <c r="D496" t="s">
        <v>4789</v>
      </c>
      <c r="E496" t="s">
        <v>4790</v>
      </c>
      <c r="F496" t="s">
        <v>29</v>
      </c>
      <c r="G496" t="s">
        <v>29</v>
      </c>
      <c r="H496" t="s">
        <v>31</v>
      </c>
      <c r="I496" t="s">
        <v>85</v>
      </c>
      <c r="J496" t="s">
        <v>4791</v>
      </c>
      <c r="K496" t="s">
        <v>4792</v>
      </c>
      <c r="L496" t="s">
        <v>2766</v>
      </c>
      <c r="M496" t="s">
        <v>238</v>
      </c>
      <c r="N496" t="s">
        <v>4793</v>
      </c>
      <c r="O496" t="s">
        <v>1041</v>
      </c>
      <c r="P496" t="s">
        <v>39</v>
      </c>
      <c r="Q496" t="s">
        <v>58</v>
      </c>
      <c r="R496" t="s">
        <v>4794</v>
      </c>
      <c r="S496" t="s">
        <v>4795</v>
      </c>
      <c r="T496" t="s">
        <v>2554</v>
      </c>
      <c r="U496" t="s">
        <v>43</v>
      </c>
      <c r="V496" t="s">
        <v>4796</v>
      </c>
      <c r="W496" t="s">
        <v>4797</v>
      </c>
      <c r="Y496" t="str">
        <f>HYPERLINK("https://recruiter.shine.com/resume/download/?resumeid=gAAAAABbk2UNa89VzTNAmQNW8C1L2L5GNR8hITvLK_cHvmDczJ5ZU98p6hRS4KMQ8d0ePByQc6pqOEcPDjPydUGIVEFt06WIPOWbZ1yamYMTJmcrvf6EGzQLUg9b1DHYRaLmohsQlN1swIiLBG1MsLctXhhjjYV0y594-DrbFoGHXmzvBw-JTy8=")</f>
        <v>https://recruiter.shine.com/resume/download/?resumeid=gAAAAABbk2UNa89VzTNAmQNW8C1L2L5GNR8hITvLK_cHvmDczJ5ZU98p6hRS4KMQ8d0ePByQc6pqOEcPDjPydUGIVEFt06WIPOWbZ1yamYMTJmcrvf6EGzQLUg9b1DHYRaLmohsQlN1swIiLBG1MsLctXhhjjYV0y594-DrbFoGHXmzvBw-JTy8=</v>
      </c>
    </row>
    <row r="497" spans="1:25" ht="39.950000000000003" customHeight="1">
      <c r="A497">
        <v>493</v>
      </c>
      <c r="B497" t="s">
        <v>4798</v>
      </c>
      <c r="C497" t="s">
        <v>2059</v>
      </c>
      <c r="D497" t="s">
        <v>4799</v>
      </c>
      <c r="E497" t="s">
        <v>4800</v>
      </c>
      <c r="F497" t="s">
        <v>29</v>
      </c>
      <c r="G497" t="s">
        <v>824</v>
      </c>
      <c r="H497" t="s">
        <v>234</v>
      </c>
      <c r="I497" t="s">
        <v>516</v>
      </c>
      <c r="J497" t="s">
        <v>135</v>
      </c>
      <c r="K497" t="s">
        <v>595</v>
      </c>
      <c r="L497" t="s">
        <v>155</v>
      </c>
      <c r="M497" t="s">
        <v>36</v>
      </c>
      <c r="N497" t="s">
        <v>961</v>
      </c>
      <c r="O497" t="s">
        <v>38</v>
      </c>
      <c r="P497" t="s">
        <v>57</v>
      </c>
      <c r="Q497" t="s">
        <v>74</v>
      </c>
      <c r="R497" t="s">
        <v>559</v>
      </c>
      <c r="S497" t="s">
        <v>3308</v>
      </c>
      <c r="T497" t="s">
        <v>441</v>
      </c>
      <c r="U497" t="s">
        <v>94</v>
      </c>
      <c r="V497" t="s">
        <v>4801</v>
      </c>
      <c r="W497" t="s">
        <v>4802</v>
      </c>
      <c r="Y497" t="str">
        <f>HYPERLINK("https://recruiter.shine.com/resume/download/?resumeid=gAAAAABbk2ULMm3qjbYKEj_dMlnR0xFHh-wTkjWqI1mvm1wt8TQbPxhNqOk7abgGXNOCqEzrmt3Vr6TRBWrqn7Ls4UvyMKmAnworcmEmkh4eJ17M0sLhTzRE3IqGs4Dr88yxKyzKuKAd")</f>
        <v>https://recruiter.shine.com/resume/download/?resumeid=gAAAAABbk2ULMm3qjbYKEj_dMlnR0xFHh-wTkjWqI1mvm1wt8TQbPxhNqOk7abgGXNOCqEzrmt3Vr6TRBWrqn7Ls4UvyMKmAnworcmEmkh4eJ17M0sLhTzRE3IqGs4Dr88yxKyzKuKAd</v>
      </c>
    </row>
    <row r="498" spans="1:25" ht="39.950000000000003" customHeight="1">
      <c r="A498">
        <v>494</v>
      </c>
      <c r="B498" t="s">
        <v>4803</v>
      </c>
      <c r="C498" t="s">
        <v>4804</v>
      </c>
      <c r="D498" t="s">
        <v>4805</v>
      </c>
      <c r="E498" t="s">
        <v>4806</v>
      </c>
      <c r="F498" t="s">
        <v>29</v>
      </c>
      <c r="G498" t="s">
        <v>30</v>
      </c>
      <c r="H498" t="s">
        <v>31</v>
      </c>
      <c r="I498" t="s">
        <v>3239</v>
      </c>
      <c r="J498" t="s">
        <v>801</v>
      </c>
      <c r="K498" t="s">
        <v>4807</v>
      </c>
      <c r="L498" t="s">
        <v>301</v>
      </c>
      <c r="M498" t="s">
        <v>105</v>
      </c>
      <c r="N498" t="s">
        <v>4808</v>
      </c>
      <c r="O498" t="s">
        <v>475</v>
      </c>
      <c r="Q498" t="s">
        <v>107</v>
      </c>
      <c r="R498" t="s">
        <v>341</v>
      </c>
      <c r="S498" t="s">
        <v>4809</v>
      </c>
      <c r="T498" t="s">
        <v>110</v>
      </c>
      <c r="U498" t="s">
        <v>94</v>
      </c>
      <c r="V498" t="s">
        <v>4810</v>
      </c>
      <c r="W498" t="s">
        <v>4810</v>
      </c>
      <c r="Y498" t="str">
        <f>HYPERLINK("https://recruiter.shine.com/resume/download/?resumeid=gAAAAABbk2UMuEiQA-mEmRic34lQfyz2l2QrvJg_GG3vGURkrpwdSn-zXyL_FJZmTWzGyUgE7_23rc0ukT3P6klKH7joVjCTfH-KEokjoJZooyslp6a_Z5_1m3cdEqjhTRwKFoCgO6k06XVW3B2ngDx9Opr_zZOWuE9H0QRkgWGaP4bqo77lJfU=")</f>
        <v>https://recruiter.shine.com/resume/download/?resumeid=gAAAAABbk2UMuEiQA-mEmRic34lQfyz2l2QrvJg_GG3vGURkrpwdSn-zXyL_FJZmTWzGyUgE7_23rc0ukT3P6klKH7joVjCTfH-KEokjoJZooyslp6a_Z5_1m3cdEqjhTRwKFoCgO6k06XVW3B2ngDx9Opr_zZOWuE9H0QRkgWGaP4bqo77lJfU=</v>
      </c>
    </row>
    <row r="499" spans="1:25" ht="39.950000000000003" customHeight="1">
      <c r="A499">
        <v>495</v>
      </c>
      <c r="B499" t="s">
        <v>4811</v>
      </c>
      <c r="D499" t="s">
        <v>4812</v>
      </c>
      <c r="E499" t="s">
        <v>4813</v>
      </c>
      <c r="F499" t="s">
        <v>29</v>
      </c>
      <c r="G499" t="s">
        <v>29</v>
      </c>
      <c r="H499" t="s">
        <v>31</v>
      </c>
      <c r="I499" t="s">
        <v>1208</v>
      </c>
      <c r="J499" t="s">
        <v>801</v>
      </c>
      <c r="K499" t="s">
        <v>4814</v>
      </c>
      <c r="L499" t="s">
        <v>266</v>
      </c>
      <c r="M499" t="s">
        <v>105</v>
      </c>
      <c r="N499" t="s">
        <v>4815</v>
      </c>
      <c r="O499" t="s">
        <v>585</v>
      </c>
      <c r="Q499" t="s">
        <v>107</v>
      </c>
      <c r="R499" t="s">
        <v>341</v>
      </c>
      <c r="S499" t="s">
        <v>188</v>
      </c>
      <c r="T499" t="s">
        <v>61</v>
      </c>
      <c r="U499" t="s">
        <v>43</v>
      </c>
      <c r="V499" t="s">
        <v>4816</v>
      </c>
      <c r="W499" t="s">
        <v>4817</v>
      </c>
      <c r="Y499" t="str">
        <f>HYPERLINK("https://recruiter.shine.com/resume/download/?resumeid=gAAAAABbk2UNHzMjWXnT7Hvm6Wr12j7fzxx_22FVuOOF3j84bcl0QPpTRi2Cgf0hOQalsXdPndCZ33BUWS9h0aM369aHURoDNpnZuu6vBPoo9z5xa6AtSKm-SYjLafSFAUt3jY2gjm45kbHZHFf7QRyU5m3zmkmEmQ==")</f>
        <v>https://recruiter.shine.com/resume/download/?resumeid=gAAAAABbk2UNHzMjWXnT7Hvm6Wr12j7fzxx_22FVuOOF3j84bcl0QPpTRi2Cgf0hOQalsXdPndCZ33BUWS9h0aM369aHURoDNpnZuu6vBPoo9z5xa6AtSKm-SYjLafSFAUt3jY2gjm45kbHZHFf7QRyU5m3zmkmEmQ==</v>
      </c>
    </row>
    <row r="500" spans="1:25" ht="39.950000000000003" customHeight="1">
      <c r="A500">
        <v>496</v>
      </c>
      <c r="B500" t="s">
        <v>4818</v>
      </c>
      <c r="C500" t="s">
        <v>4819</v>
      </c>
      <c r="D500" t="s">
        <v>4820</v>
      </c>
      <c r="E500" t="s">
        <v>4821</v>
      </c>
      <c r="F500" t="s">
        <v>29</v>
      </c>
      <c r="G500" t="s">
        <v>4822</v>
      </c>
      <c r="H500" t="s">
        <v>31</v>
      </c>
      <c r="I500" t="s">
        <v>1554</v>
      </c>
      <c r="J500" t="s">
        <v>871</v>
      </c>
      <c r="K500" t="s">
        <v>4823</v>
      </c>
      <c r="L500" t="s">
        <v>88</v>
      </c>
      <c r="M500" t="s">
        <v>684</v>
      </c>
      <c r="N500" t="s">
        <v>4824</v>
      </c>
      <c r="O500" t="s">
        <v>186</v>
      </c>
      <c r="P500" t="s">
        <v>57</v>
      </c>
      <c r="Q500" t="s">
        <v>107</v>
      </c>
      <c r="R500" t="s">
        <v>341</v>
      </c>
      <c r="S500" t="s">
        <v>1467</v>
      </c>
      <c r="T500" t="s">
        <v>144</v>
      </c>
      <c r="U500" t="s">
        <v>43</v>
      </c>
      <c r="V500" t="s">
        <v>4825</v>
      </c>
      <c r="W500" t="s">
        <v>4825</v>
      </c>
      <c r="Y500" t="str">
        <f>HYPERLINK("https://recruiter.shine.com/resume/download/?resumeid=gAAAAABbk2ULLOsRs1wb1HIa4T1E9bQe8Ty7PP2BeKNSi2Eb9cZhJlO09N8zeSpHKoC5B2nY7gMGShhUcb6N3M3XBPIxqmphkqtHNW-oB5_IW81pWusgZv9yf8bH3Ar0wZK-6cl7tpE7")</f>
        <v>https://recruiter.shine.com/resume/download/?resumeid=gAAAAABbk2ULLOsRs1wb1HIa4T1E9bQe8Ty7PP2BeKNSi2Eb9cZhJlO09N8zeSpHKoC5B2nY7gMGShhUcb6N3M3XBPIxqmphkqtHNW-oB5_IW81pWusgZv9yf8bH3Ar0wZK-6cl7tpE7</v>
      </c>
    </row>
    <row r="501" spans="1:25" ht="39.950000000000003" customHeight="1">
      <c r="A501">
        <v>497</v>
      </c>
      <c r="B501" t="s">
        <v>4826</v>
      </c>
      <c r="C501" t="s">
        <v>4827</v>
      </c>
      <c r="D501" t="s">
        <v>4828</v>
      </c>
      <c r="E501" t="s">
        <v>4829</v>
      </c>
      <c r="F501" t="s">
        <v>29</v>
      </c>
      <c r="G501" t="s">
        <v>724</v>
      </c>
      <c r="H501" t="s">
        <v>31</v>
      </c>
      <c r="I501" t="s">
        <v>32</v>
      </c>
      <c r="J501" t="s">
        <v>1028</v>
      </c>
      <c r="K501" t="s">
        <v>4830</v>
      </c>
      <c r="L501" t="s">
        <v>1889</v>
      </c>
      <c r="M501" t="s">
        <v>138</v>
      </c>
      <c r="N501" t="s">
        <v>4831</v>
      </c>
      <c r="O501" t="s">
        <v>848</v>
      </c>
      <c r="P501" t="s">
        <v>57</v>
      </c>
      <c r="Q501" t="s">
        <v>4181</v>
      </c>
      <c r="R501" t="s">
        <v>4832</v>
      </c>
      <c r="S501" t="s">
        <v>4833</v>
      </c>
      <c r="T501" t="s">
        <v>2453</v>
      </c>
      <c r="U501" t="s">
        <v>43</v>
      </c>
      <c r="V501" t="s">
        <v>4834</v>
      </c>
      <c r="W501" t="s">
        <v>4835</v>
      </c>
      <c r="Y501" t="str">
        <f>HYPERLINK("https://recruiter.shine.com/resume/download/?resumeid=gAAAAABbk2UM9oiknv_zC-EG0J6JKs1iYXYOAgz11WX_cDWq9RqNYbkZFtpwFvYKhEfT6GM6mZ17PC1mbakHrstdI0s4xg05Ckp2znY4IuskQPSp5VgizlLFdtuMic75fis9p3-sYz-X4TF9EbHOZ4IwvsDS9m7CB5eSt4AdcF8KpTguPtd4Yns=")</f>
        <v>https://recruiter.shine.com/resume/download/?resumeid=gAAAAABbk2UM9oiknv_zC-EG0J6JKs1iYXYOAgz11WX_cDWq9RqNYbkZFtpwFvYKhEfT6GM6mZ17PC1mbakHrstdI0s4xg05Ckp2znY4IuskQPSp5VgizlLFdtuMic75fis9p3-sYz-X4TF9EbHOZ4IwvsDS9m7CB5eSt4AdcF8KpTguPtd4Yns=</v>
      </c>
    </row>
    <row r="502" spans="1:25" ht="39.950000000000003" customHeight="1">
      <c r="A502">
        <v>498</v>
      </c>
      <c r="B502" t="s">
        <v>4836</v>
      </c>
      <c r="C502" t="s">
        <v>4837</v>
      </c>
      <c r="D502" t="s">
        <v>4838</v>
      </c>
      <c r="E502" t="s">
        <v>4839</v>
      </c>
      <c r="F502" t="s">
        <v>29</v>
      </c>
      <c r="G502" t="s">
        <v>29</v>
      </c>
      <c r="H502" t="s">
        <v>31</v>
      </c>
      <c r="I502" t="s">
        <v>4840</v>
      </c>
      <c r="J502" t="s">
        <v>135</v>
      </c>
      <c r="K502" t="s">
        <v>4841</v>
      </c>
      <c r="L502" t="s">
        <v>1390</v>
      </c>
      <c r="M502" t="s">
        <v>339</v>
      </c>
      <c r="N502" t="s">
        <v>4842</v>
      </c>
      <c r="O502" t="s">
        <v>56</v>
      </c>
      <c r="P502" t="s">
        <v>140</v>
      </c>
      <c r="Q502" t="s">
        <v>107</v>
      </c>
      <c r="R502" t="s">
        <v>559</v>
      </c>
      <c r="S502" t="s">
        <v>4843</v>
      </c>
      <c r="T502" t="s">
        <v>110</v>
      </c>
      <c r="U502" t="s">
        <v>43</v>
      </c>
      <c r="V502" t="s">
        <v>4844</v>
      </c>
      <c r="W502" t="s">
        <v>4844</v>
      </c>
      <c r="Y502" t="str">
        <f>HYPERLINK("https://recruiter.shine.com/resume/download/?resumeid=gAAAAABbk2UNz0mKncVjnSA8HEjs35AO7afA_dvS7wK1b1T-X7s_R1uSo767P9nyq0WioM3Fz1neuHTTymEeYbr2Hdqui-6RzY7NXidRH1bTYgmJToFRPf7Hiu-ZGlSwQOzPWEYnOfapRCgiG9bXWoWolJR7IHp_mfJrQ4du-_D0U41knA_RVAo=")</f>
        <v>https://recruiter.shine.com/resume/download/?resumeid=gAAAAABbk2UNz0mKncVjnSA8HEjs35AO7afA_dvS7wK1b1T-X7s_R1uSo767P9nyq0WioM3Fz1neuHTTymEeYbr2Hdqui-6RzY7NXidRH1bTYgmJToFRPf7Hiu-ZGlSwQOzPWEYnOfapRCgiG9bXWoWolJR7IHp_mfJrQ4du-_D0U41knA_RVAo=</v>
      </c>
    </row>
    <row r="503" spans="1:25" ht="39.950000000000003" customHeight="1">
      <c r="A503">
        <v>499</v>
      </c>
      <c r="B503" t="s">
        <v>4845</v>
      </c>
      <c r="C503" t="s">
        <v>4846</v>
      </c>
      <c r="D503" t="s">
        <v>4847</v>
      </c>
      <c r="E503" t="s">
        <v>4848</v>
      </c>
      <c r="F503" t="s">
        <v>29</v>
      </c>
      <c r="G503" t="s">
        <v>4849</v>
      </c>
      <c r="H503" t="s">
        <v>31</v>
      </c>
      <c r="I503" t="s">
        <v>4850</v>
      </c>
      <c r="J503" t="s">
        <v>506</v>
      </c>
      <c r="K503" t="s">
        <v>4851</v>
      </c>
      <c r="L503" t="s">
        <v>664</v>
      </c>
      <c r="M503" t="s">
        <v>36</v>
      </c>
      <c r="N503" t="s">
        <v>4852</v>
      </c>
      <c r="O503" t="s">
        <v>56</v>
      </c>
      <c r="P503" t="s">
        <v>57</v>
      </c>
      <c r="Q503" t="s">
        <v>107</v>
      </c>
      <c r="R503" t="s">
        <v>341</v>
      </c>
      <c r="S503" t="s">
        <v>677</v>
      </c>
      <c r="T503" t="s">
        <v>110</v>
      </c>
      <c r="U503" t="s">
        <v>127</v>
      </c>
      <c r="V503" t="s">
        <v>4853</v>
      </c>
      <c r="W503" t="s">
        <v>4854</v>
      </c>
      <c r="Y503" t="str">
        <f>HYPERLINK("https://recruiter.shine.com/resume/download/?resumeid=gAAAAABbk2UL9TJyZ3Ger-rgmcV1JxwojYTh3JFNnHJMGp6n6pa_TXC-KnQ3yd6-Nr4Eqf1n9f5V5UGfCWe5qxlcM7vcIAR0KxfT85T1pmOm4_WFlo4L8uKIroJYFZoB3Wg0bLO-tOA6")</f>
        <v>https://recruiter.shine.com/resume/download/?resumeid=gAAAAABbk2UL9TJyZ3Ger-rgmcV1JxwojYTh3JFNnHJMGp6n6pa_TXC-KnQ3yd6-Nr4Eqf1n9f5V5UGfCWe5qxlcM7vcIAR0KxfT85T1pmOm4_WFlo4L8uKIroJYFZoB3Wg0bLO-tOA6</v>
      </c>
    </row>
    <row r="504" spans="1:25" ht="39.950000000000003" customHeight="1">
      <c r="A504">
        <v>500</v>
      </c>
      <c r="B504" t="s">
        <v>4855</v>
      </c>
      <c r="C504" t="s">
        <v>4856</v>
      </c>
      <c r="D504" t="s">
        <v>4857</v>
      </c>
      <c r="E504" t="s">
        <v>4858</v>
      </c>
      <c r="F504" t="s">
        <v>29</v>
      </c>
      <c r="G504" t="s">
        <v>29</v>
      </c>
      <c r="H504" t="s">
        <v>31</v>
      </c>
      <c r="I504" t="s">
        <v>4859</v>
      </c>
      <c r="J504" t="s">
        <v>1785</v>
      </c>
      <c r="K504" t="s">
        <v>4860</v>
      </c>
      <c r="L504" t="s">
        <v>88</v>
      </c>
      <c r="M504" t="s">
        <v>238</v>
      </c>
      <c r="N504" t="s">
        <v>4861</v>
      </c>
      <c r="O504" t="s">
        <v>186</v>
      </c>
      <c r="Q504" t="s">
        <v>90</v>
      </c>
      <c r="R504" t="s">
        <v>91</v>
      </c>
      <c r="S504" t="s">
        <v>4862</v>
      </c>
      <c r="T504" t="s">
        <v>144</v>
      </c>
      <c r="U504" t="s">
        <v>43</v>
      </c>
      <c r="V504" t="s">
        <v>4863</v>
      </c>
      <c r="W504" t="s">
        <v>4864</v>
      </c>
      <c r="Y504" t="str">
        <f>HYPERLINK("https://recruiter.shine.com/resume/download/?resumeid=gAAAAABbk2UM_6gafznmFRypiXatSfEdOwNf_JQgJqvL6gBLvsZ0LXwsCePhIou_C8ZdN1VK9R83JeSrb3MVTw3jlm-9jURrCbk1pZLvHnMrnA6iOAft0FWoMkWF5i8YSsm7e3Ium7D4YcbQGoyQoZE5bMaNwvkzDrf8GL3Nlkv3HB4l888ItAQ=")</f>
        <v>https://recruiter.shine.com/resume/download/?resumeid=gAAAAABbk2UM_6gafznmFRypiXatSfEdOwNf_JQgJqvL6gBLvsZ0LXwsCePhIou_C8ZdN1VK9R83JeSrb3MVTw3jlm-9jURrCbk1pZLvHnMrnA6iOAft0FWoMkWF5i8YSsm7e3Ium7D4YcbQGoyQoZE5bMaNwvkzDrf8GL3Nlkv3HB4l888ItAQ=</v>
      </c>
    </row>
    <row r="505" spans="1:25" ht="39.950000000000003" customHeight="1">
      <c r="A505">
        <v>501</v>
      </c>
      <c r="B505" t="s">
        <v>4865</v>
      </c>
      <c r="C505" t="s">
        <v>4866</v>
      </c>
      <c r="D505" t="s">
        <v>4867</v>
      </c>
      <c r="E505" t="s">
        <v>4868</v>
      </c>
      <c r="F505" t="s">
        <v>29</v>
      </c>
      <c r="G505" t="s">
        <v>3653</v>
      </c>
      <c r="H505" t="s">
        <v>31</v>
      </c>
      <c r="I505" t="s">
        <v>134</v>
      </c>
      <c r="J505" t="s">
        <v>781</v>
      </c>
      <c r="K505" t="s">
        <v>4869</v>
      </c>
      <c r="L505" t="s">
        <v>88</v>
      </c>
      <c r="M505" t="s">
        <v>827</v>
      </c>
      <c r="N505" t="s">
        <v>4870</v>
      </c>
      <c r="O505" t="s">
        <v>38</v>
      </c>
      <c r="Q505" t="s">
        <v>4871</v>
      </c>
      <c r="R505" t="s">
        <v>546</v>
      </c>
      <c r="S505" t="s">
        <v>4872</v>
      </c>
      <c r="T505" t="s">
        <v>110</v>
      </c>
      <c r="U505" t="s">
        <v>43</v>
      </c>
      <c r="V505" t="s">
        <v>4873</v>
      </c>
      <c r="W505" t="s">
        <v>4874</v>
      </c>
      <c r="Y505" t="str">
        <f>HYPERLINK("https://recruiter.shine.com/resume/download/?resumeid=gAAAAABbk2UOViux7talTZGfpxTFtkSfXb97HWTTx5u0KTxMAJc66VsaFG2LEiklxw6nbawiEQzKAKrTiR6CPsTkm-PVSCZTabzgiyWBUipTyaY9DZ-qfsRyCGW25G9nJq-SoOPIf8gtljjvqa5q0wbuX4Mg7dpEvg==")</f>
        <v>https://recruiter.shine.com/resume/download/?resumeid=gAAAAABbk2UOViux7talTZGfpxTFtkSfXb97HWTTx5u0KTxMAJc66VsaFG2LEiklxw6nbawiEQzKAKrTiR6CPsTkm-PVSCZTabzgiyWBUipTyaY9DZ-qfsRyCGW25G9nJq-SoOPIf8gtljjvqa5q0wbuX4Mg7dpEvg==</v>
      </c>
    </row>
    <row r="506" spans="1:25" ht="39.950000000000003" customHeight="1">
      <c r="A506">
        <v>502</v>
      </c>
      <c r="B506" t="s">
        <v>4875</v>
      </c>
      <c r="C506" t="s">
        <v>4876</v>
      </c>
      <c r="D506" t="s">
        <v>4877</v>
      </c>
      <c r="E506" t="s">
        <v>4878</v>
      </c>
      <c r="F506" t="s">
        <v>29</v>
      </c>
      <c r="G506" t="s">
        <v>29</v>
      </c>
      <c r="H506" t="s">
        <v>31</v>
      </c>
      <c r="I506" t="s">
        <v>32</v>
      </c>
      <c r="J506" t="s">
        <v>569</v>
      </c>
      <c r="K506" t="s">
        <v>4879</v>
      </c>
      <c r="L506" t="s">
        <v>120</v>
      </c>
      <c r="M506" t="s">
        <v>827</v>
      </c>
      <c r="N506" t="s">
        <v>4880</v>
      </c>
      <c r="O506" t="s">
        <v>38</v>
      </c>
      <c r="Q506" t="s">
        <v>40</v>
      </c>
      <c r="R506" t="s">
        <v>2192</v>
      </c>
      <c r="S506" t="s">
        <v>188</v>
      </c>
      <c r="T506" t="s">
        <v>817</v>
      </c>
      <c r="U506" t="s">
        <v>127</v>
      </c>
      <c r="V506" t="s">
        <v>4881</v>
      </c>
      <c r="W506" t="s">
        <v>4882</v>
      </c>
      <c r="Y506" t="str">
        <f>HYPERLINK("https://recruiter.shine.com/resume/download/?resumeid=gAAAAABbk2UL5YDK8in4g3UxD1sY6ZpYflP3ccTl7VTKvXyOtuoosKGuyVVATpDtl1BhsXPRjBykI1RNI4yFXZsb0N_EK19_Gb7eRx0l1UmzJr6CoUQJKfzVyL-TiJzTFHI6yf8OKzh7")</f>
        <v>https://recruiter.shine.com/resume/download/?resumeid=gAAAAABbk2UL5YDK8in4g3UxD1sY6ZpYflP3ccTl7VTKvXyOtuoosKGuyVVATpDtl1BhsXPRjBykI1RNI4yFXZsb0N_EK19_Gb7eRx0l1UmzJr6CoUQJKfzVyL-TiJzTFHI6yf8OKzh7</v>
      </c>
    </row>
    <row r="507" spans="1:25" ht="39.950000000000003" customHeight="1">
      <c r="A507">
        <v>503</v>
      </c>
      <c r="B507" t="s">
        <v>4883</v>
      </c>
      <c r="C507" t="s">
        <v>4884</v>
      </c>
      <c r="D507" t="s">
        <v>4885</v>
      </c>
      <c r="E507" t="s">
        <v>4886</v>
      </c>
      <c r="F507" t="s">
        <v>29</v>
      </c>
      <c r="G507" t="s">
        <v>29</v>
      </c>
      <c r="H507" t="s">
        <v>31</v>
      </c>
      <c r="I507" t="s">
        <v>2550</v>
      </c>
      <c r="J507" t="s">
        <v>580</v>
      </c>
      <c r="K507" t="s">
        <v>326</v>
      </c>
      <c r="L507" t="s">
        <v>1487</v>
      </c>
      <c r="M507" t="s">
        <v>463</v>
      </c>
      <c r="N507" t="s">
        <v>4887</v>
      </c>
      <c r="O507" t="s">
        <v>56</v>
      </c>
      <c r="P507" t="s">
        <v>57</v>
      </c>
      <c r="Q507" t="s">
        <v>90</v>
      </c>
      <c r="R507" t="s">
        <v>91</v>
      </c>
      <c r="S507" t="s">
        <v>4888</v>
      </c>
      <c r="T507" t="s">
        <v>126</v>
      </c>
      <c r="U507" t="s">
        <v>43</v>
      </c>
      <c r="V507" t="s">
        <v>4889</v>
      </c>
      <c r="W507" t="s">
        <v>4890</v>
      </c>
      <c r="Y507" t="str">
        <f>HYPERLINK("https://recruiter.shine.com/resume/download/?resumeid=gAAAAABbk2UMeQk8AVVh_GbnmgQRAQ-LRQ02AvISskicGsqwVUDXNp9CyNJeCZF90FsT1vlt9uIcPWh7A9LbhsI8g5gh5oVOawSsNgcvhCL4BGjWG4Rn8It2X3sbC7pR3Cb-jecqbLrMmDGfqIt72hb8BlzgnzdjvQM8U9uvuC-VlBWyCaNbUiI=")</f>
        <v>https://recruiter.shine.com/resume/download/?resumeid=gAAAAABbk2UMeQk8AVVh_GbnmgQRAQ-LRQ02AvISskicGsqwVUDXNp9CyNJeCZF90FsT1vlt9uIcPWh7A9LbhsI8g5gh5oVOawSsNgcvhCL4BGjWG4Rn8It2X3sbC7pR3Cb-jecqbLrMmDGfqIt72hb8BlzgnzdjvQM8U9uvuC-VlBWyCaNbUiI=</v>
      </c>
    </row>
    <row r="508" spans="1:25" ht="39.950000000000003" customHeight="1">
      <c r="A508">
        <v>504</v>
      </c>
      <c r="B508" t="s">
        <v>4891</v>
      </c>
      <c r="C508" t="s">
        <v>4892</v>
      </c>
      <c r="D508" t="s">
        <v>4893</v>
      </c>
      <c r="E508" t="s">
        <v>4894</v>
      </c>
      <c r="F508" t="s">
        <v>29</v>
      </c>
      <c r="G508" t="s">
        <v>29</v>
      </c>
      <c r="H508" t="s">
        <v>31</v>
      </c>
      <c r="I508" t="s">
        <v>825</v>
      </c>
      <c r="J508" t="s">
        <v>312</v>
      </c>
      <c r="K508" t="s">
        <v>4895</v>
      </c>
      <c r="L508" t="s">
        <v>664</v>
      </c>
      <c r="M508" t="s">
        <v>684</v>
      </c>
      <c r="N508" t="s">
        <v>4896</v>
      </c>
      <c r="O508" t="s">
        <v>224</v>
      </c>
      <c r="Q508" t="s">
        <v>107</v>
      </c>
      <c r="R508" t="s">
        <v>341</v>
      </c>
      <c r="S508" t="s">
        <v>4897</v>
      </c>
      <c r="T508" t="s">
        <v>441</v>
      </c>
      <c r="U508" t="s">
        <v>43</v>
      </c>
      <c r="V508" t="s">
        <v>4898</v>
      </c>
      <c r="W508" t="s">
        <v>4899</v>
      </c>
      <c r="Y508" t="str">
        <f>HYPERLINK("https://recruiter.shine.com/resume/download/?resumeid=gAAAAABbk2UNSSJv7r_IWmcl_NEEQ8verws-txGHsziEl8huXygzU_l7Upcebrh6uhTqPQwk28ChvbWiMdVSiy_wqBn12xz4Eqsy8VNaHanxLyeT4ClfqXhobFVylFUXnlzACYvEYhMV8d374sI9HPiGO5U_L9P7xIeQkO8osPeD7UAfXkL9VRg=")</f>
        <v>https://recruiter.shine.com/resume/download/?resumeid=gAAAAABbk2UNSSJv7r_IWmcl_NEEQ8verws-txGHsziEl8huXygzU_l7Upcebrh6uhTqPQwk28ChvbWiMdVSiy_wqBn12xz4Eqsy8VNaHanxLyeT4ClfqXhobFVylFUXnlzACYvEYhMV8d374sI9HPiGO5U_L9P7xIeQkO8osPeD7UAfXkL9VRg=</v>
      </c>
    </row>
    <row r="509" spans="1:25" ht="39.950000000000003" customHeight="1">
      <c r="A509">
        <v>505</v>
      </c>
      <c r="B509" t="s">
        <v>4900</v>
      </c>
      <c r="C509" t="s">
        <v>4901</v>
      </c>
      <c r="D509" t="s">
        <v>4902</v>
      </c>
      <c r="E509" t="s">
        <v>4903</v>
      </c>
      <c r="F509" t="s">
        <v>29</v>
      </c>
      <c r="G509" t="s">
        <v>29</v>
      </c>
      <c r="H509" t="s">
        <v>31</v>
      </c>
      <c r="I509" t="s">
        <v>4904</v>
      </c>
      <c r="J509" t="s">
        <v>437</v>
      </c>
      <c r="K509" t="s">
        <v>4905</v>
      </c>
      <c r="L509" t="s">
        <v>794</v>
      </c>
      <c r="M509" t="s">
        <v>105</v>
      </c>
      <c r="N509" t="s">
        <v>4906</v>
      </c>
      <c r="O509" t="s">
        <v>56</v>
      </c>
      <c r="Q509" t="s">
        <v>158</v>
      </c>
      <c r="R509" t="s">
        <v>559</v>
      </c>
      <c r="S509" t="s">
        <v>4907</v>
      </c>
      <c r="U509" t="s">
        <v>43</v>
      </c>
      <c r="V509" t="s">
        <v>4908</v>
      </c>
      <c r="W509" t="s">
        <v>4909</v>
      </c>
      <c r="Y509" t="str">
        <f>HYPERLINK("https://recruiter.shine.com/resume/download/?resumeid=gAAAAABbk2UKBN98FcG3hjac5YNDd_KC_BAih6_3ANY0Ijt_KhxFztQOQvE104H6-V_mHw7lqGQOIR5OajwgvufHrQvkbytyEnzM5IpG9qriUiUAyIMQLS4TrBV-zmvl8ynq9qkvEjzi")</f>
        <v>https://recruiter.shine.com/resume/download/?resumeid=gAAAAABbk2UKBN98FcG3hjac5YNDd_KC_BAih6_3ANY0Ijt_KhxFztQOQvE104H6-V_mHw7lqGQOIR5OajwgvufHrQvkbytyEnzM5IpG9qriUiUAyIMQLS4TrBV-zmvl8ynq9qkvEjzi</v>
      </c>
    </row>
    <row r="510" spans="1:25" ht="39.950000000000003" customHeight="1">
      <c r="A510">
        <v>506</v>
      </c>
      <c r="B510" t="s">
        <v>4910</v>
      </c>
      <c r="C510" t="s">
        <v>4911</v>
      </c>
      <c r="D510" t="s">
        <v>4912</v>
      </c>
      <c r="E510" t="s">
        <v>4913</v>
      </c>
      <c r="F510" t="s">
        <v>29</v>
      </c>
      <c r="G510" t="s">
        <v>29</v>
      </c>
      <c r="H510" t="s">
        <v>31</v>
      </c>
      <c r="I510" t="s">
        <v>1038</v>
      </c>
      <c r="J510" t="s">
        <v>51</v>
      </c>
      <c r="K510" t="s">
        <v>4914</v>
      </c>
      <c r="L510" t="s">
        <v>199</v>
      </c>
      <c r="M510" t="s">
        <v>36</v>
      </c>
      <c r="N510" t="s">
        <v>4915</v>
      </c>
      <c r="O510" t="s">
        <v>38</v>
      </c>
      <c r="P510" t="s">
        <v>140</v>
      </c>
      <c r="Q510" t="s">
        <v>158</v>
      </c>
      <c r="R510" t="s">
        <v>341</v>
      </c>
      <c r="S510" t="s">
        <v>4916</v>
      </c>
      <c r="T510" t="s">
        <v>304</v>
      </c>
      <c r="U510" t="s">
        <v>43</v>
      </c>
      <c r="V510" t="s">
        <v>4917</v>
      </c>
      <c r="W510" t="s">
        <v>4918</v>
      </c>
      <c r="Y510" t="str">
        <f>HYPERLINK("https://recruiter.shine.com/resume/download/?resumeid=gAAAAABbk2UMoLynRwKlVNJQEr0B9pd4d6QuRSZbsNvJ9WkJsxsxhZklncSq911v9TTW1el84IvcrxcMr0ZJvFkvBfJBwVWzekX18WVlBBPwYL3iSXqhW2NrRnBRPpyC4cJ_idhdpNCkFopkZyWtAFhnBerz3LUy8g==")</f>
        <v>https://recruiter.shine.com/resume/download/?resumeid=gAAAAABbk2UMoLynRwKlVNJQEr0B9pd4d6QuRSZbsNvJ9WkJsxsxhZklncSq911v9TTW1el84IvcrxcMr0ZJvFkvBfJBwVWzekX18WVlBBPwYL3iSXqhW2NrRnBRPpyC4cJ_idhdpNCkFopkZyWtAFhnBerz3LUy8g==</v>
      </c>
    </row>
    <row r="511" spans="1:25" ht="39.950000000000003" customHeight="1">
      <c r="A511">
        <v>507</v>
      </c>
      <c r="B511" t="s">
        <v>4919</v>
      </c>
      <c r="D511" t="s">
        <v>4920</v>
      </c>
      <c r="E511" t="s">
        <v>4921</v>
      </c>
      <c r="F511" t="s">
        <v>29</v>
      </c>
      <c r="G511" t="s">
        <v>29</v>
      </c>
      <c r="H511" t="s">
        <v>31</v>
      </c>
      <c r="I511" t="s">
        <v>3294</v>
      </c>
      <c r="J511" t="s">
        <v>312</v>
      </c>
      <c r="K511" t="s">
        <v>4922</v>
      </c>
      <c r="L511" t="s">
        <v>486</v>
      </c>
      <c r="M511" t="s">
        <v>717</v>
      </c>
      <c r="N511" t="s">
        <v>4923</v>
      </c>
      <c r="O511" t="s">
        <v>157</v>
      </c>
      <c r="Q511" t="s">
        <v>123</v>
      </c>
      <c r="R511" t="s">
        <v>124</v>
      </c>
      <c r="S511" t="s">
        <v>188</v>
      </c>
      <c r="T511" t="s">
        <v>415</v>
      </c>
      <c r="U511" t="s">
        <v>127</v>
      </c>
      <c r="V511" t="s">
        <v>4924</v>
      </c>
      <c r="W511" t="s">
        <v>4925</v>
      </c>
      <c r="Y511" t="str">
        <f>HYPERLINK("https://recruiter.shine.com/resume/download/?resumeid=gAAAAABbk2UOrS9n1Wh4balEIz9CE6wD7UT3wP3jtoXZhJNOFq46o_ke2ku28Xk8A4m-R7rX81gv5XWBIuS6DefBvleTfJl-geJXKpQKZDo6YGqVSnZSep0EXnU-MlnCO96tdYvn2h4Yf_ILNXvhyP5gwoertxP2LvozISeMyHQlJ5fFQ_kRh5U=")</f>
        <v>https://recruiter.shine.com/resume/download/?resumeid=gAAAAABbk2UOrS9n1Wh4balEIz9CE6wD7UT3wP3jtoXZhJNOFq46o_ke2ku28Xk8A4m-R7rX81gv5XWBIuS6DefBvleTfJl-geJXKpQKZDo6YGqVSnZSep0EXnU-MlnCO96tdYvn2h4Yf_ILNXvhyP5gwoertxP2LvozISeMyHQlJ5fFQ_kRh5U=</v>
      </c>
    </row>
    <row r="512" spans="1:25" ht="39.950000000000003" customHeight="1">
      <c r="A512">
        <v>508</v>
      </c>
      <c r="B512" t="s">
        <v>4926</v>
      </c>
      <c r="C512" t="s">
        <v>4927</v>
      </c>
      <c r="D512" t="s">
        <v>4928</v>
      </c>
      <c r="E512" t="s">
        <v>4929</v>
      </c>
      <c r="F512" t="s">
        <v>29</v>
      </c>
      <c r="G512" t="s">
        <v>29</v>
      </c>
      <c r="H512" t="s">
        <v>31</v>
      </c>
      <c r="I512" t="s">
        <v>3180</v>
      </c>
      <c r="J512" t="s">
        <v>871</v>
      </c>
      <c r="K512" t="s">
        <v>4930</v>
      </c>
      <c r="L512" t="s">
        <v>4931</v>
      </c>
      <c r="M512" t="s">
        <v>395</v>
      </c>
      <c r="N512" t="s">
        <v>4932</v>
      </c>
      <c r="O512" t="s">
        <v>224</v>
      </c>
      <c r="P512" t="s">
        <v>57</v>
      </c>
      <c r="Q512" t="s">
        <v>40</v>
      </c>
      <c r="R512" t="s">
        <v>41</v>
      </c>
      <c r="S512" t="s">
        <v>2919</v>
      </c>
      <c r="T512" t="s">
        <v>2078</v>
      </c>
      <c r="U512" t="s">
        <v>43</v>
      </c>
      <c r="V512" t="s">
        <v>4933</v>
      </c>
      <c r="W512" t="s">
        <v>4934</v>
      </c>
      <c r="Y512" t="str">
        <f>HYPERLINK("https://recruiter.shine.com/resume/download/?resumeid=gAAAAABbk2ULqZS7GE4kiytTje6-IpzrFRyFVNb18Fafm-1TsccxJqwmWF9cojP-92552CVetUfpW8zKn44FajN2mu9uIBxqdsQDYNWzs5jU_FTVb9CLrWPlw7QaNnii-J5KtzrqIJ0E")</f>
        <v>https://recruiter.shine.com/resume/download/?resumeid=gAAAAABbk2ULqZS7GE4kiytTje6-IpzrFRyFVNb18Fafm-1TsccxJqwmWF9cojP-92552CVetUfpW8zKn44FajN2mu9uIBxqdsQDYNWzs5jU_FTVb9CLrWPlw7QaNnii-J5KtzrqIJ0E</v>
      </c>
    </row>
    <row r="513" spans="1:25" ht="39.950000000000003" customHeight="1">
      <c r="A513">
        <v>509</v>
      </c>
      <c r="B513" t="s">
        <v>4935</v>
      </c>
      <c r="C513" t="s">
        <v>4936</v>
      </c>
      <c r="D513" t="s">
        <v>4937</v>
      </c>
      <c r="E513" t="s">
        <v>4938</v>
      </c>
      <c r="F513" t="s">
        <v>29</v>
      </c>
      <c r="G513" t="s">
        <v>3425</v>
      </c>
      <c r="H513" t="s">
        <v>234</v>
      </c>
      <c r="I513" t="s">
        <v>362</v>
      </c>
      <c r="J513" t="s">
        <v>135</v>
      </c>
      <c r="K513" t="s">
        <v>4939</v>
      </c>
      <c r="L513" t="s">
        <v>4940</v>
      </c>
      <c r="M513" t="s">
        <v>395</v>
      </c>
      <c r="N513" t="s">
        <v>4941</v>
      </c>
      <c r="O513" t="s">
        <v>224</v>
      </c>
      <c r="Q513" t="s">
        <v>90</v>
      </c>
      <c r="R513" t="s">
        <v>292</v>
      </c>
      <c r="S513" t="s">
        <v>4942</v>
      </c>
      <c r="T513" t="s">
        <v>2078</v>
      </c>
      <c r="U513" t="s">
        <v>43</v>
      </c>
      <c r="V513" t="s">
        <v>4943</v>
      </c>
      <c r="W513" t="s">
        <v>4944</v>
      </c>
      <c r="Y513" t="str">
        <f>HYPERLINK("https://recruiter.shine.com/resume/download/?resumeid=gAAAAABbk2UNm-AFY5PnmUD_iJS9iCGMA1UiKW2HCBhSmIQgZtJV_FF8MFcmT9Io8kySXUgLveWPc-yk-e8psqIkoWR9OGGlOYWejen8QLAQOU0SCLpSS3iTR0tDydEH6PMI0cLjjI3nTXegUx7vrUQRrTh4NdCFnA==")</f>
        <v>https://recruiter.shine.com/resume/download/?resumeid=gAAAAABbk2UNm-AFY5PnmUD_iJS9iCGMA1UiKW2HCBhSmIQgZtJV_FF8MFcmT9Io8kySXUgLveWPc-yk-e8psqIkoWR9OGGlOYWejen8QLAQOU0SCLpSS3iTR0tDydEH6PMI0cLjjI3nTXegUx7vrUQRrTh4NdCFnA==</v>
      </c>
    </row>
    <row r="514" spans="1:25" ht="39.950000000000003" customHeight="1">
      <c r="A514">
        <v>510</v>
      </c>
      <c r="B514" t="s">
        <v>4945</v>
      </c>
      <c r="C514" t="s">
        <v>911</v>
      </c>
      <c r="D514" t="s">
        <v>4946</v>
      </c>
      <c r="E514" t="s">
        <v>913</v>
      </c>
      <c r="F514" t="s">
        <v>29</v>
      </c>
      <c r="G514" t="s">
        <v>29</v>
      </c>
      <c r="H514" t="s">
        <v>31</v>
      </c>
      <c r="I514" t="s">
        <v>4947</v>
      </c>
      <c r="J514" t="s">
        <v>506</v>
      </c>
      <c r="K514" t="s">
        <v>4948</v>
      </c>
      <c r="L514" t="s">
        <v>237</v>
      </c>
      <c r="M514" t="s">
        <v>238</v>
      </c>
      <c r="N514" t="s">
        <v>3718</v>
      </c>
      <c r="O514" t="s">
        <v>585</v>
      </c>
      <c r="P514" t="s">
        <v>268</v>
      </c>
      <c r="Q514" t="s">
        <v>123</v>
      </c>
      <c r="R514" t="s">
        <v>124</v>
      </c>
      <c r="S514" t="s">
        <v>188</v>
      </c>
      <c r="T514" t="s">
        <v>687</v>
      </c>
      <c r="U514" t="s">
        <v>43</v>
      </c>
      <c r="V514" t="s">
        <v>4949</v>
      </c>
      <c r="W514" t="s">
        <v>4950</v>
      </c>
      <c r="Y514" t="str">
        <f>HYPERLINK("https://recruiter.shine.com/resume/download/?resumeid=gAAAAABbk2UO9dJqp5iFQ9J-qa72k5GeP56VNiGlAy_B57PwqT8G226GZwNmhXCqTf1wYAdiGwni7Xysf_q1rxwIBPAHOsW7UrxC15D8_sP5hj4vFmvljFb40-BIw1WdtwJwgQnbqEe_nnrwwuBDA5ezEeORVde4oFQFvK0TWGAUrrO3kM_ysN8=")</f>
        <v>https://recruiter.shine.com/resume/download/?resumeid=gAAAAABbk2UO9dJqp5iFQ9J-qa72k5GeP56VNiGlAy_B57PwqT8G226GZwNmhXCqTf1wYAdiGwni7Xysf_q1rxwIBPAHOsW7UrxC15D8_sP5hj4vFmvljFb40-BIw1WdtwJwgQnbqEe_nnrwwuBDA5ezEeORVde4oFQFvK0TWGAUrrO3kM_ysN8=</v>
      </c>
    </row>
    <row r="515" spans="1:25" ht="39.950000000000003" customHeight="1">
      <c r="A515">
        <v>511</v>
      </c>
      <c r="B515" t="s">
        <v>4951</v>
      </c>
      <c r="D515" t="s">
        <v>4952</v>
      </c>
      <c r="E515" t="s">
        <v>4953</v>
      </c>
      <c r="F515" t="s">
        <v>29</v>
      </c>
      <c r="H515" t="s">
        <v>234</v>
      </c>
      <c r="I515" t="s">
        <v>85</v>
      </c>
      <c r="J515" t="s">
        <v>153</v>
      </c>
      <c r="K515" t="s">
        <v>4954</v>
      </c>
      <c r="L515" t="s">
        <v>2834</v>
      </c>
      <c r="M515" t="s">
        <v>2835</v>
      </c>
      <c r="N515" t="s">
        <v>2229</v>
      </c>
      <c r="O515" t="s">
        <v>1422</v>
      </c>
      <c r="Q515" t="s">
        <v>107</v>
      </c>
      <c r="R515" t="s">
        <v>864</v>
      </c>
      <c r="S515" t="s">
        <v>4955</v>
      </c>
      <c r="T515" t="s">
        <v>429</v>
      </c>
      <c r="U515" t="s">
        <v>127</v>
      </c>
      <c r="V515" t="s">
        <v>4956</v>
      </c>
      <c r="W515" t="s">
        <v>4957</v>
      </c>
      <c r="Y515" t="str">
        <f>HYPERLINK("https://recruiter.shine.com/resume/download/?resumeid=gAAAAABbk2UK79YLapJWRttJY5AIDH6lB8ToLg4UqZDs7eE8-AoWbsvndJLgCrmNoImmwmgNK-Uif2A1pSUJZTMnMLr6kJgi455La3SsIoZ7JdVJ6tk9npxSeYt0wQ_0cJdq1baUhuwa")</f>
        <v>https://recruiter.shine.com/resume/download/?resumeid=gAAAAABbk2UK79YLapJWRttJY5AIDH6lB8ToLg4UqZDs7eE8-AoWbsvndJLgCrmNoImmwmgNK-Uif2A1pSUJZTMnMLr6kJgi455La3SsIoZ7JdVJ6tk9npxSeYt0wQ_0cJdq1baUhuwa</v>
      </c>
    </row>
    <row r="516" spans="1:25" ht="39.950000000000003" customHeight="1">
      <c r="A516">
        <v>512</v>
      </c>
      <c r="B516" t="s">
        <v>4958</v>
      </c>
      <c r="C516" t="s">
        <v>4959</v>
      </c>
      <c r="D516" t="s">
        <v>4960</v>
      </c>
      <c r="E516" t="s">
        <v>4961</v>
      </c>
      <c r="F516" t="s">
        <v>858</v>
      </c>
      <c r="G516" t="s">
        <v>4962</v>
      </c>
      <c r="H516" t="s">
        <v>31</v>
      </c>
      <c r="I516" t="s">
        <v>351</v>
      </c>
      <c r="J516" t="s">
        <v>135</v>
      </c>
      <c r="K516" t="s">
        <v>4963</v>
      </c>
      <c r="L516" t="s">
        <v>266</v>
      </c>
      <c r="M516" t="s">
        <v>36</v>
      </c>
      <c r="N516" t="s">
        <v>4964</v>
      </c>
      <c r="O516" t="s">
        <v>38</v>
      </c>
      <c r="P516" t="s">
        <v>771</v>
      </c>
      <c r="Q516" t="s">
        <v>107</v>
      </c>
      <c r="R516" t="s">
        <v>864</v>
      </c>
      <c r="S516" t="s">
        <v>4965</v>
      </c>
      <c r="T516" t="s">
        <v>110</v>
      </c>
      <c r="U516" t="s">
        <v>43</v>
      </c>
      <c r="V516" t="s">
        <v>4966</v>
      </c>
      <c r="W516" t="s">
        <v>4967</v>
      </c>
      <c r="Y516" t="str">
        <f>HYPERLINK("https://recruiter.shine.com/resume/download/?resumeid=gAAAAABbk2UMWEw0lzwRWb3CYJzzVM1iDt9AbqfgTespAkkxYpW-TaezMlHCb2aTryBmjy9mPLvQQULnFmybL2PoDJ94x7hPmhMrFzq6vo62DmIGfor4CY5pfhJLcoycfUCj7zInIRSlD0SJvkmJ6w7zCbU2-wMP7pZEOWfbo1YFNa8hHtp-BDA=")</f>
        <v>https://recruiter.shine.com/resume/download/?resumeid=gAAAAABbk2UMWEw0lzwRWb3CYJzzVM1iDt9AbqfgTespAkkxYpW-TaezMlHCb2aTryBmjy9mPLvQQULnFmybL2PoDJ94x7hPmhMrFzq6vo62DmIGfor4CY5pfhJLcoycfUCj7zInIRSlD0SJvkmJ6w7zCbU2-wMP7pZEOWfbo1YFNa8hHtp-BDA=</v>
      </c>
    </row>
    <row r="517" spans="1:25" ht="39.950000000000003" customHeight="1">
      <c r="A517">
        <v>513</v>
      </c>
      <c r="B517" t="s">
        <v>4968</v>
      </c>
      <c r="C517" t="s">
        <v>4969</v>
      </c>
      <c r="D517" t="s">
        <v>4970</v>
      </c>
      <c r="E517" t="s">
        <v>4971</v>
      </c>
      <c r="F517" t="s">
        <v>29</v>
      </c>
      <c r="G517" t="s">
        <v>29</v>
      </c>
      <c r="H517" t="s">
        <v>31</v>
      </c>
      <c r="I517" t="s">
        <v>362</v>
      </c>
      <c r="J517" t="s">
        <v>135</v>
      </c>
      <c r="L517" t="s">
        <v>363</v>
      </c>
      <c r="M517" t="s">
        <v>364</v>
      </c>
      <c r="Q517" t="s">
        <v>107</v>
      </c>
      <c r="R517" t="s">
        <v>559</v>
      </c>
      <c r="S517" t="s">
        <v>4972</v>
      </c>
      <c r="T517" t="s">
        <v>625</v>
      </c>
      <c r="U517" t="s">
        <v>43</v>
      </c>
      <c r="V517" t="s">
        <v>4973</v>
      </c>
      <c r="W517" t="s">
        <v>4973</v>
      </c>
    </row>
    <row r="518" spans="1:25" ht="39.950000000000003" customHeight="1">
      <c r="A518">
        <v>514</v>
      </c>
      <c r="B518" t="s">
        <v>4974</v>
      </c>
      <c r="C518" t="s">
        <v>4975</v>
      </c>
      <c r="D518" t="s">
        <v>4976</v>
      </c>
      <c r="E518" t="s">
        <v>4977</v>
      </c>
      <c r="F518" t="s">
        <v>29</v>
      </c>
      <c r="G518" t="s">
        <v>29</v>
      </c>
      <c r="H518" t="s">
        <v>31</v>
      </c>
      <c r="I518" t="s">
        <v>152</v>
      </c>
      <c r="J518" t="s">
        <v>531</v>
      </c>
      <c r="K518" t="s">
        <v>4978</v>
      </c>
      <c r="L518" t="s">
        <v>794</v>
      </c>
      <c r="M518" t="s">
        <v>339</v>
      </c>
      <c r="N518" t="s">
        <v>4979</v>
      </c>
      <c r="O518" t="s">
        <v>1245</v>
      </c>
      <c r="P518" t="s">
        <v>57</v>
      </c>
      <c r="Q518" t="s">
        <v>158</v>
      </c>
      <c r="R518" t="s">
        <v>341</v>
      </c>
      <c r="S518" t="s">
        <v>188</v>
      </c>
      <c r="T518" t="s">
        <v>773</v>
      </c>
      <c r="U518" t="s">
        <v>43</v>
      </c>
      <c r="V518" t="s">
        <v>4980</v>
      </c>
      <c r="W518" t="s">
        <v>4981</v>
      </c>
      <c r="Y518" t="str">
        <f>HYPERLINK("https://recruiter.shine.com/resume/download/?resumeid=gAAAAABbk2UL9VyymjzZpp-AbNE1FGyzqBY7SnK_EJxaKnSCLW0yevWOqsAU8jW7YDNqEa9hdH5BSdwZltcH2A1yzqo_ncKUb8Ax4F-uFkofwCs5xf2zrReeedoj1-mgsonjnRAWquAl")</f>
        <v>https://recruiter.shine.com/resume/download/?resumeid=gAAAAABbk2UL9VyymjzZpp-AbNE1FGyzqBY7SnK_EJxaKnSCLW0yevWOqsAU8jW7YDNqEa9hdH5BSdwZltcH2A1yzqo_ncKUb8Ax4F-uFkofwCs5xf2zrReeedoj1-mgsonjnRAWquAl</v>
      </c>
    </row>
    <row r="519" spans="1:25" ht="39.950000000000003" customHeight="1">
      <c r="A519">
        <v>515</v>
      </c>
      <c r="B519" t="s">
        <v>4982</v>
      </c>
      <c r="C519" t="s">
        <v>4983</v>
      </c>
      <c r="D519" t="s">
        <v>4984</v>
      </c>
      <c r="E519" t="s">
        <v>4985</v>
      </c>
      <c r="F519" t="s">
        <v>29</v>
      </c>
      <c r="G519" t="s">
        <v>4986</v>
      </c>
      <c r="H519" t="s">
        <v>31</v>
      </c>
      <c r="I519" t="s">
        <v>2892</v>
      </c>
      <c r="J519" t="s">
        <v>506</v>
      </c>
      <c r="K519" t="s">
        <v>4987</v>
      </c>
      <c r="L519" t="s">
        <v>155</v>
      </c>
      <c r="M519" t="s">
        <v>707</v>
      </c>
      <c r="N519" t="s">
        <v>4988</v>
      </c>
      <c r="O519" t="s">
        <v>56</v>
      </c>
      <c r="P519" t="s">
        <v>57</v>
      </c>
      <c r="Q519" t="s">
        <v>107</v>
      </c>
      <c r="R519" t="s">
        <v>341</v>
      </c>
      <c r="S519" t="s">
        <v>4989</v>
      </c>
      <c r="T519" t="s">
        <v>441</v>
      </c>
      <c r="U519" t="s">
        <v>43</v>
      </c>
      <c r="V519" t="s">
        <v>4990</v>
      </c>
      <c r="W519" t="s">
        <v>4991</v>
      </c>
      <c r="Y519" t="str">
        <f>HYPERLINK("https://recruiter.shine.com/resume/download/?resumeid=gAAAAABbk2UM27NHtuokrTTuo_dL3uXBc_mB6SXkdw_suMWfqE9MtssWT-x2WsNCHFxT8meoHd53WTMhT5X_79ydlwsiaShdPKBFVZl4NSxBk1jdYSVrte5qzattLyDI9gUfZAkevzm9YIZzB3tuehDq8U4PhB6N3Q==")</f>
        <v>https://recruiter.shine.com/resume/download/?resumeid=gAAAAABbk2UM27NHtuokrTTuo_dL3uXBc_mB6SXkdw_suMWfqE9MtssWT-x2WsNCHFxT8meoHd53WTMhT5X_79ydlwsiaShdPKBFVZl4NSxBk1jdYSVrte5qzattLyDI9gUfZAkevzm9YIZzB3tuehDq8U4PhB6N3Q==</v>
      </c>
    </row>
    <row r="520" spans="1:25" ht="39.950000000000003" customHeight="1">
      <c r="A520">
        <v>516</v>
      </c>
      <c r="B520" t="s">
        <v>4992</v>
      </c>
      <c r="C520" t="s">
        <v>4993</v>
      </c>
      <c r="D520" t="s">
        <v>4994</v>
      </c>
      <c r="E520" t="s">
        <v>4995</v>
      </c>
      <c r="F520" t="s">
        <v>29</v>
      </c>
      <c r="G520" t="s">
        <v>29</v>
      </c>
      <c r="H520" t="s">
        <v>31</v>
      </c>
      <c r="I520" t="s">
        <v>152</v>
      </c>
      <c r="J520" t="s">
        <v>4996</v>
      </c>
      <c r="K520" t="s">
        <v>4997</v>
      </c>
      <c r="L520" t="s">
        <v>290</v>
      </c>
      <c r="M520" t="s">
        <v>238</v>
      </c>
      <c r="N520" t="s">
        <v>4998</v>
      </c>
      <c r="O520" t="s">
        <v>1041</v>
      </c>
      <c r="P520" t="s">
        <v>73</v>
      </c>
      <c r="Q520" t="s">
        <v>90</v>
      </c>
      <c r="R520" t="s">
        <v>292</v>
      </c>
      <c r="S520" t="s">
        <v>4999</v>
      </c>
      <c r="T520" t="s">
        <v>415</v>
      </c>
      <c r="U520" t="s">
        <v>43</v>
      </c>
      <c r="V520" t="s">
        <v>5000</v>
      </c>
      <c r="W520" t="s">
        <v>5001</v>
      </c>
      <c r="Y520" t="str">
        <f>HYPERLINK("https://recruiter.shine.com/resume/download/?resumeid=gAAAAABbk2UNSXmWBBynQEInCUExM2ASJXHdQai9NECK3G8IAA4wmvF-SAX9cWomUOKn3z_s6UHhVGfQXdWNxXXr_Uwdgsin2nNfK4X8e2bpZMzvxa0gDzXJICLbkG5mMDBeZ4bazqd8sST7TcHIxNOqcYbP_Zr29g==")</f>
        <v>https://recruiter.shine.com/resume/download/?resumeid=gAAAAABbk2UNSXmWBBynQEInCUExM2ASJXHdQai9NECK3G8IAA4wmvF-SAX9cWomUOKn3z_s6UHhVGfQXdWNxXXr_Uwdgsin2nNfK4X8e2bpZMzvxa0gDzXJICLbkG5mMDBeZ4bazqd8sST7TcHIxNOqcYbP_Zr29g==</v>
      </c>
    </row>
    <row r="521" spans="1:25" ht="39.950000000000003" customHeight="1">
      <c r="A521">
        <v>517</v>
      </c>
      <c r="B521" t="s">
        <v>5002</v>
      </c>
      <c r="C521" t="s">
        <v>5003</v>
      </c>
      <c r="D521" t="s">
        <v>5004</v>
      </c>
      <c r="E521" t="s">
        <v>5005</v>
      </c>
      <c r="F521" t="s">
        <v>29</v>
      </c>
      <c r="G521" t="s">
        <v>5006</v>
      </c>
      <c r="H521" t="s">
        <v>31</v>
      </c>
      <c r="I521" t="s">
        <v>825</v>
      </c>
      <c r="J521" t="s">
        <v>801</v>
      </c>
      <c r="K521" t="s">
        <v>5007</v>
      </c>
      <c r="L521" t="s">
        <v>354</v>
      </c>
      <c r="M521" t="s">
        <v>684</v>
      </c>
      <c r="N521" t="s">
        <v>5008</v>
      </c>
      <c r="O521" t="s">
        <v>585</v>
      </c>
      <c r="P521" t="s">
        <v>57</v>
      </c>
      <c r="Q521" t="s">
        <v>74</v>
      </c>
      <c r="R521" t="s">
        <v>341</v>
      </c>
      <c r="S521" t="s">
        <v>5009</v>
      </c>
      <c r="T521" t="s">
        <v>429</v>
      </c>
      <c r="U521" t="s">
        <v>43</v>
      </c>
      <c r="V521" t="s">
        <v>5010</v>
      </c>
      <c r="W521" t="s">
        <v>5011</v>
      </c>
      <c r="Y521" t="str">
        <f>HYPERLINK("https://recruiter.shine.com/resume/download/?resumeid=gAAAAABbk2UKLqAeHb5d72qIFYtrBqSTsFCuBzLkdwtqbSjuSGnDP0IP_mwNKfGUz7GjMe1Xbn-Ib99VmkDchz2JFZdNK5iGLnmjaCNJhDsJyWQ8hlqUQyl3XZGA-VCiJa5eEotefpuy")</f>
        <v>https://recruiter.shine.com/resume/download/?resumeid=gAAAAABbk2UKLqAeHb5d72qIFYtrBqSTsFCuBzLkdwtqbSjuSGnDP0IP_mwNKfGUz7GjMe1Xbn-Ib99VmkDchz2JFZdNK5iGLnmjaCNJhDsJyWQ8hlqUQyl3XZGA-VCiJa5eEotefpuy</v>
      </c>
    </row>
    <row r="522" spans="1:25" ht="39.950000000000003" customHeight="1">
      <c r="A522">
        <v>518</v>
      </c>
      <c r="B522" t="s">
        <v>5012</v>
      </c>
      <c r="C522" t="s">
        <v>5013</v>
      </c>
      <c r="D522" t="s">
        <v>5014</v>
      </c>
      <c r="E522" t="s">
        <v>5015</v>
      </c>
      <c r="F522" t="s">
        <v>29</v>
      </c>
      <c r="G522" t="s">
        <v>29</v>
      </c>
      <c r="H522" t="s">
        <v>31</v>
      </c>
      <c r="I522" t="s">
        <v>1038</v>
      </c>
      <c r="J522" t="s">
        <v>220</v>
      </c>
      <c r="K522" t="s">
        <v>1917</v>
      </c>
      <c r="L522" t="s">
        <v>1918</v>
      </c>
      <c r="M522" t="s">
        <v>105</v>
      </c>
      <c r="N522" t="s">
        <v>5016</v>
      </c>
      <c r="O522" t="s">
        <v>186</v>
      </c>
      <c r="P522" t="s">
        <v>73</v>
      </c>
      <c r="Q522" t="s">
        <v>158</v>
      </c>
      <c r="R522" t="s">
        <v>3391</v>
      </c>
      <c r="S522" t="s">
        <v>5017</v>
      </c>
      <c r="T522" t="s">
        <v>429</v>
      </c>
      <c r="U522" t="s">
        <v>94</v>
      </c>
      <c r="V522" t="s">
        <v>5018</v>
      </c>
      <c r="W522" t="s">
        <v>5019</v>
      </c>
      <c r="Y522" t="str">
        <f>HYPERLINK("https://recruiter.shine.com/resume/download/?resumeid=gAAAAABbk2UMucc2bQ6CMiz24f8fKL31egvIft6wgDUyEtyItyTvCDfMs7o2huKzvy-b7Gu9z3epZ76G_LsRF0eTZ__OfBRLyMHXiOaA3HRw2JfAA_xT6TMuP5MD5Hiszi-KlSAj3OE_VfqH7rtIlh5qpDH3nr2Udon8VwWHkaFJpUBL5aXgYq8=")</f>
        <v>https://recruiter.shine.com/resume/download/?resumeid=gAAAAABbk2UMucc2bQ6CMiz24f8fKL31egvIft6wgDUyEtyItyTvCDfMs7o2huKzvy-b7Gu9z3epZ76G_LsRF0eTZ__OfBRLyMHXiOaA3HRw2JfAA_xT6TMuP5MD5Hiszi-KlSAj3OE_VfqH7rtIlh5qpDH3nr2Udon8VwWHkaFJpUBL5aXgYq8=</v>
      </c>
    </row>
    <row r="523" spans="1:25" ht="39.950000000000003" customHeight="1">
      <c r="A523">
        <v>519</v>
      </c>
      <c r="B523" t="s">
        <v>5020</v>
      </c>
      <c r="D523" t="s">
        <v>5021</v>
      </c>
      <c r="E523" t="s">
        <v>5022</v>
      </c>
      <c r="F523" t="s">
        <v>29</v>
      </c>
      <c r="G523" t="s">
        <v>29</v>
      </c>
      <c r="H523" t="s">
        <v>234</v>
      </c>
      <c r="I523" t="s">
        <v>362</v>
      </c>
      <c r="J523" t="s">
        <v>135</v>
      </c>
      <c r="L523" t="s">
        <v>363</v>
      </c>
      <c r="M523" t="s">
        <v>364</v>
      </c>
      <c r="Q523" t="s">
        <v>90</v>
      </c>
      <c r="R523" t="s">
        <v>91</v>
      </c>
      <c r="S523" t="s">
        <v>5023</v>
      </c>
      <c r="T523" t="s">
        <v>126</v>
      </c>
      <c r="U523" t="s">
        <v>43</v>
      </c>
      <c r="V523" t="s">
        <v>5024</v>
      </c>
      <c r="W523" t="s">
        <v>5024</v>
      </c>
      <c r="Y523" t="str">
        <f>HYPERLINK("https://recruiter.shine.com/resume/download/?resumeid=gAAAAABbk2UOVHwufxmosJOnEvoS5gWcEa2pHihPJLr6ZJhRR_PwzV1xteMZJ6uDk7n-3RxgngjNvbihmdcHVQNNQCskfstXsnEbEcwIHKWLRr5m3sgG-u5Ncc0TqfZaip_ONJRQReOgxEwGuGk1w7VMe3rmc7S5lg==")</f>
        <v>https://recruiter.shine.com/resume/download/?resumeid=gAAAAABbk2UOVHwufxmosJOnEvoS5gWcEa2pHihPJLr6ZJhRR_PwzV1xteMZJ6uDk7n-3RxgngjNvbihmdcHVQNNQCskfstXsnEbEcwIHKWLRr5m3sgG-u5Ncc0TqfZaip_ONJRQReOgxEwGuGk1w7VMe3rmc7S5lg==</v>
      </c>
    </row>
    <row r="524" spans="1:25" ht="39.950000000000003" customHeight="1">
      <c r="A524">
        <v>520</v>
      </c>
      <c r="B524" t="s">
        <v>5025</v>
      </c>
      <c r="C524" t="s">
        <v>5026</v>
      </c>
      <c r="D524" t="s">
        <v>5027</v>
      </c>
      <c r="E524" t="s">
        <v>5028</v>
      </c>
      <c r="F524" t="s">
        <v>29</v>
      </c>
      <c r="G524" t="s">
        <v>5029</v>
      </c>
      <c r="H524" t="s">
        <v>31</v>
      </c>
      <c r="I524" t="s">
        <v>5030</v>
      </c>
      <c r="J524" t="s">
        <v>1144</v>
      </c>
      <c r="K524" t="s">
        <v>5031</v>
      </c>
      <c r="L524" t="s">
        <v>199</v>
      </c>
      <c r="M524" t="s">
        <v>54</v>
      </c>
      <c r="N524" t="s">
        <v>5032</v>
      </c>
      <c r="O524" t="s">
        <v>56</v>
      </c>
      <c r="P524" t="s">
        <v>39</v>
      </c>
      <c r="Q524" t="s">
        <v>107</v>
      </c>
      <c r="R524" t="s">
        <v>2346</v>
      </c>
      <c r="S524" t="s">
        <v>5033</v>
      </c>
      <c r="T524" t="s">
        <v>144</v>
      </c>
      <c r="U524" t="s">
        <v>43</v>
      </c>
      <c r="V524" t="s">
        <v>5034</v>
      </c>
      <c r="W524" t="s">
        <v>5034</v>
      </c>
      <c r="Y524" t="str">
        <f>HYPERLINK("https://recruiter.shine.com/resume/download/?resumeid=gAAAAABbk2ULNVkoJxX3JtY0VS8vmAFl3ohlyIKlHoGrSu9ttqzsRzkwvHcRhMz6D76yJCAkJmUstccAvFa9-GIF5ikMurdvIvR6wl0lNhCzneNj0cbzShT_DiKdVU3DOrPhWQZzjeb9")</f>
        <v>https://recruiter.shine.com/resume/download/?resumeid=gAAAAABbk2ULNVkoJxX3JtY0VS8vmAFl3ohlyIKlHoGrSu9ttqzsRzkwvHcRhMz6D76yJCAkJmUstccAvFa9-GIF5ikMurdvIvR6wl0lNhCzneNj0cbzShT_DiKdVU3DOrPhWQZzjeb9</v>
      </c>
    </row>
    <row r="525" spans="1:25" ht="39.950000000000003" customHeight="1">
      <c r="A525">
        <v>521</v>
      </c>
      <c r="B525" t="s">
        <v>2734</v>
      </c>
      <c r="C525" t="s">
        <v>5035</v>
      </c>
      <c r="D525" t="s">
        <v>5036</v>
      </c>
      <c r="E525" t="s">
        <v>5037</v>
      </c>
      <c r="F525" t="s">
        <v>29</v>
      </c>
      <c r="G525" t="s">
        <v>29</v>
      </c>
      <c r="H525" t="s">
        <v>31</v>
      </c>
      <c r="I525" t="s">
        <v>5038</v>
      </c>
      <c r="J525" t="s">
        <v>5039</v>
      </c>
      <c r="K525" t="s">
        <v>726</v>
      </c>
      <c r="L525" t="s">
        <v>290</v>
      </c>
      <c r="M525" t="s">
        <v>1446</v>
      </c>
      <c r="N525" t="s">
        <v>5040</v>
      </c>
      <c r="O525" t="s">
        <v>224</v>
      </c>
      <c r="P525" t="s">
        <v>39</v>
      </c>
      <c r="Q525" t="s">
        <v>90</v>
      </c>
      <c r="R525" t="s">
        <v>292</v>
      </c>
      <c r="S525" t="s">
        <v>5041</v>
      </c>
      <c r="T525" t="s">
        <v>304</v>
      </c>
      <c r="U525" t="s">
        <v>43</v>
      </c>
      <c r="V525" t="s">
        <v>5042</v>
      </c>
      <c r="W525" t="s">
        <v>5043</v>
      </c>
      <c r="Y525" t="str">
        <f>HYPERLINK("https://recruiter.shine.com/resume/download/?resumeid=gAAAAABbk2UMEmqjlQR6yMuGAwybrtXOU3qMDj4pgVo06gn1lO1hYPx4ODLmjozpzbtItshgJ6iEyYjvTB75XioX-eYMWU5YRLUA9SeJEgdNSfKBriyJBl308NnC2zj00fwTgR3_z-fndkCyly0iXa9OLOjdn9IGbw==")</f>
        <v>https://recruiter.shine.com/resume/download/?resumeid=gAAAAABbk2UMEmqjlQR6yMuGAwybrtXOU3qMDj4pgVo06gn1lO1hYPx4ODLmjozpzbtItshgJ6iEyYjvTB75XioX-eYMWU5YRLUA9SeJEgdNSfKBriyJBl308NnC2zj00fwTgR3_z-fndkCyly0iXa9OLOjdn9IGbw==</v>
      </c>
    </row>
    <row r="526" spans="1:25" ht="39.950000000000003" customHeight="1">
      <c r="A526">
        <v>522</v>
      </c>
      <c r="B526" t="s">
        <v>5044</v>
      </c>
      <c r="C526" t="s">
        <v>5045</v>
      </c>
      <c r="D526" t="s">
        <v>5046</v>
      </c>
      <c r="E526" t="s">
        <v>5047</v>
      </c>
      <c r="F526" t="s">
        <v>29</v>
      </c>
      <c r="G526" t="s">
        <v>5048</v>
      </c>
      <c r="H526" t="s">
        <v>31</v>
      </c>
      <c r="I526" t="s">
        <v>4677</v>
      </c>
      <c r="J526" t="s">
        <v>3265</v>
      </c>
      <c r="K526" t="s">
        <v>5049</v>
      </c>
      <c r="L526" t="s">
        <v>266</v>
      </c>
      <c r="M526" t="s">
        <v>105</v>
      </c>
      <c r="N526" t="s">
        <v>5050</v>
      </c>
      <c r="O526" t="s">
        <v>56</v>
      </c>
      <c r="P526" t="s">
        <v>57</v>
      </c>
      <c r="Q526" t="s">
        <v>158</v>
      </c>
      <c r="R526" t="s">
        <v>341</v>
      </c>
      <c r="S526" t="s">
        <v>5051</v>
      </c>
      <c r="T526" t="s">
        <v>61</v>
      </c>
      <c r="U526" t="s">
        <v>43</v>
      </c>
      <c r="V526" t="s">
        <v>5052</v>
      </c>
      <c r="W526" t="s">
        <v>5053</v>
      </c>
      <c r="Y526" t="str">
        <f>HYPERLINK("https://recruiter.shine.com/resume/download/?resumeid=gAAAAABbk2UOhyxrs2mSbmKI0y-mzryTAjyP-R6jHHBbNxyjFy3eVDPPAp3PZn4VdPipEbk6CVoUU5coNtomr-irm_Jv8V9FPXgLb6CnNVMnp_ezl4PDwUkFkN9lOOy_mlRRig3goOQrtRAe3GS7McTQiwFJ23aL4Tc7U6GE11KO4d8vES1A2WI=")</f>
        <v>https://recruiter.shine.com/resume/download/?resumeid=gAAAAABbk2UOhyxrs2mSbmKI0y-mzryTAjyP-R6jHHBbNxyjFy3eVDPPAp3PZn4VdPipEbk6CVoUU5coNtomr-irm_Jv8V9FPXgLb6CnNVMnp_ezl4PDwUkFkN9lOOy_mlRRig3goOQrtRAe3GS7McTQiwFJ23aL4Tc7U6GE11KO4d8vES1A2WI=</v>
      </c>
    </row>
    <row r="527" spans="1:25" ht="39.950000000000003" customHeight="1">
      <c r="A527">
        <v>523</v>
      </c>
      <c r="B527" t="s">
        <v>5054</v>
      </c>
      <c r="C527" t="s">
        <v>5055</v>
      </c>
      <c r="D527" t="s">
        <v>5056</v>
      </c>
      <c r="E527" t="s">
        <v>5057</v>
      </c>
      <c r="F527" t="s">
        <v>29</v>
      </c>
      <c r="G527" t="s">
        <v>5058</v>
      </c>
      <c r="H527" t="s">
        <v>31</v>
      </c>
      <c r="I527" t="s">
        <v>134</v>
      </c>
      <c r="J527" t="s">
        <v>209</v>
      </c>
      <c r="K527" t="s">
        <v>5059</v>
      </c>
      <c r="L527" t="s">
        <v>664</v>
      </c>
      <c r="M527" t="s">
        <v>238</v>
      </c>
      <c r="N527" t="s">
        <v>5060</v>
      </c>
      <c r="O527" t="s">
        <v>224</v>
      </c>
      <c r="P527" t="s">
        <v>5061</v>
      </c>
      <c r="Q527" t="s">
        <v>107</v>
      </c>
      <c r="R527" t="s">
        <v>642</v>
      </c>
      <c r="S527" t="s">
        <v>188</v>
      </c>
      <c r="T527" t="s">
        <v>144</v>
      </c>
      <c r="U527" t="s">
        <v>43</v>
      </c>
      <c r="V527" t="s">
        <v>5062</v>
      </c>
      <c r="W527" t="s">
        <v>5062</v>
      </c>
      <c r="Y527" t="str">
        <f>HYPERLINK("https://recruiter.shine.com/resume/download/?resumeid=gAAAAABbk2UL378y4EnSVGWMmcHxBXA4CIuHML4qMeo5vxw-kQLHYXMnEaqHtLeAtlwS9qpSOcGhitb9LfECa11QAXGo-7bNB_E7mK0IJJIrjYyTabIYMIhIRLiPJzVTsrOLwXJubQ59")</f>
        <v>https://recruiter.shine.com/resume/download/?resumeid=gAAAAABbk2UL378y4EnSVGWMmcHxBXA4CIuHML4qMeo5vxw-kQLHYXMnEaqHtLeAtlwS9qpSOcGhitb9LfECa11QAXGo-7bNB_E7mK0IJJIrjYyTabIYMIhIRLiPJzVTsrOLwXJubQ59</v>
      </c>
    </row>
    <row r="528" spans="1:25" ht="39.950000000000003" customHeight="1">
      <c r="A528">
        <v>524</v>
      </c>
      <c r="B528" t="s">
        <v>5063</v>
      </c>
      <c r="C528" t="s">
        <v>5064</v>
      </c>
      <c r="D528" t="s">
        <v>5065</v>
      </c>
      <c r="E528" t="s">
        <v>5066</v>
      </c>
      <c r="F528" t="s">
        <v>29</v>
      </c>
      <c r="G528" t="s">
        <v>5067</v>
      </c>
      <c r="H528" t="s">
        <v>31</v>
      </c>
      <c r="I528" t="s">
        <v>168</v>
      </c>
      <c r="J528" t="s">
        <v>801</v>
      </c>
      <c r="K528" t="s">
        <v>5068</v>
      </c>
      <c r="L528" t="s">
        <v>35</v>
      </c>
      <c r="M528" t="s">
        <v>36</v>
      </c>
      <c r="N528" t="s">
        <v>2229</v>
      </c>
      <c r="O528" t="s">
        <v>1392</v>
      </c>
      <c r="P528" t="s">
        <v>140</v>
      </c>
      <c r="Q528" t="s">
        <v>40</v>
      </c>
      <c r="R528" t="s">
        <v>5069</v>
      </c>
      <c r="S528" t="s">
        <v>1053</v>
      </c>
      <c r="T528" t="s">
        <v>110</v>
      </c>
      <c r="U528" t="s">
        <v>127</v>
      </c>
      <c r="V528" t="s">
        <v>5070</v>
      </c>
      <c r="W528" t="s">
        <v>5071</v>
      </c>
      <c r="Y528" t="str">
        <f>HYPERLINK("https://recruiter.shine.com/resume/download/?resumeid=gAAAAABbk2UMliisSHk-zMXKBy8t-bZYxUY8Amt1C4eoxR3XyBtFWb-yQQc-m7PrQTmAF_oGZPp1BsvrbWDZxr0DwWIKdvlsKPOCfc69tiWtzqUA0OTp35vGEz18TMKhMYZE6kCKyfOtsSyiy9F-8mQtrPACIngzmbxeduLrSbhmM9JMA8xzSX8=")</f>
        <v>https://recruiter.shine.com/resume/download/?resumeid=gAAAAABbk2UMliisSHk-zMXKBy8t-bZYxUY8Amt1C4eoxR3XyBtFWb-yQQc-m7PrQTmAF_oGZPp1BsvrbWDZxr0DwWIKdvlsKPOCfc69tiWtzqUA0OTp35vGEz18TMKhMYZE6kCKyfOtsSyiy9F-8mQtrPACIngzmbxeduLrSbhmM9JMA8xzSX8=</v>
      </c>
    </row>
    <row r="529" spans="1:25" ht="39.950000000000003" customHeight="1">
      <c r="A529">
        <v>525</v>
      </c>
      <c r="B529" t="s">
        <v>5072</v>
      </c>
      <c r="C529" t="s">
        <v>5073</v>
      </c>
      <c r="D529" t="s">
        <v>5074</v>
      </c>
      <c r="E529" t="s">
        <v>5075</v>
      </c>
      <c r="F529" t="s">
        <v>29</v>
      </c>
      <c r="G529" t="s">
        <v>29</v>
      </c>
      <c r="H529" t="s">
        <v>31</v>
      </c>
      <c r="I529" t="s">
        <v>836</v>
      </c>
      <c r="J529" t="s">
        <v>5076</v>
      </c>
      <c r="K529" t="s">
        <v>5077</v>
      </c>
      <c r="L529" t="s">
        <v>171</v>
      </c>
      <c r="M529" t="s">
        <v>138</v>
      </c>
      <c r="N529" t="s">
        <v>355</v>
      </c>
      <c r="O529" t="s">
        <v>186</v>
      </c>
      <c r="Q529" t="s">
        <v>90</v>
      </c>
      <c r="R529" t="s">
        <v>91</v>
      </c>
      <c r="S529" t="s">
        <v>5078</v>
      </c>
      <c r="T529" t="s">
        <v>144</v>
      </c>
      <c r="U529" t="s">
        <v>43</v>
      </c>
      <c r="V529" t="s">
        <v>5079</v>
      </c>
      <c r="W529" t="s">
        <v>5080</v>
      </c>
      <c r="Y529" t="str">
        <f>HYPERLINK("https://recruiter.shine.com/resume/download/?resumeid=gAAAAABbk2UNO2YNGNEB4Ef9Y7ypCNrijg9TAgwUTSCHy-gd2r0TiQtcHPx4M5Rj-nbSyQ9PdHj6tQ9eMnFQkh6AdU3VO2UmTlh7YbIKtqNkznsmBUrJ8qhtbxqetwNXiIPM7Lr6zPsMfy24f3Jq-DIT_1ok-9j5JqOKAg0iZSdRWRPsm-3Sjjs=")</f>
        <v>https://recruiter.shine.com/resume/download/?resumeid=gAAAAABbk2UNO2YNGNEB4Ef9Y7ypCNrijg9TAgwUTSCHy-gd2r0TiQtcHPx4M5Rj-nbSyQ9PdHj6tQ9eMnFQkh6AdU3VO2UmTlh7YbIKtqNkznsmBUrJ8qhtbxqetwNXiIPM7Lr6zPsMfy24f3Jq-DIT_1ok-9j5JqOKAg0iZSdRWRPsm-3Sjjs=</v>
      </c>
    </row>
    <row r="530" spans="1:25" ht="39.950000000000003" customHeight="1">
      <c r="A530">
        <v>526</v>
      </c>
      <c r="B530" t="s">
        <v>5081</v>
      </c>
      <c r="C530" t="s">
        <v>5082</v>
      </c>
      <c r="D530" t="s">
        <v>5083</v>
      </c>
      <c r="E530" t="s">
        <v>5084</v>
      </c>
      <c r="F530" t="s">
        <v>29</v>
      </c>
      <c r="G530" t="s">
        <v>5085</v>
      </c>
      <c r="H530" t="s">
        <v>31</v>
      </c>
      <c r="I530" t="s">
        <v>5086</v>
      </c>
      <c r="J530" t="s">
        <v>5087</v>
      </c>
      <c r="K530" t="s">
        <v>5088</v>
      </c>
      <c r="L530" t="s">
        <v>664</v>
      </c>
      <c r="M530" t="s">
        <v>105</v>
      </c>
      <c r="N530" t="s">
        <v>5089</v>
      </c>
      <c r="O530" t="s">
        <v>56</v>
      </c>
      <c r="P530" t="s">
        <v>940</v>
      </c>
      <c r="Q530" t="s">
        <v>107</v>
      </c>
      <c r="R530" t="s">
        <v>341</v>
      </c>
      <c r="S530" t="s">
        <v>677</v>
      </c>
      <c r="T530" t="s">
        <v>144</v>
      </c>
      <c r="U530" t="s">
        <v>43</v>
      </c>
      <c r="V530" t="s">
        <v>5090</v>
      </c>
      <c r="W530" t="s">
        <v>5091</v>
      </c>
      <c r="Y530" t="str">
        <f>HYPERLINK("https://recruiter.shine.com/resume/download/?resumeid=gAAAAABbk2ULSqUe1jZYIL8cPAJMv4-Hc4V1Uu3NvRDa1jls0ly5dDpOlmxj5cOfQxeqOKL-UwplhvHP0Zq8H8329kL5qFgimlxpLVs5iUTbWULIcfBRcG5Xis5Ug88WKOQOI-xW9oGn")</f>
        <v>https://recruiter.shine.com/resume/download/?resumeid=gAAAAABbk2ULSqUe1jZYIL8cPAJMv4-Hc4V1Uu3NvRDa1jls0ly5dDpOlmxj5cOfQxeqOKL-UwplhvHP0Zq8H8329kL5qFgimlxpLVs5iUTbWULIcfBRcG5Xis5Ug88WKOQOI-xW9oGn</v>
      </c>
    </row>
    <row r="531" spans="1:25" ht="39.950000000000003" customHeight="1">
      <c r="A531">
        <v>527</v>
      </c>
      <c r="B531" t="s">
        <v>5092</v>
      </c>
      <c r="D531" t="s">
        <v>5093</v>
      </c>
      <c r="E531" t="s">
        <v>5094</v>
      </c>
      <c r="F531" t="s">
        <v>29</v>
      </c>
      <c r="G531" t="s">
        <v>29</v>
      </c>
      <c r="H531" t="s">
        <v>31</v>
      </c>
      <c r="I531" t="s">
        <v>362</v>
      </c>
      <c r="J531" t="s">
        <v>135</v>
      </c>
      <c r="L531" t="s">
        <v>363</v>
      </c>
      <c r="M531" t="s">
        <v>364</v>
      </c>
      <c r="Q531" t="s">
        <v>158</v>
      </c>
      <c r="R531" t="s">
        <v>225</v>
      </c>
      <c r="S531" t="s">
        <v>5095</v>
      </c>
      <c r="T531" t="s">
        <v>227</v>
      </c>
      <c r="U531" t="s">
        <v>43</v>
      </c>
      <c r="V531" t="s">
        <v>5096</v>
      </c>
      <c r="W531" t="s">
        <v>5097</v>
      </c>
      <c r="Y531" t="str">
        <f>HYPERLINK("https://recruiter.shine.com/resume/download/?resumeid=gAAAAABbk2UMDSa91Gv5sCV9sUOaybfZ15F5nVsuiktilQd445z4y6E1CMbigTLo_QOb4WOjXtXLqDpqKoJpqOKq0_FVLAVnmEduA3RO7LYHY1gnv2qgIAna7JmJR7IX3Jnq_qLdavPd9iSJrD4NkFpcEmWdRTjZIhAVvzn9r00bYUXmN210I0o=")</f>
        <v>https://recruiter.shine.com/resume/download/?resumeid=gAAAAABbk2UMDSa91Gv5sCV9sUOaybfZ15F5nVsuiktilQd445z4y6E1CMbigTLo_QOb4WOjXtXLqDpqKoJpqOKq0_FVLAVnmEduA3RO7LYHY1gnv2qgIAna7JmJR7IX3Jnq_qLdavPd9iSJrD4NkFpcEmWdRTjZIhAVvzn9r00bYUXmN210I0o=</v>
      </c>
    </row>
    <row r="532" spans="1:25" ht="39.950000000000003" customHeight="1">
      <c r="A532">
        <v>528</v>
      </c>
      <c r="B532" t="s">
        <v>5098</v>
      </c>
      <c r="C532" t="s">
        <v>5099</v>
      </c>
      <c r="D532" t="s">
        <v>5100</v>
      </c>
      <c r="E532" t="s">
        <v>5101</v>
      </c>
      <c r="F532" t="s">
        <v>29</v>
      </c>
      <c r="G532" t="s">
        <v>29</v>
      </c>
      <c r="H532" t="s">
        <v>31</v>
      </c>
      <c r="I532" t="s">
        <v>5102</v>
      </c>
      <c r="J532" t="s">
        <v>102</v>
      </c>
      <c r="K532" t="s">
        <v>5103</v>
      </c>
      <c r="L532" t="s">
        <v>2690</v>
      </c>
      <c r="M532" t="s">
        <v>315</v>
      </c>
      <c r="N532" t="s">
        <v>5104</v>
      </c>
      <c r="O532" t="s">
        <v>186</v>
      </c>
      <c r="P532" t="s">
        <v>940</v>
      </c>
      <c r="Q532" t="s">
        <v>74</v>
      </c>
      <c r="R532" t="s">
        <v>159</v>
      </c>
      <c r="S532" t="s">
        <v>5105</v>
      </c>
      <c r="T532" t="s">
        <v>429</v>
      </c>
      <c r="U532" t="s">
        <v>43</v>
      </c>
      <c r="V532" t="s">
        <v>5106</v>
      </c>
      <c r="W532" t="s">
        <v>5107</v>
      </c>
      <c r="Y532" t="str">
        <f>HYPERLINK("https://recruiter.shine.com/resume/download/?resumeid=gAAAAABbk2UO3WejEjMq8HhKrJejst2mza3wVJ1FA-uHecfMDWClQGeWwpbWcFJBMuS0JvBwhHBJ5GwMINxNxPSCJXEbitloqVKA0I2YPibyhWR27ODEj1mEKm8K8MfS6dOGrAAFbRjllOq_zYxEQGmQjTCGVDhhsw==")</f>
        <v>https://recruiter.shine.com/resume/download/?resumeid=gAAAAABbk2UO3WejEjMq8HhKrJejst2mza3wVJ1FA-uHecfMDWClQGeWwpbWcFJBMuS0JvBwhHBJ5GwMINxNxPSCJXEbitloqVKA0I2YPibyhWR27ODEj1mEKm8K8MfS6dOGrAAFbRjllOq_zYxEQGmQjTCGVDhhsw==</v>
      </c>
    </row>
    <row r="533" spans="1:25" ht="39.950000000000003" customHeight="1">
      <c r="A533">
        <v>529</v>
      </c>
      <c r="B533" t="s">
        <v>5108</v>
      </c>
      <c r="C533" t="s">
        <v>5109</v>
      </c>
      <c r="D533" t="s">
        <v>5110</v>
      </c>
      <c r="E533" t="s">
        <v>5111</v>
      </c>
      <c r="F533" t="s">
        <v>29</v>
      </c>
      <c r="G533" t="s">
        <v>5112</v>
      </c>
      <c r="H533" t="s">
        <v>31</v>
      </c>
      <c r="I533" t="s">
        <v>5113</v>
      </c>
      <c r="J533" t="s">
        <v>1354</v>
      </c>
      <c r="K533" t="s">
        <v>5114</v>
      </c>
      <c r="L533" t="s">
        <v>237</v>
      </c>
      <c r="M533" t="s">
        <v>238</v>
      </c>
      <c r="N533" t="s">
        <v>5115</v>
      </c>
      <c r="O533" t="s">
        <v>224</v>
      </c>
      <c r="P533" t="s">
        <v>39</v>
      </c>
      <c r="Q533" t="s">
        <v>90</v>
      </c>
      <c r="R533" t="s">
        <v>292</v>
      </c>
      <c r="S533" t="s">
        <v>5116</v>
      </c>
      <c r="T533" t="s">
        <v>110</v>
      </c>
      <c r="U533" t="s">
        <v>43</v>
      </c>
      <c r="V533" t="s">
        <v>5117</v>
      </c>
      <c r="W533" t="s">
        <v>5118</v>
      </c>
      <c r="Y533" t="str">
        <f>HYPERLINK("https://recruiter.shine.com/resume/download/?resumeid=gAAAAABbk2UKoWKxdq8kvROnqLcwWhZ52ji4lZRNxZ4bobUb4Mk4DEt5CMb7Xu9cnrKXZ3XXKw9lg5mUkdbQoMWaNy0-AgRCpOgk7MB0T_WWq0azKiGXht7LbK6X5cTFk0-UzOzWXdOc")</f>
        <v>https://recruiter.shine.com/resume/download/?resumeid=gAAAAABbk2UKoWKxdq8kvROnqLcwWhZ52ji4lZRNxZ4bobUb4Mk4DEt5CMb7Xu9cnrKXZ3XXKw9lg5mUkdbQoMWaNy0-AgRCpOgk7MB0T_WWq0azKiGXht7LbK6X5cTFk0-UzOzWXdOc</v>
      </c>
    </row>
    <row r="534" spans="1:25" ht="39.950000000000003" customHeight="1">
      <c r="A534">
        <v>530</v>
      </c>
      <c r="B534" t="s">
        <v>5119</v>
      </c>
      <c r="C534" t="s">
        <v>5120</v>
      </c>
      <c r="D534" t="s">
        <v>5121</v>
      </c>
      <c r="E534" t="s">
        <v>5122</v>
      </c>
      <c r="F534" t="s">
        <v>29</v>
      </c>
      <c r="G534" t="s">
        <v>29</v>
      </c>
      <c r="H534" t="s">
        <v>31</v>
      </c>
      <c r="I534" t="s">
        <v>1731</v>
      </c>
      <c r="J534" t="s">
        <v>2421</v>
      </c>
      <c r="K534" t="s">
        <v>5123</v>
      </c>
      <c r="L534" t="s">
        <v>253</v>
      </c>
      <c r="M534" t="s">
        <v>105</v>
      </c>
      <c r="N534" t="s">
        <v>5124</v>
      </c>
      <c r="O534" t="s">
        <v>186</v>
      </c>
      <c r="P534" t="s">
        <v>57</v>
      </c>
      <c r="Q534" t="s">
        <v>107</v>
      </c>
      <c r="R534" t="s">
        <v>159</v>
      </c>
      <c r="S534" t="s">
        <v>5125</v>
      </c>
      <c r="T534" t="s">
        <v>429</v>
      </c>
      <c r="U534" t="s">
        <v>94</v>
      </c>
      <c r="V534" t="s">
        <v>5126</v>
      </c>
      <c r="W534" t="s">
        <v>5127</v>
      </c>
      <c r="Y534" t="str">
        <f>HYPERLINK("https://recruiter.shine.com/resume/download/?resumeid=gAAAAABbk2UNmD3Zb8brZs5A7Fm_ovQSgdKeMPk7n9jViCGkC69T-GW6jb-1qtzrP-SM5b1dcTOCwl-0H_A5QK6hJeTz9CuYFgzv4Lt8ZxexKoXILoXaUgdkPTAVsVrkuFq47BL4AINNvEXeZYMk6Q2yvAkgfBvnLNwBzR7cfopJmrSDOhfTP24=")</f>
        <v>https://recruiter.shine.com/resume/download/?resumeid=gAAAAABbk2UNmD3Zb8brZs5A7Fm_ovQSgdKeMPk7n9jViCGkC69T-GW6jb-1qtzrP-SM5b1dcTOCwl-0H_A5QK6hJeTz9CuYFgzv4Lt8ZxexKoXILoXaUgdkPTAVsVrkuFq47BL4AINNvEXeZYMk6Q2yvAkgfBvnLNwBzR7cfopJmrSDOhfTP24=</v>
      </c>
    </row>
    <row r="535" spans="1:25" ht="39.950000000000003" customHeight="1">
      <c r="A535">
        <v>531</v>
      </c>
      <c r="B535" t="s">
        <v>5128</v>
      </c>
      <c r="C535" t="s">
        <v>5129</v>
      </c>
      <c r="D535" t="s">
        <v>5130</v>
      </c>
      <c r="E535" t="s">
        <v>5131</v>
      </c>
      <c r="F535" t="s">
        <v>29</v>
      </c>
      <c r="G535" t="s">
        <v>67</v>
      </c>
      <c r="H535" t="s">
        <v>31</v>
      </c>
      <c r="I535" t="s">
        <v>2354</v>
      </c>
      <c r="J535" t="s">
        <v>506</v>
      </c>
      <c r="K535" t="s">
        <v>5132</v>
      </c>
      <c r="L535" t="s">
        <v>171</v>
      </c>
      <c r="M535" t="s">
        <v>172</v>
      </c>
      <c r="N535" t="s">
        <v>2229</v>
      </c>
      <c r="O535" t="s">
        <v>2301</v>
      </c>
      <c r="Q535" t="s">
        <v>412</v>
      </c>
      <c r="R535" t="s">
        <v>476</v>
      </c>
      <c r="S535" t="s">
        <v>5133</v>
      </c>
      <c r="T535" t="s">
        <v>126</v>
      </c>
      <c r="U535" t="s">
        <v>43</v>
      </c>
      <c r="V535" t="s">
        <v>5134</v>
      </c>
      <c r="W535" t="s">
        <v>5135</v>
      </c>
      <c r="Y535" t="str">
        <f>HYPERLINK("https://recruiter.shine.com/resume/download/?resumeid=gAAAAABbk2UNRBT-m-0ozpFGKhq44QDX2i5LbtZM8IF9yNe9xGV-s6o7JYaqMLSJGqUEXffV_ScNZ_UZxSyEl1Wq0xS_WwW11tmglFc7qGFkCrRvLGRCPttDHgcT9HbvjmfY-n4Z_a5PQug5wqMznH3zuyKuNVyVqQ==")</f>
        <v>https://recruiter.shine.com/resume/download/?resumeid=gAAAAABbk2UNRBT-m-0ozpFGKhq44QDX2i5LbtZM8IF9yNe9xGV-s6o7JYaqMLSJGqUEXffV_ScNZ_UZxSyEl1Wq0xS_WwW11tmglFc7qGFkCrRvLGRCPttDHgcT9HbvjmfY-n4Z_a5PQug5wqMznH3zuyKuNVyVqQ==</v>
      </c>
    </row>
    <row r="536" spans="1:25" ht="39.950000000000003" customHeight="1">
      <c r="A536">
        <v>532</v>
      </c>
      <c r="B536" t="s">
        <v>5136</v>
      </c>
      <c r="D536" t="s">
        <v>5137</v>
      </c>
      <c r="E536" t="s">
        <v>5138</v>
      </c>
      <c r="F536" t="s">
        <v>29</v>
      </c>
      <c r="G536" t="s">
        <v>2983</v>
      </c>
      <c r="H536" t="s">
        <v>234</v>
      </c>
      <c r="I536" t="s">
        <v>836</v>
      </c>
      <c r="J536" t="s">
        <v>1742</v>
      </c>
      <c r="K536" t="s">
        <v>5139</v>
      </c>
      <c r="L536" t="s">
        <v>486</v>
      </c>
      <c r="M536" t="s">
        <v>238</v>
      </c>
      <c r="N536" t="s">
        <v>5140</v>
      </c>
      <c r="O536" t="s">
        <v>38</v>
      </c>
      <c r="Q536" t="s">
        <v>90</v>
      </c>
      <c r="R536" t="s">
        <v>292</v>
      </c>
      <c r="S536" t="s">
        <v>2609</v>
      </c>
      <c r="U536" t="s">
        <v>127</v>
      </c>
      <c r="V536" t="s">
        <v>5141</v>
      </c>
      <c r="W536" t="s">
        <v>5142</v>
      </c>
      <c r="Y536" t="str">
        <f>HYPERLINK("https://recruiter.shine.com/resume/download/?resumeid=gAAAAABbk2UL92HTcPGcWGOrb9T9R30wd4v0wl3lfYdZgU_Ed5KThgp2gUUmnFtFnC7TWgsM11rARD8kyJsw0A3DyeN2tvFcb5xbK4YKDocejmiE1r3B6MQPoUBqUkDf82VAf7NaNkDg")</f>
        <v>https://recruiter.shine.com/resume/download/?resumeid=gAAAAABbk2UL92HTcPGcWGOrb9T9R30wd4v0wl3lfYdZgU_Ed5KThgp2gUUmnFtFnC7TWgsM11rARD8kyJsw0A3DyeN2tvFcb5xbK4YKDocejmiE1r3B6MQPoUBqUkDf82VAf7NaNkDg</v>
      </c>
    </row>
    <row r="537" spans="1:25" ht="39.950000000000003" customHeight="1">
      <c r="A537">
        <v>533</v>
      </c>
      <c r="B537" t="s">
        <v>5143</v>
      </c>
      <c r="C537" t="s">
        <v>5144</v>
      </c>
      <c r="D537" t="s">
        <v>5145</v>
      </c>
      <c r="E537" t="s">
        <v>5146</v>
      </c>
      <c r="F537" t="s">
        <v>29</v>
      </c>
      <c r="G537" t="s">
        <v>5147</v>
      </c>
      <c r="H537" t="s">
        <v>31</v>
      </c>
      <c r="I537" t="s">
        <v>5148</v>
      </c>
      <c r="J537" t="s">
        <v>51</v>
      </c>
      <c r="K537" t="s">
        <v>862</v>
      </c>
      <c r="L537" t="s">
        <v>155</v>
      </c>
      <c r="M537" t="s">
        <v>105</v>
      </c>
      <c r="N537" t="s">
        <v>5149</v>
      </c>
      <c r="O537" t="s">
        <v>186</v>
      </c>
      <c r="P537" t="s">
        <v>57</v>
      </c>
      <c r="Q537" t="s">
        <v>107</v>
      </c>
      <c r="R537" t="s">
        <v>341</v>
      </c>
      <c r="S537" t="s">
        <v>5150</v>
      </c>
      <c r="T537" t="s">
        <v>441</v>
      </c>
      <c r="U537" t="s">
        <v>43</v>
      </c>
      <c r="V537" t="s">
        <v>5151</v>
      </c>
      <c r="W537" t="s">
        <v>5151</v>
      </c>
      <c r="Y537" t="str">
        <f>HYPERLINK("https://recruiter.shine.com/resume/download/?resumeid=gAAAAABbk2UNgxiBqQw5gLtBalPD7HTer0WJhe0S4fYxCJZhx5UQAfUfBUyLfYZWdFf2filXpP8zpE5B_eQxxx9jpjpwL2Gwb05hufssr4Sktx2kUw4dlY19F-yFdaBGJpZWDrVAiE7g9QRv2yHvSq0SgwZFxM_cpLe_1rXhyY7o6e8h2S6knRY=")</f>
        <v>https://recruiter.shine.com/resume/download/?resumeid=gAAAAABbk2UNgxiBqQw5gLtBalPD7HTer0WJhe0S4fYxCJZhx5UQAfUfBUyLfYZWdFf2filXpP8zpE5B_eQxxx9jpjpwL2Gwb05hufssr4Sktx2kUw4dlY19F-yFdaBGJpZWDrVAiE7g9QRv2yHvSq0SgwZFxM_cpLe_1rXhyY7o6e8h2S6knRY=</v>
      </c>
    </row>
    <row r="538" spans="1:25" ht="39.950000000000003" customHeight="1">
      <c r="A538">
        <v>534</v>
      </c>
      <c r="B538" t="s">
        <v>5152</v>
      </c>
      <c r="C538" t="s">
        <v>5153</v>
      </c>
      <c r="D538" t="s">
        <v>5154</v>
      </c>
      <c r="E538" t="s">
        <v>5155</v>
      </c>
      <c r="F538" t="s">
        <v>29</v>
      </c>
      <c r="G538" t="s">
        <v>3168</v>
      </c>
      <c r="H538" t="s">
        <v>31</v>
      </c>
      <c r="I538" t="s">
        <v>32</v>
      </c>
      <c r="J538" t="s">
        <v>1742</v>
      </c>
      <c r="K538" t="s">
        <v>5156</v>
      </c>
      <c r="L538" t="s">
        <v>3109</v>
      </c>
      <c r="M538" t="s">
        <v>36</v>
      </c>
      <c r="N538" t="s">
        <v>5157</v>
      </c>
      <c r="O538" t="s">
        <v>848</v>
      </c>
      <c r="P538" t="s">
        <v>940</v>
      </c>
      <c r="Q538" t="s">
        <v>699</v>
      </c>
      <c r="R538" t="s">
        <v>59</v>
      </c>
      <c r="S538" t="s">
        <v>188</v>
      </c>
      <c r="T538" t="s">
        <v>851</v>
      </c>
      <c r="U538" t="s">
        <v>43</v>
      </c>
      <c r="V538" t="s">
        <v>5158</v>
      </c>
      <c r="W538" t="s">
        <v>5159</v>
      </c>
      <c r="Y538" t="str">
        <f>HYPERLINK("https://recruiter.shine.com/resume/download/?resumeid=gAAAAABbk2UNrrSGv02fF8D0c06pjFM9KGms9JxuGwwwhcFxIdvikv1uhnZnrywzgLmu_hDWmqxZbLdutayHyx7tJnn3S8PdBLTE_UV5T_kVgzs0iqidZTUBK2zbBipg_CwIqX8_J_O49dOUquZwKDCZcTYjVNjGLT22WZe8rC973vvNVh02Vhk=")</f>
        <v>https://recruiter.shine.com/resume/download/?resumeid=gAAAAABbk2UNrrSGv02fF8D0c06pjFM9KGms9JxuGwwwhcFxIdvikv1uhnZnrywzgLmu_hDWmqxZbLdutayHyx7tJnn3S8PdBLTE_UV5T_kVgzs0iqidZTUBK2zbBipg_CwIqX8_J_O49dOUquZwKDCZcTYjVNjGLT22WZe8rC973vvNVh02Vhk=</v>
      </c>
    </row>
    <row r="539" spans="1:25" ht="39.950000000000003" customHeight="1">
      <c r="A539">
        <v>535</v>
      </c>
      <c r="B539" t="s">
        <v>5160</v>
      </c>
      <c r="D539" t="s">
        <v>5161</v>
      </c>
      <c r="E539" t="s">
        <v>5162</v>
      </c>
      <c r="F539" t="s">
        <v>29</v>
      </c>
      <c r="G539" t="s">
        <v>29</v>
      </c>
      <c r="H539" t="s">
        <v>31</v>
      </c>
      <c r="I539" t="s">
        <v>5163</v>
      </c>
      <c r="J539" t="s">
        <v>1475</v>
      </c>
      <c r="K539" t="s">
        <v>5164</v>
      </c>
      <c r="L539" t="s">
        <v>199</v>
      </c>
      <c r="M539" t="s">
        <v>54</v>
      </c>
      <c r="N539" t="s">
        <v>5165</v>
      </c>
      <c r="O539" t="s">
        <v>1245</v>
      </c>
      <c r="P539" t="s">
        <v>201</v>
      </c>
      <c r="Q539" t="s">
        <v>58</v>
      </c>
      <c r="R539" t="s">
        <v>59</v>
      </c>
      <c r="S539" t="s">
        <v>2018</v>
      </c>
      <c r="T539" t="s">
        <v>687</v>
      </c>
      <c r="U539" t="s">
        <v>43</v>
      </c>
      <c r="V539" t="s">
        <v>5166</v>
      </c>
      <c r="W539" t="s">
        <v>5167</v>
      </c>
      <c r="Y539" t="str">
        <f>HYPERLINK("https://recruiter.shine.com/resume/download/?resumeid=gAAAAABbk2ULM2VyhEHZ2a7mdw8hfQX__eZL3FIBlOJzZQbLEvHK5Zs5xpOgV7SUcpG183GgyQei2a2DzloMVlLVfRCSlZ_6kCr6RZQ6wTD0pArcy__7Aw093DUPMi7dTrQ4fXDUPPGP")</f>
        <v>https://recruiter.shine.com/resume/download/?resumeid=gAAAAABbk2ULM2VyhEHZ2a7mdw8hfQX__eZL3FIBlOJzZQbLEvHK5Zs5xpOgV7SUcpG183GgyQei2a2DzloMVlLVfRCSlZ_6kCr6RZQ6wTD0pArcy__7Aw093DUPMi7dTrQ4fXDUPPGP</v>
      </c>
    </row>
    <row r="540" spans="1:25" ht="39.950000000000003" customHeight="1">
      <c r="A540">
        <v>536</v>
      </c>
      <c r="B540" t="s">
        <v>5168</v>
      </c>
      <c r="C540" t="s">
        <v>5169</v>
      </c>
      <c r="D540" t="s">
        <v>5170</v>
      </c>
      <c r="E540" t="s">
        <v>5171</v>
      </c>
      <c r="F540" t="s">
        <v>29</v>
      </c>
      <c r="G540" t="s">
        <v>29</v>
      </c>
      <c r="H540" t="s">
        <v>31</v>
      </c>
      <c r="I540" t="s">
        <v>2523</v>
      </c>
      <c r="J540" t="s">
        <v>251</v>
      </c>
      <c r="K540" t="s">
        <v>1187</v>
      </c>
      <c r="L540" t="s">
        <v>184</v>
      </c>
      <c r="M540" t="s">
        <v>1446</v>
      </c>
      <c r="N540" t="s">
        <v>5172</v>
      </c>
      <c r="O540" t="s">
        <v>224</v>
      </c>
      <c r="P540" t="s">
        <v>268</v>
      </c>
      <c r="Q540" t="s">
        <v>90</v>
      </c>
      <c r="R540" t="s">
        <v>292</v>
      </c>
      <c r="S540" t="s">
        <v>5173</v>
      </c>
      <c r="T540" t="s">
        <v>304</v>
      </c>
      <c r="U540" t="s">
        <v>94</v>
      </c>
      <c r="V540" t="s">
        <v>5174</v>
      </c>
      <c r="W540" t="s">
        <v>5174</v>
      </c>
      <c r="Y540" t="str">
        <f>HYPERLINK("https://recruiter.shine.com/resume/download/?resumeid=gAAAAABbk2UMaUNAKUL_m3waFJPvcDqyuj2hFTREDLBY5_yAPfND5qNDCXzD2OVkUeJYYB8CD03ZmDGAkYEbNx1wOQ6LKPR_ZIQD0V-tJ3QYfvPqByHhmGG63PKBmw5Q26J8W9LHjf2uxzCF3UdiA9DAyUfR162BVb7wseLH2tvTzqE4TDTc4Hc=")</f>
        <v>https://recruiter.shine.com/resume/download/?resumeid=gAAAAABbk2UMaUNAKUL_m3waFJPvcDqyuj2hFTREDLBY5_yAPfND5qNDCXzD2OVkUeJYYB8CD03ZmDGAkYEbNx1wOQ6LKPR_ZIQD0V-tJ3QYfvPqByHhmGG63PKBmw5Q26J8W9LHjf2uxzCF3UdiA9DAyUfR162BVb7wseLH2tvTzqE4TDTc4Hc=</v>
      </c>
    </row>
    <row r="541" spans="1:25" ht="39.950000000000003" customHeight="1">
      <c r="A541">
        <v>537</v>
      </c>
      <c r="B541" t="s">
        <v>5175</v>
      </c>
      <c r="D541" t="s">
        <v>5176</v>
      </c>
      <c r="E541" t="s">
        <v>5177</v>
      </c>
      <c r="F541" t="s">
        <v>29</v>
      </c>
      <c r="G541" t="s">
        <v>67</v>
      </c>
      <c r="H541" t="s">
        <v>234</v>
      </c>
      <c r="I541" t="s">
        <v>196</v>
      </c>
      <c r="J541" t="s">
        <v>517</v>
      </c>
      <c r="K541" t="s">
        <v>5178</v>
      </c>
      <c r="L541" t="s">
        <v>88</v>
      </c>
      <c r="M541" t="s">
        <v>105</v>
      </c>
      <c r="N541" t="s">
        <v>4815</v>
      </c>
      <c r="O541" t="s">
        <v>585</v>
      </c>
      <c r="P541" t="s">
        <v>140</v>
      </c>
      <c r="Q541" t="s">
        <v>90</v>
      </c>
      <c r="R541" t="s">
        <v>1676</v>
      </c>
      <c r="S541" t="s">
        <v>5179</v>
      </c>
      <c r="T541" t="s">
        <v>5180</v>
      </c>
      <c r="U541" t="s">
        <v>43</v>
      </c>
      <c r="V541" t="s">
        <v>5181</v>
      </c>
      <c r="W541" t="s">
        <v>5182</v>
      </c>
      <c r="Y541" t="str">
        <f>HYPERLINK("https://recruiter.shine.com/resume/download/?resumeid=gAAAAABbk2UNOdUDpVt1X0g0K2LTkgygIG7pl5SS3wBX603q9Fm1a79Vo8AjBfDCFv0mug_utfKPGOtMj3P31hiP6dMoL1AjLv2b5PS9o5JzBuPhX6wCzGtc3kESD5kmhqJ9a-lmsNIn9a87qS4i_6SYclK12JafraHc2fOZGPHpGysj5_Zqq4Q=")</f>
        <v>https://recruiter.shine.com/resume/download/?resumeid=gAAAAABbk2UNOdUDpVt1X0g0K2LTkgygIG7pl5SS3wBX603q9Fm1a79Vo8AjBfDCFv0mug_utfKPGOtMj3P31hiP6dMoL1AjLv2b5PS9o5JzBuPhX6wCzGtc3kESD5kmhqJ9a-lmsNIn9a87qS4i_6SYclK12JafraHc2fOZGPHpGysj5_Zqq4Q=</v>
      </c>
    </row>
    <row r="542" spans="1:25" ht="39.950000000000003" customHeight="1">
      <c r="A542">
        <v>538</v>
      </c>
      <c r="B542" t="s">
        <v>5183</v>
      </c>
      <c r="C542" t="s">
        <v>5184</v>
      </c>
      <c r="D542" t="s">
        <v>5185</v>
      </c>
      <c r="E542" t="s">
        <v>5186</v>
      </c>
      <c r="F542" t="s">
        <v>29</v>
      </c>
      <c r="G542" t="s">
        <v>5187</v>
      </c>
      <c r="H542" t="s">
        <v>31</v>
      </c>
      <c r="I542" t="s">
        <v>568</v>
      </c>
      <c r="J542" t="s">
        <v>3925</v>
      </c>
      <c r="K542" t="s">
        <v>5188</v>
      </c>
      <c r="L542" t="s">
        <v>155</v>
      </c>
      <c r="M542" t="s">
        <v>105</v>
      </c>
      <c r="N542" t="s">
        <v>5189</v>
      </c>
      <c r="O542" t="s">
        <v>38</v>
      </c>
      <c r="P542" t="s">
        <v>39</v>
      </c>
      <c r="Q542" t="s">
        <v>158</v>
      </c>
      <c r="R542" t="s">
        <v>159</v>
      </c>
      <c r="S542" t="s">
        <v>1516</v>
      </c>
      <c r="T542" t="s">
        <v>1921</v>
      </c>
      <c r="U542" t="s">
        <v>43</v>
      </c>
      <c r="V542" t="s">
        <v>5190</v>
      </c>
      <c r="W542" t="s">
        <v>5191</v>
      </c>
      <c r="Y542" t="str">
        <f>HYPERLINK("https://recruiter.shine.com/resume/download/?resumeid=gAAAAABbk2ULMqwWiO7l9no2UJIC96yPBQpru65aESa72RsDnvWp38MxKOwjYagvQg7AAm8SiL7sAUurIEfGlpsCLDkxBGawYq07um0ssQh3V1gmUz4FFwoUpamh2ncQV5uhsQGIzNxQ")</f>
        <v>https://recruiter.shine.com/resume/download/?resumeid=gAAAAABbk2ULMqwWiO7l9no2UJIC96yPBQpru65aESa72RsDnvWp38MxKOwjYagvQg7AAm8SiL7sAUurIEfGlpsCLDkxBGawYq07um0ssQh3V1gmUz4FFwoUpamh2ncQV5uhsQGIzNxQ</v>
      </c>
    </row>
    <row r="543" spans="1:25" ht="39.950000000000003" customHeight="1">
      <c r="A543">
        <v>539</v>
      </c>
      <c r="B543" t="s">
        <v>5192</v>
      </c>
      <c r="C543" t="s">
        <v>5193</v>
      </c>
      <c r="D543" t="s">
        <v>5194</v>
      </c>
      <c r="E543" t="s">
        <v>5195</v>
      </c>
      <c r="F543" t="s">
        <v>29</v>
      </c>
      <c r="G543" t="s">
        <v>5196</v>
      </c>
      <c r="H543" t="s">
        <v>31</v>
      </c>
      <c r="I543" t="s">
        <v>4124</v>
      </c>
      <c r="J543" t="s">
        <v>3214</v>
      </c>
      <c r="K543" t="s">
        <v>5197</v>
      </c>
      <c r="L543" t="s">
        <v>266</v>
      </c>
      <c r="M543" t="s">
        <v>105</v>
      </c>
      <c r="N543" t="s">
        <v>5198</v>
      </c>
      <c r="O543" t="s">
        <v>56</v>
      </c>
      <c r="P543" t="s">
        <v>57</v>
      </c>
      <c r="Q543" t="s">
        <v>107</v>
      </c>
      <c r="R543" t="s">
        <v>341</v>
      </c>
      <c r="S543" t="s">
        <v>5199</v>
      </c>
      <c r="T543" t="s">
        <v>110</v>
      </c>
      <c r="U543" t="s">
        <v>43</v>
      </c>
      <c r="V543" t="s">
        <v>5200</v>
      </c>
      <c r="W543" t="s">
        <v>5201</v>
      </c>
      <c r="Y543" t="str">
        <f>HYPERLINK("https://recruiter.shine.com/resume/download/?resumeid=gAAAAABbk2UMcrUvs5EczDqWK_2lQrjnA8OgRCB285i_XSik6beQFdKQylHYGszM4D16jZ5-YLqcExljR82pFD5UpuMIqJVUUKHKj6TvOUg69Zw7-wxiI4YTQ7yMnrLilLBLo4gzWfhBMZ2GSSH09b7q6RWpap-I3A==")</f>
        <v>https://recruiter.shine.com/resume/download/?resumeid=gAAAAABbk2UMcrUvs5EczDqWK_2lQrjnA8OgRCB285i_XSik6beQFdKQylHYGszM4D16jZ5-YLqcExljR82pFD5UpuMIqJVUUKHKj6TvOUg69Zw7-wxiI4YTQ7yMnrLilLBLo4gzWfhBMZ2GSSH09b7q6RWpap-I3A==</v>
      </c>
    </row>
    <row r="544" spans="1:25" ht="39.950000000000003" customHeight="1">
      <c r="A544">
        <v>540</v>
      </c>
      <c r="B544" t="s">
        <v>5202</v>
      </c>
      <c r="D544" t="s">
        <v>5203</v>
      </c>
      <c r="E544" t="s">
        <v>5204</v>
      </c>
      <c r="F544" t="s">
        <v>29</v>
      </c>
      <c r="G544" t="s">
        <v>5205</v>
      </c>
      <c r="H544" t="s">
        <v>234</v>
      </c>
      <c r="I544" t="s">
        <v>5206</v>
      </c>
      <c r="J544" t="s">
        <v>4553</v>
      </c>
      <c r="K544" t="s">
        <v>5207</v>
      </c>
      <c r="L544" t="s">
        <v>5208</v>
      </c>
      <c r="M544" t="s">
        <v>54</v>
      </c>
      <c r="N544" t="s">
        <v>534</v>
      </c>
      <c r="O544" t="s">
        <v>186</v>
      </c>
      <c r="Q544" t="s">
        <v>2149</v>
      </c>
      <c r="R544" t="s">
        <v>2150</v>
      </c>
      <c r="S544" t="s">
        <v>5209</v>
      </c>
      <c r="T544" t="s">
        <v>304</v>
      </c>
      <c r="U544" t="s">
        <v>43</v>
      </c>
      <c r="V544" t="s">
        <v>5210</v>
      </c>
      <c r="W544" t="s">
        <v>5211</v>
      </c>
      <c r="Y544" t="str">
        <f>HYPERLINK("https://recruiter.shine.com/resume/download/?resumeid=gAAAAABbk2UNjDyTVrxFW8U1n3TZ5i4WR6_TEgawja-KyEVinSIRNEZM4ypRPMvDdVSD5HvbIoRPwAtE1U98ADWEGdY3ykQ5k-aUjdxK159w4bpuMW1eC2tjDvPstnUtolGUu7QXQXGs0bF0-WaToWB59GOEsUj9Bw==")</f>
        <v>https://recruiter.shine.com/resume/download/?resumeid=gAAAAABbk2UNjDyTVrxFW8U1n3TZ5i4WR6_TEgawja-KyEVinSIRNEZM4ypRPMvDdVSD5HvbIoRPwAtE1U98ADWEGdY3ykQ5k-aUjdxK159w4bpuMW1eC2tjDvPstnUtolGUu7QXQXGs0bF0-WaToWB59GOEsUj9Bw==</v>
      </c>
    </row>
    <row r="545" spans="1:25" ht="39.950000000000003" customHeight="1">
      <c r="A545">
        <v>541</v>
      </c>
      <c r="B545" t="s">
        <v>5212</v>
      </c>
      <c r="C545" t="s">
        <v>5213</v>
      </c>
      <c r="D545" t="s">
        <v>5214</v>
      </c>
      <c r="E545" t="s">
        <v>5215</v>
      </c>
      <c r="F545" t="s">
        <v>29</v>
      </c>
      <c r="G545" t="s">
        <v>29</v>
      </c>
      <c r="H545" t="s">
        <v>234</v>
      </c>
      <c r="I545" t="s">
        <v>208</v>
      </c>
      <c r="J545" t="s">
        <v>871</v>
      </c>
      <c r="K545" t="s">
        <v>5216</v>
      </c>
      <c r="L545" t="s">
        <v>3109</v>
      </c>
      <c r="M545" t="s">
        <v>172</v>
      </c>
      <c r="N545" t="s">
        <v>5217</v>
      </c>
      <c r="O545" t="s">
        <v>186</v>
      </c>
      <c r="P545" t="s">
        <v>57</v>
      </c>
      <c r="Q545" t="s">
        <v>40</v>
      </c>
      <c r="R545" t="s">
        <v>760</v>
      </c>
      <c r="S545" t="s">
        <v>5218</v>
      </c>
      <c r="U545" t="s">
        <v>127</v>
      </c>
      <c r="V545" t="s">
        <v>5219</v>
      </c>
      <c r="W545" t="s">
        <v>5220</v>
      </c>
      <c r="Y545" t="str">
        <f>HYPERLINK("https://recruiter.shine.com/resume/download/?resumeid=gAAAAABbk2ULNpeXJNx6TQgeG5F4_Bn-_tVujbjU4CvGEr_q4m4PFgxLCRjFuq9QeJrbrYTAMeSA35_N8yqqPiWWk5zKzE5N92Uyy7ASHHgC46BxK-7qncjjiJCgZ7S7DVo7am2tvl2-")</f>
        <v>https://recruiter.shine.com/resume/download/?resumeid=gAAAAABbk2ULNpeXJNx6TQgeG5F4_Bn-_tVujbjU4CvGEr_q4m4PFgxLCRjFuq9QeJrbrYTAMeSA35_N8yqqPiWWk5zKzE5N92Uyy7ASHHgC46BxK-7qncjjiJCgZ7S7DVo7am2tvl2-</v>
      </c>
    </row>
    <row r="546" spans="1:25" ht="39.950000000000003" customHeight="1">
      <c r="A546">
        <v>542</v>
      </c>
      <c r="B546" t="s">
        <v>5221</v>
      </c>
      <c r="C546" t="s">
        <v>5222</v>
      </c>
      <c r="D546" t="s">
        <v>5223</v>
      </c>
      <c r="E546" t="s">
        <v>5224</v>
      </c>
      <c r="F546" t="s">
        <v>29</v>
      </c>
      <c r="G546" t="s">
        <v>29</v>
      </c>
      <c r="H546" t="s">
        <v>31</v>
      </c>
      <c r="I546" t="s">
        <v>5225</v>
      </c>
      <c r="J546" t="s">
        <v>2883</v>
      </c>
      <c r="K546" t="s">
        <v>5226</v>
      </c>
      <c r="L546" t="s">
        <v>266</v>
      </c>
      <c r="M546" t="s">
        <v>105</v>
      </c>
      <c r="N546" t="s">
        <v>5227</v>
      </c>
      <c r="O546" t="s">
        <v>224</v>
      </c>
      <c r="P546" t="s">
        <v>57</v>
      </c>
      <c r="Q546" t="s">
        <v>365</v>
      </c>
      <c r="R546" t="s">
        <v>41</v>
      </c>
      <c r="S546" t="s">
        <v>5228</v>
      </c>
      <c r="T546" t="s">
        <v>1137</v>
      </c>
      <c r="U546" t="s">
        <v>43</v>
      </c>
      <c r="V546" t="s">
        <v>5229</v>
      </c>
      <c r="W546" t="s">
        <v>5230</v>
      </c>
      <c r="Y546" t="str">
        <f>HYPERLINK("https://recruiter.shine.com/resume/download/?resumeid=gAAAAABbk2UM2szaN1ufVkT2NR_1P5OqpZKMKjtXtKX9VMif9NrCZ8BtZnI_QsmurpH1wRqAQnWOK96f3xjpVtuYjEOc-o8xPKGtDE_yIXibv3LTtk_ckW0L7y3zB3YduAFgaRNk0rbAwUwyTiCtyFLO7Rs1OPyWNA==")</f>
        <v>https://recruiter.shine.com/resume/download/?resumeid=gAAAAABbk2UM2szaN1ufVkT2NR_1P5OqpZKMKjtXtKX9VMif9NrCZ8BtZnI_QsmurpH1wRqAQnWOK96f3xjpVtuYjEOc-o8xPKGtDE_yIXibv3LTtk_ckW0L7y3zB3YduAFgaRNk0rbAwUwyTiCtyFLO7Rs1OPyWNA==</v>
      </c>
    </row>
    <row r="547" spans="1:25" ht="39.950000000000003" customHeight="1">
      <c r="A547">
        <v>543</v>
      </c>
      <c r="B547" t="s">
        <v>5231</v>
      </c>
      <c r="C547" t="s">
        <v>5232</v>
      </c>
      <c r="D547" t="s">
        <v>5233</v>
      </c>
      <c r="E547" t="s">
        <v>5234</v>
      </c>
      <c r="F547" t="s">
        <v>29</v>
      </c>
      <c r="G547" t="s">
        <v>67</v>
      </c>
      <c r="H547" t="s">
        <v>31</v>
      </c>
      <c r="I547" t="s">
        <v>362</v>
      </c>
      <c r="J547" t="s">
        <v>135</v>
      </c>
      <c r="K547" t="s">
        <v>5235</v>
      </c>
      <c r="L547" t="s">
        <v>664</v>
      </c>
      <c r="M547" t="s">
        <v>36</v>
      </c>
      <c r="N547" t="s">
        <v>5236</v>
      </c>
      <c r="O547" t="s">
        <v>186</v>
      </c>
      <c r="P547" t="s">
        <v>73</v>
      </c>
      <c r="Q547" t="s">
        <v>107</v>
      </c>
      <c r="R547" t="s">
        <v>341</v>
      </c>
      <c r="S547" t="s">
        <v>188</v>
      </c>
      <c r="T547" t="s">
        <v>257</v>
      </c>
      <c r="U547" t="s">
        <v>43</v>
      </c>
      <c r="V547" t="s">
        <v>5237</v>
      </c>
      <c r="W547" t="s">
        <v>5238</v>
      </c>
      <c r="Y547" t="str">
        <f>HYPERLINK("https://recruiter.shine.com/resume/download/?resumeid=gAAAAABbk2UN3xmvg6ySxNNuLn555S1cZqlqlKo2g2jMxrHWvvMpoS5T68hskRfck9U0urLxjfevVLEE-TpDP4totXLdKE0Y4p7dDaDPAH2WYS49cGYx8cQqsXeoXSQ-3oatfaIRNrMSGov6yv_ER7xoRk7yDnWrNQ==")</f>
        <v>https://recruiter.shine.com/resume/download/?resumeid=gAAAAABbk2UN3xmvg6ySxNNuLn555S1cZqlqlKo2g2jMxrHWvvMpoS5T68hskRfck9U0urLxjfevVLEE-TpDP4totXLdKE0Y4p7dDaDPAH2WYS49cGYx8cQqsXeoXSQ-3oatfaIRNrMSGov6yv_ER7xoRk7yDnWrNQ==</v>
      </c>
    </row>
    <row r="548" spans="1:25" ht="39.950000000000003" customHeight="1">
      <c r="A548">
        <v>544</v>
      </c>
      <c r="B548" t="s">
        <v>5239</v>
      </c>
      <c r="C548" t="s">
        <v>5240</v>
      </c>
      <c r="D548" t="s">
        <v>5241</v>
      </c>
      <c r="E548" t="s">
        <v>5242</v>
      </c>
      <c r="F548" t="s">
        <v>29</v>
      </c>
      <c r="G548" t="s">
        <v>5243</v>
      </c>
      <c r="H548" t="s">
        <v>31</v>
      </c>
      <c r="I548" t="s">
        <v>448</v>
      </c>
      <c r="J548" t="s">
        <v>935</v>
      </c>
      <c r="K548" t="s">
        <v>5244</v>
      </c>
      <c r="L548" t="s">
        <v>794</v>
      </c>
      <c r="M548" t="s">
        <v>684</v>
      </c>
      <c r="N548" t="s">
        <v>5245</v>
      </c>
      <c r="O548" t="s">
        <v>224</v>
      </c>
      <c r="P548" t="s">
        <v>57</v>
      </c>
      <c r="Q548" t="s">
        <v>365</v>
      </c>
      <c r="R548" t="s">
        <v>2230</v>
      </c>
      <c r="S548" t="s">
        <v>5246</v>
      </c>
      <c r="T548" t="s">
        <v>761</v>
      </c>
      <c r="U548" t="s">
        <v>43</v>
      </c>
      <c r="V548" t="s">
        <v>5247</v>
      </c>
      <c r="W548" t="s">
        <v>5248</v>
      </c>
      <c r="Y548" t="str">
        <f>HYPERLINK("https://recruiter.shine.com/resume/download/?resumeid=gAAAAABbk2ULOJtlvFoVoIfewtVrw94IW_3B9zvnWwgRiFHeWDISOWSw6Zc1YSwcPZlorrOF7pSudu1fF7_V-nQrgVLX34brTvCUOmIs2tq7rjrVCE90-F0ah-Q_rYhmo2wIbwx9YbAC")</f>
        <v>https://recruiter.shine.com/resume/download/?resumeid=gAAAAABbk2ULOJtlvFoVoIfewtVrw94IW_3B9zvnWwgRiFHeWDISOWSw6Zc1YSwcPZlorrOF7pSudu1fF7_V-nQrgVLX34brTvCUOmIs2tq7rjrVCE90-F0ah-Q_rYhmo2wIbwx9YbAC</v>
      </c>
    </row>
    <row r="549" spans="1:25" ht="39.950000000000003" customHeight="1">
      <c r="A549">
        <v>545</v>
      </c>
      <c r="B549" t="s">
        <v>5249</v>
      </c>
      <c r="C549" t="s">
        <v>5250</v>
      </c>
      <c r="D549" t="s">
        <v>5251</v>
      </c>
      <c r="E549" t="s">
        <v>5252</v>
      </c>
      <c r="F549" t="s">
        <v>249</v>
      </c>
      <c r="G549" t="s">
        <v>922</v>
      </c>
      <c r="H549" t="s">
        <v>31</v>
      </c>
      <c r="I549" t="s">
        <v>836</v>
      </c>
      <c r="J549" t="s">
        <v>251</v>
      </c>
      <c r="K549" t="s">
        <v>5031</v>
      </c>
      <c r="L549" t="s">
        <v>199</v>
      </c>
      <c r="M549" t="s">
        <v>36</v>
      </c>
      <c r="N549" t="s">
        <v>5253</v>
      </c>
      <c r="O549" t="s">
        <v>585</v>
      </c>
      <c r="P549" t="s">
        <v>57</v>
      </c>
      <c r="Q549" t="s">
        <v>158</v>
      </c>
      <c r="R549" t="s">
        <v>341</v>
      </c>
      <c r="S549" t="s">
        <v>5254</v>
      </c>
      <c r="T549" t="s">
        <v>144</v>
      </c>
      <c r="U549" t="s">
        <v>43</v>
      </c>
      <c r="V549" t="s">
        <v>5255</v>
      </c>
      <c r="W549" t="s">
        <v>5256</v>
      </c>
      <c r="Y549" t="str">
        <f>HYPERLINK("https://recruiter.shine.com/resume/download/?resumeid=gAAAAABbk2UNq_xjgIWnRUCD44GNSsYCvI8c8MKioZHneaDaFZqMcmd9gcWM_LcDtSxiirCC7sLCReeLiZMsmg3GT5KU8MyzbXqBI7OhePsJ-I4KFoPciKKZuVTOBO-2piHBVz_9oa-XSXY2P5mRck0os1F3Apb0hw==")</f>
        <v>https://recruiter.shine.com/resume/download/?resumeid=gAAAAABbk2UNq_xjgIWnRUCD44GNSsYCvI8c8MKioZHneaDaFZqMcmd9gcWM_LcDtSxiirCC7sLCReeLiZMsmg3GT5KU8MyzbXqBI7OhePsJ-I4KFoPciKKZuVTOBO-2piHBVz_9oa-XSXY2P5mRck0os1F3Apb0hw==</v>
      </c>
    </row>
    <row r="550" spans="1:25" ht="39.950000000000003" customHeight="1">
      <c r="A550">
        <v>546</v>
      </c>
      <c r="B550" t="s">
        <v>5257</v>
      </c>
      <c r="D550" t="s">
        <v>5258</v>
      </c>
      <c r="E550" t="s">
        <v>5259</v>
      </c>
      <c r="F550" t="s">
        <v>29</v>
      </c>
      <c r="G550" t="s">
        <v>67</v>
      </c>
      <c r="I550" t="s">
        <v>1122</v>
      </c>
      <c r="J550" t="s">
        <v>135</v>
      </c>
      <c r="K550" t="s">
        <v>5260</v>
      </c>
      <c r="L550" t="s">
        <v>596</v>
      </c>
      <c r="M550" t="s">
        <v>105</v>
      </c>
      <c r="N550" t="s">
        <v>5261</v>
      </c>
      <c r="O550" t="s">
        <v>186</v>
      </c>
      <c r="Q550" t="s">
        <v>699</v>
      </c>
      <c r="R550" t="s">
        <v>59</v>
      </c>
      <c r="S550" t="s">
        <v>5262</v>
      </c>
      <c r="T550" t="s">
        <v>126</v>
      </c>
      <c r="U550" t="s">
        <v>43</v>
      </c>
      <c r="V550" t="s">
        <v>5263</v>
      </c>
      <c r="W550" t="s">
        <v>5263</v>
      </c>
      <c r="Y550" t="str">
        <f>HYPERLINK("https://recruiter.shine.com/resume/download/?resumeid=gAAAAABbk2UNXYBgtwXlvJXloXclvWW-D1XeDvBTxrsqtYcWg3WhMu34MHBhEmFw6cKyfspKHuq__lKOLUtLCLES6LNeoJDhPsHHdMnuoBfiv53LuSn6Kj05rkXDf9XGSwJk7VVCCfuTTB17HUNqOgaARi0HSABKM7khbgyytJ77VEMLaCy9Y1U=")</f>
        <v>https://recruiter.shine.com/resume/download/?resumeid=gAAAAABbk2UNXYBgtwXlvJXloXclvWW-D1XeDvBTxrsqtYcWg3WhMu34MHBhEmFw6cKyfspKHuq__lKOLUtLCLES6LNeoJDhPsHHdMnuoBfiv53LuSn6Kj05rkXDf9XGSwJk7VVCCfuTTB17HUNqOgaARi0HSABKM7khbgyytJ77VEMLaCy9Y1U=</v>
      </c>
    </row>
    <row r="551" spans="1:25" ht="39.950000000000003" customHeight="1">
      <c r="A551">
        <v>547</v>
      </c>
      <c r="B551" t="s">
        <v>5264</v>
      </c>
      <c r="C551" t="s">
        <v>5265</v>
      </c>
      <c r="D551" t="s">
        <v>5266</v>
      </c>
      <c r="E551" t="s">
        <v>5267</v>
      </c>
      <c r="F551" t="s">
        <v>29</v>
      </c>
      <c r="G551" t="s">
        <v>5268</v>
      </c>
      <c r="H551" t="s">
        <v>31</v>
      </c>
      <c r="I551" t="s">
        <v>208</v>
      </c>
      <c r="J551" t="s">
        <v>5269</v>
      </c>
      <c r="K551" t="s">
        <v>2825</v>
      </c>
      <c r="L551" t="s">
        <v>88</v>
      </c>
      <c r="M551" t="s">
        <v>684</v>
      </c>
      <c r="N551" t="s">
        <v>5270</v>
      </c>
      <c r="O551" t="s">
        <v>186</v>
      </c>
      <c r="P551" t="s">
        <v>57</v>
      </c>
      <c r="Q551" t="s">
        <v>90</v>
      </c>
      <c r="R551" t="s">
        <v>91</v>
      </c>
      <c r="S551" t="s">
        <v>5271</v>
      </c>
      <c r="T551" t="s">
        <v>61</v>
      </c>
      <c r="U551" t="s">
        <v>127</v>
      </c>
      <c r="V551" t="s">
        <v>5272</v>
      </c>
      <c r="W551" t="s">
        <v>5272</v>
      </c>
      <c r="Y551" t="str">
        <f>HYPERLINK("https://recruiter.shine.com/resume/download/?resumeid=gAAAAABbk2ULtjJDaG4DgxMuHBt3HkHiFPFIlIddAB7KPB154aYU5Ib2M0yRkCUeuIyqlLoa-uwiJqT75tGomTKR92LB9SxJRuSOwqqzwhJs0qMpk3eAPz1KR7FM_0nz3Wkp67VxbWzr")</f>
        <v>https://recruiter.shine.com/resume/download/?resumeid=gAAAAABbk2ULtjJDaG4DgxMuHBt3HkHiFPFIlIddAB7KPB154aYU5Ib2M0yRkCUeuIyqlLoa-uwiJqT75tGomTKR92LB9SxJRuSOwqqzwhJs0qMpk3eAPz1KR7FM_0nz3Wkp67VxbWzr</v>
      </c>
    </row>
    <row r="552" spans="1:25" ht="39.950000000000003" customHeight="1">
      <c r="A552">
        <v>548</v>
      </c>
      <c r="B552" t="s">
        <v>5273</v>
      </c>
      <c r="C552" t="s">
        <v>5274</v>
      </c>
      <c r="D552" t="s">
        <v>5275</v>
      </c>
      <c r="E552" t="s">
        <v>5276</v>
      </c>
      <c r="F552" t="s">
        <v>29</v>
      </c>
      <c r="G552" t="s">
        <v>5277</v>
      </c>
      <c r="H552" t="s">
        <v>234</v>
      </c>
      <c r="I552" t="s">
        <v>836</v>
      </c>
      <c r="J552" t="s">
        <v>801</v>
      </c>
      <c r="K552" t="s">
        <v>5278</v>
      </c>
      <c r="L552" t="s">
        <v>137</v>
      </c>
      <c r="M552" t="s">
        <v>121</v>
      </c>
      <c r="N552" t="s">
        <v>5279</v>
      </c>
      <c r="O552" t="s">
        <v>56</v>
      </c>
      <c r="P552" t="s">
        <v>57</v>
      </c>
      <c r="Q552" t="s">
        <v>783</v>
      </c>
      <c r="R552" t="s">
        <v>5280</v>
      </c>
      <c r="S552" t="s">
        <v>5281</v>
      </c>
      <c r="T552" t="s">
        <v>687</v>
      </c>
      <c r="U552" t="s">
        <v>43</v>
      </c>
      <c r="V552" t="s">
        <v>5282</v>
      </c>
      <c r="W552" t="s">
        <v>5283</v>
      </c>
      <c r="Y552" t="str">
        <f>HYPERLINK("https://recruiter.shine.com/resume/download/?resumeid=gAAAAABbk2UM7QwmpjQwQCgM0atRJh6OKPrfgEhKzjWLnjg5nR7ivMMyFfrPRuAZgBYuTy9mPKNITzCPSaDLYUNiO2TzN8XEZVj-Pi79tAJEbBN4aPk4MEl7YiGvId4XEDsvX99jW79bJbCtO3x9ayzzVEDem-3rfu1B5hVrNoQdaX8WlEQ8KkI=")</f>
        <v>https://recruiter.shine.com/resume/download/?resumeid=gAAAAABbk2UM7QwmpjQwQCgM0atRJh6OKPrfgEhKzjWLnjg5nR7ivMMyFfrPRuAZgBYuTy9mPKNITzCPSaDLYUNiO2TzN8XEZVj-Pi79tAJEbBN4aPk4MEl7YiGvId4XEDsvX99jW79bJbCtO3x9ayzzVEDem-3rfu1B5hVrNoQdaX8WlEQ8KkI=</v>
      </c>
    </row>
    <row r="553" spans="1:25" ht="39.950000000000003" customHeight="1">
      <c r="A553">
        <v>549</v>
      </c>
      <c r="B553" t="s">
        <v>5284</v>
      </c>
      <c r="D553" t="s">
        <v>5285</v>
      </c>
      <c r="E553" t="s">
        <v>5286</v>
      </c>
      <c r="F553" t="s">
        <v>249</v>
      </c>
      <c r="G553" t="s">
        <v>5287</v>
      </c>
      <c r="H553" t="s">
        <v>31</v>
      </c>
      <c r="I553" t="s">
        <v>825</v>
      </c>
      <c r="J553" t="s">
        <v>153</v>
      </c>
      <c r="K553" t="s">
        <v>5288</v>
      </c>
      <c r="L553" t="s">
        <v>155</v>
      </c>
      <c r="M553" t="s">
        <v>684</v>
      </c>
      <c r="N553" t="s">
        <v>5289</v>
      </c>
      <c r="O553" t="s">
        <v>585</v>
      </c>
      <c r="Q553" t="s">
        <v>107</v>
      </c>
      <c r="R553" t="s">
        <v>341</v>
      </c>
      <c r="S553" t="s">
        <v>5290</v>
      </c>
      <c r="T553" t="s">
        <v>61</v>
      </c>
      <c r="U553" t="s">
        <v>43</v>
      </c>
      <c r="V553" t="s">
        <v>5291</v>
      </c>
      <c r="W553" t="s">
        <v>5292</v>
      </c>
      <c r="Y553" t="str">
        <f>HYPERLINK("https://recruiter.shine.com/resume/download/?resumeid=gAAAAABbk2UNzm790o6mFy7JGMJJBpxEs__UTKpfHAeBLymHlJ6QPlugK1Orc5Uqc923Mm4Y7Rx_QMCvCx_eKfQWNnuT-xPtkgohOqMktGaGVClfmr85cYgBCtmOFL8y5tSfARZyE-WdeDYjF1t_DnDFYioDA0TD_g==")</f>
        <v>https://recruiter.shine.com/resume/download/?resumeid=gAAAAABbk2UNzm790o6mFy7JGMJJBpxEs__UTKpfHAeBLymHlJ6QPlugK1Orc5Uqc923Mm4Y7Rx_QMCvCx_eKfQWNnuT-xPtkgohOqMktGaGVClfmr85cYgBCtmOFL8y5tSfARZyE-WdeDYjF1t_DnDFYioDA0TD_g==</v>
      </c>
    </row>
    <row r="554" spans="1:25" ht="39.950000000000003" customHeight="1">
      <c r="A554">
        <v>550</v>
      </c>
      <c r="B554" t="s">
        <v>5293</v>
      </c>
      <c r="D554" t="s">
        <v>5294</v>
      </c>
      <c r="E554" t="s">
        <v>5295</v>
      </c>
      <c r="F554" t="s">
        <v>29</v>
      </c>
      <c r="G554" t="s">
        <v>29</v>
      </c>
      <c r="H554" t="s">
        <v>234</v>
      </c>
      <c r="I554" t="s">
        <v>208</v>
      </c>
      <c r="J554" t="s">
        <v>5039</v>
      </c>
      <c r="K554" t="s">
        <v>1454</v>
      </c>
      <c r="L554" t="s">
        <v>5296</v>
      </c>
      <c r="M554" t="s">
        <v>105</v>
      </c>
      <c r="N554" t="s">
        <v>5297</v>
      </c>
      <c r="O554" t="s">
        <v>585</v>
      </c>
      <c r="P554" t="s">
        <v>940</v>
      </c>
      <c r="Q554" t="s">
        <v>107</v>
      </c>
      <c r="R554" t="s">
        <v>108</v>
      </c>
      <c r="S554" t="s">
        <v>5298</v>
      </c>
      <c r="T554" t="s">
        <v>161</v>
      </c>
      <c r="U554" t="s">
        <v>43</v>
      </c>
      <c r="V554" t="s">
        <v>5299</v>
      </c>
      <c r="W554" t="s">
        <v>5300</v>
      </c>
      <c r="Y554" t="str">
        <f>HYPERLINK("https://recruiter.shine.com/resume/download/?resumeid=gAAAAABbk2ULls2rx6WfvpqWUALytAhFBWNdKaWQ2xjlnUs7VjrRiqjdUqlChe1X3_R3wlkQlF7s2JDlB7XfYMLnaVPhIXUWWX4WA2XcWXPJyI9dRYiKitw9M7nKfL3-fTDFznJgFCL4")</f>
        <v>https://recruiter.shine.com/resume/download/?resumeid=gAAAAABbk2ULls2rx6WfvpqWUALytAhFBWNdKaWQ2xjlnUs7VjrRiqjdUqlChe1X3_R3wlkQlF7s2JDlB7XfYMLnaVPhIXUWWX4WA2XcWXPJyI9dRYiKitw9M7nKfL3-fTDFznJgFCL4</v>
      </c>
    </row>
    <row r="555" spans="1:25" ht="39.950000000000003" customHeight="1">
      <c r="A555">
        <v>551</v>
      </c>
      <c r="B555" t="s">
        <v>5301</v>
      </c>
      <c r="D555" t="s">
        <v>5302</v>
      </c>
      <c r="E555" t="s">
        <v>5303</v>
      </c>
      <c r="F555" t="s">
        <v>29</v>
      </c>
      <c r="G555" t="s">
        <v>29</v>
      </c>
      <c r="H555" t="s">
        <v>31</v>
      </c>
      <c r="I555" t="s">
        <v>362</v>
      </c>
      <c r="J555" t="s">
        <v>135</v>
      </c>
      <c r="L555" t="s">
        <v>363</v>
      </c>
      <c r="M555" t="s">
        <v>364</v>
      </c>
      <c r="Q555" t="s">
        <v>365</v>
      </c>
      <c r="R555" t="s">
        <v>41</v>
      </c>
      <c r="S555" t="s">
        <v>5304</v>
      </c>
      <c r="U555" t="s">
        <v>43</v>
      </c>
      <c r="V555" t="s">
        <v>5305</v>
      </c>
      <c r="W555" t="s">
        <v>5305</v>
      </c>
      <c r="Y555" t="str">
        <f>HYPERLINK("https://recruiter.shine.com/resume/download/?resumeid=gAAAAABbk2UMWK5iLvQSzp81SNU6EMDSVRb08QIO8nlBKDMieKK8dvFEO6jLKn4JQp1zG9PJzegk7s2CiPG7h8Nu6cCgmnz9xEmHAWJGObGuF3jBAuGMxNgaSVOtc5FUEsb5zy-hWNjpkP91L5i2RFKIVWROaEZdhg==")</f>
        <v>https://recruiter.shine.com/resume/download/?resumeid=gAAAAABbk2UMWK5iLvQSzp81SNU6EMDSVRb08QIO8nlBKDMieKK8dvFEO6jLKn4JQp1zG9PJzegk7s2CiPG7h8Nu6cCgmnz9xEmHAWJGObGuF3jBAuGMxNgaSVOtc5FUEsb5zy-hWNjpkP91L5i2RFKIVWROaEZdhg==</v>
      </c>
    </row>
    <row r="556" spans="1:25" ht="39.950000000000003" customHeight="1">
      <c r="A556">
        <v>552</v>
      </c>
      <c r="B556" t="s">
        <v>5306</v>
      </c>
      <c r="C556" t="s">
        <v>5307</v>
      </c>
      <c r="D556" t="s">
        <v>5308</v>
      </c>
      <c r="E556" t="s">
        <v>5309</v>
      </c>
      <c r="F556" t="s">
        <v>29</v>
      </c>
      <c r="G556" t="s">
        <v>67</v>
      </c>
      <c r="H556" t="s">
        <v>31</v>
      </c>
      <c r="I556" t="s">
        <v>32</v>
      </c>
      <c r="J556" t="s">
        <v>715</v>
      </c>
      <c r="K556" t="s">
        <v>5310</v>
      </c>
      <c r="L556" t="s">
        <v>314</v>
      </c>
      <c r="M556" t="s">
        <v>707</v>
      </c>
      <c r="N556" t="s">
        <v>2229</v>
      </c>
      <c r="O556" t="s">
        <v>848</v>
      </c>
      <c r="P556" t="s">
        <v>771</v>
      </c>
      <c r="Q556" t="s">
        <v>365</v>
      </c>
      <c r="R556" t="s">
        <v>476</v>
      </c>
      <c r="S556" t="s">
        <v>5311</v>
      </c>
      <c r="T556" t="s">
        <v>2453</v>
      </c>
      <c r="U556" t="s">
        <v>43</v>
      </c>
      <c r="V556" t="s">
        <v>5312</v>
      </c>
      <c r="W556" t="s">
        <v>5313</v>
      </c>
      <c r="Y556" t="str">
        <f>HYPERLINK("https://recruiter.shine.com/resume/download/?resumeid=gAAAAABbk2UOLfZ6PyivZKL2q5FVOPOFNamMN1jrLqTwhvS74Y6Sy7G_7kPrmHyv8KNykFMZAFzfjNlAPZ9j90B6hfVY1jTpMIKhtULu-wz99ljxjE7AL3KsRESwqusA5OKmpyjxFM7Wjc6gtm1bm9D5FqiVjgPUe3K9BpnFiGUN_JNIWqi-9Kc=")</f>
        <v>https://recruiter.shine.com/resume/download/?resumeid=gAAAAABbk2UOLfZ6PyivZKL2q5FVOPOFNamMN1jrLqTwhvS74Y6Sy7G_7kPrmHyv8KNykFMZAFzfjNlAPZ9j90B6hfVY1jTpMIKhtULu-wz99ljxjE7AL3KsRESwqusA5OKmpyjxFM7Wjc6gtm1bm9D5FqiVjgPUe3K9BpnFiGUN_JNIWqi-9Kc=</v>
      </c>
    </row>
    <row r="557" spans="1:25" ht="39.950000000000003" customHeight="1">
      <c r="A557">
        <v>553</v>
      </c>
      <c r="B557" t="s">
        <v>5314</v>
      </c>
      <c r="C557" t="s">
        <v>5315</v>
      </c>
      <c r="D557" t="s">
        <v>5316</v>
      </c>
      <c r="E557" t="s">
        <v>5317</v>
      </c>
      <c r="F557" t="s">
        <v>29</v>
      </c>
      <c r="G557" t="s">
        <v>5318</v>
      </c>
      <c r="H557" t="s">
        <v>31</v>
      </c>
      <c r="I557" t="s">
        <v>5319</v>
      </c>
      <c r="J557" t="s">
        <v>135</v>
      </c>
      <c r="K557" t="s">
        <v>1609</v>
      </c>
      <c r="L557" t="s">
        <v>266</v>
      </c>
      <c r="M557" t="s">
        <v>105</v>
      </c>
      <c r="N557" t="s">
        <v>5320</v>
      </c>
      <c r="O557" t="s">
        <v>1041</v>
      </c>
      <c r="P557" t="s">
        <v>57</v>
      </c>
      <c r="Q557" t="s">
        <v>107</v>
      </c>
      <c r="R557" t="s">
        <v>559</v>
      </c>
      <c r="S557" t="s">
        <v>5321</v>
      </c>
      <c r="T557" t="s">
        <v>761</v>
      </c>
      <c r="U557" t="s">
        <v>43</v>
      </c>
      <c r="V557" t="s">
        <v>5322</v>
      </c>
      <c r="W557" t="s">
        <v>5323</v>
      </c>
      <c r="Y557" t="str">
        <f>HYPERLINK("https://recruiter.shine.com/resume/download/?resumeid=gAAAAABbk2UKrI6WTdz6XVmVqFf6KDzzY11psCdgxeL4uaGHPUDf5YdZULhEretk468oo1cOskp9_OKz7MpqcuK7faYOnwYq3MtJFjzPA7rwaHOw_Ic9VQIwVLmgR8WgJrrSGikVaf-9")</f>
        <v>https://recruiter.shine.com/resume/download/?resumeid=gAAAAABbk2UKrI6WTdz6XVmVqFf6KDzzY11psCdgxeL4uaGHPUDf5YdZULhEretk468oo1cOskp9_OKz7MpqcuK7faYOnwYq3MtJFjzPA7rwaHOw_Ic9VQIwVLmgR8WgJrrSGikVaf-9</v>
      </c>
    </row>
    <row r="558" spans="1:25" ht="39.950000000000003" customHeight="1">
      <c r="A558">
        <v>554</v>
      </c>
      <c r="B558" t="s">
        <v>5324</v>
      </c>
      <c r="C558" t="s">
        <v>5325</v>
      </c>
      <c r="D558" t="s">
        <v>5326</v>
      </c>
      <c r="E558" t="s">
        <v>5327</v>
      </c>
      <c r="F558" t="s">
        <v>29</v>
      </c>
      <c r="G558" t="s">
        <v>29</v>
      </c>
      <c r="H558" t="s">
        <v>234</v>
      </c>
      <c r="I558" t="s">
        <v>2188</v>
      </c>
      <c r="J558" t="s">
        <v>135</v>
      </c>
      <c r="K558" t="s">
        <v>5328</v>
      </c>
      <c r="L558" t="s">
        <v>970</v>
      </c>
      <c r="M558" t="s">
        <v>121</v>
      </c>
      <c r="N558" t="s">
        <v>5329</v>
      </c>
      <c r="O558" t="s">
        <v>186</v>
      </c>
      <c r="Q558" t="s">
        <v>412</v>
      </c>
      <c r="R558" t="s">
        <v>413</v>
      </c>
      <c r="S558" t="s">
        <v>5330</v>
      </c>
      <c r="T558" t="s">
        <v>441</v>
      </c>
      <c r="U558" t="s">
        <v>43</v>
      </c>
      <c r="V558" t="s">
        <v>5331</v>
      </c>
      <c r="W558" t="s">
        <v>5332</v>
      </c>
      <c r="Y558" t="str">
        <f>HYPERLINK("https://recruiter.shine.com/resume/download/?resumeid=gAAAAABbk2UMPoTa4D4mjjX15WVJviKeE5OuwaQE2yNdVg2ndyL7I-6mzx4Hyj76sX6XbNXDi8wH4xqU_E3YRRz_I2Iza-y-Uc6cEXxRHGTv0zy5KBRknEMxV2SaqoOeHaPnWBUZzUK9z8rtDl3ZrwNBqmO67WuQqmnnYGId-zx1DcleiWTqdZE=")</f>
        <v>https://recruiter.shine.com/resume/download/?resumeid=gAAAAABbk2UMPoTa4D4mjjX15WVJviKeE5OuwaQE2yNdVg2ndyL7I-6mzx4Hyj76sX6XbNXDi8wH4xqU_E3YRRz_I2Iza-y-Uc6cEXxRHGTv0zy5KBRknEMxV2SaqoOeHaPnWBUZzUK9z8rtDl3ZrwNBqmO67WuQqmnnYGId-zx1DcleiWTqdZE=</v>
      </c>
    </row>
    <row r="559" spans="1:25" ht="39.950000000000003" customHeight="1">
      <c r="A559">
        <v>555</v>
      </c>
      <c r="B559" t="s">
        <v>5333</v>
      </c>
      <c r="D559" t="s">
        <v>5334</v>
      </c>
      <c r="E559" t="s">
        <v>5335</v>
      </c>
      <c r="F559" t="s">
        <v>29</v>
      </c>
      <c r="G559" t="s">
        <v>2015</v>
      </c>
      <c r="H559" t="s">
        <v>31</v>
      </c>
      <c r="I559" t="s">
        <v>4760</v>
      </c>
      <c r="J559" t="s">
        <v>135</v>
      </c>
      <c r="K559" t="s">
        <v>5336</v>
      </c>
      <c r="L559" t="s">
        <v>155</v>
      </c>
      <c r="M559" t="s">
        <v>684</v>
      </c>
      <c r="N559" t="s">
        <v>5337</v>
      </c>
      <c r="O559" t="s">
        <v>186</v>
      </c>
      <c r="P559" t="s">
        <v>940</v>
      </c>
      <c r="Q559" t="s">
        <v>158</v>
      </c>
      <c r="R559" t="s">
        <v>341</v>
      </c>
      <c r="S559" t="s">
        <v>5338</v>
      </c>
      <c r="T559" t="s">
        <v>110</v>
      </c>
      <c r="U559" t="s">
        <v>43</v>
      </c>
      <c r="V559" t="s">
        <v>5339</v>
      </c>
      <c r="W559" t="s">
        <v>5340</v>
      </c>
      <c r="Y559" t="str">
        <f>HYPERLINK("https://recruiter.shine.com/resume/download/?resumeid=gAAAAABbk2UNepjtdT7PEMMU8a4oV2qii3XM5d-43y3azrXTtD4b8I6QtuK4tT9vcj8AS140MZ6xoAKxAPswANP1Wg8N4yHNQUK6UVzLWY-02YQ-lqtFlG4koFrh7RYpQgpo4Wqche8T197ObLL9MXJDdJNSxbyRZQ==")</f>
        <v>https://recruiter.shine.com/resume/download/?resumeid=gAAAAABbk2UNepjtdT7PEMMU8a4oV2qii3XM5d-43y3azrXTtD4b8I6QtuK4tT9vcj8AS140MZ6xoAKxAPswANP1Wg8N4yHNQUK6UVzLWY-02YQ-lqtFlG4koFrh7RYpQgpo4Wqche8T197ObLL9MXJDdJNSxbyRZQ==</v>
      </c>
    </row>
    <row r="560" spans="1:25" ht="39.950000000000003" customHeight="1">
      <c r="A560">
        <v>556</v>
      </c>
      <c r="B560" t="s">
        <v>5341</v>
      </c>
      <c r="C560" t="s">
        <v>3922</v>
      </c>
      <c r="D560" t="s">
        <v>5342</v>
      </c>
      <c r="E560" t="s">
        <v>5343</v>
      </c>
      <c r="F560" t="s">
        <v>858</v>
      </c>
      <c r="G560" t="s">
        <v>5344</v>
      </c>
      <c r="H560" t="s">
        <v>31</v>
      </c>
      <c r="I560" t="s">
        <v>5163</v>
      </c>
      <c r="J560" t="s">
        <v>102</v>
      </c>
      <c r="K560" t="s">
        <v>5345</v>
      </c>
      <c r="L560" t="s">
        <v>1390</v>
      </c>
      <c r="M560" t="s">
        <v>884</v>
      </c>
      <c r="N560" t="s">
        <v>5346</v>
      </c>
      <c r="O560" t="s">
        <v>56</v>
      </c>
      <c r="P560" t="s">
        <v>140</v>
      </c>
      <c r="Q560" t="s">
        <v>365</v>
      </c>
      <c r="R560" t="s">
        <v>124</v>
      </c>
      <c r="S560" t="s">
        <v>188</v>
      </c>
      <c r="T560" t="s">
        <v>687</v>
      </c>
      <c r="U560" t="s">
        <v>43</v>
      </c>
      <c r="V560" t="s">
        <v>5347</v>
      </c>
      <c r="W560" t="s">
        <v>5348</v>
      </c>
      <c r="Y560" t="str">
        <f>HYPERLINK("https://recruiter.shine.com/resume/download/?resumeid=gAAAAABbk2ULFPEPN7U6pNb4AkvKyChFn1OKpJvcQ-IZIYJZ4gv2vXN9jALUkFmQMAZXXEk6F7uIvweVlclx9LYXbigfNePVBNg5Jud2xG8kLxW6BDiGHyJwtryrjU0frH7h1ise1jYD")</f>
        <v>https://recruiter.shine.com/resume/download/?resumeid=gAAAAABbk2ULFPEPN7U6pNb4AkvKyChFn1OKpJvcQ-IZIYJZ4gv2vXN9jALUkFmQMAZXXEk6F7uIvweVlclx9LYXbigfNePVBNg5Jud2xG8kLxW6BDiGHyJwtryrjU0frH7h1ise1jYD</v>
      </c>
    </row>
    <row r="561" spans="1:25" ht="39.950000000000003" customHeight="1">
      <c r="A561">
        <v>557</v>
      </c>
      <c r="B561" t="s">
        <v>5349</v>
      </c>
      <c r="C561" t="s">
        <v>5350</v>
      </c>
      <c r="D561" t="s">
        <v>5351</v>
      </c>
      <c r="E561" t="s">
        <v>5352</v>
      </c>
      <c r="F561" t="s">
        <v>249</v>
      </c>
      <c r="G561" t="s">
        <v>249</v>
      </c>
      <c r="H561" t="s">
        <v>31</v>
      </c>
      <c r="I561" t="s">
        <v>2354</v>
      </c>
      <c r="J561" t="s">
        <v>51</v>
      </c>
      <c r="K561" t="s">
        <v>34</v>
      </c>
      <c r="L561" t="s">
        <v>35</v>
      </c>
      <c r="M561" t="s">
        <v>707</v>
      </c>
      <c r="N561" t="s">
        <v>2229</v>
      </c>
      <c r="O561" t="s">
        <v>2301</v>
      </c>
      <c r="Q561" t="s">
        <v>90</v>
      </c>
      <c r="R561" t="s">
        <v>465</v>
      </c>
      <c r="S561" t="s">
        <v>1053</v>
      </c>
      <c r="T561" t="s">
        <v>429</v>
      </c>
      <c r="U561" t="s">
        <v>127</v>
      </c>
      <c r="V561" t="s">
        <v>5353</v>
      </c>
      <c r="W561" t="s">
        <v>5354</v>
      </c>
      <c r="Y561" t="str">
        <f>HYPERLINK("https://recruiter.shine.com/resume/download/?resumeid=gAAAAABbk2UM1GofDm45fp0gaATN0KQMz0YTh6E50ZhGd31cyjGr8D1Yob4fnW8fQ434oqDhQ32C6yyy5a7svhcq8DFfvutb5Jreru6Fg-v8ywcYfWCZeb5vgQE0MTT42Bb4P4xlGaEvEsLmBX8aCJvlrEIe90QfPIPXXRUlElpTbRnOzyKKOMg=")</f>
        <v>https://recruiter.shine.com/resume/download/?resumeid=gAAAAABbk2UM1GofDm45fp0gaATN0KQMz0YTh6E50ZhGd31cyjGr8D1Yob4fnW8fQ434oqDhQ32C6yyy5a7svhcq8DFfvutb5Jreru6Fg-v8ywcYfWCZeb5vgQE0MTT42Bb4P4xlGaEvEsLmBX8aCJvlrEIe90QfPIPXXRUlElpTbRnOzyKKOMg=</v>
      </c>
    </row>
    <row r="562" spans="1:25" ht="39.950000000000003" customHeight="1">
      <c r="A562">
        <v>558</v>
      </c>
      <c r="B562" t="s">
        <v>5355</v>
      </c>
      <c r="D562" t="s">
        <v>5356</v>
      </c>
      <c r="E562" t="s">
        <v>5357</v>
      </c>
      <c r="F562" t="s">
        <v>29</v>
      </c>
      <c r="G562" t="s">
        <v>67</v>
      </c>
      <c r="H562" t="s">
        <v>234</v>
      </c>
      <c r="I562" t="s">
        <v>448</v>
      </c>
      <c r="J562" t="s">
        <v>801</v>
      </c>
      <c r="K562" t="s">
        <v>5358</v>
      </c>
      <c r="L562" t="s">
        <v>314</v>
      </c>
      <c r="M562" t="s">
        <v>36</v>
      </c>
      <c r="N562" t="s">
        <v>5359</v>
      </c>
      <c r="O562" t="s">
        <v>5360</v>
      </c>
      <c r="Q562" t="s">
        <v>40</v>
      </c>
      <c r="R562" t="s">
        <v>476</v>
      </c>
      <c r="S562" t="s">
        <v>5361</v>
      </c>
      <c r="T562" t="s">
        <v>281</v>
      </c>
      <c r="U562" t="s">
        <v>43</v>
      </c>
      <c r="V562" t="s">
        <v>5362</v>
      </c>
      <c r="W562" t="s">
        <v>5363</v>
      </c>
      <c r="Y562" t="str">
        <f>HYPERLINK("https://recruiter.shine.com/resume/download/?resumeid=gAAAAABbk2UNBWy_X7vGYDvc_D_msqrtqrMcbrfqUIXaVstlcngdEIG73kAW0qUOrEffwnnEjCrkir1k0I5i8j_UufLxRtCRNjcDZ_5sdh-dOQQg-nKAoSxwQwmd93YXq1ApAKNRwdEKhis4oQKCVDgr0afE4MCMIpPMt0GofCgI6ecmyp8Ap1s=")</f>
        <v>https://recruiter.shine.com/resume/download/?resumeid=gAAAAABbk2UNBWy_X7vGYDvc_D_msqrtqrMcbrfqUIXaVstlcngdEIG73kAW0qUOrEffwnnEjCrkir1k0I5i8j_UufLxRtCRNjcDZ_5sdh-dOQQg-nKAoSxwQwmd93YXq1ApAKNRwdEKhis4oQKCVDgr0afE4MCMIpPMt0GofCgI6ecmyp8Ap1s=</v>
      </c>
    </row>
    <row r="563" spans="1:25" ht="39.950000000000003" customHeight="1">
      <c r="A563">
        <v>559</v>
      </c>
      <c r="B563" t="s">
        <v>5364</v>
      </c>
      <c r="C563" t="s">
        <v>5365</v>
      </c>
      <c r="D563" t="s">
        <v>5366</v>
      </c>
      <c r="E563" t="s">
        <v>5367</v>
      </c>
      <c r="F563" t="s">
        <v>29</v>
      </c>
      <c r="G563" t="s">
        <v>29</v>
      </c>
      <c r="H563" t="s">
        <v>31</v>
      </c>
      <c r="I563" t="s">
        <v>3294</v>
      </c>
      <c r="J563" t="s">
        <v>517</v>
      </c>
      <c r="K563" t="s">
        <v>5368</v>
      </c>
      <c r="L563" t="s">
        <v>653</v>
      </c>
      <c r="M563" t="s">
        <v>5369</v>
      </c>
      <c r="N563" t="s">
        <v>520</v>
      </c>
      <c r="O563" t="s">
        <v>56</v>
      </c>
      <c r="P563" t="s">
        <v>39</v>
      </c>
      <c r="Q563" t="s">
        <v>365</v>
      </c>
      <c r="R563" t="s">
        <v>41</v>
      </c>
      <c r="S563" t="s">
        <v>5370</v>
      </c>
      <c r="T563" t="s">
        <v>415</v>
      </c>
      <c r="U563" t="s">
        <v>43</v>
      </c>
      <c r="V563" t="s">
        <v>5371</v>
      </c>
      <c r="W563" t="s">
        <v>5372</v>
      </c>
      <c r="Y563" t="str">
        <f>HYPERLINK("https://recruiter.shine.com/resume/download/?resumeid=gAAAAABbk2UKvWl1CpvBAtuYzMnLjAunlFqzt8m4Sc6WlUOB0ShHKsdbwB1XDNI-YdW3-UqQXSZmUv9AX42MZK15gkPk70RCSUthSmFiDK4lSaYGxMQW3_-jRi8QF_W_1yHR0S5DPwdV")</f>
        <v>https://recruiter.shine.com/resume/download/?resumeid=gAAAAABbk2UKvWl1CpvBAtuYzMnLjAunlFqzt8m4Sc6WlUOB0ShHKsdbwB1XDNI-YdW3-UqQXSZmUv9AX42MZK15gkPk70RCSUthSmFiDK4lSaYGxMQW3_-jRi8QF_W_1yHR0S5DPwdV</v>
      </c>
    </row>
    <row r="564" spans="1:25" ht="39.950000000000003" customHeight="1">
      <c r="A564">
        <v>560</v>
      </c>
      <c r="B564" t="s">
        <v>5373</v>
      </c>
      <c r="C564" t="s">
        <v>5374</v>
      </c>
      <c r="D564" t="s">
        <v>5375</v>
      </c>
      <c r="E564" t="s">
        <v>5376</v>
      </c>
      <c r="F564" t="s">
        <v>29</v>
      </c>
      <c r="G564" t="s">
        <v>29</v>
      </c>
      <c r="H564" t="s">
        <v>31</v>
      </c>
      <c r="I564" t="s">
        <v>362</v>
      </c>
      <c r="J564" t="s">
        <v>51</v>
      </c>
      <c r="K564" t="s">
        <v>595</v>
      </c>
      <c r="L564" t="s">
        <v>290</v>
      </c>
      <c r="M564" t="s">
        <v>487</v>
      </c>
      <c r="N564" t="s">
        <v>5377</v>
      </c>
      <c r="O564" t="s">
        <v>56</v>
      </c>
      <c r="P564" t="s">
        <v>140</v>
      </c>
      <c r="Q564" t="s">
        <v>187</v>
      </c>
      <c r="R564" t="s">
        <v>124</v>
      </c>
      <c r="S564" t="s">
        <v>188</v>
      </c>
      <c r="T564" t="s">
        <v>625</v>
      </c>
      <c r="U564" t="s">
        <v>127</v>
      </c>
      <c r="V564" t="s">
        <v>5378</v>
      </c>
      <c r="W564" t="s">
        <v>5378</v>
      </c>
      <c r="Y564" t="str">
        <f>HYPERLINK("https://recruiter.shine.com/resume/download/?resumeid=gAAAAABbk2UNcogDIXfN7WmqkNpCszu71f3SyqPhzqUfH44Esg_ciFYRgkP4MSwgLtOLA0inmrLqWyyxfh7us45U5DtnJwyo8-HtIIogtgZ0SNhPIPuGvFl4999rIGr5SNzoODVRT0xefk0pgF8PTjFmRSkZzbacIsM3V__AEMNAqCqV_A72f_8=")</f>
        <v>https://recruiter.shine.com/resume/download/?resumeid=gAAAAABbk2UNcogDIXfN7WmqkNpCszu71f3SyqPhzqUfH44Esg_ciFYRgkP4MSwgLtOLA0inmrLqWyyxfh7us45U5DtnJwyo8-HtIIogtgZ0SNhPIPuGvFl4999rIGr5SNzoODVRT0xefk0pgF8PTjFmRSkZzbacIsM3V__AEMNAqCqV_A72f_8=</v>
      </c>
    </row>
    <row r="565" spans="1:25" ht="39.950000000000003" customHeight="1">
      <c r="A565">
        <v>561</v>
      </c>
      <c r="B565" t="s">
        <v>5379</v>
      </c>
      <c r="C565" t="s">
        <v>5380</v>
      </c>
      <c r="D565" t="s">
        <v>5381</v>
      </c>
      <c r="E565" t="s">
        <v>5382</v>
      </c>
      <c r="F565" t="s">
        <v>858</v>
      </c>
      <c r="G565" t="s">
        <v>5383</v>
      </c>
      <c r="H565" t="s">
        <v>31</v>
      </c>
      <c r="I565" t="s">
        <v>755</v>
      </c>
      <c r="J565" t="s">
        <v>5384</v>
      </c>
      <c r="K565" t="s">
        <v>5385</v>
      </c>
      <c r="L565" t="s">
        <v>120</v>
      </c>
      <c r="M565" t="s">
        <v>938</v>
      </c>
      <c r="N565" t="s">
        <v>5386</v>
      </c>
      <c r="O565" t="s">
        <v>56</v>
      </c>
      <c r="P565" t="s">
        <v>57</v>
      </c>
      <c r="Q565" t="s">
        <v>699</v>
      </c>
      <c r="R565" t="s">
        <v>2975</v>
      </c>
      <c r="S565" t="s">
        <v>951</v>
      </c>
      <c r="T565" t="s">
        <v>2554</v>
      </c>
      <c r="U565" t="s">
        <v>43</v>
      </c>
      <c r="V565" t="s">
        <v>5387</v>
      </c>
      <c r="W565" t="s">
        <v>5388</v>
      </c>
      <c r="Y565" t="str">
        <f>HYPERLINK("https://recruiter.shine.com/resume/download/?resumeid=gAAAAABbk2UNhoH-IKt308-UB8qYVhZ1Oedt6oR-sdq6M8lQvQNlQbXL4AS-8rnydV3SBL5lTec4Roa8ovX-lA22LNF5KXxzeYrMWK6enhoQ7mjfv2K2S_5Zp4JJlyXGv0_lYRHQphlPGl9d5F8GWlnapwAzuSkBiQ==")</f>
        <v>https://recruiter.shine.com/resume/download/?resumeid=gAAAAABbk2UNhoH-IKt308-UB8qYVhZ1Oedt6oR-sdq6M8lQvQNlQbXL4AS-8rnydV3SBL5lTec4Roa8ovX-lA22LNF5KXxzeYrMWK6enhoQ7mjfv2K2S_5Zp4JJlyXGv0_lYRHQphlPGl9d5F8GWlnapwAzuSkBiQ==</v>
      </c>
    </row>
    <row r="566" spans="1:25" ht="39.950000000000003" customHeight="1">
      <c r="A566">
        <v>562</v>
      </c>
      <c r="B566" t="s">
        <v>5389</v>
      </c>
      <c r="C566" t="s">
        <v>5390</v>
      </c>
      <c r="D566" t="s">
        <v>5391</v>
      </c>
      <c r="E566" t="s">
        <v>5392</v>
      </c>
      <c r="F566" t="s">
        <v>29</v>
      </c>
      <c r="G566" t="s">
        <v>5393</v>
      </c>
      <c r="H566" t="s">
        <v>31</v>
      </c>
      <c r="I566" t="s">
        <v>2074</v>
      </c>
      <c r="J566" t="s">
        <v>5394</v>
      </c>
      <c r="K566" t="s">
        <v>5395</v>
      </c>
      <c r="L566" t="s">
        <v>88</v>
      </c>
      <c r="M566" t="s">
        <v>222</v>
      </c>
      <c r="N566" t="s">
        <v>5396</v>
      </c>
      <c r="O566" t="s">
        <v>38</v>
      </c>
      <c r="P566" t="s">
        <v>39</v>
      </c>
      <c r="Q566" t="s">
        <v>107</v>
      </c>
      <c r="R566" t="s">
        <v>5397</v>
      </c>
      <c r="S566" t="s">
        <v>5398</v>
      </c>
      <c r="T566" t="s">
        <v>2358</v>
      </c>
      <c r="U566" t="s">
        <v>43</v>
      </c>
      <c r="V566" t="s">
        <v>5399</v>
      </c>
      <c r="W566" t="s">
        <v>5400</v>
      </c>
      <c r="Y566" t="str">
        <f>HYPERLINK("https://recruiter.shine.com/resume/download/?resumeid=gAAAAABbk2ULh2PW--apDMPCMMTv9UinIcH86wqit42O8YGpkKnLmkCyrAXWiyQLFtVTGa97_A9HrqyNCTYxvmAws9hvovaXjiUiFb4m0FIc5q4NE3zY4j-O9kfCheUI6pX0a_CwXkSL")</f>
        <v>https://recruiter.shine.com/resume/download/?resumeid=gAAAAABbk2ULh2PW--apDMPCMMTv9UinIcH86wqit42O8YGpkKnLmkCyrAXWiyQLFtVTGa97_A9HrqyNCTYxvmAws9hvovaXjiUiFb4m0FIc5q4NE3zY4j-O9kfCheUI6pX0a_CwXkSL</v>
      </c>
    </row>
    <row r="567" spans="1:25" ht="39.950000000000003" customHeight="1">
      <c r="A567">
        <v>563</v>
      </c>
      <c r="B567" t="s">
        <v>5401</v>
      </c>
      <c r="C567" t="s">
        <v>5402</v>
      </c>
      <c r="D567" t="s">
        <v>5403</v>
      </c>
      <c r="E567" t="s">
        <v>5404</v>
      </c>
      <c r="F567" t="s">
        <v>29</v>
      </c>
      <c r="G567" t="s">
        <v>2006</v>
      </c>
      <c r="H567" t="s">
        <v>31</v>
      </c>
      <c r="I567" t="s">
        <v>2688</v>
      </c>
      <c r="J567" t="s">
        <v>1641</v>
      </c>
      <c r="K567" t="s">
        <v>5405</v>
      </c>
      <c r="L567" t="s">
        <v>155</v>
      </c>
      <c r="M567" t="s">
        <v>121</v>
      </c>
      <c r="N567" t="s">
        <v>5406</v>
      </c>
      <c r="O567" t="s">
        <v>224</v>
      </c>
      <c r="P567" t="s">
        <v>57</v>
      </c>
      <c r="Q567" t="s">
        <v>107</v>
      </c>
      <c r="R567" t="s">
        <v>546</v>
      </c>
      <c r="S567" t="s">
        <v>1467</v>
      </c>
      <c r="T567" t="s">
        <v>441</v>
      </c>
      <c r="U567" t="s">
        <v>43</v>
      </c>
      <c r="V567" t="s">
        <v>5407</v>
      </c>
      <c r="W567" t="s">
        <v>5408</v>
      </c>
      <c r="Y567" t="str">
        <f>HYPERLINK("https://recruiter.shine.com/resume/download/?resumeid=gAAAAABbk2UMhaRWlUpa--_-bAT56WuaIOL5PjQjDTabEbkphRnMwPpsO5n9oP5zdjjLezC_WxiFEBfQORppseLYEgHx7-JMWTmDhfuvNcJG7nebamkZoZZaJ0oQYArpi2BGlrX5OffPLKkyWb5sJFNr7ppZMlTXGA==")</f>
        <v>https://recruiter.shine.com/resume/download/?resumeid=gAAAAABbk2UMhaRWlUpa--_-bAT56WuaIOL5PjQjDTabEbkphRnMwPpsO5n9oP5zdjjLezC_WxiFEBfQORppseLYEgHx7-JMWTmDhfuvNcJG7nebamkZoZZaJ0oQYArpi2BGlrX5OffPLKkyWb5sJFNr7ppZMlTXGA==</v>
      </c>
    </row>
    <row r="568" spans="1:25" ht="39.950000000000003" customHeight="1">
      <c r="A568">
        <v>564</v>
      </c>
      <c r="B568" t="s">
        <v>5409</v>
      </c>
      <c r="C568" t="s">
        <v>5410</v>
      </c>
      <c r="D568" t="s">
        <v>5411</v>
      </c>
      <c r="E568" t="s">
        <v>5412</v>
      </c>
      <c r="F568" t="s">
        <v>29</v>
      </c>
      <c r="G568" t="s">
        <v>5413</v>
      </c>
      <c r="H568" t="s">
        <v>31</v>
      </c>
      <c r="I568" t="s">
        <v>1419</v>
      </c>
      <c r="J568" t="s">
        <v>1710</v>
      </c>
      <c r="K568" t="s">
        <v>5414</v>
      </c>
      <c r="L568" t="s">
        <v>3757</v>
      </c>
      <c r="M568" t="s">
        <v>238</v>
      </c>
      <c r="N568" t="s">
        <v>2654</v>
      </c>
      <c r="O568" t="s">
        <v>3583</v>
      </c>
      <c r="P568" t="s">
        <v>73</v>
      </c>
      <c r="Q568" t="s">
        <v>90</v>
      </c>
      <c r="R568" t="s">
        <v>91</v>
      </c>
      <c r="S568" t="s">
        <v>3308</v>
      </c>
      <c r="T568" t="s">
        <v>144</v>
      </c>
      <c r="U568" t="s">
        <v>127</v>
      </c>
      <c r="V568" t="s">
        <v>5415</v>
      </c>
      <c r="W568" t="s">
        <v>5416</v>
      </c>
      <c r="Y568" t="str">
        <f>HYPERLINK("https://recruiter.shine.com/resume/download/?resumeid=gAAAAABbk2UOd7lFcFBQII2s9TutczMjX9CIdzGJ4aeRc0_8bhXR1zRl565N5TkMtibTXwyt61E3hPCxAFgskSoxmO9KvfVK2_Ht6PICfOS8VzgpxuscBUZRzGvs7l6oqxTiLkm_YR09KsObLLUyYyIM3TByOEzmadqYY2v60dgBuho6_8nS_U0=")</f>
        <v>https://recruiter.shine.com/resume/download/?resumeid=gAAAAABbk2UOd7lFcFBQII2s9TutczMjX9CIdzGJ4aeRc0_8bhXR1zRl565N5TkMtibTXwyt61E3hPCxAFgskSoxmO9KvfVK2_Ht6PICfOS8VzgpxuscBUZRzGvs7l6oqxTiLkm_YR09KsObLLUyYyIM3TByOEzmadqYY2v60dgBuho6_8nS_U0=</v>
      </c>
    </row>
    <row r="569" spans="1:25" ht="39.950000000000003" customHeight="1">
      <c r="A569">
        <v>565</v>
      </c>
      <c r="B569" t="s">
        <v>5417</v>
      </c>
      <c r="C569" t="s">
        <v>5418</v>
      </c>
      <c r="D569" t="s">
        <v>5419</v>
      </c>
      <c r="E569" t="s">
        <v>5420</v>
      </c>
      <c r="F569" t="s">
        <v>29</v>
      </c>
      <c r="G569" t="s">
        <v>29</v>
      </c>
      <c r="H569" t="s">
        <v>31</v>
      </c>
      <c r="I569" t="s">
        <v>68</v>
      </c>
      <c r="J569" t="s">
        <v>781</v>
      </c>
      <c r="K569" t="s">
        <v>5421</v>
      </c>
      <c r="L569" t="s">
        <v>137</v>
      </c>
      <c r="M569" t="s">
        <v>121</v>
      </c>
      <c r="N569" t="s">
        <v>5422</v>
      </c>
      <c r="O569" t="s">
        <v>2301</v>
      </c>
      <c r="Q569" t="s">
        <v>123</v>
      </c>
      <c r="R569" t="s">
        <v>124</v>
      </c>
      <c r="S569" t="s">
        <v>5423</v>
      </c>
      <c r="T569" t="s">
        <v>415</v>
      </c>
      <c r="U569" t="s">
        <v>127</v>
      </c>
      <c r="V569" t="s">
        <v>5424</v>
      </c>
      <c r="W569" t="s">
        <v>5425</v>
      </c>
      <c r="Y569" t="str">
        <f>HYPERLINK("https://recruiter.shine.com/resume/download/?resumeid=gAAAAABbk2UL1NQp1ycsrM_duvUaNUH3M2gkmrvM3fLwaGU42oJjDvCA5E6p4WwYEew90xd5TwUXW9MjwAnGCsDsObphUkCjTbgJZTAZQQuESlmEMvLCLdbRnimBn0FUpN9uOcr6hV3G")</f>
        <v>https://recruiter.shine.com/resume/download/?resumeid=gAAAAABbk2UL1NQp1ycsrM_duvUaNUH3M2gkmrvM3fLwaGU42oJjDvCA5E6p4WwYEew90xd5TwUXW9MjwAnGCsDsObphUkCjTbgJZTAZQQuESlmEMvLCLdbRnimBn0FUpN9uOcr6hV3G</v>
      </c>
    </row>
    <row r="570" spans="1:25" ht="39.950000000000003" customHeight="1">
      <c r="A570">
        <v>566</v>
      </c>
      <c r="B570" t="s">
        <v>5426</v>
      </c>
      <c r="C570" t="s">
        <v>5427</v>
      </c>
      <c r="D570" t="s">
        <v>5428</v>
      </c>
      <c r="E570" t="s">
        <v>5429</v>
      </c>
      <c r="F570" t="s">
        <v>29</v>
      </c>
      <c r="G570" t="s">
        <v>5430</v>
      </c>
      <c r="H570" t="s">
        <v>31</v>
      </c>
      <c r="I570" t="s">
        <v>152</v>
      </c>
      <c r="J570" t="s">
        <v>2110</v>
      </c>
      <c r="K570" t="s">
        <v>5431</v>
      </c>
      <c r="L570" t="s">
        <v>199</v>
      </c>
      <c r="M570" t="s">
        <v>54</v>
      </c>
      <c r="N570" t="s">
        <v>5432</v>
      </c>
      <c r="O570" t="s">
        <v>3583</v>
      </c>
      <c r="P570" t="s">
        <v>39</v>
      </c>
      <c r="Q570" t="s">
        <v>699</v>
      </c>
      <c r="R570" t="s">
        <v>59</v>
      </c>
      <c r="S570" t="s">
        <v>2976</v>
      </c>
      <c r="T570" t="s">
        <v>161</v>
      </c>
      <c r="U570" t="s">
        <v>43</v>
      </c>
      <c r="V570" t="s">
        <v>5433</v>
      </c>
      <c r="W570" t="s">
        <v>5434</v>
      </c>
      <c r="Y570" t="str">
        <f>HYPERLINK("https://recruiter.shine.com/resume/download/?resumeid=gAAAAABbk2UM_G8gZfdyjvxAPZ7F5Yvfkt14x4FVIHtCbanpy3F_PWO2NhpTc5BMgZMUA_IbVjDJOLGJv53F_KU4Srs-4hFXm3ibn0FYxOJguigRQkoxA1nlhNKwZzp3yOAg16XLFrkzvU0PEx9x8JkP7_cn98kIUAn2x1yifn7p82vqwkKC6tI=")</f>
        <v>https://recruiter.shine.com/resume/download/?resumeid=gAAAAABbk2UM_G8gZfdyjvxAPZ7F5Yvfkt14x4FVIHtCbanpy3F_PWO2NhpTc5BMgZMUA_IbVjDJOLGJv53F_KU4Srs-4hFXm3ibn0FYxOJguigRQkoxA1nlhNKwZzp3yOAg16XLFrkzvU0PEx9x8JkP7_cn98kIUAn2x1yifn7p82vqwkKC6tI=</v>
      </c>
    </row>
    <row r="571" spans="1:25" ht="39.950000000000003" customHeight="1">
      <c r="A571">
        <v>567</v>
      </c>
      <c r="B571" t="s">
        <v>5435</v>
      </c>
      <c r="C571" t="s">
        <v>5436</v>
      </c>
      <c r="D571" t="s">
        <v>5437</v>
      </c>
      <c r="E571" t="s">
        <v>5438</v>
      </c>
      <c r="F571" t="s">
        <v>29</v>
      </c>
      <c r="G571" t="s">
        <v>67</v>
      </c>
      <c r="H571" t="s">
        <v>31</v>
      </c>
      <c r="I571" t="s">
        <v>362</v>
      </c>
      <c r="J571" t="s">
        <v>135</v>
      </c>
      <c r="L571" t="s">
        <v>363</v>
      </c>
      <c r="M571" t="s">
        <v>364</v>
      </c>
      <c r="Q571" t="s">
        <v>107</v>
      </c>
      <c r="R571" t="s">
        <v>559</v>
      </c>
      <c r="S571" t="s">
        <v>5439</v>
      </c>
      <c r="T571" t="s">
        <v>441</v>
      </c>
      <c r="U571" t="s">
        <v>43</v>
      </c>
      <c r="V571" t="s">
        <v>5440</v>
      </c>
      <c r="W571" t="s">
        <v>5441</v>
      </c>
      <c r="Y571" t="str">
        <f>HYPERLINK("https://recruiter.shine.com/resume/download/?resumeid=gAAAAABbk2UOHQiOkgm9s3GIFvzZCUqwGlGoV18Co9ZD-oVM-T6sCCCE9Oc-st7u5yPNNRupLjt-ngRrYfIPmQrIkQ6blzeOFiqkuWewDV0EgIgaD6kULzxrIK8EAwy6RqJrjEe1oy1lhjCQWyVVvyYh-vgSuMnkxg==")</f>
        <v>https://recruiter.shine.com/resume/download/?resumeid=gAAAAABbk2UOHQiOkgm9s3GIFvzZCUqwGlGoV18Co9ZD-oVM-T6sCCCE9Oc-st7u5yPNNRupLjt-ngRrYfIPmQrIkQ6blzeOFiqkuWewDV0EgIgaD6kULzxrIK8EAwy6RqJrjEe1oy1lhjCQWyVVvyYh-vgSuMnkxg==</v>
      </c>
    </row>
    <row r="572" spans="1:25" ht="39.950000000000003" customHeight="1">
      <c r="A572">
        <v>568</v>
      </c>
      <c r="B572" t="s">
        <v>5442</v>
      </c>
      <c r="C572" t="s">
        <v>5443</v>
      </c>
      <c r="D572" t="s">
        <v>5444</v>
      </c>
      <c r="E572" t="s">
        <v>5445</v>
      </c>
      <c r="F572" t="s">
        <v>858</v>
      </c>
      <c r="G572" t="s">
        <v>5446</v>
      </c>
      <c r="H572" t="s">
        <v>31</v>
      </c>
      <c r="I572" t="s">
        <v>32</v>
      </c>
      <c r="J572" t="s">
        <v>51</v>
      </c>
      <c r="K572" t="s">
        <v>5447</v>
      </c>
      <c r="L572" t="s">
        <v>35</v>
      </c>
      <c r="M572" t="s">
        <v>583</v>
      </c>
      <c r="N572" t="s">
        <v>5448</v>
      </c>
      <c r="O572" t="s">
        <v>1041</v>
      </c>
      <c r="P572" t="s">
        <v>57</v>
      </c>
      <c r="Q572" t="s">
        <v>158</v>
      </c>
      <c r="R572" t="s">
        <v>2230</v>
      </c>
      <c r="S572" t="s">
        <v>2229</v>
      </c>
      <c r="T572" t="s">
        <v>761</v>
      </c>
      <c r="U572" t="s">
        <v>127</v>
      </c>
      <c r="V572" t="s">
        <v>5449</v>
      </c>
      <c r="W572" t="s">
        <v>5450</v>
      </c>
      <c r="Y572" t="str">
        <f>HYPERLINK("https://recruiter.shine.com/resume/download/?resumeid=gAAAAABbk2ULysK-y1AGnvLmVtXMgJOSfktVr1w1x2CHG2laMMsYFXhA1LcdWq-N_X9nevnqkM_PLZmOQPUelvwEQU2mt1Ar27PquxPhgPusZtaxMo8WCAtSisZHvNHMCMd1nSGoaaIK")</f>
        <v>https://recruiter.shine.com/resume/download/?resumeid=gAAAAABbk2ULysK-y1AGnvLmVtXMgJOSfktVr1w1x2CHG2laMMsYFXhA1LcdWq-N_X9nevnqkM_PLZmOQPUelvwEQU2mt1Ar27PquxPhgPusZtaxMo8WCAtSisZHvNHMCMd1nSGoaaIK</v>
      </c>
    </row>
    <row r="573" spans="1:25" ht="39.950000000000003" customHeight="1">
      <c r="A573">
        <v>569</v>
      </c>
      <c r="B573" t="s">
        <v>5451</v>
      </c>
      <c r="C573" t="s">
        <v>5452</v>
      </c>
      <c r="D573" t="s">
        <v>5453</v>
      </c>
      <c r="E573" t="s">
        <v>5454</v>
      </c>
      <c r="F573" t="s">
        <v>249</v>
      </c>
      <c r="G573" t="s">
        <v>30</v>
      </c>
      <c r="H573" t="s">
        <v>31</v>
      </c>
      <c r="I573" t="s">
        <v>1038</v>
      </c>
      <c r="J573" t="s">
        <v>506</v>
      </c>
      <c r="K573" t="s">
        <v>5455</v>
      </c>
      <c r="L573" t="s">
        <v>120</v>
      </c>
      <c r="M573" t="s">
        <v>238</v>
      </c>
      <c r="N573" t="s">
        <v>5456</v>
      </c>
      <c r="O573" t="s">
        <v>56</v>
      </c>
      <c r="P573" t="s">
        <v>73</v>
      </c>
      <c r="Q573" t="s">
        <v>123</v>
      </c>
      <c r="R573" t="s">
        <v>124</v>
      </c>
      <c r="S573" t="s">
        <v>188</v>
      </c>
      <c r="T573" t="s">
        <v>687</v>
      </c>
      <c r="U573" t="s">
        <v>43</v>
      </c>
      <c r="V573" t="s">
        <v>5457</v>
      </c>
      <c r="W573" t="s">
        <v>5458</v>
      </c>
      <c r="Y573" t="str">
        <f>HYPERLINK("https://recruiter.shine.com/resume/download/?resumeid=gAAAAABbk2UMJhu6Un64UOl2Y9wNEg8SXzXoapKGCwIuKWA7rNWYIRbnLhDT2uhIRC3vRvJAEJvWVdIiGCrqBUtDGLS9jWJ0yDscparoxpZk1RsJPUoJMEi9oj7AikY4w6k1oKSPfL4ggqX6uHgJYjbOq1zfIGJC-WpCA_EaZdciSQro2H-UL3A=")</f>
        <v>https://recruiter.shine.com/resume/download/?resumeid=gAAAAABbk2UMJhu6Un64UOl2Y9wNEg8SXzXoapKGCwIuKWA7rNWYIRbnLhDT2uhIRC3vRvJAEJvWVdIiGCrqBUtDGLS9jWJ0yDscparoxpZk1RsJPUoJMEi9oj7AikY4w6k1oKSPfL4ggqX6uHgJYjbOq1zfIGJC-WpCA_EaZdciSQro2H-UL3A=</v>
      </c>
    </row>
    <row r="574" spans="1:25" ht="39.950000000000003" customHeight="1">
      <c r="A574">
        <v>570</v>
      </c>
      <c r="B574" t="s">
        <v>5459</v>
      </c>
      <c r="D574" t="s">
        <v>5460</v>
      </c>
      <c r="E574" t="s">
        <v>5461</v>
      </c>
      <c r="F574" t="s">
        <v>29</v>
      </c>
      <c r="G574" t="s">
        <v>67</v>
      </c>
      <c r="H574" t="s">
        <v>31</v>
      </c>
      <c r="I574" t="s">
        <v>505</v>
      </c>
      <c r="J574" t="s">
        <v>135</v>
      </c>
      <c r="K574" t="s">
        <v>5462</v>
      </c>
      <c r="L574" t="s">
        <v>5463</v>
      </c>
      <c r="M574" t="s">
        <v>5464</v>
      </c>
      <c r="N574" t="s">
        <v>5465</v>
      </c>
      <c r="O574" t="s">
        <v>38</v>
      </c>
      <c r="Q574" t="s">
        <v>365</v>
      </c>
      <c r="R574" t="s">
        <v>2230</v>
      </c>
      <c r="S574" t="s">
        <v>5466</v>
      </c>
      <c r="T574" t="s">
        <v>625</v>
      </c>
      <c r="U574" t="s">
        <v>43</v>
      </c>
      <c r="V574" t="s">
        <v>5467</v>
      </c>
      <c r="W574" t="s">
        <v>5468</v>
      </c>
      <c r="Y574" t="str">
        <f>HYPERLINK("https://recruiter.shine.com/resume/download/?resumeid=gAAAAABbk2UNJ8PTt_F4zs-ESr7W155sqSwdZpCA44UFOHPla4weubq284eiPQ81o1Rxjv16uGnNg7pgCx5kkLWzInXWPUD6iUNQNazMhp9eGWuh093FxpnoQhBwmDJgT1-BrGYCqSYeSe-avLrDnzl1oOmmWFJhY8hjY9xASv6rBBETP1W_C0Y=")</f>
        <v>https://recruiter.shine.com/resume/download/?resumeid=gAAAAABbk2UNJ8PTt_F4zs-ESr7W155sqSwdZpCA44UFOHPla4weubq284eiPQ81o1Rxjv16uGnNg7pgCx5kkLWzInXWPUD6iUNQNazMhp9eGWuh093FxpnoQhBwmDJgT1-BrGYCqSYeSe-avLrDnzl1oOmmWFJhY8hjY9xASv6rBBETP1W_C0Y=</v>
      </c>
    </row>
    <row r="575" spans="1:25" ht="39.950000000000003" customHeight="1">
      <c r="A575">
        <v>571</v>
      </c>
      <c r="B575" t="s">
        <v>5469</v>
      </c>
      <c r="D575" t="s">
        <v>5470</v>
      </c>
      <c r="E575" t="s">
        <v>5471</v>
      </c>
      <c r="F575" t="s">
        <v>29</v>
      </c>
      <c r="G575" t="s">
        <v>5472</v>
      </c>
      <c r="H575" t="s">
        <v>31</v>
      </c>
      <c r="I575" t="s">
        <v>4403</v>
      </c>
      <c r="J575" t="s">
        <v>118</v>
      </c>
      <c r="K575" t="s">
        <v>5473</v>
      </c>
      <c r="L575" t="s">
        <v>1390</v>
      </c>
      <c r="M575" t="s">
        <v>938</v>
      </c>
      <c r="N575" t="s">
        <v>5474</v>
      </c>
      <c r="O575" t="s">
        <v>56</v>
      </c>
      <c r="Q575" t="s">
        <v>40</v>
      </c>
      <c r="R575" t="s">
        <v>5069</v>
      </c>
      <c r="S575" t="s">
        <v>3963</v>
      </c>
      <c r="U575" t="s">
        <v>127</v>
      </c>
      <c r="V575" t="s">
        <v>5475</v>
      </c>
      <c r="W575" t="s">
        <v>5476</v>
      </c>
      <c r="Y575" t="str">
        <f>HYPERLINK("https://recruiter.shine.com/resume/download/?resumeid=gAAAAABbk2UKszwfagTcSBo4qp9lIrbGFiYXudi9zFZgRWOHQOf3JZJWg2qapVDjj8gLL5e-jJMFS8eXdMWYxl6otwa1TAWiFLsIGT9zUB85RYOKBqtBn134Ra8hdzxIsVWdTewaU6X3")</f>
        <v>https://recruiter.shine.com/resume/download/?resumeid=gAAAAABbk2UKszwfagTcSBo4qp9lIrbGFiYXudi9zFZgRWOHQOf3JZJWg2qapVDjj8gLL5e-jJMFS8eXdMWYxl6otwa1TAWiFLsIGT9zUB85RYOKBqtBn134Ra8hdzxIsVWdTewaU6X3</v>
      </c>
    </row>
    <row r="576" spans="1:25" ht="39.950000000000003" customHeight="1">
      <c r="A576">
        <v>572</v>
      </c>
      <c r="B576" t="s">
        <v>5477</v>
      </c>
      <c r="C576" t="s">
        <v>5478</v>
      </c>
      <c r="D576" t="s">
        <v>5479</v>
      </c>
      <c r="E576" t="s">
        <v>5480</v>
      </c>
      <c r="F576" t="s">
        <v>29</v>
      </c>
      <c r="G576" t="s">
        <v>29</v>
      </c>
      <c r="H576" t="s">
        <v>31</v>
      </c>
      <c r="I576" t="s">
        <v>1774</v>
      </c>
      <c r="J576" t="s">
        <v>1354</v>
      </c>
      <c r="K576" t="s">
        <v>5481</v>
      </c>
      <c r="L576" t="s">
        <v>155</v>
      </c>
      <c r="M576" t="s">
        <v>105</v>
      </c>
      <c r="N576" t="s">
        <v>5482</v>
      </c>
      <c r="O576" t="s">
        <v>186</v>
      </c>
      <c r="P576" t="s">
        <v>73</v>
      </c>
      <c r="Q576" t="s">
        <v>107</v>
      </c>
      <c r="R576" t="s">
        <v>559</v>
      </c>
      <c r="S576" t="s">
        <v>202</v>
      </c>
      <c r="T576" t="s">
        <v>441</v>
      </c>
      <c r="U576" t="s">
        <v>43</v>
      </c>
      <c r="V576" t="s">
        <v>5483</v>
      </c>
      <c r="W576" t="s">
        <v>5484</v>
      </c>
      <c r="Y576" t="str">
        <f>HYPERLINK("https://recruiter.shine.com/resume/download/?resumeid=gAAAAABbk2UMuQ4uKn01AmdjgH9LW1fNtoJskiKCuUNdbaIgrInlQE2voEYAcQriGAy6vpAnlR2OtInSyYafpyF0nqE7AoK0E8PweJWS6P2ysaz3jR_zuf_wNOe9qgJiTuqR_FWlaYig3xHb-IYlAv8zS0ee_097AA==")</f>
        <v>https://recruiter.shine.com/resume/download/?resumeid=gAAAAABbk2UMuQ4uKn01AmdjgH9LW1fNtoJskiKCuUNdbaIgrInlQE2voEYAcQriGAy6vpAnlR2OtInSyYafpyF0nqE7AoK0E8PweJWS6P2ysaz3jR_zuf_wNOe9qgJiTuqR_FWlaYig3xHb-IYlAv8zS0ee_097AA==</v>
      </c>
    </row>
    <row r="577" spans="1:25" ht="39.950000000000003" customHeight="1">
      <c r="A577">
        <v>573</v>
      </c>
      <c r="B577" t="s">
        <v>5485</v>
      </c>
      <c r="C577" t="s">
        <v>5486</v>
      </c>
      <c r="D577" t="s">
        <v>5487</v>
      </c>
      <c r="E577" t="s">
        <v>5488</v>
      </c>
      <c r="F577" t="s">
        <v>858</v>
      </c>
      <c r="G577" t="s">
        <v>100</v>
      </c>
      <c r="H577" t="s">
        <v>234</v>
      </c>
      <c r="I577" t="s">
        <v>5489</v>
      </c>
      <c r="J577" t="s">
        <v>135</v>
      </c>
      <c r="K577" t="s">
        <v>5490</v>
      </c>
      <c r="L577" t="s">
        <v>184</v>
      </c>
      <c r="M577" t="s">
        <v>238</v>
      </c>
      <c r="N577" t="s">
        <v>5491</v>
      </c>
      <c r="O577" t="s">
        <v>56</v>
      </c>
      <c r="Q577" t="s">
        <v>90</v>
      </c>
      <c r="R577" t="s">
        <v>292</v>
      </c>
      <c r="S577" t="s">
        <v>5492</v>
      </c>
      <c r="T577" t="s">
        <v>441</v>
      </c>
      <c r="U577" t="s">
        <v>43</v>
      </c>
      <c r="V577" t="s">
        <v>5493</v>
      </c>
      <c r="W577" t="s">
        <v>5493</v>
      </c>
      <c r="Y577" t="str">
        <f>HYPERLINK("https://recruiter.shine.com/resume/download/?resumeid=gAAAAABbk2UNLDEBJWar9tfpmEkPIxULwu25CSSzO3x7EweN8DIY5ZFDPBYSEA6_C38f2FMUr4_nigw2JpZCvay-hiDd5AT1sE_wwdM7VBLDRVTe0zMH_eCFkNK0BF7apGKbTVoLI5WeIuIy1Y2sJb4JOUiXnFy_Ag==")</f>
        <v>https://recruiter.shine.com/resume/download/?resumeid=gAAAAABbk2UNLDEBJWar9tfpmEkPIxULwu25CSSzO3x7EweN8DIY5ZFDPBYSEA6_C38f2FMUr4_nigw2JpZCvay-hiDd5AT1sE_wwdM7VBLDRVTe0zMH_eCFkNK0BF7apGKbTVoLI5WeIuIy1Y2sJb4JOUiXnFy_Ag==</v>
      </c>
    </row>
    <row r="578" spans="1:25" ht="39.950000000000003" customHeight="1">
      <c r="A578">
        <v>574</v>
      </c>
      <c r="B578" t="s">
        <v>5494</v>
      </c>
      <c r="C578" t="s">
        <v>5495</v>
      </c>
      <c r="D578" t="s">
        <v>5496</v>
      </c>
      <c r="E578" t="s">
        <v>5497</v>
      </c>
      <c r="F578" t="s">
        <v>29</v>
      </c>
      <c r="G578" t="s">
        <v>1684</v>
      </c>
      <c r="H578" t="s">
        <v>31</v>
      </c>
      <c r="I578" t="s">
        <v>836</v>
      </c>
      <c r="J578" t="s">
        <v>5498</v>
      </c>
      <c r="K578" t="s">
        <v>5499</v>
      </c>
      <c r="L578" t="s">
        <v>120</v>
      </c>
      <c r="M578" t="s">
        <v>54</v>
      </c>
      <c r="N578" t="s">
        <v>5500</v>
      </c>
      <c r="O578" t="s">
        <v>585</v>
      </c>
      <c r="P578" t="s">
        <v>73</v>
      </c>
      <c r="Q578" t="s">
        <v>2149</v>
      </c>
      <c r="R578" t="s">
        <v>2150</v>
      </c>
      <c r="S578" t="s">
        <v>5501</v>
      </c>
      <c r="T578" t="s">
        <v>144</v>
      </c>
      <c r="U578" t="s">
        <v>43</v>
      </c>
      <c r="V578" t="s">
        <v>5502</v>
      </c>
      <c r="W578" t="s">
        <v>5503</v>
      </c>
      <c r="Y578" t="str">
        <f>HYPERLINK("https://recruiter.shine.com/resume/download/?resumeid=gAAAAABbk2ULiyKjdFCMD1QUisx4AKQcq8WiUKKwBksYx0Nwmmnk0PslTbBHGUNLEtqVCHYl0joyC85RGWxtBM62QIT0LJQsLyO0OrFuwXs1lJq2sXKPkUOSiEYtf3qz7hA_uFQQvKlh")</f>
        <v>https://recruiter.shine.com/resume/download/?resumeid=gAAAAABbk2ULiyKjdFCMD1QUisx4AKQcq8WiUKKwBksYx0Nwmmnk0PslTbBHGUNLEtqVCHYl0joyC85RGWxtBM62QIT0LJQsLyO0OrFuwXs1lJq2sXKPkUOSiEYtf3qz7hA_uFQQvKlh</v>
      </c>
    </row>
    <row r="579" spans="1:25" ht="39.950000000000003" customHeight="1">
      <c r="A579">
        <v>575</v>
      </c>
      <c r="B579" t="s">
        <v>5504</v>
      </c>
      <c r="C579" t="s">
        <v>5505</v>
      </c>
      <c r="D579" t="s">
        <v>5506</v>
      </c>
      <c r="E579" t="s">
        <v>5507</v>
      </c>
      <c r="F579" t="s">
        <v>29</v>
      </c>
      <c r="G579" t="s">
        <v>5508</v>
      </c>
      <c r="H579" t="s">
        <v>31</v>
      </c>
      <c r="I579" t="s">
        <v>2747</v>
      </c>
      <c r="J579" t="s">
        <v>437</v>
      </c>
      <c r="K579" t="s">
        <v>706</v>
      </c>
      <c r="L579" t="s">
        <v>486</v>
      </c>
      <c r="M579" t="s">
        <v>238</v>
      </c>
      <c r="N579" t="s">
        <v>5509</v>
      </c>
      <c r="O579" t="s">
        <v>56</v>
      </c>
      <c r="P579" t="s">
        <v>39</v>
      </c>
      <c r="Q579" t="s">
        <v>783</v>
      </c>
      <c r="R579" t="s">
        <v>292</v>
      </c>
      <c r="S579" t="s">
        <v>5510</v>
      </c>
      <c r="T579" t="s">
        <v>625</v>
      </c>
      <c r="U579" t="s">
        <v>43</v>
      </c>
      <c r="V579" t="s">
        <v>5511</v>
      </c>
      <c r="W579" t="s">
        <v>5512</v>
      </c>
      <c r="Y579" t="str">
        <f>HYPERLINK("https://recruiter.shine.com/resume/download/?resumeid=gAAAAABbk2UMjPR6aJysfk515L-T_pZ5ps6u4cbxI111cW9kfblPeWy9umgQZ0lgvmV0zk3AU80JvurDFM4IACf3O5OOKX91y8nKpGbQrfSgwIDL0zOUjm7uggzI0MmAhClQq2mrjVgP6GFHubLZIHZUmZdiiUQuoRK4F8NNyBWMdwJYAfHLr2M=")</f>
        <v>https://recruiter.shine.com/resume/download/?resumeid=gAAAAABbk2UMjPR6aJysfk515L-T_pZ5ps6u4cbxI111cW9kfblPeWy9umgQZ0lgvmV0zk3AU80JvurDFM4IACf3O5OOKX91y8nKpGbQrfSgwIDL0zOUjm7uggzI0MmAhClQq2mrjVgP6GFHubLZIHZUmZdiiUQuoRK4F8NNyBWMdwJYAfHLr2M=</v>
      </c>
    </row>
    <row r="580" spans="1:25" ht="39.950000000000003" customHeight="1">
      <c r="A580">
        <v>576</v>
      </c>
      <c r="B580" t="s">
        <v>5513</v>
      </c>
      <c r="C580" t="s">
        <v>5514</v>
      </c>
      <c r="D580" t="s">
        <v>5515</v>
      </c>
      <c r="E580" t="s">
        <v>5516</v>
      </c>
      <c r="F580" t="s">
        <v>29</v>
      </c>
      <c r="G580" t="s">
        <v>67</v>
      </c>
      <c r="H580" t="s">
        <v>31</v>
      </c>
      <c r="I580" t="s">
        <v>633</v>
      </c>
      <c r="J580" t="s">
        <v>5517</v>
      </c>
      <c r="K580" t="s">
        <v>5518</v>
      </c>
      <c r="L580" t="s">
        <v>814</v>
      </c>
      <c r="M580" t="s">
        <v>1356</v>
      </c>
      <c r="N580" t="s">
        <v>5519</v>
      </c>
      <c r="O580" t="s">
        <v>186</v>
      </c>
      <c r="Q580" t="s">
        <v>107</v>
      </c>
      <c r="R580" t="s">
        <v>341</v>
      </c>
      <c r="S580" t="s">
        <v>5520</v>
      </c>
      <c r="T580" t="s">
        <v>227</v>
      </c>
      <c r="U580" t="s">
        <v>94</v>
      </c>
      <c r="V580" t="s">
        <v>5521</v>
      </c>
      <c r="W580" t="s">
        <v>5522</v>
      </c>
      <c r="Y580" t="str">
        <f>HYPERLINK("https://recruiter.shine.com/resume/download/?resumeid=gAAAAABbk2UOZF0pkEhxRsp-BLtZ7GL4p-SnW7m08pE_yPgUyI4Ig0d2AdxN5d06QpQPLuMvefhtMwH5W-zBfYN3IdS7NLktwzz1gczbItxvo3B4dtvsbv_-t4sTlWyL1EMqi2Gs8mMQZls_XlAE-CbFadzQWM8smtsFAIhWu0DuJtE_d8RCilA=")</f>
        <v>https://recruiter.shine.com/resume/download/?resumeid=gAAAAABbk2UOZF0pkEhxRsp-BLtZ7GL4p-SnW7m08pE_yPgUyI4Ig0d2AdxN5d06QpQPLuMvefhtMwH5W-zBfYN3IdS7NLktwzz1gczbItxvo3B4dtvsbv_-t4sTlWyL1EMqi2Gs8mMQZls_XlAE-CbFadzQWM8smtsFAIhWu0DuJtE_d8RCilA=</v>
      </c>
    </row>
    <row r="581" spans="1:25" ht="39.950000000000003" customHeight="1">
      <c r="A581">
        <v>577</v>
      </c>
      <c r="B581" t="s">
        <v>5523</v>
      </c>
      <c r="C581" t="s">
        <v>5524</v>
      </c>
      <c r="D581" t="s">
        <v>5525</v>
      </c>
      <c r="E581" t="s">
        <v>5526</v>
      </c>
      <c r="F581" t="s">
        <v>29</v>
      </c>
      <c r="G581" t="s">
        <v>29</v>
      </c>
      <c r="H581" t="s">
        <v>31</v>
      </c>
      <c r="I581" t="s">
        <v>1265</v>
      </c>
      <c r="J581" t="s">
        <v>1804</v>
      </c>
      <c r="K581" t="s">
        <v>544</v>
      </c>
      <c r="L581" t="s">
        <v>794</v>
      </c>
      <c r="M581" t="s">
        <v>684</v>
      </c>
      <c r="N581" t="s">
        <v>5527</v>
      </c>
      <c r="O581" t="s">
        <v>38</v>
      </c>
      <c r="P581" t="s">
        <v>57</v>
      </c>
      <c r="Q581" t="s">
        <v>40</v>
      </c>
      <c r="R581" t="s">
        <v>41</v>
      </c>
      <c r="S581" t="s">
        <v>5528</v>
      </c>
      <c r="T581" t="s">
        <v>687</v>
      </c>
      <c r="U581" t="s">
        <v>43</v>
      </c>
      <c r="V581" t="s">
        <v>5529</v>
      </c>
      <c r="W581" t="s">
        <v>5530</v>
      </c>
      <c r="Y581" t="str">
        <f>HYPERLINK("https://recruiter.shine.com/resume/download/?resumeid=gAAAAABbk2UKJr8smWtcJjR9uXcstm9BjRlFMjDtT0rTQBvLYcXXhdUZX82G-1d2ydzC8Y9OIzNZXKUY5LDlXgz7YF2c5y6ToZk9N4f341GSGYeARXEr7FNGlidPKakvGZv5jVUpa02t")</f>
        <v>https://recruiter.shine.com/resume/download/?resumeid=gAAAAABbk2UKJr8smWtcJjR9uXcstm9BjRlFMjDtT0rTQBvLYcXXhdUZX82G-1d2ydzC8Y9OIzNZXKUY5LDlXgz7YF2c5y6ToZk9N4f341GSGYeARXEr7FNGlidPKakvGZv5jVUpa02t</v>
      </c>
    </row>
    <row r="582" spans="1:25" ht="39.950000000000003" customHeight="1">
      <c r="A582">
        <v>578</v>
      </c>
      <c r="B582" t="s">
        <v>5531</v>
      </c>
      <c r="C582" t="s">
        <v>5532</v>
      </c>
      <c r="D582" t="s">
        <v>5533</v>
      </c>
      <c r="E582" t="s">
        <v>5534</v>
      </c>
      <c r="F582" t="s">
        <v>29</v>
      </c>
      <c r="G582" t="s">
        <v>5535</v>
      </c>
      <c r="H582" t="s">
        <v>31</v>
      </c>
      <c r="I582" t="s">
        <v>860</v>
      </c>
      <c r="J582" t="s">
        <v>2141</v>
      </c>
      <c r="K582" t="s">
        <v>4369</v>
      </c>
      <c r="L582" t="s">
        <v>266</v>
      </c>
      <c r="M582" t="s">
        <v>105</v>
      </c>
      <c r="N582" t="s">
        <v>5536</v>
      </c>
      <c r="O582" t="s">
        <v>186</v>
      </c>
      <c r="P582" t="s">
        <v>140</v>
      </c>
      <c r="Q582" t="s">
        <v>158</v>
      </c>
      <c r="R582" t="s">
        <v>225</v>
      </c>
      <c r="S582" t="s">
        <v>1402</v>
      </c>
      <c r="T582" t="s">
        <v>61</v>
      </c>
      <c r="U582" t="s">
        <v>43</v>
      </c>
      <c r="V582" t="s">
        <v>5537</v>
      </c>
      <c r="W582" t="s">
        <v>5538</v>
      </c>
      <c r="Y582" t="str">
        <f>HYPERLINK("https://recruiter.shine.com/resume/download/?resumeid=gAAAAABbk2UMujyJxhqVbrd3_Nh7M5U7PN3FKGWaO3ys3XQV5u4DH2pAOMA_w-aIr4o0EiS-Fk_-nR2lXj7aSdXofB6Dx-qlanIce8lq3dSbt2ovBdhBgrttGQUWzeDOyw_lESLS7GLU5pBrfaj8MLhbUfxCzTbr469vptZCKEcuXVC0MCZ2nis=")</f>
        <v>https://recruiter.shine.com/resume/download/?resumeid=gAAAAABbk2UMujyJxhqVbrd3_Nh7M5U7PN3FKGWaO3ys3XQV5u4DH2pAOMA_w-aIr4o0EiS-Fk_-nR2lXj7aSdXofB6Dx-qlanIce8lq3dSbt2ovBdhBgrttGQUWzeDOyw_lESLS7GLU5pBrfaj8MLhbUfxCzTbr469vptZCKEcuXVC0MCZ2nis=</v>
      </c>
    </row>
    <row r="583" spans="1:25" ht="39.950000000000003" customHeight="1">
      <c r="A583">
        <v>579</v>
      </c>
      <c r="B583" t="s">
        <v>5539</v>
      </c>
      <c r="C583" t="s">
        <v>5540</v>
      </c>
      <c r="D583" t="s">
        <v>5541</v>
      </c>
      <c r="E583" t="s">
        <v>5542</v>
      </c>
      <c r="F583" t="s">
        <v>249</v>
      </c>
      <c r="G583" t="s">
        <v>67</v>
      </c>
      <c r="H583" t="s">
        <v>234</v>
      </c>
      <c r="I583" t="s">
        <v>362</v>
      </c>
      <c r="J583" t="s">
        <v>135</v>
      </c>
      <c r="L583" t="s">
        <v>363</v>
      </c>
      <c r="M583" t="s">
        <v>364</v>
      </c>
      <c r="Q583" t="s">
        <v>107</v>
      </c>
      <c r="R583" t="s">
        <v>864</v>
      </c>
      <c r="S583" t="s">
        <v>951</v>
      </c>
      <c r="T583" t="s">
        <v>625</v>
      </c>
      <c r="U583" t="s">
        <v>43</v>
      </c>
      <c r="V583" t="s">
        <v>5543</v>
      </c>
      <c r="W583" t="s">
        <v>5544</v>
      </c>
      <c r="Y583" t="str">
        <f>HYPERLINK("https://recruiter.shine.com/resume/download/?resumeid=gAAAAABbk2UNbonBG8zc5NN_GNnMWEFOEEp3QBMBaGukLMrr-VM9o5bhW8Fbu1XoFwcxQUTcncV9wp6H-bWbjydWvwo3YLR8YCqgCqSwMwTyxc4qdaNZXRHN6bJdQEDE_VBWZcR4HH9qzFIuKId8hUXisLey2yVHOQ==")</f>
        <v>https://recruiter.shine.com/resume/download/?resumeid=gAAAAABbk2UNbonBG8zc5NN_GNnMWEFOEEp3QBMBaGukLMrr-VM9o5bhW8Fbu1XoFwcxQUTcncV9wp6H-bWbjydWvwo3YLR8YCqgCqSwMwTyxc4qdaNZXRHN6bJdQEDE_VBWZcR4HH9qzFIuKId8hUXisLey2yVHOQ==</v>
      </c>
    </row>
    <row r="584" spans="1:25" ht="39.950000000000003" customHeight="1">
      <c r="A584">
        <v>580</v>
      </c>
      <c r="B584" t="s">
        <v>5545</v>
      </c>
      <c r="C584" t="s">
        <v>5546</v>
      </c>
      <c r="D584" t="s">
        <v>5547</v>
      </c>
      <c r="E584" t="s">
        <v>5548</v>
      </c>
      <c r="F584" t="s">
        <v>29</v>
      </c>
      <c r="G584" t="s">
        <v>5549</v>
      </c>
      <c r="H584" t="s">
        <v>31</v>
      </c>
      <c r="I584" t="s">
        <v>32</v>
      </c>
      <c r="J584" t="s">
        <v>4580</v>
      </c>
      <c r="K584" t="s">
        <v>2645</v>
      </c>
      <c r="L584" t="s">
        <v>746</v>
      </c>
      <c r="M584" t="s">
        <v>1356</v>
      </c>
      <c r="N584" t="s">
        <v>5550</v>
      </c>
      <c r="O584" t="s">
        <v>186</v>
      </c>
      <c r="P584" t="s">
        <v>57</v>
      </c>
      <c r="Q584" t="s">
        <v>1545</v>
      </c>
      <c r="R584" t="s">
        <v>142</v>
      </c>
      <c r="S584" t="s">
        <v>5551</v>
      </c>
      <c r="T584" t="s">
        <v>281</v>
      </c>
      <c r="U584" t="s">
        <v>43</v>
      </c>
      <c r="V584" t="s">
        <v>5552</v>
      </c>
      <c r="W584" t="s">
        <v>5552</v>
      </c>
      <c r="Y584" t="str">
        <f>HYPERLINK("https://recruiter.shine.com/resume/download/?resumeid=gAAAAABbk2UKphY6rKyvwaODYjYFO_8S2MycjRRPmAwiYzb50ZwmZD-BPZlxGwHG-MZz32tWY9s0aWWF1FIl3TfJjd4doP42CIqR8iEV_2YhoA1xlaEoZ3-BTsAfsAyf0IG1FU0G61jN")</f>
        <v>https://recruiter.shine.com/resume/download/?resumeid=gAAAAABbk2UKphY6rKyvwaODYjYFO_8S2MycjRRPmAwiYzb50ZwmZD-BPZlxGwHG-MZz32tWY9s0aWWF1FIl3TfJjd4doP42CIqR8iEV_2YhoA1xlaEoZ3-BTsAfsAyf0IG1FU0G61jN</v>
      </c>
    </row>
    <row r="585" spans="1:25" ht="39.950000000000003" customHeight="1">
      <c r="A585">
        <v>581</v>
      </c>
      <c r="B585" t="s">
        <v>5553</v>
      </c>
      <c r="C585" t="s">
        <v>5554</v>
      </c>
      <c r="D585" t="s">
        <v>5555</v>
      </c>
      <c r="E585" t="s">
        <v>5556</v>
      </c>
      <c r="F585" t="s">
        <v>858</v>
      </c>
      <c r="G585" t="s">
        <v>29</v>
      </c>
      <c r="H585" t="s">
        <v>234</v>
      </c>
      <c r="I585" t="s">
        <v>2317</v>
      </c>
      <c r="J585" t="s">
        <v>51</v>
      </c>
      <c r="K585" t="s">
        <v>5557</v>
      </c>
      <c r="L585" t="s">
        <v>171</v>
      </c>
      <c r="M585" t="s">
        <v>36</v>
      </c>
      <c r="N585" t="s">
        <v>5558</v>
      </c>
      <c r="O585" t="s">
        <v>224</v>
      </c>
      <c r="P585" t="s">
        <v>57</v>
      </c>
      <c r="Q585" t="s">
        <v>158</v>
      </c>
      <c r="R585" t="s">
        <v>559</v>
      </c>
      <c r="S585" t="s">
        <v>5559</v>
      </c>
      <c r="T585" t="s">
        <v>399</v>
      </c>
      <c r="U585" t="s">
        <v>43</v>
      </c>
      <c r="V585" t="s">
        <v>5560</v>
      </c>
      <c r="W585" t="s">
        <v>5561</v>
      </c>
      <c r="Y585" t="str">
        <f>HYPERLINK("https://recruiter.shine.com/resume/download/?resumeid=gAAAAABbk2UMknptvfWyVA7gxY-VGVX_6LeqQ9xCcqyz2jFU_m1cixn3Fba_8E9SvZ2P9BKrQKNRul-My75ILESpOl_eHpgYcbI8BdXm7myhH1GAFoXnd5GRgVxaQOCqLYwk2Qoxij-gLLV5T4QBjr4S1DmV7_SCuw==")</f>
        <v>https://recruiter.shine.com/resume/download/?resumeid=gAAAAABbk2UMknptvfWyVA7gxY-VGVX_6LeqQ9xCcqyz2jFU_m1cixn3Fba_8E9SvZ2P9BKrQKNRul-My75ILESpOl_eHpgYcbI8BdXm7myhH1GAFoXnd5GRgVxaQOCqLYwk2Qoxij-gLLV5T4QBjr4S1DmV7_SCuw==</v>
      </c>
    </row>
    <row r="586" spans="1:25" ht="39.950000000000003" customHeight="1">
      <c r="A586">
        <v>582</v>
      </c>
      <c r="B586" t="s">
        <v>5562</v>
      </c>
      <c r="C586" t="s">
        <v>5563</v>
      </c>
      <c r="D586" t="s">
        <v>5564</v>
      </c>
      <c r="E586" t="s">
        <v>5565</v>
      </c>
      <c r="F586" t="s">
        <v>29</v>
      </c>
      <c r="G586" t="s">
        <v>67</v>
      </c>
      <c r="H586" t="s">
        <v>234</v>
      </c>
      <c r="I586" t="s">
        <v>362</v>
      </c>
      <c r="J586" t="s">
        <v>135</v>
      </c>
      <c r="L586" t="s">
        <v>363</v>
      </c>
      <c r="M586" t="s">
        <v>364</v>
      </c>
      <c r="Q586" t="s">
        <v>41</v>
      </c>
      <c r="R586" t="s">
        <v>5566</v>
      </c>
      <c r="S586" t="s">
        <v>188</v>
      </c>
      <c r="T586" t="s">
        <v>625</v>
      </c>
      <c r="U586" t="s">
        <v>43</v>
      </c>
      <c r="V586" t="s">
        <v>5567</v>
      </c>
      <c r="W586" t="s">
        <v>5568</v>
      </c>
      <c r="Y586" t="str">
        <f>HYPERLINK("https://recruiter.shine.com/resume/download/?resumeid=gAAAAABbk2UOV0VFOU9MlSOIeBXuGG9OKv61gBBxDyw3pxxCI2lWsaQdR81tRRBHy0fo0UvX01TbB8rMZi6eNe71HMue1dJvsZktZj8a7G6tBEdRWmjCXKsIycxT4bzORM8YaWluk557RKsOSxRRlGBnCOhgBEV93INVUIeZTDe8fvlvrX7c85k=")</f>
        <v>https://recruiter.shine.com/resume/download/?resumeid=gAAAAABbk2UOV0VFOU9MlSOIeBXuGG9OKv61gBBxDyw3pxxCI2lWsaQdR81tRRBHy0fo0UvX01TbB8rMZi6eNe71HMue1dJvsZktZj8a7G6tBEdRWmjCXKsIycxT4bzORM8YaWluk557RKsOSxRRlGBnCOhgBEV93INVUIeZTDe8fvlvrX7c85k=</v>
      </c>
    </row>
    <row r="587" spans="1:25" ht="39.950000000000003" customHeight="1">
      <c r="A587">
        <v>583</v>
      </c>
      <c r="B587" t="s">
        <v>5569</v>
      </c>
      <c r="C587" t="s">
        <v>5570</v>
      </c>
      <c r="D587" t="s">
        <v>5571</v>
      </c>
      <c r="E587" t="s">
        <v>5572</v>
      </c>
      <c r="F587" t="s">
        <v>29</v>
      </c>
      <c r="G587" t="s">
        <v>29</v>
      </c>
      <c r="H587" t="s">
        <v>31</v>
      </c>
      <c r="I587" t="s">
        <v>5573</v>
      </c>
      <c r="J587" t="s">
        <v>484</v>
      </c>
      <c r="K587" t="s">
        <v>5574</v>
      </c>
      <c r="L587" t="s">
        <v>5575</v>
      </c>
      <c r="M587" t="s">
        <v>121</v>
      </c>
      <c r="N587" t="s">
        <v>1636</v>
      </c>
      <c r="O587" t="s">
        <v>38</v>
      </c>
      <c r="P587" t="s">
        <v>268</v>
      </c>
      <c r="Q587" t="s">
        <v>90</v>
      </c>
      <c r="R587" t="s">
        <v>1627</v>
      </c>
      <c r="S587" t="s">
        <v>1467</v>
      </c>
      <c r="T587" t="s">
        <v>61</v>
      </c>
      <c r="U587" t="s">
        <v>43</v>
      </c>
      <c r="V587" t="s">
        <v>5576</v>
      </c>
      <c r="W587" t="s">
        <v>5577</v>
      </c>
      <c r="Y587" t="str">
        <f>HYPERLINK("https://recruiter.shine.com/resume/download/?resumeid=gAAAAABbk2UL4v2fLFuFso3P1QIlFYft3HIWHbGseegmMM17tlLgp2mTVnvjpNTW-kkqu8BN1W82cnkQhEyYvN-6LWr3NqBNOVUZ5f1vHNmgr5DhhVXnklyTYZVHHm1WH2x54VrJ1iCa")</f>
        <v>https://recruiter.shine.com/resume/download/?resumeid=gAAAAABbk2UL4v2fLFuFso3P1QIlFYft3HIWHbGseegmMM17tlLgp2mTVnvjpNTW-kkqu8BN1W82cnkQhEyYvN-6LWr3NqBNOVUZ5f1vHNmgr5DhhVXnklyTYZVHHm1WH2x54VrJ1iCa</v>
      </c>
    </row>
    <row r="588" spans="1:25" ht="39.950000000000003" customHeight="1">
      <c r="A588">
        <v>584</v>
      </c>
      <c r="B588" t="s">
        <v>5578</v>
      </c>
      <c r="C588" t="s">
        <v>5579</v>
      </c>
      <c r="D588" t="s">
        <v>5580</v>
      </c>
      <c r="E588" t="s">
        <v>5581</v>
      </c>
      <c r="F588" t="s">
        <v>29</v>
      </c>
      <c r="G588" t="s">
        <v>5582</v>
      </c>
      <c r="H588" t="s">
        <v>31</v>
      </c>
      <c r="I588" t="s">
        <v>860</v>
      </c>
      <c r="J588" t="s">
        <v>51</v>
      </c>
      <c r="K588" t="s">
        <v>5583</v>
      </c>
      <c r="L588" t="s">
        <v>1674</v>
      </c>
      <c r="M588" t="s">
        <v>395</v>
      </c>
      <c r="N588" t="s">
        <v>5584</v>
      </c>
      <c r="O588" t="s">
        <v>38</v>
      </c>
      <c r="Q588" t="s">
        <v>40</v>
      </c>
      <c r="R588" t="s">
        <v>5585</v>
      </c>
      <c r="S588" t="s">
        <v>5586</v>
      </c>
      <c r="T588" t="s">
        <v>126</v>
      </c>
      <c r="U588" t="s">
        <v>43</v>
      </c>
      <c r="V588" t="s">
        <v>5587</v>
      </c>
      <c r="W588" t="s">
        <v>5588</v>
      </c>
      <c r="Y588" t="str">
        <f>HYPERLINK("https://recruiter.shine.com/resume/download/?resumeid=gAAAAABbk2UNU0vldHCZPeuXWoqc6i17ns4WFaHCpKpeovwfnxw7yL1iK-jwHowpigaUQLv3Do02l5nRuwKvNHKEqJolSD_yWCAxbShq4-w42GLO1mqbXK4ftgEJaynovI3XP5NbGWJBRfGdSh88y2tnJLx9exMRHXUHPzdIc1vC-MPHGmJYYLo=")</f>
        <v>https://recruiter.shine.com/resume/download/?resumeid=gAAAAABbk2UNU0vldHCZPeuXWoqc6i17ns4WFaHCpKpeovwfnxw7yL1iK-jwHowpigaUQLv3Do02l5nRuwKvNHKEqJolSD_yWCAxbShq4-w42GLO1mqbXK4ftgEJaynovI3XP5NbGWJBRfGdSh88y2tnJLx9exMRHXUHPzdIc1vC-MPHGmJYYLo=</v>
      </c>
    </row>
    <row r="589" spans="1:25" ht="39.950000000000003" customHeight="1">
      <c r="A589">
        <v>585</v>
      </c>
      <c r="B589" t="s">
        <v>5589</v>
      </c>
      <c r="C589" t="s">
        <v>5590</v>
      </c>
      <c r="D589" t="s">
        <v>5591</v>
      </c>
      <c r="E589" t="s">
        <v>5592</v>
      </c>
      <c r="F589" t="s">
        <v>29</v>
      </c>
      <c r="G589" t="s">
        <v>5593</v>
      </c>
      <c r="H589" t="s">
        <v>234</v>
      </c>
      <c r="I589" t="s">
        <v>362</v>
      </c>
      <c r="J589" t="s">
        <v>135</v>
      </c>
      <c r="L589" t="s">
        <v>363</v>
      </c>
      <c r="M589" t="s">
        <v>364</v>
      </c>
      <c r="Q589" t="s">
        <v>90</v>
      </c>
      <c r="R589" t="s">
        <v>465</v>
      </c>
      <c r="S589" t="s">
        <v>5492</v>
      </c>
      <c r="T589" t="s">
        <v>625</v>
      </c>
      <c r="U589" t="s">
        <v>43</v>
      </c>
      <c r="V589" t="s">
        <v>5594</v>
      </c>
      <c r="W589" t="s">
        <v>5595</v>
      </c>
      <c r="Y589" t="str">
        <f>HYPERLINK("https://recruiter.shine.com/resume/download/?resumeid=gAAAAABbk2UN8iVZf81ijLM55r3JN-dOU1FLogoKCwKqxomvayxY1C-iFSu5yOy6WJfk9heSH46je5t0KYuMaC0n90-vHYoTyV1CVRdKnnscqPuXqcw5kxObXcWlVzAo3oBNY7neb2Ysam42Yo4dywzt49GYvlbbnA==")</f>
        <v>https://recruiter.shine.com/resume/download/?resumeid=gAAAAABbk2UN8iVZf81ijLM55r3JN-dOU1FLogoKCwKqxomvayxY1C-iFSu5yOy6WJfk9heSH46je5t0KYuMaC0n90-vHYoTyV1CVRdKnnscqPuXqcw5kxObXcWlVzAo3oBNY7neb2Ysam42Yo4dywzt49GYvlbbnA==</v>
      </c>
    </row>
    <row r="590" spans="1:25" ht="39.950000000000003" customHeight="1">
      <c r="A590">
        <v>586</v>
      </c>
      <c r="B590" t="s">
        <v>5596</v>
      </c>
      <c r="C590" t="s">
        <v>5597</v>
      </c>
      <c r="D590" t="s">
        <v>5598</v>
      </c>
      <c r="E590" t="s">
        <v>5599</v>
      </c>
      <c r="F590" t="s">
        <v>29</v>
      </c>
      <c r="G590" t="s">
        <v>5600</v>
      </c>
      <c r="H590" t="s">
        <v>31</v>
      </c>
      <c r="I590" t="s">
        <v>85</v>
      </c>
      <c r="J590" t="s">
        <v>715</v>
      </c>
      <c r="K590" t="s">
        <v>5601</v>
      </c>
      <c r="L590" t="s">
        <v>253</v>
      </c>
      <c r="M590" t="s">
        <v>105</v>
      </c>
      <c r="N590" t="s">
        <v>5602</v>
      </c>
      <c r="O590" t="s">
        <v>38</v>
      </c>
      <c r="P590" t="s">
        <v>57</v>
      </c>
      <c r="Q590" t="s">
        <v>90</v>
      </c>
      <c r="R590" t="s">
        <v>292</v>
      </c>
      <c r="S590" t="s">
        <v>5603</v>
      </c>
      <c r="T590" t="s">
        <v>110</v>
      </c>
      <c r="U590" t="s">
        <v>94</v>
      </c>
      <c r="V590" t="s">
        <v>5604</v>
      </c>
      <c r="W590" t="s">
        <v>5605</v>
      </c>
      <c r="Y590" t="str">
        <f>HYPERLINK("https://recruiter.shine.com/resume/download/?resumeid=gAAAAABbk2UKiujWCJV8aahwi8XnIO13Ip60EmhJewWGKTLYyvN2K8_dFWqzmpAiasFXTXGmWaMwr8xSCReOiNWZaS0xcQSA3fM_70SdP1p3MUSN70Dyjvoan2HI1r87lG-OZnzk8mtW")</f>
        <v>https://recruiter.shine.com/resume/download/?resumeid=gAAAAABbk2UKiujWCJV8aahwi8XnIO13Ip60EmhJewWGKTLYyvN2K8_dFWqzmpAiasFXTXGmWaMwr8xSCReOiNWZaS0xcQSA3fM_70SdP1p3MUSN70Dyjvoan2HI1r87lG-OZnzk8mtW</v>
      </c>
    </row>
    <row r="591" spans="1:25" ht="39.950000000000003" customHeight="1">
      <c r="A591">
        <v>587</v>
      </c>
      <c r="B591" t="s">
        <v>5606</v>
      </c>
      <c r="C591" t="s">
        <v>5607</v>
      </c>
      <c r="D591" t="s">
        <v>5608</v>
      </c>
      <c r="E591" t="s">
        <v>5609</v>
      </c>
      <c r="F591" t="s">
        <v>29</v>
      </c>
      <c r="G591" t="s">
        <v>5535</v>
      </c>
      <c r="H591" t="s">
        <v>31</v>
      </c>
      <c r="I591" t="s">
        <v>32</v>
      </c>
      <c r="J591" t="s">
        <v>5610</v>
      </c>
      <c r="K591" t="s">
        <v>5611</v>
      </c>
      <c r="L591" t="s">
        <v>88</v>
      </c>
      <c r="M591" t="s">
        <v>36</v>
      </c>
      <c r="N591" t="s">
        <v>5612</v>
      </c>
      <c r="O591" t="s">
        <v>56</v>
      </c>
      <c r="P591" t="s">
        <v>57</v>
      </c>
      <c r="Q591" t="s">
        <v>90</v>
      </c>
      <c r="R591" t="s">
        <v>427</v>
      </c>
      <c r="S591" t="s">
        <v>5613</v>
      </c>
      <c r="T591" t="s">
        <v>2453</v>
      </c>
      <c r="U591" t="s">
        <v>43</v>
      </c>
      <c r="V591" t="s">
        <v>5614</v>
      </c>
      <c r="W591" t="s">
        <v>5615</v>
      </c>
      <c r="Y591" t="str">
        <f>HYPERLINK("https://recruiter.shine.com/resume/download/?resumeid=gAAAAABbk2UMekmOGmswSIuYwIOBXGNVjspCHlfTEnOcjFjhB_ggvhqRbRSIZKz_7VyWqbGgFv8xyhTXV2WoUn0iUP1OtIHR4lfPAoMsFYARmmLvyB9wzkY1ANGgyAHaSvF2ZhfoEWKw0bIA7rZYbDbMkR3crSXcVj3IzPT_r6jIJwX-Unm__tE=")</f>
        <v>https://recruiter.shine.com/resume/download/?resumeid=gAAAAABbk2UMekmOGmswSIuYwIOBXGNVjspCHlfTEnOcjFjhB_ggvhqRbRSIZKz_7VyWqbGgFv8xyhTXV2WoUn0iUP1OtIHR4lfPAoMsFYARmmLvyB9wzkY1ANGgyAHaSvF2ZhfoEWKw0bIA7rZYbDbMkR3crSXcVj3IzPT_r6jIJwX-Unm__tE=</v>
      </c>
    </row>
    <row r="592" spans="1:25" ht="39.950000000000003" customHeight="1">
      <c r="A592">
        <v>588</v>
      </c>
      <c r="B592" t="s">
        <v>5616</v>
      </c>
      <c r="D592" t="s">
        <v>5617</v>
      </c>
      <c r="E592" t="s">
        <v>5618</v>
      </c>
      <c r="F592" t="s">
        <v>29</v>
      </c>
      <c r="G592" t="s">
        <v>67</v>
      </c>
      <c r="I592" t="s">
        <v>860</v>
      </c>
      <c r="J592" t="s">
        <v>935</v>
      </c>
      <c r="K592" t="s">
        <v>5619</v>
      </c>
      <c r="L592" t="s">
        <v>254</v>
      </c>
      <c r="M592" t="s">
        <v>238</v>
      </c>
      <c r="N592" t="s">
        <v>5620</v>
      </c>
      <c r="O592" t="s">
        <v>186</v>
      </c>
      <c r="Q592" t="s">
        <v>90</v>
      </c>
      <c r="R592" t="s">
        <v>292</v>
      </c>
      <c r="S592" t="s">
        <v>5621</v>
      </c>
      <c r="T592" t="s">
        <v>110</v>
      </c>
      <c r="U592" t="s">
        <v>43</v>
      </c>
      <c r="V592" t="s">
        <v>5622</v>
      </c>
      <c r="W592" t="s">
        <v>5623</v>
      </c>
      <c r="Y592" t="str">
        <f>HYPERLINK("https://recruiter.shine.com/resume/download/?resumeid=gAAAAABbk2UO0uBb0DmnRU6GjsbLbHvkQys6TJ-HqI0khBqncV6mPxTmewHyzTABIofvPLgi_8KwD1bEDBDJTqWsfEziHYve0wIjMNe2cDreUHON7mi8DG3y_rFdyLyzApqwjPFmi7exCUwnVsyI5G6m3ZMwzNP6Z0kOhiwDMFbXzRDyba8xJjY=")</f>
        <v>https://recruiter.shine.com/resume/download/?resumeid=gAAAAABbk2UO0uBb0DmnRU6GjsbLbHvkQys6TJ-HqI0khBqncV6mPxTmewHyzTABIofvPLgi_8KwD1bEDBDJTqWsfEziHYve0wIjMNe2cDreUHON7mi8DG3y_rFdyLyzApqwjPFmi7exCUwnVsyI5G6m3ZMwzNP6Z0kOhiwDMFbXzRDyba8xJjY=</v>
      </c>
    </row>
    <row r="593" spans="1:25" ht="39.950000000000003" customHeight="1">
      <c r="A593">
        <v>589</v>
      </c>
      <c r="B593" t="s">
        <v>5624</v>
      </c>
      <c r="C593" t="s">
        <v>5625</v>
      </c>
      <c r="D593" t="s">
        <v>5626</v>
      </c>
      <c r="E593" t="s">
        <v>5627</v>
      </c>
      <c r="F593" t="s">
        <v>29</v>
      </c>
      <c r="G593" t="s">
        <v>2599</v>
      </c>
      <c r="H593" t="s">
        <v>31</v>
      </c>
      <c r="I593" t="s">
        <v>836</v>
      </c>
      <c r="J593" t="s">
        <v>408</v>
      </c>
      <c r="K593" t="s">
        <v>5628</v>
      </c>
      <c r="L593" t="s">
        <v>266</v>
      </c>
      <c r="M593" t="s">
        <v>684</v>
      </c>
      <c r="N593" t="s">
        <v>5629</v>
      </c>
      <c r="O593" t="s">
        <v>38</v>
      </c>
      <c r="P593" t="s">
        <v>940</v>
      </c>
      <c r="Q593" t="s">
        <v>158</v>
      </c>
      <c r="R593" t="s">
        <v>41</v>
      </c>
      <c r="S593" t="s">
        <v>5630</v>
      </c>
      <c r="T593" t="s">
        <v>227</v>
      </c>
      <c r="U593" t="s">
        <v>94</v>
      </c>
      <c r="V593" t="s">
        <v>5631</v>
      </c>
      <c r="W593" t="s">
        <v>5632</v>
      </c>
      <c r="Y593" t="str">
        <f>HYPERLINK("https://recruiter.shine.com/resume/download/?resumeid=gAAAAABbk2UKiXZ9B4cFXenOBPz9jHjuRaam31gW72fGF2vEMGx9PlZ7l1dg4gXU0MV4GNOy5I5g5uL_FQjuko9ncK5J4PU-Z8ImClX8_DwB-FFQYe08oJXOAQiSGQF7E25k011QThnw")</f>
        <v>https://recruiter.shine.com/resume/download/?resumeid=gAAAAABbk2UKiXZ9B4cFXenOBPz9jHjuRaam31gW72fGF2vEMGx9PlZ7l1dg4gXU0MV4GNOy5I5g5uL_FQjuko9ncK5J4PU-Z8ImClX8_DwB-FFQYe08oJXOAQiSGQF7E25k011QThnw</v>
      </c>
    </row>
    <row r="594" spans="1:25" ht="39.950000000000003" customHeight="1">
      <c r="A594">
        <v>590</v>
      </c>
      <c r="B594" t="s">
        <v>5633</v>
      </c>
      <c r="C594" t="s">
        <v>5634</v>
      </c>
      <c r="D594" t="s">
        <v>5635</v>
      </c>
      <c r="E594" t="s">
        <v>5636</v>
      </c>
      <c r="F594" t="s">
        <v>29</v>
      </c>
      <c r="G594" t="s">
        <v>5637</v>
      </c>
      <c r="H594" t="s">
        <v>31</v>
      </c>
      <c r="I594" t="s">
        <v>5638</v>
      </c>
      <c r="J594" t="s">
        <v>135</v>
      </c>
      <c r="K594" t="s">
        <v>5639</v>
      </c>
      <c r="L594" t="s">
        <v>88</v>
      </c>
      <c r="M594" t="s">
        <v>5640</v>
      </c>
      <c r="N594" t="s">
        <v>5641</v>
      </c>
      <c r="O594" t="s">
        <v>804</v>
      </c>
      <c r="P594" t="s">
        <v>73</v>
      </c>
      <c r="Q594" t="s">
        <v>90</v>
      </c>
      <c r="R594" t="s">
        <v>91</v>
      </c>
      <c r="S594" t="s">
        <v>5642</v>
      </c>
      <c r="T594" t="s">
        <v>281</v>
      </c>
      <c r="U594" t="s">
        <v>43</v>
      </c>
      <c r="V594" t="s">
        <v>5643</v>
      </c>
      <c r="W594" t="s">
        <v>5644</v>
      </c>
      <c r="Y594" t="str">
        <f>HYPERLINK("https://recruiter.shine.com/resume/download/?resumeid=gAAAAABbk2UMWaQw0XNYRb_Ka-wwvNhoHD4rs51ySPEeBogt7vcL89qvhg7WBYTVQhDyCCmoiWbKysySW0x60V0iw546lT6PlR5cwn94mck9GKnrgtZuwFpWorWtyHgBi5hm8nALtifwzOsfMMNniVQG14Kb2y3RXw==")</f>
        <v>https://recruiter.shine.com/resume/download/?resumeid=gAAAAABbk2UMWaQw0XNYRb_Ka-wwvNhoHD4rs51ySPEeBogt7vcL89qvhg7WBYTVQhDyCCmoiWbKysySW0x60V0iw546lT6PlR5cwn94mck9GKnrgtZuwFpWorWtyHgBi5hm8nALtifwzOsfMMNniVQG14Kb2y3RXw==</v>
      </c>
    </row>
    <row r="595" spans="1:25" ht="39.950000000000003" customHeight="1">
      <c r="A595">
        <v>591</v>
      </c>
      <c r="B595" t="s">
        <v>5645</v>
      </c>
      <c r="C595" t="s">
        <v>5646</v>
      </c>
      <c r="D595" t="s">
        <v>5647</v>
      </c>
      <c r="E595" t="s">
        <v>5648</v>
      </c>
      <c r="F595" t="s">
        <v>29</v>
      </c>
      <c r="G595" t="s">
        <v>459</v>
      </c>
      <c r="H595" t="s">
        <v>234</v>
      </c>
      <c r="I595" t="s">
        <v>836</v>
      </c>
      <c r="J595" t="s">
        <v>3591</v>
      </c>
      <c r="K595" t="s">
        <v>595</v>
      </c>
      <c r="L595" t="s">
        <v>120</v>
      </c>
      <c r="M595" t="s">
        <v>339</v>
      </c>
      <c r="N595" t="s">
        <v>5649</v>
      </c>
      <c r="O595" t="s">
        <v>1245</v>
      </c>
      <c r="P595" t="s">
        <v>57</v>
      </c>
      <c r="Q595" t="s">
        <v>107</v>
      </c>
      <c r="R595" t="s">
        <v>559</v>
      </c>
      <c r="S595" t="s">
        <v>5650</v>
      </c>
      <c r="T595" t="s">
        <v>144</v>
      </c>
      <c r="U595" t="s">
        <v>43</v>
      </c>
      <c r="V595" t="s">
        <v>5651</v>
      </c>
      <c r="W595" t="s">
        <v>5652</v>
      </c>
      <c r="Y595" t="str">
        <f>HYPERLINK("https://recruiter.shine.com/resume/download/?resumeid=gAAAAABbk2UOaooG6tujxPw6A-lkR9A8tUaFss8xtK0URtoND2wN4Rvp4A7dhYdmLtEpF2lds5ykeJ2u-gLLkVO_JGx60nbiWLoP2Ic8a-jIT34BoVz4c_hu63GJg7vP1DoPMxSKDKX4j5EDBiG2KWvCd4umM9uFzA==")</f>
        <v>https://recruiter.shine.com/resume/download/?resumeid=gAAAAABbk2UOaooG6tujxPw6A-lkR9A8tUaFss8xtK0URtoND2wN4Rvp4A7dhYdmLtEpF2lds5ykeJ2u-gLLkVO_JGx60nbiWLoP2Ic8a-jIT34BoVz4c_hu63GJg7vP1DoPMxSKDKX4j5EDBiG2KWvCd4umM9uFzA==</v>
      </c>
    </row>
    <row r="596" spans="1:25" ht="39.950000000000003" customHeight="1">
      <c r="A596">
        <v>592</v>
      </c>
      <c r="B596" t="s">
        <v>5653</v>
      </c>
      <c r="C596" t="s">
        <v>5654</v>
      </c>
      <c r="D596" t="s">
        <v>5655</v>
      </c>
      <c r="E596" t="s">
        <v>5656</v>
      </c>
      <c r="F596" t="s">
        <v>29</v>
      </c>
      <c r="G596" t="s">
        <v>29</v>
      </c>
      <c r="I596" t="s">
        <v>32</v>
      </c>
      <c r="J596" t="s">
        <v>4105</v>
      </c>
      <c r="K596" t="s">
        <v>5657</v>
      </c>
      <c r="L596" t="s">
        <v>794</v>
      </c>
      <c r="M596" t="s">
        <v>684</v>
      </c>
      <c r="N596" t="s">
        <v>5658</v>
      </c>
      <c r="O596" t="s">
        <v>186</v>
      </c>
      <c r="Q596" t="s">
        <v>74</v>
      </c>
      <c r="R596" t="s">
        <v>1787</v>
      </c>
      <c r="S596" t="s">
        <v>2048</v>
      </c>
      <c r="T596" t="s">
        <v>941</v>
      </c>
      <c r="U596" t="s">
        <v>43</v>
      </c>
      <c r="V596" t="s">
        <v>5659</v>
      </c>
      <c r="W596" t="s">
        <v>5660</v>
      </c>
      <c r="Y596" t="str">
        <f>HYPERLINK("https://recruiter.shine.com/resume/download/?resumeid=gAAAAABbk2UKPlqk1isFofD7ZQ4TgGTdDPn39CiQtYd9EXQyc56LZAZOUPaSq9pepTLbrPIsOgwkBU3nEB322B5r2jEgDlOvWp7JrrH7MFWs6PCgQcbVzftCuapAOOOxovWyRjGnCTrx")</f>
        <v>https://recruiter.shine.com/resume/download/?resumeid=gAAAAABbk2UKPlqk1isFofD7ZQ4TgGTdDPn39CiQtYd9EXQyc56LZAZOUPaSq9pepTLbrPIsOgwkBU3nEB322B5r2jEgDlOvWp7JrrH7MFWs6PCgQcbVzftCuapAOOOxovWyRjGnCTrx</v>
      </c>
    </row>
    <row r="597" spans="1:25" ht="39.950000000000003" customHeight="1">
      <c r="A597">
        <v>593</v>
      </c>
      <c r="B597" t="s">
        <v>5661</v>
      </c>
      <c r="C597" t="s">
        <v>5662</v>
      </c>
      <c r="D597" t="s">
        <v>5663</v>
      </c>
      <c r="E597" t="s">
        <v>5664</v>
      </c>
      <c r="F597" t="s">
        <v>29</v>
      </c>
      <c r="G597" t="s">
        <v>5665</v>
      </c>
      <c r="H597" t="s">
        <v>31</v>
      </c>
      <c r="I597" t="s">
        <v>958</v>
      </c>
      <c r="J597" t="s">
        <v>51</v>
      </c>
      <c r="K597" t="s">
        <v>5666</v>
      </c>
      <c r="L597" t="s">
        <v>596</v>
      </c>
      <c r="M597" t="s">
        <v>121</v>
      </c>
      <c r="N597" t="s">
        <v>5667</v>
      </c>
      <c r="O597" t="s">
        <v>56</v>
      </c>
      <c r="P597" t="s">
        <v>57</v>
      </c>
      <c r="Q597" t="s">
        <v>107</v>
      </c>
      <c r="R597" t="s">
        <v>864</v>
      </c>
      <c r="S597" t="s">
        <v>5668</v>
      </c>
      <c r="T597" t="s">
        <v>441</v>
      </c>
      <c r="U597" t="s">
        <v>43</v>
      </c>
      <c r="V597" t="s">
        <v>5669</v>
      </c>
      <c r="W597" t="s">
        <v>5670</v>
      </c>
      <c r="Y597" t="str">
        <f>HYPERLINK("https://recruiter.shine.com/resume/download/?resumeid=gAAAAABbk2UMqSeRl6dWB6A4yLUp3KS4PANgs7DUPtzVA3pbIWpBj-D4hU-jrodkeIY3iIkekUpEA8dYhdp7mGBVUb99xI3n6fIgYSFZCuMX6G9P8g0rIn6xlZLf4d6H9Wr87gHRLThoaovaeu5jptRpYCkWQ8H9gMDKTIzCjfybo9_ZE2LD6Pw=")</f>
        <v>https://recruiter.shine.com/resume/download/?resumeid=gAAAAABbk2UMqSeRl6dWB6A4yLUp3KS4PANgs7DUPtzVA3pbIWpBj-D4hU-jrodkeIY3iIkekUpEA8dYhdp7mGBVUb99xI3n6fIgYSFZCuMX6G9P8g0rIn6xlZLf4d6H9Wr87gHRLThoaovaeu5jptRpYCkWQ8H9gMDKTIzCjfybo9_ZE2LD6Pw=</v>
      </c>
    </row>
    <row r="598" spans="1:25" ht="39.950000000000003" customHeight="1">
      <c r="A598">
        <v>594</v>
      </c>
      <c r="B598" t="s">
        <v>5671</v>
      </c>
      <c r="D598" t="s">
        <v>5672</v>
      </c>
      <c r="E598" t="s">
        <v>5673</v>
      </c>
      <c r="F598" t="s">
        <v>29</v>
      </c>
      <c r="G598" t="s">
        <v>67</v>
      </c>
      <c r="H598" t="s">
        <v>234</v>
      </c>
      <c r="I598" t="s">
        <v>2892</v>
      </c>
      <c r="J598" t="s">
        <v>153</v>
      </c>
      <c r="K598" t="s">
        <v>5674</v>
      </c>
      <c r="L598" t="s">
        <v>3757</v>
      </c>
      <c r="M598" t="s">
        <v>238</v>
      </c>
      <c r="N598" t="s">
        <v>5675</v>
      </c>
      <c r="O598" t="s">
        <v>224</v>
      </c>
      <c r="Q598" t="s">
        <v>187</v>
      </c>
      <c r="R598" t="s">
        <v>124</v>
      </c>
      <c r="S598" t="s">
        <v>188</v>
      </c>
      <c r="T598" t="s">
        <v>77</v>
      </c>
      <c r="U598" t="s">
        <v>127</v>
      </c>
      <c r="V598" t="s">
        <v>5676</v>
      </c>
      <c r="W598" t="s">
        <v>5677</v>
      </c>
      <c r="Y598" t="str">
        <f>HYPERLINK("https://recruiter.shine.com/resume/download/?resumeid=gAAAAABbk2UO-sig9_idzsLHa5udK_Qf9qV8Rkp9lhmH5iiAzt9hNDWRk7R3a1Dr_Rf82PXLDDItKGA7Ck_PdYHGbxbjxiPAP3BYyqU9UQfoXIMHoPlWl-n4DMO4fnHgOUSgGMtHyaqjukqCl7sJfOPOMe3oK_PjzePw6gohErl0vSjOjTT7Ri0=")</f>
        <v>https://recruiter.shine.com/resume/download/?resumeid=gAAAAABbk2UO-sig9_idzsLHa5udK_Qf9qV8Rkp9lhmH5iiAzt9hNDWRk7R3a1Dr_Rf82PXLDDItKGA7Ck_PdYHGbxbjxiPAP3BYyqU9UQfoXIMHoPlWl-n4DMO4fnHgOUSgGMtHyaqjukqCl7sJfOPOMe3oK_PjzePw6gohErl0vSjOjTT7Ri0=</v>
      </c>
    </row>
    <row r="599" spans="1:25" ht="39.950000000000003" customHeight="1">
      <c r="A599">
        <v>595</v>
      </c>
      <c r="B599" t="s">
        <v>5678</v>
      </c>
      <c r="C599" t="s">
        <v>5679</v>
      </c>
      <c r="D599" t="s">
        <v>5680</v>
      </c>
      <c r="E599" t="s">
        <v>5681</v>
      </c>
      <c r="F599" t="s">
        <v>29</v>
      </c>
      <c r="G599" t="s">
        <v>5682</v>
      </c>
      <c r="H599" t="s">
        <v>31</v>
      </c>
      <c r="I599" t="s">
        <v>568</v>
      </c>
      <c r="J599" t="s">
        <v>312</v>
      </c>
      <c r="K599" t="s">
        <v>5683</v>
      </c>
      <c r="L599" t="s">
        <v>35</v>
      </c>
      <c r="M599" t="s">
        <v>2636</v>
      </c>
      <c r="N599" t="s">
        <v>5684</v>
      </c>
      <c r="O599" t="s">
        <v>585</v>
      </c>
      <c r="P599" t="s">
        <v>140</v>
      </c>
      <c r="Q599" t="s">
        <v>40</v>
      </c>
      <c r="R599" t="s">
        <v>41</v>
      </c>
      <c r="S599" t="s">
        <v>5685</v>
      </c>
      <c r="T599" t="s">
        <v>415</v>
      </c>
      <c r="U599" t="s">
        <v>43</v>
      </c>
      <c r="V599" t="s">
        <v>5686</v>
      </c>
      <c r="W599" t="s">
        <v>5686</v>
      </c>
      <c r="Y599" t="str">
        <f>HYPERLINK("https://recruiter.shine.com/resume/download/?resumeid=gAAAAABbk2ULiVxY-13PIG5ZXD3XfXmavy43GrYE_nRgPwCRTxAgz01JCNmH2iVTwD85LyNaLj5rKmd1Ovu7iAa5L6tRpMp9OwbIUWGONXkXtCLnS1wHXgORVWC-OevKaWAylYtyfFyv")</f>
        <v>https://recruiter.shine.com/resume/download/?resumeid=gAAAAABbk2ULiVxY-13PIG5ZXD3XfXmavy43GrYE_nRgPwCRTxAgz01JCNmH2iVTwD85LyNaLj5rKmd1Ovu7iAa5L6tRpMp9OwbIUWGONXkXtCLnS1wHXgORVWC-OevKaWAylYtyfFyv</v>
      </c>
    </row>
    <row r="600" spans="1:25" ht="39.950000000000003" customHeight="1">
      <c r="A600">
        <v>596</v>
      </c>
      <c r="B600" t="s">
        <v>5687</v>
      </c>
      <c r="D600" t="s">
        <v>5688</v>
      </c>
      <c r="E600" t="s">
        <v>5689</v>
      </c>
      <c r="F600" t="s">
        <v>29</v>
      </c>
      <c r="G600" t="s">
        <v>29</v>
      </c>
      <c r="H600" t="s">
        <v>31</v>
      </c>
      <c r="I600" t="s">
        <v>168</v>
      </c>
      <c r="J600" t="s">
        <v>3071</v>
      </c>
      <c r="K600" t="s">
        <v>5690</v>
      </c>
      <c r="L600" t="s">
        <v>596</v>
      </c>
      <c r="M600" t="s">
        <v>105</v>
      </c>
      <c r="N600" t="s">
        <v>5691</v>
      </c>
      <c r="O600" t="s">
        <v>397</v>
      </c>
      <c r="P600" t="s">
        <v>771</v>
      </c>
      <c r="Q600" t="s">
        <v>365</v>
      </c>
      <c r="R600" t="s">
        <v>41</v>
      </c>
      <c r="S600" t="s">
        <v>5692</v>
      </c>
      <c r="U600" t="s">
        <v>43</v>
      </c>
      <c r="V600" t="s">
        <v>5693</v>
      </c>
      <c r="W600" t="s">
        <v>5694</v>
      </c>
      <c r="Y600" t="str">
        <f>HYPERLINK("https://recruiter.shine.com/resume/download/?resumeid=gAAAAABbk2UNcsod6SjNog75ZzEswBARz7rxpbIYWRgNSf5TtsjtJVQuE8EIX2lA5-4yYA6SytxVywZShHWaJXcqKgCElkXHSIvxeWjk2B1mxqp60UBhXP_hmJn5wNmwOoBK3ig6a40EW2itmqXZQ20H1Hxo1rG0uA==")</f>
        <v>https://recruiter.shine.com/resume/download/?resumeid=gAAAAABbk2UNcsod6SjNog75ZzEswBARz7rxpbIYWRgNSf5TtsjtJVQuE8EIX2lA5-4yYA6SytxVywZShHWaJXcqKgCElkXHSIvxeWjk2B1mxqp60UBhXP_hmJn5wNmwOoBK3ig6a40EW2itmqXZQ20H1Hxo1rG0uA==</v>
      </c>
    </row>
    <row r="601" spans="1:25" ht="39.950000000000003" customHeight="1">
      <c r="A601">
        <v>597</v>
      </c>
      <c r="B601" t="s">
        <v>5695</v>
      </c>
      <c r="D601" t="s">
        <v>5696</v>
      </c>
      <c r="E601" t="s">
        <v>5697</v>
      </c>
      <c r="F601" t="s">
        <v>29</v>
      </c>
      <c r="G601" t="s">
        <v>67</v>
      </c>
      <c r="I601" t="s">
        <v>362</v>
      </c>
      <c r="J601" t="s">
        <v>135</v>
      </c>
      <c r="L601" t="s">
        <v>363</v>
      </c>
      <c r="M601" t="s">
        <v>364</v>
      </c>
      <c r="Q601" t="s">
        <v>41</v>
      </c>
      <c r="R601" t="s">
        <v>5698</v>
      </c>
      <c r="S601" t="s">
        <v>3928</v>
      </c>
      <c r="T601" t="s">
        <v>126</v>
      </c>
      <c r="U601" t="s">
        <v>43</v>
      </c>
      <c r="V601" t="s">
        <v>5699</v>
      </c>
      <c r="W601" t="s">
        <v>5699</v>
      </c>
      <c r="Y601" t="str">
        <f>HYPERLINK("https://recruiter.shine.com/resume/download/?resumeid=gAAAAABbk2UNhWNySmwtg1KO325VmSBvHOyRCY1i6fA_VjAyIvs-GjNi_WXlHAvmgqTRseKXuzFL4tYrXyXIrXPHAYSFKzn395qo39zgoOADcVexK9VGWY2rA0tV6x9hOZcpXlWfNkPeg-quHbEgmxsimgm_KNfdk4jvl4r9d1VwWcWa0LwFQss=")</f>
        <v>https://recruiter.shine.com/resume/download/?resumeid=gAAAAABbk2UNhWNySmwtg1KO325VmSBvHOyRCY1i6fA_VjAyIvs-GjNi_WXlHAvmgqTRseKXuzFL4tYrXyXIrXPHAYSFKzn395qo39zgoOADcVexK9VGWY2rA0tV6x9hOZcpXlWfNkPeg-quHbEgmxsimgm_KNfdk4jvl4r9d1VwWcWa0LwFQss=</v>
      </c>
    </row>
    <row r="602" spans="1:25" ht="39.950000000000003" customHeight="1">
      <c r="A602">
        <v>598</v>
      </c>
      <c r="B602" t="s">
        <v>5700</v>
      </c>
      <c r="C602" t="s">
        <v>5701</v>
      </c>
      <c r="D602" t="s">
        <v>5702</v>
      </c>
      <c r="E602" t="s">
        <v>5703</v>
      </c>
      <c r="F602" t="s">
        <v>29</v>
      </c>
      <c r="G602" t="s">
        <v>5704</v>
      </c>
      <c r="H602" t="s">
        <v>31</v>
      </c>
      <c r="I602" t="s">
        <v>2317</v>
      </c>
      <c r="J602" t="s">
        <v>517</v>
      </c>
      <c r="K602" t="s">
        <v>5705</v>
      </c>
      <c r="L602" t="s">
        <v>266</v>
      </c>
      <c r="M602" t="s">
        <v>884</v>
      </c>
      <c r="N602" t="s">
        <v>5706</v>
      </c>
      <c r="O602" t="s">
        <v>56</v>
      </c>
      <c r="P602" t="s">
        <v>57</v>
      </c>
      <c r="Q602" t="s">
        <v>107</v>
      </c>
      <c r="R602" t="s">
        <v>2346</v>
      </c>
      <c r="S602" t="s">
        <v>188</v>
      </c>
      <c r="T602" t="s">
        <v>1921</v>
      </c>
      <c r="U602" t="s">
        <v>43</v>
      </c>
      <c r="V602" t="s">
        <v>5707</v>
      </c>
      <c r="W602" t="s">
        <v>5708</v>
      </c>
      <c r="Y602" t="str">
        <f>HYPERLINK("https://recruiter.shine.com/resume/download/?resumeid=gAAAAABbk2UK27yJ5G16PwkIFbkUXn6pX2ucR-kNwVis3dPbZtb2nsaEcs2cS1TD_3nrPvg6wwhfJ8NsIqZsmfoiFUjQFlCkY-5VCLqIvL8Z5OvcsTne_S4_6yAerr_gSTNVPPnGMN9X")</f>
        <v>https://recruiter.shine.com/resume/download/?resumeid=gAAAAABbk2UK27yJ5G16PwkIFbkUXn6pX2ucR-kNwVis3dPbZtb2nsaEcs2cS1TD_3nrPvg6wwhfJ8NsIqZsmfoiFUjQFlCkY-5VCLqIvL8Z5OvcsTne_S4_6yAerr_gSTNVPPnGMN9X</v>
      </c>
    </row>
    <row r="603" spans="1:25" ht="39.950000000000003" customHeight="1">
      <c r="A603">
        <v>599</v>
      </c>
      <c r="B603" t="s">
        <v>5709</v>
      </c>
      <c r="C603" t="s">
        <v>5710</v>
      </c>
      <c r="D603" t="s">
        <v>5711</v>
      </c>
      <c r="E603" t="s">
        <v>5712</v>
      </c>
      <c r="F603" t="s">
        <v>29</v>
      </c>
      <c r="G603" t="s">
        <v>5713</v>
      </c>
      <c r="H603" t="s">
        <v>31</v>
      </c>
      <c r="I603" t="s">
        <v>362</v>
      </c>
      <c r="J603" t="s">
        <v>135</v>
      </c>
      <c r="K603" t="s">
        <v>5714</v>
      </c>
      <c r="L603" t="s">
        <v>301</v>
      </c>
      <c r="M603" t="s">
        <v>105</v>
      </c>
      <c r="N603" t="s">
        <v>5715</v>
      </c>
      <c r="O603" t="s">
        <v>186</v>
      </c>
      <c r="Q603" t="s">
        <v>107</v>
      </c>
      <c r="R603" t="s">
        <v>864</v>
      </c>
      <c r="S603" t="s">
        <v>5716</v>
      </c>
      <c r="T603" t="s">
        <v>441</v>
      </c>
      <c r="U603" t="s">
        <v>43</v>
      </c>
      <c r="V603" t="s">
        <v>5717</v>
      </c>
      <c r="W603" t="s">
        <v>5717</v>
      </c>
      <c r="Y603" t="str">
        <f>HYPERLINK("https://recruiter.shine.com/resume/download/?resumeid=gAAAAABbk2UMTCJUbNrRcDK3XP0icpco15Yteepf_6qUDfPdRASXGOytsN_XrarCVHbSBFyhNHXWBtG_6Ovwqk7E_hIeIPw3LVu_AOiyW46mxct8zpXS08VxA6yWiH1ADtaV7g5WeAjhH__tk6SOta5CpgaBtGITCg==")</f>
        <v>https://recruiter.shine.com/resume/download/?resumeid=gAAAAABbk2UMTCJUbNrRcDK3XP0icpco15Yteepf_6qUDfPdRASXGOytsN_XrarCVHbSBFyhNHXWBtG_6Ovwqk7E_hIeIPw3LVu_AOiyW46mxct8zpXS08VxA6yWiH1ADtaV7g5WeAjhH__tk6SOta5CpgaBtGITCg==</v>
      </c>
    </row>
    <row r="604" spans="1:25" ht="39.950000000000003" customHeight="1">
      <c r="A604">
        <v>600</v>
      </c>
      <c r="B604" t="s">
        <v>5718</v>
      </c>
      <c r="D604" t="s">
        <v>5719</v>
      </c>
      <c r="E604" t="s">
        <v>5720</v>
      </c>
      <c r="F604" t="s">
        <v>29</v>
      </c>
      <c r="G604" t="s">
        <v>67</v>
      </c>
      <c r="I604" t="s">
        <v>2354</v>
      </c>
      <c r="J604" t="s">
        <v>5721</v>
      </c>
      <c r="K604" t="s">
        <v>5722</v>
      </c>
      <c r="L604" t="s">
        <v>2199</v>
      </c>
      <c r="M604" t="s">
        <v>339</v>
      </c>
      <c r="N604" t="s">
        <v>5723</v>
      </c>
      <c r="O604" t="s">
        <v>38</v>
      </c>
      <c r="Q604" t="s">
        <v>58</v>
      </c>
      <c r="R604" t="s">
        <v>5724</v>
      </c>
      <c r="S604" t="s">
        <v>5725</v>
      </c>
      <c r="T604" t="s">
        <v>773</v>
      </c>
      <c r="U604" t="s">
        <v>43</v>
      </c>
      <c r="V604" t="s">
        <v>5726</v>
      </c>
      <c r="W604" t="s">
        <v>5727</v>
      </c>
      <c r="Y604" t="str">
        <f>HYPERLINK("https://recruiter.shine.com/resume/download/?resumeid=gAAAAABbk2UOt2Fk6UbPNxt3Wwlmj3lE8646xKPrF0QFxyd9jjlhyUFWuvQwH8-2TCPgL1JblUZGaShy8XnjtlMzSXVORfBxLjDb6t2J1fJyzejeviMwtIYZhSBIvsxRhDe7EtyKQ1jtZCC8f6pMnEqFd39TG_99lqRZb3hWc0QLhME_BmjFjwc=")</f>
        <v>https://recruiter.shine.com/resume/download/?resumeid=gAAAAABbk2UOt2Fk6UbPNxt3Wwlmj3lE8646xKPrF0QFxyd9jjlhyUFWuvQwH8-2TCPgL1JblUZGaShy8XnjtlMzSXVORfBxLjDb6t2J1fJyzejeviMwtIYZhSBIvsxRhDe7EtyKQ1jtZCC8f6pMnEqFd39TG_99lqRZb3hWc0QLhME_BmjFjwc=</v>
      </c>
    </row>
    <row r="605" spans="1:25" ht="39.950000000000003" customHeight="1">
      <c r="A605">
        <v>601</v>
      </c>
      <c r="B605" t="s">
        <v>5728</v>
      </c>
      <c r="C605" t="s">
        <v>5729</v>
      </c>
      <c r="D605" t="s">
        <v>5730</v>
      </c>
      <c r="E605" t="s">
        <v>5731</v>
      </c>
      <c r="F605" t="s">
        <v>858</v>
      </c>
      <c r="G605" t="s">
        <v>2854</v>
      </c>
      <c r="H605" t="s">
        <v>31</v>
      </c>
      <c r="I605" t="s">
        <v>5732</v>
      </c>
      <c r="J605" t="s">
        <v>871</v>
      </c>
      <c r="K605" t="s">
        <v>5733</v>
      </c>
      <c r="L605" t="s">
        <v>1375</v>
      </c>
      <c r="M605" t="s">
        <v>238</v>
      </c>
      <c r="N605" t="s">
        <v>5734</v>
      </c>
      <c r="O605" t="s">
        <v>38</v>
      </c>
      <c r="P605" t="s">
        <v>5061</v>
      </c>
      <c r="Q605" t="s">
        <v>187</v>
      </c>
      <c r="R605" t="s">
        <v>124</v>
      </c>
      <c r="S605" t="s">
        <v>1402</v>
      </c>
      <c r="T605" t="s">
        <v>761</v>
      </c>
      <c r="U605" t="s">
        <v>43</v>
      </c>
      <c r="V605" t="s">
        <v>5735</v>
      </c>
      <c r="W605" t="s">
        <v>5736</v>
      </c>
      <c r="Y605" t="str">
        <f>HYPERLINK("https://recruiter.shine.com/resume/download/?resumeid=gAAAAABbk2ULQEXjwlktoVxEkY5-yARwsXKAQDWeW1y8T-7EfMcl8ziz9fpVxEsjxA7wSkMxD5d3U4K6DydZo840Egt7NJfOyG5d3Tv2eOsDZmLf8uiqS8TRxkVvc4iu6-wmUgD5WBQ9iTqJImyqN87BFdOC8-hrOQ==")</f>
        <v>https://recruiter.shine.com/resume/download/?resumeid=gAAAAABbk2ULQEXjwlktoVxEkY5-yARwsXKAQDWeW1y8T-7EfMcl8ziz9fpVxEsjxA7wSkMxD5d3U4K6DydZo840Egt7NJfOyG5d3Tv2eOsDZmLf8uiqS8TRxkVvc4iu6-wmUgD5WBQ9iTqJImyqN87BFdOC8-hrOQ==</v>
      </c>
    </row>
    <row r="606" spans="1:25" ht="39.950000000000003" customHeight="1">
      <c r="A606">
        <v>602</v>
      </c>
      <c r="B606" t="s">
        <v>5737</v>
      </c>
      <c r="C606" t="s">
        <v>5738</v>
      </c>
      <c r="D606" t="s">
        <v>5739</v>
      </c>
      <c r="E606" t="s">
        <v>5740</v>
      </c>
      <c r="F606" t="s">
        <v>29</v>
      </c>
      <c r="G606" t="s">
        <v>5535</v>
      </c>
      <c r="H606" t="s">
        <v>31</v>
      </c>
      <c r="I606" t="s">
        <v>85</v>
      </c>
      <c r="J606" t="s">
        <v>674</v>
      </c>
      <c r="K606" t="s">
        <v>1167</v>
      </c>
      <c r="L606" t="s">
        <v>266</v>
      </c>
      <c r="M606" t="s">
        <v>473</v>
      </c>
      <c r="N606" t="s">
        <v>5741</v>
      </c>
      <c r="O606" t="s">
        <v>56</v>
      </c>
      <c r="P606" t="s">
        <v>57</v>
      </c>
      <c r="Q606" t="s">
        <v>158</v>
      </c>
      <c r="R606" t="s">
        <v>559</v>
      </c>
      <c r="S606" t="s">
        <v>5742</v>
      </c>
      <c r="T606" t="s">
        <v>561</v>
      </c>
      <c r="U606" t="s">
        <v>43</v>
      </c>
      <c r="V606" t="s">
        <v>5743</v>
      </c>
      <c r="W606" t="s">
        <v>5744</v>
      </c>
      <c r="Y606" t="str">
        <f>HYPERLINK("https://recruiter.shine.com/resume/download/?resumeid=gAAAAABbk2UN4WX1uZRd8LOAcJbx9VQThkOHLtyj3scccfqlqe3E9KNM7v0QBrcJSyDaI34GEf2odv2lh8GBukfifShmTnMegj65SX5g5r7dblKti-w6rxLkQ-RVI6tyr6NmZ--EAoSuPA1pponM3oWQnNHkHCoNvQ==")</f>
        <v>https://recruiter.shine.com/resume/download/?resumeid=gAAAAABbk2UN4WX1uZRd8LOAcJbx9VQThkOHLtyj3scccfqlqe3E9KNM7v0QBrcJSyDaI34GEf2odv2lh8GBukfifShmTnMegj65SX5g5r7dblKti-w6rxLkQ-RVI6tyr6NmZ--EAoSuPA1pponM3oWQnNHkHCoNvQ==</v>
      </c>
    </row>
    <row r="607" spans="1:25" ht="39.950000000000003" customHeight="1">
      <c r="A607">
        <v>603</v>
      </c>
      <c r="B607" t="s">
        <v>5745</v>
      </c>
      <c r="D607" t="s">
        <v>5746</v>
      </c>
      <c r="E607" t="s">
        <v>5747</v>
      </c>
      <c r="F607" t="s">
        <v>29</v>
      </c>
      <c r="G607" t="s">
        <v>67</v>
      </c>
      <c r="H607" t="s">
        <v>31</v>
      </c>
      <c r="I607" t="s">
        <v>196</v>
      </c>
      <c r="J607" t="s">
        <v>408</v>
      </c>
      <c r="K607" t="s">
        <v>5490</v>
      </c>
      <c r="L607" t="s">
        <v>253</v>
      </c>
      <c r="M607" t="s">
        <v>238</v>
      </c>
      <c r="N607" t="s">
        <v>5748</v>
      </c>
      <c r="O607" t="s">
        <v>38</v>
      </c>
      <c r="Q607" t="s">
        <v>123</v>
      </c>
      <c r="R607" t="s">
        <v>124</v>
      </c>
      <c r="S607" t="s">
        <v>3620</v>
      </c>
      <c r="T607" t="s">
        <v>429</v>
      </c>
      <c r="U607" t="s">
        <v>43</v>
      </c>
      <c r="V607" t="s">
        <v>5749</v>
      </c>
      <c r="W607" t="s">
        <v>5750</v>
      </c>
      <c r="Y607" t="str">
        <f>HYPERLINK("https://recruiter.shine.com/resume/download/?resumeid=gAAAAABbk2UNtCT-GQxTieWWgsScEdH7hpM4KjETo0CUnnMJFemHHukjwMqYQnn5CeYGSOyJIlQlUQjLle-mHHC2BHlTmaS85wNoKKiiw2imzImkrQp4DcX9bt2c6hr0pN58e_-BFLFm0L5cOsmNCBi7aMclXfp-vsI-aXpEvUSBcLjuUeFdcn8=")</f>
        <v>https://recruiter.shine.com/resume/download/?resumeid=gAAAAABbk2UNtCT-GQxTieWWgsScEdH7hpM4KjETo0CUnnMJFemHHukjwMqYQnn5CeYGSOyJIlQlUQjLle-mHHC2BHlTmaS85wNoKKiiw2imzImkrQp4DcX9bt2c6hr0pN58e_-BFLFm0L5cOsmNCBi7aMclXfp-vsI-aXpEvUSBcLjuUeFdcn8=</v>
      </c>
    </row>
    <row r="608" spans="1:25" ht="39.950000000000003" customHeight="1">
      <c r="A608">
        <v>604</v>
      </c>
      <c r="B608" t="s">
        <v>5751</v>
      </c>
      <c r="C608" t="s">
        <v>5752</v>
      </c>
      <c r="D608" t="s">
        <v>5753</v>
      </c>
      <c r="E608" t="s">
        <v>5754</v>
      </c>
      <c r="F608" t="s">
        <v>29</v>
      </c>
      <c r="G608" t="s">
        <v>29</v>
      </c>
      <c r="H608" t="s">
        <v>31</v>
      </c>
      <c r="I608" t="s">
        <v>85</v>
      </c>
      <c r="J608" t="s">
        <v>135</v>
      </c>
      <c r="K608" t="s">
        <v>5755</v>
      </c>
      <c r="L608" t="s">
        <v>1375</v>
      </c>
      <c r="M608" t="s">
        <v>315</v>
      </c>
      <c r="N608" t="s">
        <v>5756</v>
      </c>
      <c r="O608" t="s">
        <v>38</v>
      </c>
      <c r="P608" t="s">
        <v>940</v>
      </c>
      <c r="Q608" t="s">
        <v>58</v>
      </c>
      <c r="R608" t="s">
        <v>41</v>
      </c>
      <c r="S608" t="s">
        <v>4302</v>
      </c>
      <c r="T608" t="s">
        <v>144</v>
      </c>
      <c r="U608" t="s">
        <v>94</v>
      </c>
      <c r="V608" t="s">
        <v>5757</v>
      </c>
      <c r="W608" t="s">
        <v>5758</v>
      </c>
      <c r="Y608" t="str">
        <f>HYPERLINK("https://recruiter.shine.com/resume/download/?resumeid=gAAAAABbk2UK6XlTcSHAPfXlvE-ptqBWQi3yuo9zPmrpYh8xPSyHGY4E_TNotvWmakd2TMXRGbly030tDG_jzBIZbebJ1hC_ygUrglKTYn2bPtcRl8nDa8Pk-dNBFE1aLhlrRGoN4B5f")</f>
        <v>https://recruiter.shine.com/resume/download/?resumeid=gAAAAABbk2UK6XlTcSHAPfXlvE-ptqBWQi3yuo9zPmrpYh8xPSyHGY4E_TNotvWmakd2TMXRGbly030tDG_jzBIZbebJ1hC_ygUrglKTYn2bPtcRl8nDa8Pk-dNBFE1aLhlrRGoN4B5f</v>
      </c>
    </row>
    <row r="609" spans="1:25" ht="39.950000000000003" customHeight="1">
      <c r="A609">
        <v>605</v>
      </c>
      <c r="B609" t="s">
        <v>5759</v>
      </c>
      <c r="C609" t="s">
        <v>5760</v>
      </c>
      <c r="D609" t="s">
        <v>5761</v>
      </c>
      <c r="E609" t="s">
        <v>5762</v>
      </c>
      <c r="F609" t="s">
        <v>29</v>
      </c>
      <c r="G609" t="s">
        <v>29</v>
      </c>
      <c r="H609" t="s">
        <v>31</v>
      </c>
      <c r="I609" t="s">
        <v>5763</v>
      </c>
      <c r="J609" t="s">
        <v>5764</v>
      </c>
      <c r="K609" t="s">
        <v>3854</v>
      </c>
      <c r="L609" t="s">
        <v>290</v>
      </c>
      <c r="M609" t="s">
        <v>1446</v>
      </c>
      <c r="N609" t="s">
        <v>5765</v>
      </c>
      <c r="O609" t="s">
        <v>186</v>
      </c>
      <c r="P609" t="s">
        <v>57</v>
      </c>
      <c r="Q609" t="s">
        <v>123</v>
      </c>
      <c r="R609" t="s">
        <v>124</v>
      </c>
      <c r="S609" t="s">
        <v>188</v>
      </c>
      <c r="T609" t="s">
        <v>773</v>
      </c>
      <c r="U609" t="s">
        <v>43</v>
      </c>
      <c r="V609" t="s">
        <v>5766</v>
      </c>
      <c r="W609" t="s">
        <v>5767</v>
      </c>
      <c r="Y609" t="str">
        <f>HYPERLINK("https://recruiter.shine.com/resume/download/?resumeid=gAAAAABbk2UMV65K7KlDtE6LpaHShrCSXz5M0_uDH33dypxq1uEbiG2HHesReUKkbnXLXcQbbeWgFCstXWf0DGkGPutwtyVx7opwQQmyu8P8mgRweH4tnkSldgtq5Ot5pumwrN75M7EZjYoTFa_AF22w9yivovvnqPWrafQkIvF05sPlniCO6B0=")</f>
        <v>https://recruiter.shine.com/resume/download/?resumeid=gAAAAABbk2UMV65K7KlDtE6LpaHShrCSXz5M0_uDH33dypxq1uEbiG2HHesReUKkbnXLXcQbbeWgFCstXWf0DGkGPutwtyVx7opwQQmyu8P8mgRweH4tnkSldgtq5Ot5pumwrN75M7EZjYoTFa_AF22w9yivovvnqPWrafQkIvF05sPlniCO6B0=</v>
      </c>
    </row>
    <row r="610" spans="1:25" ht="39.950000000000003" customHeight="1">
      <c r="A610">
        <v>606</v>
      </c>
      <c r="B610" t="s">
        <v>5768</v>
      </c>
      <c r="D610" t="s">
        <v>5769</v>
      </c>
      <c r="E610" t="s">
        <v>5770</v>
      </c>
      <c r="F610" t="s">
        <v>29</v>
      </c>
      <c r="G610" t="s">
        <v>29</v>
      </c>
      <c r="I610" t="s">
        <v>32</v>
      </c>
      <c r="J610" t="s">
        <v>2503</v>
      </c>
      <c r="K610" t="s">
        <v>5771</v>
      </c>
      <c r="L610" t="s">
        <v>266</v>
      </c>
      <c r="M610" t="s">
        <v>105</v>
      </c>
      <c r="N610" t="s">
        <v>5772</v>
      </c>
      <c r="O610" t="s">
        <v>186</v>
      </c>
      <c r="P610" t="s">
        <v>57</v>
      </c>
      <c r="Q610" t="s">
        <v>158</v>
      </c>
      <c r="R610" t="s">
        <v>159</v>
      </c>
      <c r="S610" t="s">
        <v>5773</v>
      </c>
      <c r="T610" t="s">
        <v>817</v>
      </c>
      <c r="U610" t="s">
        <v>43</v>
      </c>
      <c r="V610" t="s">
        <v>5774</v>
      </c>
      <c r="W610" t="s">
        <v>5775</v>
      </c>
      <c r="Y610" t="str">
        <f>HYPERLINK("https://recruiter.shine.com/resume/download/?resumeid=gAAAAABbk2UOldlCosEpLS1pu5HVLel5QAVAW-23Puik0Evdz3J8Aw9D9897Jl00f8P_-EPgfG1Yov1V0rhuEFcJbw_SFDLs7IuRz0FugfMEfofpd8GYpOc4u4geL0Bri-QBQFxwLAne")</f>
        <v>https://recruiter.shine.com/resume/download/?resumeid=gAAAAABbk2UOldlCosEpLS1pu5HVLel5QAVAW-23Puik0Evdz3J8Aw9D9897Jl00f8P_-EPgfG1Yov1V0rhuEFcJbw_SFDLs7IuRz0FugfMEfofpd8GYpOc4u4geL0Bri-QBQFxwLAne</v>
      </c>
    </row>
    <row r="611" spans="1:25" ht="39.950000000000003" customHeight="1">
      <c r="A611">
        <v>607</v>
      </c>
      <c r="B611" t="s">
        <v>5776</v>
      </c>
      <c r="C611" t="s">
        <v>5777</v>
      </c>
      <c r="D611" t="s">
        <v>5778</v>
      </c>
      <c r="E611" t="s">
        <v>5779</v>
      </c>
      <c r="F611" t="s">
        <v>29</v>
      </c>
      <c r="G611" t="s">
        <v>5780</v>
      </c>
      <c r="H611" t="s">
        <v>31</v>
      </c>
      <c r="I611" t="s">
        <v>152</v>
      </c>
      <c r="J611" t="s">
        <v>5781</v>
      </c>
      <c r="K611" t="s">
        <v>5782</v>
      </c>
      <c r="L611" t="s">
        <v>171</v>
      </c>
      <c r="M611" t="s">
        <v>105</v>
      </c>
      <c r="N611" t="s">
        <v>5783</v>
      </c>
      <c r="O611" t="s">
        <v>1041</v>
      </c>
      <c r="P611" t="s">
        <v>201</v>
      </c>
      <c r="Q611" t="s">
        <v>412</v>
      </c>
      <c r="R611" t="s">
        <v>41</v>
      </c>
      <c r="S611" t="s">
        <v>5784</v>
      </c>
      <c r="U611" t="s">
        <v>94</v>
      </c>
      <c r="V611" t="s">
        <v>5785</v>
      </c>
      <c r="W611" t="s">
        <v>5785</v>
      </c>
      <c r="Y611" t="str">
        <f>HYPERLINK("https://recruiter.shine.com/resume/download/?resumeid=gAAAAABbk2UL0-7R7AEfgGXZCE1gSWeXppiJW8N96u9wurQbkrUc73Z20hJB5xciX7QkH5MzVrE4Mr8DkxHRY9i9yZdKjJs82CT-YV--x1jmAoALkxcsWm8=")</f>
        <v>https://recruiter.shine.com/resume/download/?resumeid=gAAAAABbk2UL0-7R7AEfgGXZCE1gSWeXppiJW8N96u9wurQbkrUc73Z20hJB5xciX7QkH5MzVrE4Mr8DkxHRY9i9yZdKjJs82CT-YV--x1jmAoALkxcsWm8=</v>
      </c>
    </row>
    <row r="612" spans="1:25" ht="39.950000000000003" customHeight="1">
      <c r="A612">
        <v>608</v>
      </c>
      <c r="B612" t="s">
        <v>5786</v>
      </c>
      <c r="C612" t="s">
        <v>5787</v>
      </c>
      <c r="D612" t="s">
        <v>5788</v>
      </c>
      <c r="E612" t="s">
        <v>5789</v>
      </c>
      <c r="F612" t="s">
        <v>249</v>
      </c>
      <c r="G612" t="s">
        <v>29</v>
      </c>
      <c r="H612" t="s">
        <v>31</v>
      </c>
      <c r="I612" t="s">
        <v>3514</v>
      </c>
      <c r="J612" t="s">
        <v>437</v>
      </c>
      <c r="K612" t="s">
        <v>5790</v>
      </c>
      <c r="L612" t="s">
        <v>1674</v>
      </c>
      <c r="M612" t="s">
        <v>36</v>
      </c>
      <c r="N612" t="s">
        <v>5791</v>
      </c>
      <c r="O612" t="s">
        <v>1041</v>
      </c>
      <c r="P612" t="s">
        <v>57</v>
      </c>
      <c r="Q612" t="s">
        <v>90</v>
      </c>
      <c r="R612" t="s">
        <v>427</v>
      </c>
      <c r="S612" t="s">
        <v>5792</v>
      </c>
      <c r="T612" t="s">
        <v>625</v>
      </c>
      <c r="U612" t="s">
        <v>127</v>
      </c>
      <c r="V612" t="s">
        <v>5793</v>
      </c>
      <c r="W612" t="s">
        <v>5794</v>
      </c>
      <c r="Y612" t="str">
        <f>HYPERLINK("https://recruiter.shine.com/resume/download/?resumeid=gAAAAABbk2UN8VAiJToAiLaPXvXKqE-k_-VQoB69jmNYs5Q49EfvXU5qefWCeUqy68ZFgRqJlwlsZe4PU1Iq9tLGnL2rI7QE76WY9003eentm506L0AZ6mCPovmKWvzkBXKDk7f-Rq2u")</f>
        <v>https://recruiter.shine.com/resume/download/?resumeid=gAAAAABbk2UN8VAiJToAiLaPXvXKqE-k_-VQoB69jmNYs5Q49EfvXU5qefWCeUqy68ZFgRqJlwlsZe4PU1Iq9tLGnL2rI7QE76WY9003eentm506L0AZ6mCPovmKWvzkBXKDk7f-Rq2u</v>
      </c>
    </row>
    <row r="613" spans="1:25" ht="39.950000000000003" customHeight="1">
      <c r="A613">
        <v>609</v>
      </c>
      <c r="B613" t="s">
        <v>5795</v>
      </c>
      <c r="D613" t="s">
        <v>5796</v>
      </c>
      <c r="E613" t="s">
        <v>5797</v>
      </c>
      <c r="F613" t="s">
        <v>29</v>
      </c>
      <c r="G613" t="s">
        <v>5798</v>
      </c>
      <c r="H613" t="s">
        <v>31</v>
      </c>
      <c r="I613" t="s">
        <v>134</v>
      </c>
      <c r="J613" t="s">
        <v>5799</v>
      </c>
      <c r="K613" t="s">
        <v>5800</v>
      </c>
      <c r="L613" t="s">
        <v>237</v>
      </c>
      <c r="M613" t="s">
        <v>884</v>
      </c>
      <c r="N613" t="s">
        <v>5801</v>
      </c>
      <c r="O613" t="s">
        <v>56</v>
      </c>
      <c r="Q613" t="s">
        <v>187</v>
      </c>
      <c r="R613" t="s">
        <v>124</v>
      </c>
      <c r="S613" t="s">
        <v>188</v>
      </c>
      <c r="T613" t="s">
        <v>304</v>
      </c>
      <c r="U613" t="s">
        <v>43</v>
      </c>
      <c r="V613" t="s">
        <v>5802</v>
      </c>
      <c r="W613" t="s">
        <v>5803</v>
      </c>
      <c r="Y613" t="str">
        <f>HYPERLINK("https://recruiter.shine.com/resume/download/?resumeid=gAAAAABbk2UO_P3OfunFWz6WdIVZam2y3uaBuBH-jC7XnDGBg2LXDG37jJ1NUaJTJjLNvWnZB0exkb_z3rhYuMZvPXAAU8wFBrqzegj2woN7eWa6NoyEsYCsHUjNDSWX4iWtz463H2uvA-gcgdtFZ1BZuir2zASnTd1To_LNTsgmd3-XQTlXJEk=")</f>
        <v>https://recruiter.shine.com/resume/download/?resumeid=gAAAAABbk2UO_P3OfunFWz6WdIVZam2y3uaBuBH-jC7XnDGBg2LXDG37jJ1NUaJTJjLNvWnZB0exkb_z3rhYuMZvPXAAU8wFBrqzegj2woN7eWa6NoyEsYCsHUjNDSWX4iWtz463H2uvA-gcgdtFZ1BZuir2zASnTd1To_LNTsgmd3-XQTlXJEk=</v>
      </c>
    </row>
    <row r="614" spans="1:25" ht="39.950000000000003" customHeight="1">
      <c r="A614">
        <v>610</v>
      </c>
      <c r="B614" t="s">
        <v>5804</v>
      </c>
      <c r="C614" t="s">
        <v>5805</v>
      </c>
      <c r="D614" t="s">
        <v>5806</v>
      </c>
      <c r="E614" t="s">
        <v>5807</v>
      </c>
      <c r="F614" t="s">
        <v>249</v>
      </c>
      <c r="G614" t="s">
        <v>3488</v>
      </c>
      <c r="H614" t="s">
        <v>31</v>
      </c>
      <c r="I614" t="s">
        <v>1419</v>
      </c>
      <c r="J614" t="s">
        <v>3863</v>
      </c>
      <c r="K614" t="s">
        <v>5808</v>
      </c>
      <c r="L614" t="s">
        <v>2423</v>
      </c>
      <c r="M614" t="s">
        <v>138</v>
      </c>
      <c r="N614" t="s">
        <v>5809</v>
      </c>
      <c r="O614" t="s">
        <v>186</v>
      </c>
      <c r="P614" t="s">
        <v>140</v>
      </c>
      <c r="Q614" t="s">
        <v>90</v>
      </c>
      <c r="R614" t="s">
        <v>292</v>
      </c>
      <c r="S614" t="s">
        <v>188</v>
      </c>
      <c r="T614" t="s">
        <v>110</v>
      </c>
      <c r="U614" t="s">
        <v>94</v>
      </c>
      <c r="V614" t="s">
        <v>5810</v>
      </c>
      <c r="W614" t="s">
        <v>5811</v>
      </c>
      <c r="Y614" t="str">
        <f>HYPERLINK("https://recruiter.shine.com/resume/download/?resumeid=gAAAAABbk2UKPrCmHNKQp1p5L4b3t2FlEVhjORlDBGQ490FWjCPYUyoE0N5owRtKb-cWnbzwpUcsgvdzUpUVWucQXrCtIoXnJEhdqmYakaRcZ9Qlet9tSD9kskCofgvlUqHVNugDaehI")</f>
        <v>https://recruiter.shine.com/resume/download/?resumeid=gAAAAABbk2UKPrCmHNKQp1p5L4b3t2FlEVhjORlDBGQ490FWjCPYUyoE0N5owRtKb-cWnbzwpUcsgvdzUpUVWucQXrCtIoXnJEhdqmYakaRcZ9Qlet9tSD9kskCofgvlUqHVNugDaehI</v>
      </c>
    </row>
    <row r="615" spans="1:25" ht="39.950000000000003" customHeight="1">
      <c r="A615">
        <v>611</v>
      </c>
      <c r="B615" t="s">
        <v>5812</v>
      </c>
      <c r="C615" t="s">
        <v>2205</v>
      </c>
      <c r="D615" t="s">
        <v>5813</v>
      </c>
      <c r="E615" t="s">
        <v>5814</v>
      </c>
      <c r="F615" t="s">
        <v>29</v>
      </c>
      <c r="G615" t="s">
        <v>780</v>
      </c>
      <c r="H615" t="s">
        <v>31</v>
      </c>
      <c r="I615" t="s">
        <v>5815</v>
      </c>
      <c r="J615" t="s">
        <v>569</v>
      </c>
      <c r="K615" t="s">
        <v>5816</v>
      </c>
      <c r="L615" t="s">
        <v>606</v>
      </c>
      <c r="M615" t="s">
        <v>238</v>
      </c>
      <c r="N615" t="s">
        <v>5817</v>
      </c>
      <c r="O615" t="s">
        <v>38</v>
      </c>
      <c r="P615" t="s">
        <v>73</v>
      </c>
      <c r="Q615" t="s">
        <v>4871</v>
      </c>
      <c r="R615" t="s">
        <v>546</v>
      </c>
      <c r="S615" t="s">
        <v>5818</v>
      </c>
      <c r="T615" t="s">
        <v>61</v>
      </c>
      <c r="U615" t="s">
        <v>43</v>
      </c>
      <c r="V615" t="s">
        <v>5819</v>
      </c>
      <c r="W615" t="s">
        <v>5820</v>
      </c>
      <c r="Y615" t="str">
        <f>HYPERLINK("https://recruiter.shine.com/resume/download/?resumeid=gAAAAABbk2UMk8vcR6kR4-I84fTf9iMQj1bwz4nZpit69jVJ8t6sZtTnI6ElkQbplHNcUr6MgKJrw69z44ZopNi38yzuo1cPCgkONm1wkaq-RqQd_dgStF9nKdeH9jyVxgCIDw3TcETwz_JRM_DgSX4xnD9z-hfSXA==")</f>
        <v>https://recruiter.shine.com/resume/download/?resumeid=gAAAAABbk2UMk8vcR6kR4-I84fTf9iMQj1bwz4nZpit69jVJ8t6sZtTnI6ElkQbplHNcUr6MgKJrw69z44ZopNi38yzuo1cPCgkONm1wkaq-RqQd_dgStF9nKdeH9jyVxgCIDw3TcETwz_JRM_DgSX4xnD9z-hfSXA==</v>
      </c>
    </row>
    <row r="616" spans="1:25" ht="39.950000000000003" customHeight="1">
      <c r="A616">
        <v>612</v>
      </c>
      <c r="B616" t="s">
        <v>5821</v>
      </c>
      <c r="D616" t="s">
        <v>5822</v>
      </c>
      <c r="E616" t="s">
        <v>5823</v>
      </c>
      <c r="F616" t="s">
        <v>29</v>
      </c>
      <c r="G616" t="s">
        <v>233</v>
      </c>
      <c r="I616" t="s">
        <v>362</v>
      </c>
      <c r="J616" t="s">
        <v>135</v>
      </c>
      <c r="L616" t="s">
        <v>363</v>
      </c>
      <c r="M616" t="s">
        <v>364</v>
      </c>
      <c r="V616" t="s">
        <v>5824</v>
      </c>
      <c r="W616" t="s">
        <v>5825</v>
      </c>
      <c r="Y616" t="str">
        <f>HYPERLINK("https://recruiter.shine.com/resume/download/?resumeid=gAAAAABbk2UNOaNzetunYoszNTOK6sUMfpdB6xtUpjAujAaErKZAgy67gRQnRs62ulpwNVyl2TOZRJRbFuBOm9P9gExgrl0OEt18T7q_kyCvYJ9bppBBQ-LciCmf7MhXGRQaZScYTbNoyRHk7vOnPBjwKlkPA0wzgA==")</f>
        <v>https://recruiter.shine.com/resume/download/?resumeid=gAAAAABbk2UNOaNzetunYoszNTOK6sUMfpdB6xtUpjAujAaErKZAgy67gRQnRs62ulpwNVyl2TOZRJRbFuBOm9P9gExgrl0OEt18T7q_kyCvYJ9bppBBQ-LciCmf7MhXGRQaZScYTbNoyRHk7vOnPBjwKlkPA0wzgA==</v>
      </c>
    </row>
    <row r="617" spans="1:25" ht="39.950000000000003" customHeight="1">
      <c r="A617">
        <v>613</v>
      </c>
      <c r="B617" t="s">
        <v>5826</v>
      </c>
      <c r="C617" t="s">
        <v>5827</v>
      </c>
      <c r="D617" t="s">
        <v>5828</v>
      </c>
      <c r="E617" t="s">
        <v>5828</v>
      </c>
      <c r="F617" t="s">
        <v>29</v>
      </c>
      <c r="G617" t="s">
        <v>29</v>
      </c>
      <c r="H617" t="s">
        <v>31</v>
      </c>
      <c r="I617" t="s">
        <v>1986</v>
      </c>
      <c r="J617" t="s">
        <v>3808</v>
      </c>
      <c r="K617" t="s">
        <v>5829</v>
      </c>
      <c r="L617" t="s">
        <v>1674</v>
      </c>
      <c r="M617" t="s">
        <v>463</v>
      </c>
      <c r="N617" t="s">
        <v>5828</v>
      </c>
      <c r="O617" t="s">
        <v>186</v>
      </c>
      <c r="P617" t="s">
        <v>771</v>
      </c>
      <c r="Q617" t="s">
        <v>40</v>
      </c>
      <c r="R617" t="s">
        <v>2192</v>
      </c>
      <c r="S617" t="s">
        <v>188</v>
      </c>
      <c r="T617" t="s">
        <v>415</v>
      </c>
      <c r="U617" t="s">
        <v>127</v>
      </c>
      <c r="V617" t="s">
        <v>5830</v>
      </c>
      <c r="W617" t="s">
        <v>5831</v>
      </c>
      <c r="Y617" t="str">
        <f>HYPERLINK("Hidden")</f>
        <v>Hidden</v>
      </c>
    </row>
    <row r="618" spans="1:25" ht="39.950000000000003" customHeight="1">
      <c r="A618">
        <v>614</v>
      </c>
      <c r="B618" t="s">
        <v>5832</v>
      </c>
      <c r="C618" t="s">
        <v>5833</v>
      </c>
      <c r="D618" t="s">
        <v>5834</v>
      </c>
      <c r="E618" t="s">
        <v>5835</v>
      </c>
      <c r="F618" t="s">
        <v>29</v>
      </c>
      <c r="G618" t="s">
        <v>5836</v>
      </c>
      <c r="H618" t="s">
        <v>31</v>
      </c>
      <c r="I618" t="s">
        <v>196</v>
      </c>
      <c r="J618" t="s">
        <v>4553</v>
      </c>
      <c r="K618" t="s">
        <v>518</v>
      </c>
      <c r="L618" t="s">
        <v>266</v>
      </c>
      <c r="M618" t="s">
        <v>684</v>
      </c>
      <c r="N618" t="s">
        <v>5837</v>
      </c>
      <c r="O618" t="s">
        <v>38</v>
      </c>
      <c r="P618" t="s">
        <v>39</v>
      </c>
      <c r="Q618" t="s">
        <v>90</v>
      </c>
      <c r="R618" t="s">
        <v>317</v>
      </c>
      <c r="S618" t="s">
        <v>3308</v>
      </c>
      <c r="T618" t="s">
        <v>126</v>
      </c>
      <c r="U618" t="s">
        <v>127</v>
      </c>
      <c r="V618" t="s">
        <v>5838</v>
      </c>
      <c r="W618" t="s">
        <v>5839</v>
      </c>
      <c r="Y618" t="str">
        <f>HYPERLINK("https://recruiter.shine.com/resume/download/?resumeid=gAAAAABbk2UMLJc_EAMzBKfRsVXxGTFiWrWbn2pnvOC2eDxtPYfwyAKa9xhghA1U9a8vXxPwn4Qa7WXXCawsKRB0ChFYAGIcDvkk5GhGHDb9tyq5bSpWf0msf1rm4jDNqVcou-HG9nJj")</f>
        <v>https://recruiter.shine.com/resume/download/?resumeid=gAAAAABbk2UMLJc_EAMzBKfRsVXxGTFiWrWbn2pnvOC2eDxtPYfwyAKa9xhghA1U9a8vXxPwn4Qa7WXXCawsKRB0ChFYAGIcDvkk5GhGHDb9tyq5bSpWf0msf1rm4jDNqVcou-HG9nJj</v>
      </c>
    </row>
    <row r="619" spans="1:25" ht="39.950000000000003" customHeight="1">
      <c r="A619">
        <v>615</v>
      </c>
      <c r="B619" t="s">
        <v>5840</v>
      </c>
      <c r="C619" t="s">
        <v>5841</v>
      </c>
      <c r="D619" t="s">
        <v>5842</v>
      </c>
      <c r="E619" t="s">
        <v>5843</v>
      </c>
      <c r="F619" t="s">
        <v>29</v>
      </c>
      <c r="G619" t="s">
        <v>29</v>
      </c>
      <c r="H619" t="s">
        <v>31</v>
      </c>
      <c r="I619" t="s">
        <v>2263</v>
      </c>
      <c r="J619" t="s">
        <v>3602</v>
      </c>
      <c r="K619" t="s">
        <v>5077</v>
      </c>
      <c r="L619" t="s">
        <v>184</v>
      </c>
      <c r="M619" t="s">
        <v>238</v>
      </c>
      <c r="N619" t="s">
        <v>5844</v>
      </c>
      <c r="O619" t="s">
        <v>186</v>
      </c>
      <c r="P619" t="s">
        <v>140</v>
      </c>
      <c r="Q619" t="s">
        <v>123</v>
      </c>
      <c r="R619" t="s">
        <v>124</v>
      </c>
      <c r="S619" t="s">
        <v>951</v>
      </c>
      <c r="T619" t="s">
        <v>561</v>
      </c>
      <c r="U619" t="s">
        <v>43</v>
      </c>
      <c r="V619" t="s">
        <v>5845</v>
      </c>
      <c r="W619" t="s">
        <v>5846</v>
      </c>
      <c r="Y619" t="str">
        <f>HYPERLINK("https://recruiter.shine.com/resume/download/?resumeid=gAAAAABbk2UOLbTHZE4uju3uwcN3zDxg_v-3KG6j06LgGNPUNANT_2VsztHqpCiSgRvpSCwFjv3d63G39aZS8HYPhWXFo2_GvmPFGumm1T2piU1S11vCcD45H6sZVh0TNLZMDE2rGnVgQQIrTXKGFF5EQGxvHc8YytTiLdgQQWvEOgsVSGl2IKs=")</f>
        <v>https://recruiter.shine.com/resume/download/?resumeid=gAAAAABbk2UOLbTHZE4uju3uwcN3zDxg_v-3KG6j06LgGNPUNANT_2VsztHqpCiSgRvpSCwFjv3d63G39aZS8HYPhWXFo2_GvmPFGumm1T2piU1S11vCcD45H6sZVh0TNLZMDE2rGnVgQQIrTXKGFF5EQGxvHc8YytTiLdgQQWvEOgsVSGl2IKs=</v>
      </c>
    </row>
    <row r="620" spans="1:25" ht="39.950000000000003" customHeight="1">
      <c r="A620">
        <v>616</v>
      </c>
      <c r="B620" t="s">
        <v>5847</v>
      </c>
      <c r="C620" t="s">
        <v>5848</v>
      </c>
      <c r="D620" t="s">
        <v>5849</v>
      </c>
      <c r="E620" t="s">
        <v>5850</v>
      </c>
      <c r="F620" t="s">
        <v>29</v>
      </c>
      <c r="G620" t="s">
        <v>1196</v>
      </c>
      <c r="H620" t="s">
        <v>31</v>
      </c>
      <c r="I620" t="s">
        <v>85</v>
      </c>
      <c r="J620" t="s">
        <v>1028</v>
      </c>
      <c r="K620" t="s">
        <v>813</v>
      </c>
      <c r="L620" t="s">
        <v>5851</v>
      </c>
      <c r="M620" t="s">
        <v>121</v>
      </c>
      <c r="N620" t="s">
        <v>5852</v>
      </c>
      <c r="O620" t="s">
        <v>56</v>
      </c>
      <c r="P620" t="s">
        <v>140</v>
      </c>
      <c r="Q620" t="s">
        <v>412</v>
      </c>
      <c r="R620" t="s">
        <v>476</v>
      </c>
      <c r="S620" t="s">
        <v>5853</v>
      </c>
      <c r="T620" t="s">
        <v>270</v>
      </c>
      <c r="U620" t="s">
        <v>43</v>
      </c>
      <c r="V620" t="s">
        <v>5854</v>
      </c>
      <c r="W620" t="s">
        <v>5855</v>
      </c>
      <c r="Y620" t="str">
        <f>HYPERLINK("https://recruiter.shine.com/resume/download/?resumeid=gAAAAABbk2ULYAo4hi88WhXXbwkjYZ0dcm8nwkQlW5paqIZVZwYT8EOjhI5UPdNQ1vEM83Py4yZbZrKquVVnjuKSgR6APUKOCTMCrrk6tBXfJ4GtADnUSRDdDr-2aTSdAYty7JL88Owe")</f>
        <v>https://recruiter.shine.com/resume/download/?resumeid=gAAAAABbk2ULYAo4hi88WhXXbwkjYZ0dcm8nwkQlW5paqIZVZwYT8EOjhI5UPdNQ1vEM83Py4yZbZrKquVVnjuKSgR6APUKOCTMCrrk6tBXfJ4GtADnUSRDdDr-2aTSdAYty7JL88Owe</v>
      </c>
    </row>
    <row r="621" spans="1:25" ht="39.950000000000003" customHeight="1">
      <c r="A621">
        <v>617</v>
      </c>
      <c r="B621" t="s">
        <v>5856</v>
      </c>
      <c r="C621" t="s">
        <v>5857</v>
      </c>
      <c r="D621" t="s">
        <v>5858</v>
      </c>
      <c r="E621" t="s">
        <v>5859</v>
      </c>
      <c r="F621" t="s">
        <v>29</v>
      </c>
      <c r="G621" t="s">
        <v>29</v>
      </c>
      <c r="H621" t="s">
        <v>31</v>
      </c>
      <c r="I621" t="s">
        <v>32</v>
      </c>
      <c r="J621" t="s">
        <v>169</v>
      </c>
      <c r="K621" t="s">
        <v>5860</v>
      </c>
      <c r="L621" t="s">
        <v>184</v>
      </c>
      <c r="M621" t="s">
        <v>684</v>
      </c>
      <c r="N621" t="s">
        <v>5861</v>
      </c>
      <c r="O621" t="s">
        <v>38</v>
      </c>
      <c r="Q621" t="s">
        <v>240</v>
      </c>
      <c r="R621" t="s">
        <v>241</v>
      </c>
      <c r="S621" t="s">
        <v>5862</v>
      </c>
      <c r="T621" t="s">
        <v>1746</v>
      </c>
      <c r="U621" t="s">
        <v>43</v>
      </c>
      <c r="V621" t="s">
        <v>5863</v>
      </c>
      <c r="W621" t="s">
        <v>5864</v>
      </c>
      <c r="Y621" t="str">
        <f>HYPERLINK("https://recruiter.shine.com/resume/download/?resumeid=gAAAAABbk2UNe3G13tsIRC1ZZGpBboNzlNxdZyH2A6XxJo8lmYG1594n0zLQbH6a7yM7-EZCMeG9pi-30taRJyItYjMZDjizc9oRq3xRaVd-vtUHbgMZGncV-HUrekkRG7oMmfBdSNdgPuhIU6a9hI69-kVvAIeU7vlHrNWwou9uSaBcNLfEMKo=")</f>
        <v>https://recruiter.shine.com/resume/download/?resumeid=gAAAAABbk2UNe3G13tsIRC1ZZGpBboNzlNxdZyH2A6XxJo8lmYG1594n0zLQbH6a7yM7-EZCMeG9pi-30taRJyItYjMZDjizc9oRq3xRaVd-vtUHbgMZGncV-HUrekkRG7oMmfBdSNdgPuhIU6a9hI69-kVvAIeU7vlHrNWwou9uSaBcNLfEMKo=</v>
      </c>
    </row>
    <row r="622" spans="1:25" ht="39.950000000000003" customHeight="1">
      <c r="A622">
        <v>618</v>
      </c>
      <c r="B622" t="s">
        <v>5865</v>
      </c>
      <c r="C622" t="s">
        <v>5866</v>
      </c>
      <c r="D622" t="s">
        <v>5867</v>
      </c>
      <c r="E622" t="s">
        <v>5868</v>
      </c>
      <c r="F622" t="s">
        <v>29</v>
      </c>
      <c r="G622" t="s">
        <v>5869</v>
      </c>
      <c r="H622" t="s">
        <v>31</v>
      </c>
      <c r="I622" t="s">
        <v>825</v>
      </c>
      <c r="J622" t="s">
        <v>3591</v>
      </c>
      <c r="K622" t="s">
        <v>5870</v>
      </c>
      <c r="L622" t="s">
        <v>664</v>
      </c>
      <c r="M622" t="s">
        <v>684</v>
      </c>
      <c r="N622" t="s">
        <v>5871</v>
      </c>
      <c r="O622" t="s">
        <v>56</v>
      </c>
      <c r="Q622" t="s">
        <v>107</v>
      </c>
      <c r="R622" t="s">
        <v>341</v>
      </c>
      <c r="S622" t="s">
        <v>5872</v>
      </c>
      <c r="T622" t="s">
        <v>61</v>
      </c>
      <c r="U622" t="s">
        <v>43</v>
      </c>
      <c r="V622" t="s">
        <v>5873</v>
      </c>
      <c r="W622" t="s">
        <v>5874</v>
      </c>
      <c r="Y622" t="str">
        <f>HYPERLINK("https://recruiter.shine.com/resume/download/?resumeid=gAAAAABbk2UNWULklRfFiPTGEUFAeqCsSk1s8UOwMqAk8K5EXBh7PHVRC8GMr0dZWKtaJWXsja5cOFDPLpV_0mv9ZPSa4-2QAuJQg_o_F7RyV_W35ANM4CP18dHJTrorqX97mPG-aiGMTcFvQzyJ2sFn7fRkQh5nWcnksDHr7m9x-sTUlc3BWNo=")</f>
        <v>https://recruiter.shine.com/resume/download/?resumeid=gAAAAABbk2UNWULklRfFiPTGEUFAeqCsSk1s8UOwMqAk8K5EXBh7PHVRC8GMr0dZWKtaJWXsja5cOFDPLpV_0mv9ZPSa4-2QAuJQg_o_F7RyV_W35ANM4CP18dHJTrorqX97mPG-aiGMTcFvQzyJ2sFn7fRkQh5nWcnksDHr7m9x-sTUlc3BWNo=</v>
      </c>
    </row>
    <row r="623" spans="1:25" ht="39.950000000000003" customHeight="1">
      <c r="A623">
        <v>619</v>
      </c>
      <c r="B623" t="s">
        <v>5875</v>
      </c>
      <c r="C623" t="s">
        <v>5120</v>
      </c>
      <c r="D623" t="s">
        <v>5876</v>
      </c>
      <c r="E623" t="s">
        <v>5877</v>
      </c>
      <c r="F623" t="s">
        <v>29</v>
      </c>
      <c r="G623" t="s">
        <v>2129</v>
      </c>
      <c r="H623" t="s">
        <v>31</v>
      </c>
      <c r="I623" t="s">
        <v>134</v>
      </c>
      <c r="J623" t="s">
        <v>1513</v>
      </c>
      <c r="K623" t="s">
        <v>5878</v>
      </c>
      <c r="L623" t="s">
        <v>290</v>
      </c>
      <c r="M623" t="s">
        <v>238</v>
      </c>
      <c r="N623" t="s">
        <v>5879</v>
      </c>
      <c r="O623" t="s">
        <v>224</v>
      </c>
      <c r="P623" t="s">
        <v>73</v>
      </c>
      <c r="Q623" t="s">
        <v>90</v>
      </c>
      <c r="R623" t="s">
        <v>292</v>
      </c>
      <c r="S623" t="s">
        <v>5880</v>
      </c>
      <c r="T623" t="s">
        <v>304</v>
      </c>
      <c r="U623" t="s">
        <v>43</v>
      </c>
      <c r="V623" t="s">
        <v>5881</v>
      </c>
      <c r="W623" t="s">
        <v>5882</v>
      </c>
      <c r="Y623" t="str">
        <f>HYPERLINK("https://recruiter.shine.com/resume/download/?resumeid=gAAAAABbk2ULXtBakd4ysq4AJXgI14WSPpBX3VcpwBf8oyFZbfTPzbH-CA2OqBk6enS8D21UB_8kCenJqS-HRDqgZEEseu4M_PN1vxDTfQZp5QcwJ3r_P3xM9Go47FKoqLWvp1nQ-bu1EQ03d-V5gPy_bTjJ6VMkCw==")</f>
        <v>https://recruiter.shine.com/resume/download/?resumeid=gAAAAABbk2ULXtBakd4ysq4AJXgI14WSPpBX3VcpwBf8oyFZbfTPzbH-CA2OqBk6enS8D21UB_8kCenJqS-HRDqgZEEseu4M_PN1vxDTfQZp5QcwJ3r_P3xM9Go47FKoqLWvp1nQ-bu1EQ03d-V5gPy_bTjJ6VMkCw==</v>
      </c>
    </row>
    <row r="624" spans="1:25" ht="39.950000000000003" customHeight="1">
      <c r="A624">
        <v>620</v>
      </c>
      <c r="B624" t="s">
        <v>5883</v>
      </c>
      <c r="C624" t="s">
        <v>5884</v>
      </c>
      <c r="D624" t="s">
        <v>5885</v>
      </c>
      <c r="E624" t="s">
        <v>5886</v>
      </c>
      <c r="F624" t="s">
        <v>29</v>
      </c>
      <c r="G624" t="s">
        <v>29</v>
      </c>
      <c r="H624" t="s">
        <v>31</v>
      </c>
      <c r="I624" t="s">
        <v>196</v>
      </c>
      <c r="J624" t="s">
        <v>1050</v>
      </c>
      <c r="K624" t="s">
        <v>5887</v>
      </c>
      <c r="L624" t="s">
        <v>290</v>
      </c>
      <c r="M624" t="s">
        <v>238</v>
      </c>
      <c r="N624" t="s">
        <v>5888</v>
      </c>
      <c r="O624" t="s">
        <v>224</v>
      </c>
      <c r="P624" t="s">
        <v>39</v>
      </c>
      <c r="Q624" t="s">
        <v>90</v>
      </c>
      <c r="R624" t="s">
        <v>292</v>
      </c>
      <c r="S624" t="s">
        <v>202</v>
      </c>
      <c r="T624" t="s">
        <v>257</v>
      </c>
      <c r="U624" t="s">
        <v>43</v>
      </c>
      <c r="V624" t="s">
        <v>5889</v>
      </c>
      <c r="W624" t="s">
        <v>5889</v>
      </c>
      <c r="Y624" t="str">
        <f>HYPERLINK("https://recruiter.shine.com/resume/download/?resumeid=gAAAAABbk2UNZ7Gj7AduG77HYSPCUCkWbC4f58EektAF5wBQEQBnVfr0bg_nveYIpG1xJyn_jnSziN_5E2DOOBbehJn46bFbR8yOdU4JWEw5oCVP0KVqraDGxsMZPDNwP6bjKqtsAiXfvDfdhR89inwiQsei9aBLtQ==")</f>
        <v>https://recruiter.shine.com/resume/download/?resumeid=gAAAAABbk2UNZ7Gj7AduG77HYSPCUCkWbC4f58EektAF5wBQEQBnVfr0bg_nveYIpG1xJyn_jnSziN_5E2DOOBbehJn46bFbR8yOdU4JWEw5oCVP0KVqraDGxsMZPDNwP6bjKqtsAiXfvDfdhR89inwiQsei9aBLtQ==</v>
      </c>
    </row>
    <row r="625" spans="1:25" ht="39.950000000000003" customHeight="1">
      <c r="A625">
        <v>621</v>
      </c>
      <c r="B625" t="s">
        <v>5890</v>
      </c>
      <c r="D625" t="s">
        <v>5891</v>
      </c>
      <c r="E625" t="s">
        <v>5892</v>
      </c>
      <c r="F625" t="s">
        <v>29</v>
      </c>
      <c r="G625" t="s">
        <v>67</v>
      </c>
      <c r="H625" t="s">
        <v>31</v>
      </c>
      <c r="I625" t="s">
        <v>196</v>
      </c>
      <c r="J625" t="s">
        <v>705</v>
      </c>
      <c r="K625" t="s">
        <v>4423</v>
      </c>
      <c r="L625" t="s">
        <v>314</v>
      </c>
      <c r="M625" t="s">
        <v>254</v>
      </c>
      <c r="N625" t="s">
        <v>5893</v>
      </c>
      <c r="O625" t="s">
        <v>38</v>
      </c>
      <c r="Q625" t="s">
        <v>41</v>
      </c>
      <c r="R625" t="s">
        <v>4320</v>
      </c>
      <c r="S625" t="s">
        <v>3620</v>
      </c>
      <c r="T625" t="s">
        <v>110</v>
      </c>
      <c r="U625" t="s">
        <v>43</v>
      </c>
      <c r="V625" t="s">
        <v>5894</v>
      </c>
      <c r="W625" t="s">
        <v>5895</v>
      </c>
      <c r="Y625" t="str">
        <f>HYPERLINK("https://recruiter.shine.com/resume/download/?resumeid=gAAAAABbk2UNn2lKu8Bt9pPYPhqsoDtkG53OF2Cgc56eUPcby3LnnDt5zSoYZIyjwjp4BUhbXAn49JbSb1sjc7p5IZ21rgH8hiBYYxg6Ynp4DqLeVLtDW_VSct5tgn7jxUqH-ocCfmrZ9QX0tePn6aleUjSYZlqUOUV0oAW1j1pLRDa9U8xyMPg=")</f>
        <v>https://recruiter.shine.com/resume/download/?resumeid=gAAAAABbk2UNn2lKu8Bt9pPYPhqsoDtkG53OF2Cgc56eUPcby3LnnDt5zSoYZIyjwjp4BUhbXAn49JbSb1sjc7p5IZ21rgH8hiBYYxg6Ynp4DqLeVLtDW_VSct5tgn7jxUqH-ocCfmrZ9QX0tePn6aleUjSYZlqUOUV0oAW1j1pLRDa9U8xyMPg=</v>
      </c>
    </row>
    <row r="626" spans="1:25" ht="39.950000000000003" customHeight="1">
      <c r="A626">
        <v>622</v>
      </c>
      <c r="B626" t="s">
        <v>5896</v>
      </c>
      <c r="C626" t="s">
        <v>5897</v>
      </c>
      <c r="D626" t="s">
        <v>5898</v>
      </c>
      <c r="E626" t="s">
        <v>5899</v>
      </c>
      <c r="F626" t="s">
        <v>29</v>
      </c>
      <c r="G626" t="s">
        <v>2129</v>
      </c>
      <c r="H626" t="s">
        <v>31</v>
      </c>
      <c r="I626" t="s">
        <v>168</v>
      </c>
      <c r="J626" t="s">
        <v>235</v>
      </c>
      <c r="K626" t="s">
        <v>1465</v>
      </c>
      <c r="L626" t="s">
        <v>88</v>
      </c>
      <c r="M626" t="s">
        <v>315</v>
      </c>
      <c r="N626" t="s">
        <v>5900</v>
      </c>
      <c r="O626" t="s">
        <v>186</v>
      </c>
      <c r="P626" t="s">
        <v>57</v>
      </c>
      <c r="Q626" t="s">
        <v>90</v>
      </c>
      <c r="R626" t="s">
        <v>465</v>
      </c>
      <c r="S626" t="s">
        <v>5901</v>
      </c>
      <c r="T626" t="s">
        <v>415</v>
      </c>
      <c r="U626" t="s">
        <v>127</v>
      </c>
      <c r="V626" t="s">
        <v>5902</v>
      </c>
      <c r="W626" t="s">
        <v>5903</v>
      </c>
      <c r="Y626" t="str">
        <f>HYPERLINK("https://recruiter.shine.com/resume/download/?resumeid=gAAAAABbk2ULI2kHDUHBaDu7q3xwhuGTZsGDE1KO2Xsk4O_3spfaJDT_kHd1fgun6LjRquySEacR08ciXLfcvd_wjW-PKHJp5rlWRVniNp6cettwggvGiG1A21VDsKoNRWfnECWUCciv")</f>
        <v>https://recruiter.shine.com/resume/download/?resumeid=gAAAAABbk2ULI2kHDUHBaDu7q3xwhuGTZsGDE1KO2Xsk4O_3spfaJDT_kHd1fgun6LjRquySEacR08ciXLfcvd_wjW-PKHJp5rlWRVniNp6cettwggvGiG1A21VDsKoNRWfnECWUCciv</v>
      </c>
    </row>
    <row r="627" spans="1:25" ht="39.950000000000003" customHeight="1">
      <c r="A627">
        <v>623</v>
      </c>
      <c r="B627" t="s">
        <v>5904</v>
      </c>
      <c r="C627" t="s">
        <v>5905</v>
      </c>
      <c r="D627" t="s">
        <v>5906</v>
      </c>
      <c r="E627" t="s">
        <v>5907</v>
      </c>
      <c r="F627" t="s">
        <v>29</v>
      </c>
      <c r="G627" t="s">
        <v>5908</v>
      </c>
      <c r="H627" t="s">
        <v>31</v>
      </c>
      <c r="I627" t="s">
        <v>958</v>
      </c>
      <c r="J627" t="s">
        <v>580</v>
      </c>
      <c r="K627" t="s">
        <v>5909</v>
      </c>
      <c r="L627" t="s">
        <v>104</v>
      </c>
      <c r="M627" t="s">
        <v>54</v>
      </c>
      <c r="N627" t="s">
        <v>355</v>
      </c>
      <c r="O627" t="s">
        <v>224</v>
      </c>
      <c r="P627" t="s">
        <v>39</v>
      </c>
      <c r="Q627" t="s">
        <v>107</v>
      </c>
      <c r="R627" t="s">
        <v>2346</v>
      </c>
      <c r="S627" t="s">
        <v>5910</v>
      </c>
      <c r="T627" t="s">
        <v>441</v>
      </c>
      <c r="U627" t="s">
        <v>43</v>
      </c>
      <c r="V627" t="s">
        <v>5911</v>
      </c>
      <c r="W627" t="s">
        <v>5912</v>
      </c>
      <c r="Y627" t="str">
        <f>HYPERLINK("https://recruiter.shine.com/resume/download/?resumeid=gAAAAABbk2UM8F_bi31X0x9raU2QENMDItvWmOxoxf8hPJfhqp_e_pa_uDnmQAMsuPPkDB_jnN2re8jzYlm2yCI2fwhD6JxvRgjgzzcD-wqk9ylr0fvPXnCUBWoL4kp8UZOIq2nfhxofFyVpKCHqWwftMjykETQXVAh9DOvTfwnekFU97gXoWEY=")</f>
        <v>https://recruiter.shine.com/resume/download/?resumeid=gAAAAABbk2UM8F_bi31X0x9raU2QENMDItvWmOxoxf8hPJfhqp_e_pa_uDnmQAMsuPPkDB_jnN2re8jzYlm2yCI2fwhD6JxvRgjgzzcD-wqk9ylr0fvPXnCUBWoL4kp8UZOIq2nfhxofFyVpKCHqWwftMjykETQXVAh9DOvTfwnekFU97gXoWEY=</v>
      </c>
    </row>
    <row r="628" spans="1:25" ht="39.950000000000003" customHeight="1">
      <c r="A628">
        <v>624</v>
      </c>
      <c r="B628" t="s">
        <v>5913</v>
      </c>
      <c r="C628" t="s">
        <v>5914</v>
      </c>
      <c r="D628" t="s">
        <v>5915</v>
      </c>
      <c r="E628" t="s">
        <v>5916</v>
      </c>
      <c r="F628" t="s">
        <v>29</v>
      </c>
      <c r="G628" t="s">
        <v>67</v>
      </c>
      <c r="H628" t="s">
        <v>31</v>
      </c>
      <c r="I628" t="s">
        <v>5113</v>
      </c>
      <c r="J628" t="s">
        <v>135</v>
      </c>
      <c r="K628" t="s">
        <v>5917</v>
      </c>
      <c r="L628" t="s">
        <v>120</v>
      </c>
      <c r="M628" t="s">
        <v>1446</v>
      </c>
      <c r="N628" t="s">
        <v>5918</v>
      </c>
      <c r="O628" t="s">
        <v>475</v>
      </c>
      <c r="P628" t="s">
        <v>57</v>
      </c>
      <c r="Q628" t="s">
        <v>90</v>
      </c>
      <c r="R628" t="s">
        <v>292</v>
      </c>
      <c r="S628" t="s">
        <v>5919</v>
      </c>
      <c r="T628" t="s">
        <v>144</v>
      </c>
      <c r="U628" t="s">
        <v>43</v>
      </c>
      <c r="V628" t="s">
        <v>5920</v>
      </c>
      <c r="W628" t="s">
        <v>5920</v>
      </c>
      <c r="Y628" t="str">
        <f>HYPERLINK("https://recruiter.shine.com/resume/download/?resumeid=gAAAAABbk2UNtBZyqnJGoWf3pk74ydcTVJ9W67u-AifjqyrvvCzZs22pedRlFbRVpc_9BnuEByXsQAJYDythROB3_-InN-3194rLBgp9E93Qqt9fOwQCphptqs6e2ZiYemuKWAU4bO0drJIi64e-VL-jcyjOevf83DJUtTDMvTQvHp_lKZwkro4=")</f>
        <v>https://recruiter.shine.com/resume/download/?resumeid=gAAAAABbk2UNtBZyqnJGoWf3pk74ydcTVJ9W67u-AifjqyrvvCzZs22pedRlFbRVpc_9BnuEByXsQAJYDythROB3_-InN-3194rLBgp9E93Qqt9fOwQCphptqs6e2ZiYemuKWAU4bO0drJIi64e-VL-jcyjOevf83DJUtTDMvTQvHp_lKZwkro4=</v>
      </c>
    </row>
    <row r="629" spans="1:25" ht="39.950000000000003" customHeight="1">
      <c r="A629">
        <v>625</v>
      </c>
      <c r="B629" t="s">
        <v>5921</v>
      </c>
      <c r="C629" t="s">
        <v>5922</v>
      </c>
      <c r="D629" t="s">
        <v>5923</v>
      </c>
      <c r="E629" t="s">
        <v>5924</v>
      </c>
      <c r="F629" t="s">
        <v>29</v>
      </c>
      <c r="G629" t="s">
        <v>29</v>
      </c>
      <c r="H629" t="s">
        <v>31</v>
      </c>
      <c r="I629" t="s">
        <v>5925</v>
      </c>
      <c r="J629" t="s">
        <v>801</v>
      </c>
      <c r="K629" t="s">
        <v>5926</v>
      </c>
      <c r="L629" t="s">
        <v>120</v>
      </c>
      <c r="M629" t="s">
        <v>172</v>
      </c>
      <c r="N629" t="s">
        <v>5927</v>
      </c>
      <c r="O629" t="s">
        <v>56</v>
      </c>
      <c r="P629" t="s">
        <v>201</v>
      </c>
      <c r="Q629" t="s">
        <v>40</v>
      </c>
      <c r="R629" t="s">
        <v>3593</v>
      </c>
      <c r="S629" t="s">
        <v>188</v>
      </c>
      <c r="T629" t="s">
        <v>93</v>
      </c>
      <c r="U629" t="s">
        <v>43</v>
      </c>
      <c r="V629" t="s">
        <v>5928</v>
      </c>
      <c r="W629" t="s">
        <v>5929</v>
      </c>
      <c r="Y629" t="str">
        <f>HYPERLINK("https://recruiter.shine.com/resume/download/?resumeid=gAAAAABbk2ULiQvyQ8e4ZBKcDeN6OfDKQG0R0FcM9tIbpnExAWGJEy_dk9rpa2EfOZ0d-cQcIR8Tzt50KYacGbBcA901xP5x6qveH3mZQ224s9wNC3AOtPwXgU28-Fme3JGccUqcDUk6")</f>
        <v>https://recruiter.shine.com/resume/download/?resumeid=gAAAAABbk2ULiQvyQ8e4ZBKcDeN6OfDKQG0R0FcM9tIbpnExAWGJEy_dk9rpa2EfOZ0d-cQcIR8Tzt50KYacGbBcA901xP5x6qveH3mZQ224s9wNC3AOtPwXgU28-Fme3JGccUqcDUk6</v>
      </c>
    </row>
    <row r="630" spans="1:25" ht="39.950000000000003" customHeight="1">
      <c r="A630">
        <v>626</v>
      </c>
      <c r="B630" t="s">
        <v>5930</v>
      </c>
      <c r="C630" t="s">
        <v>5931</v>
      </c>
      <c r="D630" t="s">
        <v>5932</v>
      </c>
      <c r="E630" t="s">
        <v>5933</v>
      </c>
      <c r="F630" t="s">
        <v>29</v>
      </c>
      <c r="G630" t="s">
        <v>29</v>
      </c>
      <c r="H630" t="s">
        <v>31</v>
      </c>
      <c r="I630" t="s">
        <v>2263</v>
      </c>
      <c r="J630" t="s">
        <v>861</v>
      </c>
      <c r="K630" t="s">
        <v>5934</v>
      </c>
      <c r="L630" t="s">
        <v>664</v>
      </c>
      <c r="M630" t="s">
        <v>105</v>
      </c>
      <c r="N630" t="s">
        <v>5935</v>
      </c>
      <c r="O630" t="s">
        <v>186</v>
      </c>
      <c r="Q630" t="s">
        <v>158</v>
      </c>
      <c r="R630" t="s">
        <v>341</v>
      </c>
      <c r="S630" t="s">
        <v>5936</v>
      </c>
      <c r="U630" t="s">
        <v>43</v>
      </c>
      <c r="V630" t="s">
        <v>5937</v>
      </c>
      <c r="W630" t="s">
        <v>5938</v>
      </c>
      <c r="Y630" t="str">
        <f>HYPERLINK("https://recruiter.shine.com/resume/download/?resumeid=gAAAAABbk2UMF7nPIKu04KO8G1BjkHscV9oYglS4XUBVn7-HkGhTDTnYlSbNEtyAhHtoZYHv9zM-enX_nhHIcBOMKtKrwAuAD6oGMEjxMubAW4-fHfgTUhqcVAa2J88EaOb8KGAyc7oudv6LB64psSbrg7CRCOcWBdTZNNm8rPBH1jCvH_y3v60=")</f>
        <v>https://recruiter.shine.com/resume/download/?resumeid=gAAAAABbk2UMF7nPIKu04KO8G1BjkHscV9oYglS4XUBVn7-HkGhTDTnYlSbNEtyAhHtoZYHv9zM-enX_nhHIcBOMKtKrwAuAD6oGMEjxMubAW4-fHfgTUhqcVAa2J88EaOb8KGAyc7oudv6LB64psSbrg7CRCOcWBdTZNNm8rPBH1jCvH_y3v60=</v>
      </c>
    </row>
    <row r="631" spans="1:25" ht="39.950000000000003" customHeight="1">
      <c r="A631">
        <v>627</v>
      </c>
      <c r="B631" t="s">
        <v>5939</v>
      </c>
      <c r="D631" t="s">
        <v>5940</v>
      </c>
      <c r="E631" t="s">
        <v>5941</v>
      </c>
      <c r="F631" t="s">
        <v>29</v>
      </c>
      <c r="G631" t="s">
        <v>67</v>
      </c>
      <c r="H631" t="s">
        <v>31</v>
      </c>
      <c r="I631" t="s">
        <v>117</v>
      </c>
      <c r="J631" t="s">
        <v>235</v>
      </c>
      <c r="K631" t="s">
        <v>5942</v>
      </c>
      <c r="L631" t="s">
        <v>2132</v>
      </c>
      <c r="M631" t="s">
        <v>2133</v>
      </c>
      <c r="N631" t="s">
        <v>5943</v>
      </c>
      <c r="O631" t="s">
        <v>38</v>
      </c>
      <c r="Q631" t="s">
        <v>123</v>
      </c>
      <c r="R631" t="s">
        <v>124</v>
      </c>
      <c r="S631" t="s">
        <v>188</v>
      </c>
      <c r="T631" t="s">
        <v>687</v>
      </c>
      <c r="U631" t="s">
        <v>43</v>
      </c>
      <c r="V631" t="s">
        <v>5944</v>
      </c>
      <c r="W631" t="s">
        <v>5945</v>
      </c>
      <c r="Y631" t="str">
        <f>HYPERLINK("https://recruiter.shine.com/resume/download/?resumeid=gAAAAABbk2UOmd3vGShpTsQq9tstUAsrE9kUPRfN8YUj8hgjOh0BZN4EyxUfMdOumJikBWrRO8lQJo8b4HsRTEOoIfhHTzwDMS_1lPoCYgFzAoHNGrtlSVqYsGOacbS5Sd-tool17H2BJ3wFe_OhkIe-RoYsIm-32A==")</f>
        <v>https://recruiter.shine.com/resume/download/?resumeid=gAAAAABbk2UOmd3vGShpTsQq9tstUAsrE9kUPRfN8YUj8hgjOh0BZN4EyxUfMdOumJikBWrRO8lQJo8b4HsRTEOoIfhHTzwDMS_1lPoCYgFzAoHNGrtlSVqYsGOacbS5Sd-tool17H2BJ3wFe_OhkIe-RoYsIm-32A==</v>
      </c>
    </row>
    <row r="632" spans="1:25" ht="39.950000000000003" customHeight="1">
      <c r="A632">
        <v>628</v>
      </c>
      <c r="B632" t="s">
        <v>5946</v>
      </c>
      <c r="C632" t="s">
        <v>5947</v>
      </c>
      <c r="D632" t="s">
        <v>5948</v>
      </c>
      <c r="E632" t="s">
        <v>5949</v>
      </c>
      <c r="F632" t="s">
        <v>29</v>
      </c>
      <c r="G632" t="s">
        <v>29</v>
      </c>
      <c r="H632" t="s">
        <v>31</v>
      </c>
      <c r="I632" t="s">
        <v>714</v>
      </c>
      <c r="J632" t="s">
        <v>1294</v>
      </c>
      <c r="K632" t="s">
        <v>5950</v>
      </c>
      <c r="L632" t="s">
        <v>184</v>
      </c>
      <c r="M632" t="s">
        <v>172</v>
      </c>
      <c r="N632" t="s">
        <v>2274</v>
      </c>
      <c r="O632" t="s">
        <v>186</v>
      </c>
      <c r="P632" t="s">
        <v>57</v>
      </c>
      <c r="Q632" t="s">
        <v>123</v>
      </c>
      <c r="R632" t="s">
        <v>124</v>
      </c>
      <c r="S632" t="s">
        <v>188</v>
      </c>
      <c r="U632" t="s">
        <v>43</v>
      </c>
      <c r="V632" t="s">
        <v>5951</v>
      </c>
      <c r="W632" t="s">
        <v>5952</v>
      </c>
      <c r="Y632" t="str">
        <f>HYPERLINK("https://recruiter.shine.com/resume/download/?resumeid=gAAAAABbk2UL0FLsSMYwJox3wbgOxQ_-ZgfUyeCJNu-scpwW5qgQhQVsRTqscoygTpIb2-OSMJPaB8S6lEdjMQgtprbzpuEu73zGVskkLE-Mw1mAKhSakZkTnD5D_fYsoO4sHslHMLFy")</f>
        <v>https://recruiter.shine.com/resume/download/?resumeid=gAAAAABbk2UL0FLsSMYwJox3wbgOxQ_-ZgfUyeCJNu-scpwW5qgQhQVsRTqscoygTpIb2-OSMJPaB8S6lEdjMQgtprbzpuEu73zGVskkLE-Mw1mAKhSakZkTnD5D_fYsoO4sHslHMLFy</v>
      </c>
    </row>
    <row r="633" spans="1:25" ht="39.950000000000003" customHeight="1">
      <c r="A633">
        <v>629</v>
      </c>
      <c r="B633" t="s">
        <v>5953</v>
      </c>
      <c r="C633" t="s">
        <v>5954</v>
      </c>
      <c r="D633" t="s">
        <v>5955</v>
      </c>
      <c r="E633" t="s">
        <v>5956</v>
      </c>
      <c r="F633" t="s">
        <v>29</v>
      </c>
      <c r="G633" t="s">
        <v>5957</v>
      </c>
      <c r="H633" t="s">
        <v>31</v>
      </c>
      <c r="I633" t="s">
        <v>4859</v>
      </c>
      <c r="J633" t="s">
        <v>801</v>
      </c>
      <c r="K633" t="s">
        <v>5958</v>
      </c>
      <c r="L633" t="s">
        <v>596</v>
      </c>
      <c r="M633" t="s">
        <v>2636</v>
      </c>
      <c r="N633" t="s">
        <v>5959</v>
      </c>
      <c r="O633" t="s">
        <v>186</v>
      </c>
      <c r="P633" t="s">
        <v>57</v>
      </c>
      <c r="Q633" t="s">
        <v>107</v>
      </c>
      <c r="R633" t="s">
        <v>384</v>
      </c>
      <c r="S633" t="s">
        <v>5960</v>
      </c>
      <c r="T633" t="s">
        <v>941</v>
      </c>
      <c r="U633" t="s">
        <v>43</v>
      </c>
      <c r="V633" t="s">
        <v>5961</v>
      </c>
      <c r="W633" t="s">
        <v>5962</v>
      </c>
      <c r="Y633" t="str">
        <f>HYPERLINK("https://recruiter.shine.com/resume/download/?resumeid=gAAAAABbk2UN0MP8G8b68x9zXcpGll8HZ0YRqZRYVCl59ubxNzlVpvZMUyoVeP-EjZKluNnc-sZ2HGc_OvWAiR_QWjZcspFeGCCGJv-Gewl-ieJaUxzmm03CpXn4kVqrQhfyrGwcCbh9rVGcvU37bgbgy7EqaoWYyA==")</f>
        <v>https://recruiter.shine.com/resume/download/?resumeid=gAAAAABbk2UN0MP8G8b68x9zXcpGll8HZ0YRqZRYVCl59ubxNzlVpvZMUyoVeP-EjZKluNnc-sZ2HGc_OvWAiR_QWjZcspFeGCCGJv-Gewl-ieJaUxzmm03CpXn4kVqrQhfyrGwcCbh9rVGcvU37bgbgy7EqaoWYyA==</v>
      </c>
    </row>
    <row r="634" spans="1:25" ht="39.950000000000003" customHeight="1">
      <c r="A634">
        <v>630</v>
      </c>
      <c r="B634" t="s">
        <v>5963</v>
      </c>
      <c r="C634" t="s">
        <v>5964</v>
      </c>
      <c r="D634" t="s">
        <v>5965</v>
      </c>
      <c r="E634" t="s">
        <v>5966</v>
      </c>
      <c r="F634" t="s">
        <v>29</v>
      </c>
      <c r="G634" t="s">
        <v>67</v>
      </c>
      <c r="H634" t="s">
        <v>31</v>
      </c>
      <c r="I634" t="s">
        <v>362</v>
      </c>
      <c r="J634" t="s">
        <v>135</v>
      </c>
      <c r="L634" t="s">
        <v>363</v>
      </c>
      <c r="M634" t="s">
        <v>364</v>
      </c>
      <c r="Q634" t="s">
        <v>158</v>
      </c>
      <c r="R634" t="s">
        <v>4148</v>
      </c>
      <c r="S634" t="s">
        <v>5967</v>
      </c>
      <c r="T634" t="s">
        <v>625</v>
      </c>
      <c r="U634" t="s">
        <v>43</v>
      </c>
      <c r="V634" t="s">
        <v>5968</v>
      </c>
      <c r="W634" t="s">
        <v>5968</v>
      </c>
      <c r="Y634" t="str">
        <f>HYPERLINK("https://recruiter.shine.com/resume/download/?resumeid=gAAAAABbk2UNlaCLDalGWpiUSZcNcCX7ldPW64QLR958S06_8kq8nSuh-sHpX3f_K2589jRwp2cAXK-XawxQWf2cpV7EzcFxnpXlnGU4gdmNx6dE9MarHPg7Uoy2mRuHxLvjybtmCDgS7moknCOXS425tG6otqtOo395VerNpO0yX_UTf1PjXMU=")</f>
        <v>https://recruiter.shine.com/resume/download/?resumeid=gAAAAABbk2UNlaCLDalGWpiUSZcNcCX7ldPW64QLR958S06_8kq8nSuh-sHpX3f_K2589jRwp2cAXK-XawxQWf2cpV7EzcFxnpXlnGU4gdmNx6dE9MarHPg7Uoy2mRuHxLvjybtmCDgS7moknCOXS425tG6otqtOo395VerNpO0yX_UTf1PjXMU=</v>
      </c>
    </row>
    <row r="635" spans="1:25" ht="39.950000000000003" customHeight="1">
      <c r="A635">
        <v>631</v>
      </c>
      <c r="B635" t="s">
        <v>5969</v>
      </c>
      <c r="C635" t="s">
        <v>5970</v>
      </c>
      <c r="D635" t="s">
        <v>5971</v>
      </c>
      <c r="E635" t="s">
        <v>5972</v>
      </c>
      <c r="F635" t="s">
        <v>29</v>
      </c>
      <c r="G635" t="s">
        <v>29</v>
      </c>
      <c r="H635" t="s">
        <v>234</v>
      </c>
      <c r="I635" t="s">
        <v>1038</v>
      </c>
      <c r="J635" t="s">
        <v>182</v>
      </c>
      <c r="K635" t="s">
        <v>5973</v>
      </c>
      <c r="L635" t="s">
        <v>5296</v>
      </c>
      <c r="M635" t="s">
        <v>172</v>
      </c>
      <c r="N635" t="s">
        <v>5974</v>
      </c>
      <c r="O635" t="s">
        <v>186</v>
      </c>
      <c r="Q635" t="s">
        <v>90</v>
      </c>
      <c r="R635" t="s">
        <v>292</v>
      </c>
      <c r="S635" t="s">
        <v>1628</v>
      </c>
      <c r="T635" t="s">
        <v>110</v>
      </c>
      <c r="U635" t="s">
        <v>94</v>
      </c>
      <c r="V635" t="s">
        <v>5975</v>
      </c>
      <c r="W635" t="s">
        <v>5976</v>
      </c>
      <c r="Y635" t="str">
        <f>HYPERLINK("https://recruiter.shine.com/resume/download/?resumeid=gAAAAABbk2UK636IzltGT6oJD3ac3wDZ6FVGwAbXIKdkqNoFQY-WBt8UKVaV6uKs4XBZxeCyCrji8YF2J9DG1JmLr-HdghvHKAJ6SvY032bVkF9oPG8dEHxakMnlm-NIGJYymvZDhI5J")</f>
        <v>https://recruiter.shine.com/resume/download/?resumeid=gAAAAABbk2UK636IzltGT6oJD3ac3wDZ6FVGwAbXIKdkqNoFQY-WBt8UKVaV6uKs4XBZxeCyCrji8YF2J9DG1JmLr-HdghvHKAJ6SvY032bVkF9oPG8dEHxakMnlm-NIGJYymvZDhI5J</v>
      </c>
    </row>
    <row r="636" spans="1:25" ht="39.950000000000003" customHeight="1">
      <c r="A636">
        <v>632</v>
      </c>
      <c r="B636" t="s">
        <v>5977</v>
      </c>
      <c r="C636" t="s">
        <v>5978</v>
      </c>
      <c r="D636" t="s">
        <v>5979</v>
      </c>
      <c r="E636" t="s">
        <v>5980</v>
      </c>
      <c r="F636" t="s">
        <v>29</v>
      </c>
      <c r="G636" t="s">
        <v>29</v>
      </c>
      <c r="H636" t="s">
        <v>31</v>
      </c>
      <c r="I636" t="s">
        <v>32</v>
      </c>
      <c r="J636" t="s">
        <v>1081</v>
      </c>
      <c r="K636" t="s">
        <v>5981</v>
      </c>
      <c r="L636" t="s">
        <v>88</v>
      </c>
      <c r="M636" t="s">
        <v>463</v>
      </c>
      <c r="N636" t="s">
        <v>5982</v>
      </c>
      <c r="O636" t="s">
        <v>186</v>
      </c>
      <c r="P636" t="s">
        <v>268</v>
      </c>
      <c r="Q636" t="s">
        <v>699</v>
      </c>
      <c r="R636" t="s">
        <v>1235</v>
      </c>
      <c r="S636" t="s">
        <v>188</v>
      </c>
      <c r="U636" t="s">
        <v>43</v>
      </c>
      <c r="V636" t="s">
        <v>5983</v>
      </c>
      <c r="W636" t="s">
        <v>5983</v>
      </c>
      <c r="Y636" t="str">
        <f>HYPERLINK("https://recruiter.shine.com/resume/download/?resumeid=gAAAAABbk2UM00mQOt8R0GAu_5oef00FgYHAnVNPWjOPxr4CaNL79C9V8LrUs-yoz0R5Uf77itpGTkq4ROITF0Z9LKChBa4fy5iZOViuqAykZ40EpGGGJ8LKJRXwssqDTNlNhDnHgU8i")</f>
        <v>https://recruiter.shine.com/resume/download/?resumeid=gAAAAABbk2UM00mQOt8R0GAu_5oef00FgYHAnVNPWjOPxr4CaNL79C9V8LrUs-yoz0R5Uf77itpGTkq4ROITF0Z9LKChBa4fy5iZOViuqAykZ40EpGGGJ8LKJRXwssqDTNlNhDnHgU8i</v>
      </c>
    </row>
    <row r="637" spans="1:25" ht="39.950000000000003" customHeight="1">
      <c r="A637">
        <v>633</v>
      </c>
      <c r="B637" t="s">
        <v>5984</v>
      </c>
      <c r="D637" t="s">
        <v>5985</v>
      </c>
      <c r="E637" t="s">
        <v>5986</v>
      </c>
      <c r="F637" t="s">
        <v>29</v>
      </c>
      <c r="G637" t="s">
        <v>67</v>
      </c>
      <c r="H637" t="s">
        <v>31</v>
      </c>
      <c r="I637" t="s">
        <v>1038</v>
      </c>
      <c r="J637" t="s">
        <v>5987</v>
      </c>
      <c r="K637" t="s">
        <v>5988</v>
      </c>
      <c r="L637" t="s">
        <v>88</v>
      </c>
      <c r="M637" t="s">
        <v>938</v>
      </c>
      <c r="N637" t="s">
        <v>5989</v>
      </c>
      <c r="O637" t="s">
        <v>38</v>
      </c>
      <c r="Q637" t="s">
        <v>123</v>
      </c>
      <c r="R637" t="s">
        <v>124</v>
      </c>
      <c r="S637" t="s">
        <v>188</v>
      </c>
      <c r="T637" t="s">
        <v>441</v>
      </c>
      <c r="U637" t="s">
        <v>43</v>
      </c>
      <c r="V637" t="s">
        <v>5990</v>
      </c>
      <c r="W637" t="s">
        <v>5991</v>
      </c>
      <c r="Y637" t="str">
        <f>HYPERLINK("https://recruiter.shine.com/resume/download/?resumeid=gAAAAABbk2UNpi2xlnFD5IZLJDMMXdU6cs-o6LZysJtQOaDB74QbPhcYXPemPI01x9-9YNRJpuMKGp4k7Ez6z-YhtexKUDj8AxKSWf5GYks6YvNe3A5kck24wSal0_a80YeRBbUQeu1u1cx7uNZObQt8xvZTVtZgX2oEZCc0XxrNhDFVxov92Ec=")</f>
        <v>https://recruiter.shine.com/resume/download/?resumeid=gAAAAABbk2UNpi2xlnFD5IZLJDMMXdU6cs-o6LZysJtQOaDB74QbPhcYXPemPI01x9-9YNRJpuMKGp4k7Ez6z-YhtexKUDj8AxKSWf5GYks6YvNe3A5kck24wSal0_a80YeRBbUQeu1u1cx7uNZObQt8xvZTVtZgX2oEZCc0XxrNhDFVxov92Ec=</v>
      </c>
    </row>
    <row r="638" spans="1:25" ht="39.950000000000003" customHeight="1">
      <c r="A638">
        <v>634</v>
      </c>
      <c r="B638" t="s">
        <v>5992</v>
      </c>
      <c r="D638" t="s">
        <v>5993</v>
      </c>
      <c r="E638" t="s">
        <v>5994</v>
      </c>
      <c r="F638" t="s">
        <v>29</v>
      </c>
      <c r="G638" t="s">
        <v>29</v>
      </c>
      <c r="I638" t="s">
        <v>32</v>
      </c>
      <c r="J638" t="s">
        <v>118</v>
      </c>
      <c r="K638" t="s">
        <v>2813</v>
      </c>
      <c r="L638" t="s">
        <v>4146</v>
      </c>
      <c r="M638" t="s">
        <v>757</v>
      </c>
      <c r="N638" t="s">
        <v>5995</v>
      </c>
      <c r="O638" t="s">
        <v>38</v>
      </c>
      <c r="Q638" t="s">
        <v>40</v>
      </c>
      <c r="R638" t="s">
        <v>41</v>
      </c>
      <c r="S638" t="s">
        <v>5996</v>
      </c>
      <c r="U638" t="s">
        <v>94</v>
      </c>
      <c r="V638" t="s">
        <v>5997</v>
      </c>
      <c r="W638" t="s">
        <v>5998</v>
      </c>
      <c r="Y638" t="str">
        <f>HYPERLINK("https://recruiter.shine.com/resume/download/?resumeid=gAAAAABbk2ULSpbHvsUVAyRyEIrUhA-R1VyeOiB6WkDhe0uuMGIISZeVWAdRxSzblNNduq6YRAb-74o8hZsHfXo3-Ldgd64KSchZcwvNyuNkmM-fbi20YhhXEihjXDobywCAGSTqc98v")</f>
        <v>https://recruiter.shine.com/resume/download/?resumeid=gAAAAABbk2ULSpbHvsUVAyRyEIrUhA-R1VyeOiB6WkDhe0uuMGIISZeVWAdRxSzblNNduq6YRAb-74o8hZsHfXo3-Ldgd64KSchZcwvNyuNkmM-fbi20YhhXEihjXDobywCAGSTqc98v</v>
      </c>
    </row>
    <row r="639" spans="1:25" ht="39.950000000000003" customHeight="1">
      <c r="A639">
        <v>635</v>
      </c>
      <c r="B639" t="s">
        <v>5999</v>
      </c>
      <c r="D639" t="s">
        <v>6000</v>
      </c>
      <c r="E639" t="s">
        <v>6001</v>
      </c>
      <c r="F639" t="s">
        <v>29</v>
      </c>
      <c r="G639" t="s">
        <v>29</v>
      </c>
      <c r="H639" t="s">
        <v>31</v>
      </c>
      <c r="I639" t="s">
        <v>362</v>
      </c>
      <c r="J639" t="s">
        <v>135</v>
      </c>
      <c r="L639" t="s">
        <v>363</v>
      </c>
      <c r="M639" t="s">
        <v>364</v>
      </c>
      <c r="Q639" t="s">
        <v>107</v>
      </c>
      <c r="R639" t="s">
        <v>864</v>
      </c>
      <c r="S639" t="s">
        <v>188</v>
      </c>
      <c r="T639" t="s">
        <v>126</v>
      </c>
      <c r="U639" t="s">
        <v>43</v>
      </c>
      <c r="V639" t="s">
        <v>6002</v>
      </c>
      <c r="W639" t="s">
        <v>6003</v>
      </c>
      <c r="Y639" t="str">
        <f>HYPERLINK("https://recruiter.shine.com/resume/download/?resumeid=gAAAAABbk2UMixsXZ94reZaWTnpSgI-yJAKwWp42SBr76VkQ03NhlxqCA0vst6zR7xB6JMWuDRSdBPy0C5X_Yg_SR-PcDmENN8s-uV9sqJSRG3tlVtAIlHeBdPFn8HGwEmqjRvej2ZA0_qaOsAxM9YdfxP6LoyErUA==")</f>
        <v>https://recruiter.shine.com/resume/download/?resumeid=gAAAAABbk2UMixsXZ94reZaWTnpSgI-yJAKwWp42SBr76VkQ03NhlxqCA0vst6zR7xB6JMWuDRSdBPy0C5X_Yg_SR-PcDmENN8s-uV9sqJSRG3tlVtAIlHeBdPFn8HGwEmqjRvej2ZA0_qaOsAxM9YdfxP6LoyErUA==</v>
      </c>
    </row>
    <row r="640" spans="1:25" ht="39.950000000000003" customHeight="1">
      <c r="A640">
        <v>636</v>
      </c>
      <c r="B640" t="s">
        <v>6004</v>
      </c>
      <c r="C640" t="s">
        <v>6005</v>
      </c>
      <c r="D640" t="s">
        <v>6006</v>
      </c>
      <c r="E640" t="s">
        <v>6007</v>
      </c>
      <c r="F640" t="s">
        <v>29</v>
      </c>
      <c r="G640" t="s">
        <v>29</v>
      </c>
      <c r="H640" t="s">
        <v>31</v>
      </c>
      <c r="I640" t="s">
        <v>362</v>
      </c>
      <c r="J640" t="s">
        <v>135</v>
      </c>
      <c r="L640" t="s">
        <v>363</v>
      </c>
      <c r="M640" t="s">
        <v>364</v>
      </c>
      <c r="Q640" t="s">
        <v>107</v>
      </c>
      <c r="R640" t="s">
        <v>642</v>
      </c>
      <c r="S640" t="s">
        <v>188</v>
      </c>
      <c r="T640" t="s">
        <v>625</v>
      </c>
      <c r="U640" t="s">
        <v>43</v>
      </c>
      <c r="V640" t="s">
        <v>6008</v>
      </c>
      <c r="W640" t="s">
        <v>6009</v>
      </c>
      <c r="Y640" t="str">
        <f>HYPERLINK("https://recruiter.shine.com/resume/download/?resumeid=gAAAAABbk2UO5gnA727J5nofny8SepYfwOBEgvn-NM9rT3gWuPynsR9OSZMrKk9LTOqAKJAfDnvRx8SiG2OEHuZN1hwNewTesHk93po3Wyyvu464mrW93KHGq6kC0AQJKgp0zNmkIrRD96BcmjF2UkwnXCmhpkEcFy8iB7zNQzlE9wbr0WN-igw=")</f>
        <v>https://recruiter.shine.com/resume/download/?resumeid=gAAAAABbk2UO5gnA727J5nofny8SepYfwOBEgvn-NM9rT3gWuPynsR9OSZMrKk9LTOqAKJAfDnvRx8SiG2OEHuZN1hwNewTesHk93po3Wyyvu464mrW93KHGq6kC0AQJKgp0zNmkIrRD96BcmjF2UkwnXCmhpkEcFy8iB7zNQzlE9wbr0WN-igw=</v>
      </c>
    </row>
    <row r="641" spans="1:25" ht="39.950000000000003" customHeight="1">
      <c r="A641">
        <v>637</v>
      </c>
      <c r="B641" t="s">
        <v>6010</v>
      </c>
      <c r="C641" t="s">
        <v>6011</v>
      </c>
      <c r="D641" t="s">
        <v>6012</v>
      </c>
      <c r="E641" t="s">
        <v>6013</v>
      </c>
      <c r="F641" t="s">
        <v>29</v>
      </c>
      <c r="G641" t="s">
        <v>29</v>
      </c>
      <c r="H641" t="s">
        <v>234</v>
      </c>
      <c r="I641" t="s">
        <v>836</v>
      </c>
      <c r="J641" t="s">
        <v>1742</v>
      </c>
      <c r="K641" t="s">
        <v>6014</v>
      </c>
      <c r="L641" t="s">
        <v>155</v>
      </c>
      <c r="M641" t="s">
        <v>684</v>
      </c>
      <c r="N641" t="s">
        <v>6015</v>
      </c>
      <c r="O641" t="s">
        <v>475</v>
      </c>
      <c r="P641" t="s">
        <v>73</v>
      </c>
      <c r="Q641" t="s">
        <v>107</v>
      </c>
      <c r="R641" t="s">
        <v>108</v>
      </c>
      <c r="S641" t="s">
        <v>6016</v>
      </c>
      <c r="U641" t="s">
        <v>43</v>
      </c>
      <c r="V641" t="s">
        <v>6017</v>
      </c>
      <c r="W641" t="s">
        <v>6018</v>
      </c>
      <c r="Y641" t="str">
        <f>HYPERLINK("https://recruiter.shine.com/resume/download/?resumeid=gAAAAABbk2ULmNTxy4zlEUYb7lbRvB2aMND9G-uxilIIJc5ZSlGkeycXaMXC-F5ZgHBzsKiBtZn_wxQEVFeha0Yl0epA3JNGPJz-LT1eU6HRxhQdZ6BJeJfzu18G0jMVCN0fv8CO_bUy")</f>
        <v>https://recruiter.shine.com/resume/download/?resumeid=gAAAAABbk2ULmNTxy4zlEUYb7lbRvB2aMND9G-uxilIIJc5ZSlGkeycXaMXC-F5ZgHBzsKiBtZn_wxQEVFeha0Yl0epA3JNGPJz-LT1eU6HRxhQdZ6BJeJfzu18G0jMVCN0fv8CO_bUy</v>
      </c>
    </row>
    <row r="642" spans="1:25" ht="39.950000000000003" customHeight="1">
      <c r="A642">
        <v>638</v>
      </c>
      <c r="B642" t="s">
        <v>6019</v>
      </c>
      <c r="C642" t="s">
        <v>6020</v>
      </c>
      <c r="D642" t="s">
        <v>6021</v>
      </c>
      <c r="E642" t="s">
        <v>6022</v>
      </c>
      <c r="F642" t="s">
        <v>29</v>
      </c>
      <c r="G642" t="s">
        <v>6023</v>
      </c>
      <c r="H642" t="s">
        <v>31</v>
      </c>
      <c r="I642" t="s">
        <v>543</v>
      </c>
      <c r="J642" t="s">
        <v>51</v>
      </c>
      <c r="K642" t="s">
        <v>6024</v>
      </c>
      <c r="L642" t="s">
        <v>88</v>
      </c>
      <c r="M642" t="s">
        <v>3183</v>
      </c>
      <c r="N642" t="s">
        <v>6025</v>
      </c>
      <c r="O642" t="s">
        <v>38</v>
      </c>
      <c r="Q642" t="s">
        <v>489</v>
      </c>
      <c r="R642" t="s">
        <v>490</v>
      </c>
      <c r="S642" t="s">
        <v>6026</v>
      </c>
      <c r="T642" t="s">
        <v>304</v>
      </c>
      <c r="U642" t="s">
        <v>127</v>
      </c>
      <c r="V642" t="s">
        <v>6027</v>
      </c>
      <c r="W642" t="s">
        <v>6027</v>
      </c>
      <c r="Y642" t="str">
        <f>HYPERLINK("https://recruiter.shine.com/resume/download/?resumeid=gAAAAABbk2UMd6nU_AMt0Iw2PUaNfYE15grVaWMXyz5GKTPZMqGfWSY2LfXC4ACxUH8rGWkDCElw9OL3n4uRV-S6RnMUsApQxl7CMMIddqT9dRVItg232j1BGunulKOipAn5s6bunkfiCM-KENwt5pTQF7aaIJ8P0iPhbEh9T0iEXSB3jro0rf0=")</f>
        <v>https://recruiter.shine.com/resume/download/?resumeid=gAAAAABbk2UMd6nU_AMt0Iw2PUaNfYE15grVaWMXyz5GKTPZMqGfWSY2LfXC4ACxUH8rGWkDCElw9OL3n4uRV-S6RnMUsApQxl7CMMIddqT9dRVItg232j1BGunulKOipAn5s6bunkfiCM-KENwt5pTQF7aaIJ8P0iPhbEh9T0iEXSB3jro0rf0=</v>
      </c>
    </row>
    <row r="643" spans="1:25" ht="39.950000000000003" customHeight="1">
      <c r="A643">
        <v>639</v>
      </c>
      <c r="B643" t="s">
        <v>6028</v>
      </c>
      <c r="C643" t="s">
        <v>6029</v>
      </c>
      <c r="D643" t="s">
        <v>6030</v>
      </c>
      <c r="E643" t="s">
        <v>6031</v>
      </c>
      <c r="F643" t="s">
        <v>29</v>
      </c>
      <c r="G643" t="s">
        <v>29</v>
      </c>
      <c r="H643" t="s">
        <v>234</v>
      </c>
      <c r="I643" t="s">
        <v>362</v>
      </c>
      <c r="J643" t="s">
        <v>135</v>
      </c>
      <c r="L643" t="s">
        <v>363</v>
      </c>
      <c r="M643" t="s">
        <v>364</v>
      </c>
      <c r="Q643" t="s">
        <v>74</v>
      </c>
      <c r="R643" t="s">
        <v>559</v>
      </c>
      <c r="S643" t="s">
        <v>6032</v>
      </c>
      <c r="T643" t="s">
        <v>625</v>
      </c>
      <c r="U643" t="s">
        <v>43</v>
      </c>
      <c r="V643" t="s">
        <v>6033</v>
      </c>
      <c r="W643" t="s">
        <v>6034</v>
      </c>
      <c r="Y643" t="str">
        <f>HYPERLINK("https://recruiter.shine.com/resume/download/?resumeid=gAAAAABbk2UNlMTARJ3Hz-LkBL6ZBvzLsobhgG758B1kNbJ7rdfWo-6xEIWq7O3dv2MWvSrmEkyPOA0dMeNstwSFXxIUnXz8U783o6D_EgUFHqqrcRUJaiF-6p3VwDUc3jpYsP3IER39UXVkIrq5L7FnYZ4qDCTy9sZXBjny80VQh9xODpxxMGg=")</f>
        <v>https://recruiter.shine.com/resume/download/?resumeid=gAAAAABbk2UNlMTARJ3Hz-LkBL6ZBvzLsobhgG758B1kNbJ7rdfWo-6xEIWq7O3dv2MWvSrmEkyPOA0dMeNstwSFXxIUnXz8U783o6D_EgUFHqqrcRUJaiF-6p3VwDUc3jpYsP3IER39UXVkIrq5L7FnYZ4qDCTy9sZXBjny80VQh9xODpxxMGg=</v>
      </c>
    </row>
    <row r="644" spans="1:25" ht="39.950000000000003" customHeight="1">
      <c r="A644">
        <v>640</v>
      </c>
      <c r="B644" t="s">
        <v>6035</v>
      </c>
      <c r="C644" t="s">
        <v>6036</v>
      </c>
      <c r="D644" t="s">
        <v>6037</v>
      </c>
      <c r="E644" t="s">
        <v>6038</v>
      </c>
      <c r="F644" t="s">
        <v>29</v>
      </c>
      <c r="G644" t="s">
        <v>29</v>
      </c>
      <c r="H644" t="s">
        <v>31</v>
      </c>
      <c r="I644" t="s">
        <v>1038</v>
      </c>
      <c r="J644" t="s">
        <v>6039</v>
      </c>
      <c r="K644" t="s">
        <v>6040</v>
      </c>
      <c r="L644" t="s">
        <v>171</v>
      </c>
      <c r="M644" t="s">
        <v>54</v>
      </c>
      <c r="N644" t="s">
        <v>355</v>
      </c>
      <c r="O644" t="s">
        <v>1041</v>
      </c>
      <c r="P644" t="s">
        <v>57</v>
      </c>
      <c r="Q644" t="s">
        <v>123</v>
      </c>
      <c r="R644" t="s">
        <v>124</v>
      </c>
      <c r="S644" t="s">
        <v>188</v>
      </c>
      <c r="T644" t="s">
        <v>227</v>
      </c>
      <c r="U644" t="s">
        <v>43</v>
      </c>
      <c r="V644" t="s">
        <v>6041</v>
      </c>
      <c r="W644" t="s">
        <v>6042</v>
      </c>
      <c r="Y644" t="str">
        <f>HYPERLINK("https://recruiter.shine.com/resume/download/?resumeid=gAAAAABbk2ULIpwHx7XHLKZOm-Tj-hHiIJB9t3NddJF7UBJPFzkTj1cKi4OsBPjpXeHRmKCvF3oX--MjK1iBRUIjO_Kuz0U22sTiLIvfEneQl72LiNi92_T3vT8vZihkr0olQDXtb7Sp")</f>
        <v>https://recruiter.shine.com/resume/download/?resumeid=gAAAAABbk2ULIpwHx7XHLKZOm-Tj-hHiIJB9t3NddJF7UBJPFzkTj1cKi4OsBPjpXeHRmKCvF3oX--MjK1iBRUIjO_Kuz0U22sTiLIvfEneQl72LiNi92_T3vT8vZihkr0olQDXtb7Sp</v>
      </c>
    </row>
    <row r="645" spans="1:25" ht="39.950000000000003" customHeight="1">
      <c r="A645">
        <v>641</v>
      </c>
      <c r="B645" t="s">
        <v>6043</v>
      </c>
      <c r="C645" t="s">
        <v>6044</v>
      </c>
      <c r="D645" t="s">
        <v>6045</v>
      </c>
      <c r="E645" t="s">
        <v>6046</v>
      </c>
      <c r="F645" t="s">
        <v>29</v>
      </c>
      <c r="G645" t="s">
        <v>6047</v>
      </c>
      <c r="H645" t="s">
        <v>31</v>
      </c>
      <c r="I645" t="s">
        <v>6048</v>
      </c>
      <c r="J645" t="s">
        <v>801</v>
      </c>
      <c r="K645" t="s">
        <v>6049</v>
      </c>
      <c r="L645" t="s">
        <v>266</v>
      </c>
      <c r="M645" t="s">
        <v>105</v>
      </c>
      <c r="N645" t="s">
        <v>6050</v>
      </c>
      <c r="O645" t="s">
        <v>56</v>
      </c>
      <c r="P645" t="s">
        <v>940</v>
      </c>
      <c r="Q645" t="s">
        <v>107</v>
      </c>
      <c r="R645" t="s">
        <v>159</v>
      </c>
      <c r="S645" t="s">
        <v>6051</v>
      </c>
      <c r="T645" t="s">
        <v>110</v>
      </c>
      <c r="U645" t="s">
        <v>43</v>
      </c>
      <c r="V645" t="s">
        <v>6052</v>
      </c>
      <c r="W645" t="s">
        <v>6053</v>
      </c>
      <c r="Y645" t="str">
        <f>HYPERLINK("https://recruiter.shine.com/resume/download/?resumeid=gAAAAABbk2UM4dYpbdZGpfosklP8UDU6qxPiuKQlLxLjbTHmOUvbs14tO_xqJDb67ukJNP7blKezDgPryUrZ36gmz_i4RDQrBd4lrrXqTkaAGOm3tyykKBE_Q4ns70k-ooDRHWe-18aJsDIlXj4JWoj4SlcYJ5cGYW7GOnJM0t8ZmqPZ6VNi_5Y=")</f>
        <v>https://recruiter.shine.com/resume/download/?resumeid=gAAAAABbk2UM4dYpbdZGpfosklP8UDU6qxPiuKQlLxLjbTHmOUvbs14tO_xqJDb67ukJNP7blKezDgPryUrZ36gmz_i4RDQrBd4lrrXqTkaAGOm3tyykKBE_Q4ns70k-ooDRHWe-18aJsDIlXj4JWoj4SlcYJ5cGYW7GOnJM0t8ZmqPZ6VNi_5Y=</v>
      </c>
    </row>
    <row r="646" spans="1:25" ht="39.950000000000003" customHeight="1">
      <c r="A646">
        <v>642</v>
      </c>
      <c r="B646" t="s">
        <v>6054</v>
      </c>
      <c r="C646" t="s">
        <v>130</v>
      </c>
      <c r="D646" t="s">
        <v>6055</v>
      </c>
      <c r="E646" t="s">
        <v>6056</v>
      </c>
      <c r="F646" t="s">
        <v>29</v>
      </c>
      <c r="G646" t="s">
        <v>2006</v>
      </c>
      <c r="H646" t="s">
        <v>31</v>
      </c>
      <c r="I646" t="s">
        <v>3481</v>
      </c>
      <c r="J646" t="s">
        <v>312</v>
      </c>
      <c r="K646" t="s">
        <v>6057</v>
      </c>
      <c r="L646" t="s">
        <v>462</v>
      </c>
      <c r="M646" t="s">
        <v>54</v>
      </c>
      <c r="N646" t="s">
        <v>6058</v>
      </c>
      <c r="O646" t="s">
        <v>475</v>
      </c>
      <c r="P646" t="s">
        <v>57</v>
      </c>
      <c r="Q646" t="s">
        <v>90</v>
      </c>
      <c r="R646" t="s">
        <v>465</v>
      </c>
      <c r="S646" t="s">
        <v>3199</v>
      </c>
      <c r="T646" t="s">
        <v>625</v>
      </c>
      <c r="U646" t="s">
        <v>43</v>
      </c>
      <c r="V646" t="s">
        <v>6059</v>
      </c>
      <c r="W646" t="s">
        <v>6060</v>
      </c>
      <c r="Y646" t="str">
        <f>HYPERLINK("https://recruiter.shine.com/resume/download/?resumeid=gAAAAABbk2UOAPXH7Jnj30S4sGxa4UEAHLGuBPWmSTV_Kl14Uh5GTaZQUAfJtIXPF0HznajCkFgmETE6r5mY72fFDB1X1ssfGGY8MYseVUHkN8wclG2TkWG52t7N9K8TptWjB36Vr3H0HAYJDX1ZMKVqI3_TAQtF2v2aBprpNLbrCj9b2WDnX58=")</f>
        <v>https://recruiter.shine.com/resume/download/?resumeid=gAAAAABbk2UOAPXH7Jnj30S4sGxa4UEAHLGuBPWmSTV_Kl14Uh5GTaZQUAfJtIXPF0HznajCkFgmETE6r5mY72fFDB1X1ssfGGY8MYseVUHkN8wclG2TkWG52t7N9K8TptWjB36Vr3H0HAYJDX1ZMKVqI3_TAQtF2v2aBprpNLbrCj9b2WDnX58=</v>
      </c>
    </row>
    <row r="647" spans="1:25" ht="39.950000000000003" customHeight="1">
      <c r="A647">
        <v>643</v>
      </c>
      <c r="B647" t="s">
        <v>6061</v>
      </c>
      <c r="C647" t="s">
        <v>6062</v>
      </c>
      <c r="D647" t="s">
        <v>6063</v>
      </c>
      <c r="E647" t="s">
        <v>6064</v>
      </c>
      <c r="F647" t="s">
        <v>249</v>
      </c>
      <c r="G647" t="s">
        <v>6065</v>
      </c>
      <c r="H647" t="s">
        <v>31</v>
      </c>
      <c r="I647" t="s">
        <v>32</v>
      </c>
      <c r="J647" t="s">
        <v>781</v>
      </c>
      <c r="K647" t="s">
        <v>6066</v>
      </c>
      <c r="L647" t="s">
        <v>1918</v>
      </c>
      <c r="M647" t="s">
        <v>1755</v>
      </c>
      <c r="N647" t="s">
        <v>6067</v>
      </c>
      <c r="O647" t="s">
        <v>186</v>
      </c>
      <c r="P647" t="s">
        <v>39</v>
      </c>
      <c r="Q647" t="s">
        <v>158</v>
      </c>
      <c r="R647" t="s">
        <v>41</v>
      </c>
      <c r="S647" t="s">
        <v>6068</v>
      </c>
      <c r="T647" t="s">
        <v>2453</v>
      </c>
      <c r="U647" t="s">
        <v>43</v>
      </c>
      <c r="V647" t="s">
        <v>6069</v>
      </c>
      <c r="W647" t="s">
        <v>6070</v>
      </c>
      <c r="Y647" t="str">
        <f>HYPERLINK("https://recruiter.shine.com/resume/download/?resumeid=gAAAAABbk2ULzKIYXG43Og1tZBk-fE3PYm2QzRm4xiPAzkHLAtp_CBrrAlDjGojx5KJCqcMaxW5ouwAND5mUZawCojEdHD2yBagGYr0OKWKzfXXm33vmbd7Bw6GZMLUEhCs1pRDZjG8K")</f>
        <v>https://recruiter.shine.com/resume/download/?resumeid=gAAAAABbk2ULzKIYXG43Og1tZBk-fE3PYm2QzRm4xiPAzkHLAtp_CBrrAlDjGojx5KJCqcMaxW5ouwAND5mUZawCojEdHD2yBagGYr0OKWKzfXXm33vmbd7Bw6GZMLUEhCs1pRDZjG8K</v>
      </c>
    </row>
    <row r="648" spans="1:25" ht="39.950000000000003" customHeight="1">
      <c r="A648">
        <v>644</v>
      </c>
      <c r="B648" t="s">
        <v>6071</v>
      </c>
      <c r="C648" t="s">
        <v>6072</v>
      </c>
      <c r="D648" t="s">
        <v>6073</v>
      </c>
      <c r="E648" t="s">
        <v>6074</v>
      </c>
      <c r="F648" t="s">
        <v>29</v>
      </c>
      <c r="G648" t="s">
        <v>6075</v>
      </c>
      <c r="H648" t="s">
        <v>234</v>
      </c>
      <c r="I648" t="s">
        <v>1774</v>
      </c>
      <c r="J648" t="s">
        <v>506</v>
      </c>
      <c r="K648" t="s">
        <v>221</v>
      </c>
      <c r="L648" t="s">
        <v>88</v>
      </c>
      <c r="M648" t="s">
        <v>238</v>
      </c>
      <c r="N648" t="s">
        <v>6076</v>
      </c>
      <c r="O648" t="s">
        <v>186</v>
      </c>
      <c r="P648" t="s">
        <v>57</v>
      </c>
      <c r="Q648" t="s">
        <v>90</v>
      </c>
      <c r="R648" t="s">
        <v>292</v>
      </c>
      <c r="S648" t="s">
        <v>6077</v>
      </c>
      <c r="T648" t="s">
        <v>126</v>
      </c>
      <c r="U648" t="s">
        <v>43</v>
      </c>
      <c r="V648" t="s">
        <v>6078</v>
      </c>
      <c r="W648" t="s">
        <v>6079</v>
      </c>
      <c r="Y648" t="str">
        <f>HYPERLINK("https://recruiter.shine.com/resume/download/?resumeid=gAAAAABbk2UMD_4hYKp_S-MdbqRGbZMrRa97yQn7Ty3gVx5aYVBnSwLMF83Ry8eJuKmkkS-h6dJwayePd85ZTwzLmg8KAdb4iElQR6ChCZWfHfz-6BA0g-thSVHWexcDZ-TCdUB3H8QcMLNpyLd-LevgDUMkb-1UnFDvXOGrdbt2Wev_k79HZGI=")</f>
        <v>https://recruiter.shine.com/resume/download/?resumeid=gAAAAABbk2UMD_4hYKp_S-MdbqRGbZMrRa97yQn7Ty3gVx5aYVBnSwLMF83Ry8eJuKmkkS-h6dJwayePd85ZTwzLmg8KAdb4iElQR6ChCZWfHfz-6BA0g-thSVHWexcDZ-TCdUB3H8QcMLNpyLd-LevgDUMkb-1UnFDvXOGrdbt2Wev_k79HZGI=</v>
      </c>
    </row>
    <row r="649" spans="1:25" ht="39.950000000000003" customHeight="1">
      <c r="A649">
        <v>645</v>
      </c>
      <c r="B649" t="s">
        <v>6080</v>
      </c>
      <c r="D649" t="s">
        <v>6081</v>
      </c>
      <c r="E649" t="s">
        <v>6082</v>
      </c>
      <c r="F649" t="s">
        <v>29</v>
      </c>
      <c r="G649" t="s">
        <v>67</v>
      </c>
      <c r="H649" t="s">
        <v>234</v>
      </c>
      <c r="I649" t="s">
        <v>196</v>
      </c>
      <c r="J649" t="s">
        <v>423</v>
      </c>
      <c r="K649" t="s">
        <v>6083</v>
      </c>
      <c r="L649" t="s">
        <v>653</v>
      </c>
      <c r="M649" t="s">
        <v>5369</v>
      </c>
      <c r="N649" t="s">
        <v>6084</v>
      </c>
      <c r="O649" t="s">
        <v>56</v>
      </c>
      <c r="Q649" t="s">
        <v>158</v>
      </c>
      <c r="R649" t="s">
        <v>6085</v>
      </c>
      <c r="S649" t="s">
        <v>6086</v>
      </c>
      <c r="T649" t="s">
        <v>110</v>
      </c>
      <c r="U649" t="s">
        <v>127</v>
      </c>
      <c r="V649" t="s">
        <v>6087</v>
      </c>
      <c r="W649" t="s">
        <v>6087</v>
      </c>
      <c r="Y649" t="str">
        <f>HYPERLINK("https://recruiter.shine.com/resume/download/?resumeid=gAAAAABbk2UNY2SGEGwaZT6IBHUEs0wIpDpkd93M5yDWAK15QHdc17H0xgaqb4HsN80IoJgICJP46QhoLOLO8ciw0r96FBT7L5ov6CuYvlmkAJL92Ot73PUcG1QR0cR8A2mXvJLJ203oi1S7aU_JeDX-BloUnNYKKQ==")</f>
        <v>https://recruiter.shine.com/resume/download/?resumeid=gAAAAABbk2UNY2SGEGwaZT6IBHUEs0wIpDpkd93M5yDWAK15QHdc17H0xgaqb4HsN80IoJgICJP46QhoLOLO8ciw0r96FBT7L5ov6CuYvlmkAJL92Ot73PUcG1QR0cR8A2mXvJLJ203oi1S7aU_JeDX-BloUnNYKKQ==</v>
      </c>
    </row>
    <row r="650" spans="1:25" ht="39.950000000000003" customHeight="1">
      <c r="A650">
        <v>646</v>
      </c>
      <c r="B650" t="s">
        <v>6088</v>
      </c>
      <c r="C650" t="s">
        <v>6089</v>
      </c>
      <c r="D650" t="s">
        <v>6090</v>
      </c>
      <c r="E650" t="s">
        <v>6091</v>
      </c>
      <c r="F650" t="s">
        <v>29</v>
      </c>
      <c r="G650" t="s">
        <v>29</v>
      </c>
      <c r="H650" t="s">
        <v>234</v>
      </c>
      <c r="I650" t="s">
        <v>4677</v>
      </c>
      <c r="J650" t="s">
        <v>312</v>
      </c>
      <c r="K650" t="s">
        <v>6092</v>
      </c>
      <c r="L650" t="s">
        <v>2766</v>
      </c>
      <c r="M650" t="s">
        <v>36</v>
      </c>
      <c r="N650" t="s">
        <v>6093</v>
      </c>
      <c r="O650" t="s">
        <v>38</v>
      </c>
      <c r="P650" t="s">
        <v>5061</v>
      </c>
      <c r="Q650" t="s">
        <v>90</v>
      </c>
      <c r="R650" t="s">
        <v>465</v>
      </c>
      <c r="S650" t="s">
        <v>5398</v>
      </c>
      <c r="T650" t="s">
        <v>415</v>
      </c>
      <c r="U650" t="s">
        <v>43</v>
      </c>
      <c r="V650" t="s">
        <v>6094</v>
      </c>
      <c r="W650" t="s">
        <v>6095</v>
      </c>
      <c r="Y650" t="str">
        <f>HYPERLINK("https://recruiter.shine.com/resume/download/?resumeid=gAAAAABbk2UK6C9sm9n2Uz4pnrfjZGupjVbIbm9ApKWGKqqlrECQ-kiq66tE5lsOQBMBH7xwJqnBDA6O4ZskN-o63IWgucusR68pCOxb4rL1CF4naB-FfpJes3hGZsPp_zvu4QJP-ZVr")</f>
        <v>https://recruiter.shine.com/resume/download/?resumeid=gAAAAABbk2UK6C9sm9n2Uz4pnrfjZGupjVbIbm9ApKWGKqqlrECQ-kiq66tE5lsOQBMBH7xwJqnBDA6O4ZskN-o63IWgucusR68pCOxb4rL1CF4naB-FfpJes3hGZsPp_zvu4QJP-ZVr</v>
      </c>
    </row>
    <row r="651" spans="1:25" ht="39.950000000000003" customHeight="1">
      <c r="A651">
        <v>647</v>
      </c>
      <c r="B651" t="s">
        <v>6096</v>
      </c>
      <c r="C651" t="s">
        <v>6097</v>
      </c>
      <c r="D651" t="s">
        <v>6098</v>
      </c>
      <c r="E651" t="s">
        <v>6099</v>
      </c>
      <c r="F651" t="s">
        <v>29</v>
      </c>
      <c r="G651" t="s">
        <v>29</v>
      </c>
      <c r="H651" t="s">
        <v>31</v>
      </c>
      <c r="I651" t="s">
        <v>6100</v>
      </c>
      <c r="J651" t="s">
        <v>1186</v>
      </c>
      <c r="K651" t="s">
        <v>6101</v>
      </c>
      <c r="L651" t="s">
        <v>266</v>
      </c>
      <c r="M651" t="s">
        <v>105</v>
      </c>
      <c r="N651" t="s">
        <v>6102</v>
      </c>
      <c r="O651" t="s">
        <v>397</v>
      </c>
      <c r="P651" t="s">
        <v>57</v>
      </c>
      <c r="Q651" t="s">
        <v>158</v>
      </c>
      <c r="R651" t="s">
        <v>159</v>
      </c>
      <c r="S651" t="s">
        <v>6103</v>
      </c>
      <c r="T651" t="s">
        <v>281</v>
      </c>
      <c r="U651" t="s">
        <v>43</v>
      </c>
      <c r="V651" t="s">
        <v>6104</v>
      </c>
      <c r="W651" t="s">
        <v>6105</v>
      </c>
      <c r="Y651" t="str">
        <f>HYPERLINK("https://recruiter.shine.com/resume/download/?resumeid=gAAAAABbk2UMxZOH8Mgreub5DkloB-xJ2d4q9oidOC9MOOz9zg6mHsvLbH9GuR--Q4Xu2SNdBcMuNG02BYkpZos8Semar8iEfarPnYnp0Q7AlvPrsPOB1MkbYLBeWOV7bpBw90nMHBag9B7rQ_Ec0h6FOKo-50JhiBD-OLNLii7L_NHdpa7sGAM=")</f>
        <v>https://recruiter.shine.com/resume/download/?resumeid=gAAAAABbk2UMxZOH8Mgreub5DkloB-xJ2d4q9oidOC9MOOz9zg6mHsvLbH9GuR--Q4Xu2SNdBcMuNG02BYkpZos8Semar8iEfarPnYnp0Q7AlvPrsPOB1MkbYLBeWOV7bpBw90nMHBag9B7rQ_Ec0h6FOKo-50JhiBD-OLNLii7L_NHdpa7sGAM=</v>
      </c>
    </row>
    <row r="652" spans="1:25" ht="39.950000000000003" customHeight="1">
      <c r="A652">
        <v>648</v>
      </c>
      <c r="B652" t="s">
        <v>6106</v>
      </c>
      <c r="C652" t="s">
        <v>6107</v>
      </c>
      <c r="D652" t="s">
        <v>6108</v>
      </c>
      <c r="E652" t="s">
        <v>6109</v>
      </c>
      <c r="F652" t="s">
        <v>29</v>
      </c>
      <c r="G652" t="s">
        <v>6110</v>
      </c>
      <c r="H652" t="s">
        <v>31</v>
      </c>
      <c r="I652" t="s">
        <v>905</v>
      </c>
      <c r="J652" t="s">
        <v>51</v>
      </c>
      <c r="K652" t="s">
        <v>4860</v>
      </c>
      <c r="L652" t="s">
        <v>88</v>
      </c>
      <c r="M652" t="s">
        <v>222</v>
      </c>
      <c r="N652" t="s">
        <v>6111</v>
      </c>
      <c r="O652" t="s">
        <v>186</v>
      </c>
      <c r="P652" t="s">
        <v>57</v>
      </c>
      <c r="Q652" t="s">
        <v>123</v>
      </c>
      <c r="R652" t="s">
        <v>124</v>
      </c>
      <c r="S652" t="s">
        <v>6112</v>
      </c>
      <c r="T652" t="s">
        <v>257</v>
      </c>
      <c r="U652" t="s">
        <v>127</v>
      </c>
      <c r="V652" t="s">
        <v>6113</v>
      </c>
      <c r="W652" t="s">
        <v>6114</v>
      </c>
      <c r="Y652" t="str">
        <f>HYPERLINK("https://recruiter.shine.com/resume/download/?resumeid=gAAAAABbk2UOWybrsT-f9LxboX6EF1SsXnOqE1sy2roqHcOI8GYaSUUjI60x1nE0WVHLA8bMuob2uChcJimmwGGS5rwnaaDBdzXFuIXWTIM6ibWyMD_quWSQlFO0XvDtrEAcvKjLcSTkMEvss_wgaRAqxVjEM9x8SkdG1y09DgBNDkbyf_HDcsU=")</f>
        <v>https://recruiter.shine.com/resume/download/?resumeid=gAAAAABbk2UOWybrsT-f9LxboX6EF1SsXnOqE1sy2roqHcOI8GYaSUUjI60x1nE0WVHLA8bMuob2uChcJimmwGGS5rwnaaDBdzXFuIXWTIM6ibWyMD_quWSQlFO0XvDtrEAcvKjLcSTkMEvss_wgaRAqxVjEM9x8SkdG1y09DgBNDkbyf_HDcsU=</v>
      </c>
    </row>
    <row r="653" spans="1:25" ht="39.950000000000003" customHeight="1">
      <c r="A653">
        <v>649</v>
      </c>
      <c r="B653" t="s">
        <v>6115</v>
      </c>
      <c r="C653" t="s">
        <v>1280</v>
      </c>
      <c r="D653" t="s">
        <v>6116</v>
      </c>
      <c r="E653" t="s">
        <v>6117</v>
      </c>
      <c r="F653" t="s">
        <v>29</v>
      </c>
      <c r="G653" t="s">
        <v>29</v>
      </c>
      <c r="H653" t="s">
        <v>31</v>
      </c>
      <c r="I653" t="s">
        <v>208</v>
      </c>
      <c r="J653" t="s">
        <v>51</v>
      </c>
      <c r="K653" t="s">
        <v>183</v>
      </c>
      <c r="L653" t="s">
        <v>184</v>
      </c>
      <c r="M653" t="s">
        <v>2718</v>
      </c>
      <c r="N653" t="s">
        <v>6118</v>
      </c>
      <c r="O653" t="s">
        <v>56</v>
      </c>
      <c r="P653" t="s">
        <v>140</v>
      </c>
      <c r="Q653" t="s">
        <v>123</v>
      </c>
      <c r="R653" t="s">
        <v>124</v>
      </c>
      <c r="S653" t="s">
        <v>188</v>
      </c>
      <c r="T653" t="s">
        <v>687</v>
      </c>
      <c r="U653" t="s">
        <v>43</v>
      </c>
      <c r="V653" t="s">
        <v>6119</v>
      </c>
      <c r="W653" t="s">
        <v>6120</v>
      </c>
      <c r="Y653" t="str">
        <f>HYPERLINK("https://recruiter.shine.com/resume/download/?resumeid=gAAAAABbk2UL1gA1em7eVqj8H3gvYfeb3IXiQ8t1rKl1JaXx1SYHsdW5nnuBorgyuu0RcGiSJIhFP4V1bq74-4OxDWY-bFwMp1GA9BQiEDCz7n3cB2Q6_M-Rw5tJljNU-Y6uLqCdEW5W")</f>
        <v>https://recruiter.shine.com/resume/download/?resumeid=gAAAAABbk2UL1gA1em7eVqj8H3gvYfeb3IXiQ8t1rKl1JaXx1SYHsdW5nnuBorgyuu0RcGiSJIhFP4V1bq74-4OxDWY-bFwMp1GA9BQiEDCz7n3cB2Q6_M-Rw5tJljNU-Y6uLqCdEW5W</v>
      </c>
    </row>
    <row r="654" spans="1:25" ht="39.950000000000003" customHeight="1">
      <c r="A654">
        <v>650</v>
      </c>
      <c r="B654" t="s">
        <v>6121</v>
      </c>
      <c r="D654" t="s">
        <v>6122</v>
      </c>
      <c r="E654" t="s">
        <v>6123</v>
      </c>
      <c r="F654" t="s">
        <v>29</v>
      </c>
      <c r="G654" t="s">
        <v>29</v>
      </c>
      <c r="H654" t="s">
        <v>31</v>
      </c>
      <c r="I654" t="s">
        <v>32</v>
      </c>
      <c r="J654" t="s">
        <v>801</v>
      </c>
      <c r="K654" t="s">
        <v>6124</v>
      </c>
      <c r="L654" t="s">
        <v>3525</v>
      </c>
      <c r="M654" t="s">
        <v>1356</v>
      </c>
      <c r="N654" t="s">
        <v>6125</v>
      </c>
      <c r="O654" t="s">
        <v>56</v>
      </c>
      <c r="Q654" t="s">
        <v>365</v>
      </c>
      <c r="R654" t="s">
        <v>2230</v>
      </c>
      <c r="S654" t="s">
        <v>6126</v>
      </c>
      <c r="T654" t="s">
        <v>6127</v>
      </c>
      <c r="U654" t="s">
        <v>43</v>
      </c>
      <c r="V654" t="s">
        <v>6128</v>
      </c>
      <c r="W654" t="s">
        <v>6129</v>
      </c>
      <c r="Y654" t="str">
        <f>HYPERLINK("https://recruiter.shine.com/resume/download/?resumeid=gAAAAABbk2UN9QqlSS6u94tf97mlW-NcnbHXiAbVzXK_Hvatz6CCtBuVis3XMI2cvWhy5FPUw6o7z1z4gIa0sOBfy05N3J91hCV5rF-pV1hsNl-WsFTBaZJkP6ZTLkEVPl8WtVLhUmzd8d2_Yz9rFUdSJWwpiKS4uW_aQOTQ5T-lNrwgZeSMb1c=")</f>
        <v>https://recruiter.shine.com/resume/download/?resumeid=gAAAAABbk2UN9QqlSS6u94tf97mlW-NcnbHXiAbVzXK_Hvatz6CCtBuVis3XMI2cvWhy5FPUw6o7z1z4gIa0sOBfy05N3J91hCV5rF-pV1hsNl-WsFTBaZJkP6ZTLkEVPl8WtVLhUmzd8d2_Yz9rFUdSJWwpiKS4uW_aQOTQ5T-lNrwgZeSMb1c=</v>
      </c>
    </row>
    <row r="655" spans="1:25" ht="39.950000000000003" customHeight="1">
      <c r="A655">
        <v>651</v>
      </c>
      <c r="B655" t="s">
        <v>6130</v>
      </c>
      <c r="D655" t="s">
        <v>6131</v>
      </c>
      <c r="E655" t="s">
        <v>6132</v>
      </c>
      <c r="F655" t="s">
        <v>29</v>
      </c>
      <c r="G655" t="s">
        <v>67</v>
      </c>
      <c r="H655" t="s">
        <v>31</v>
      </c>
      <c r="I655" t="s">
        <v>836</v>
      </c>
      <c r="J655" t="s">
        <v>6133</v>
      </c>
      <c r="K655" t="s">
        <v>6134</v>
      </c>
      <c r="L655" t="s">
        <v>266</v>
      </c>
      <c r="M655" t="s">
        <v>105</v>
      </c>
      <c r="N655" t="s">
        <v>6135</v>
      </c>
      <c r="O655" t="s">
        <v>572</v>
      </c>
      <c r="Q655" t="s">
        <v>158</v>
      </c>
      <c r="R655" t="s">
        <v>159</v>
      </c>
      <c r="S655" t="s">
        <v>6136</v>
      </c>
      <c r="T655" t="s">
        <v>687</v>
      </c>
      <c r="U655" t="s">
        <v>43</v>
      </c>
      <c r="V655" t="s">
        <v>6137</v>
      </c>
      <c r="W655" t="s">
        <v>6138</v>
      </c>
      <c r="Y655" t="str">
        <f>HYPERLINK("https://recruiter.shine.com/resume/download/?resumeid=gAAAAABbk2UNzIUcES0u8I0BVIFDRRYUFlfFw-YzDCPun1UZwWmXZ40035P483HeFcF6YC65myRsbiNE4bwh37aGUW7aai2MFAMDIy9sd33JnbdQBDGz9DGNgYnfey8mYp6aB9BIiNvI5_TYQBnNSk6Q5xR7Cp655-BRVGBlnAy75X-lKi2kW_I=")</f>
        <v>https://recruiter.shine.com/resume/download/?resumeid=gAAAAABbk2UNzIUcES0u8I0BVIFDRRYUFlfFw-YzDCPun1UZwWmXZ40035P483HeFcF6YC65myRsbiNE4bwh37aGUW7aai2MFAMDIy9sd33JnbdQBDGz9DGNgYnfey8mYp6aB9BIiNvI5_TYQBnNSk6Q5xR7Cp655-BRVGBlnAy75X-lKi2kW_I=</v>
      </c>
    </row>
    <row r="656" spans="1:25" ht="39.950000000000003" customHeight="1">
      <c r="A656">
        <v>652</v>
      </c>
      <c r="B656" t="s">
        <v>6139</v>
      </c>
      <c r="C656" t="s">
        <v>6140</v>
      </c>
      <c r="D656" t="s">
        <v>6141</v>
      </c>
      <c r="E656" t="s">
        <v>6142</v>
      </c>
      <c r="F656" t="s">
        <v>29</v>
      </c>
      <c r="G656" t="s">
        <v>6143</v>
      </c>
      <c r="H656" t="s">
        <v>31</v>
      </c>
      <c r="I656" t="s">
        <v>32</v>
      </c>
      <c r="J656" t="s">
        <v>169</v>
      </c>
      <c r="K656" t="s">
        <v>6144</v>
      </c>
      <c r="L656" t="s">
        <v>314</v>
      </c>
      <c r="M656" t="s">
        <v>1356</v>
      </c>
      <c r="N656" t="s">
        <v>6145</v>
      </c>
      <c r="O656" t="s">
        <v>804</v>
      </c>
      <c r="P656" t="s">
        <v>57</v>
      </c>
      <c r="Q656" t="s">
        <v>41</v>
      </c>
      <c r="R656" t="s">
        <v>6146</v>
      </c>
      <c r="S656" t="s">
        <v>2229</v>
      </c>
      <c r="T656" t="s">
        <v>851</v>
      </c>
      <c r="U656" t="s">
        <v>43</v>
      </c>
      <c r="V656" t="s">
        <v>6147</v>
      </c>
      <c r="W656" t="s">
        <v>6148</v>
      </c>
      <c r="Y656" t="str">
        <f>HYPERLINK("https://recruiter.shine.com/resume/download/?resumeid=gAAAAABbk2ULDjr41UXV7o9Re87iY2QeKhnlKRavxqQHaXsUi7rH_WcHxCSgqXLrqP1LpVqVSCm6h2CGkd-dRxRHOfmbDW03Jw_TSkC9VK-eaWnirhzKkOyOav6TCcWHHLlwGfIjHate")</f>
        <v>https://recruiter.shine.com/resume/download/?resumeid=gAAAAABbk2ULDjr41UXV7o9Re87iY2QeKhnlKRavxqQHaXsUi7rH_WcHxCSgqXLrqP1LpVqVSCm6h2CGkd-dRxRHOfmbDW03Jw_TSkC9VK-eaWnirhzKkOyOav6TCcWHHLlwGfIjHate</v>
      </c>
    </row>
    <row r="657" spans="1:25" ht="39.950000000000003" customHeight="1">
      <c r="A657">
        <v>653</v>
      </c>
      <c r="B657" t="s">
        <v>6149</v>
      </c>
      <c r="C657" t="s">
        <v>6150</v>
      </c>
      <c r="D657" t="s">
        <v>6151</v>
      </c>
      <c r="E657" t="s">
        <v>6152</v>
      </c>
      <c r="F657" t="s">
        <v>29</v>
      </c>
      <c r="G657" t="s">
        <v>6153</v>
      </c>
      <c r="H657" t="s">
        <v>31</v>
      </c>
      <c r="I657" t="s">
        <v>4499</v>
      </c>
      <c r="J657" t="s">
        <v>235</v>
      </c>
      <c r="K657" t="s">
        <v>6154</v>
      </c>
      <c r="L657" t="s">
        <v>199</v>
      </c>
      <c r="M657" t="s">
        <v>121</v>
      </c>
      <c r="N657" t="s">
        <v>6155</v>
      </c>
      <c r="O657" t="s">
        <v>224</v>
      </c>
      <c r="P657" t="s">
        <v>57</v>
      </c>
      <c r="Q657" t="s">
        <v>412</v>
      </c>
      <c r="R657" t="s">
        <v>413</v>
      </c>
      <c r="S657" t="s">
        <v>6156</v>
      </c>
      <c r="T657" t="s">
        <v>415</v>
      </c>
      <c r="U657" t="s">
        <v>43</v>
      </c>
      <c r="V657" t="s">
        <v>6157</v>
      </c>
      <c r="W657" t="s">
        <v>6158</v>
      </c>
      <c r="Y657" t="str">
        <f>HYPERLINK("https://recruiter.shine.com/resume/download/?resumeid=gAAAAABbk2UNUvKDkw8plD-Cc7f1i_RbVUpFhUyj1SuE_KBoiEulk9yomTqtp1pv3hjKyxuwAw_EZHQ9Ulgx5VG66KyuXQjeoilirIx-B0r4P-4F1YY1YCRe4_9s0PiKdKl5eCiSPSM7z7Tn7WIMFq7d6hEjbFEm3BBnw3aKNFZd_Ro4l6y8ELY=")</f>
        <v>https://recruiter.shine.com/resume/download/?resumeid=gAAAAABbk2UNUvKDkw8plD-Cc7f1i_RbVUpFhUyj1SuE_KBoiEulk9yomTqtp1pv3hjKyxuwAw_EZHQ9Ulgx5VG66KyuXQjeoilirIx-B0r4P-4F1YY1YCRe4_9s0PiKdKl5eCiSPSM7z7Tn7WIMFq7d6hEjbFEm3BBnw3aKNFZd_Ro4l6y8ELY=</v>
      </c>
    </row>
    <row r="658" spans="1:25" ht="39.950000000000003" customHeight="1">
      <c r="A658">
        <v>654</v>
      </c>
      <c r="B658" t="s">
        <v>6159</v>
      </c>
      <c r="D658" t="s">
        <v>6160</v>
      </c>
      <c r="E658" t="s">
        <v>6161</v>
      </c>
      <c r="F658" t="s">
        <v>29</v>
      </c>
      <c r="G658" t="s">
        <v>67</v>
      </c>
      <c r="H658" t="s">
        <v>31</v>
      </c>
      <c r="I658" t="s">
        <v>2688</v>
      </c>
      <c r="J658" t="s">
        <v>1641</v>
      </c>
      <c r="K658" t="s">
        <v>6162</v>
      </c>
      <c r="L658" t="s">
        <v>6163</v>
      </c>
      <c r="M658" t="s">
        <v>54</v>
      </c>
      <c r="N658" t="s">
        <v>6164</v>
      </c>
      <c r="O658" t="s">
        <v>224</v>
      </c>
      <c r="Q658" t="s">
        <v>123</v>
      </c>
      <c r="R658" t="s">
        <v>124</v>
      </c>
      <c r="S658" t="s">
        <v>6165</v>
      </c>
      <c r="T658" t="s">
        <v>429</v>
      </c>
      <c r="U658" t="s">
        <v>43</v>
      </c>
      <c r="V658" t="s">
        <v>6166</v>
      </c>
      <c r="W658" t="s">
        <v>6167</v>
      </c>
      <c r="Y658" t="str">
        <f>HYPERLINK("https://recruiter.shine.com/resume/download/?resumeid=gAAAAABbk2UO1eqQ8Ch3UkZcSlWkVOW8og9tjBxgdeED9EsEtvUSgs3XJdM_ddMoeLXYVjCiQ_ImKPdXYWfJdYh0M6qxxP7OAGWx2vY9gd9QHrJbNVmETC7IE_zeCEnJLTOIwAUbrjl_h3_GcxwyriYCgk4-HceC6A4EWGWSx7hwCimLDyhy7qA=")</f>
        <v>https://recruiter.shine.com/resume/download/?resumeid=gAAAAABbk2UO1eqQ8Ch3UkZcSlWkVOW8og9tjBxgdeED9EsEtvUSgs3XJdM_ddMoeLXYVjCiQ_ImKPdXYWfJdYh0M6qxxP7OAGWx2vY9gd9QHrJbNVmETC7IE_zeCEnJLTOIwAUbrjl_h3_GcxwyriYCgk4-HceC6A4EWGWSx7hwCimLDyhy7qA=</v>
      </c>
    </row>
    <row r="659" spans="1:25" ht="39.950000000000003" customHeight="1">
      <c r="A659">
        <v>655</v>
      </c>
      <c r="B659" t="s">
        <v>6168</v>
      </c>
      <c r="D659" t="s">
        <v>6169</v>
      </c>
      <c r="E659" t="s">
        <v>6170</v>
      </c>
      <c r="F659" t="s">
        <v>249</v>
      </c>
      <c r="G659" t="s">
        <v>249</v>
      </c>
      <c r="H659" t="s">
        <v>31</v>
      </c>
      <c r="I659" t="s">
        <v>836</v>
      </c>
      <c r="J659" t="s">
        <v>153</v>
      </c>
      <c r="K659" t="s">
        <v>6171</v>
      </c>
      <c r="L659" t="s">
        <v>184</v>
      </c>
      <c r="M659" t="s">
        <v>36</v>
      </c>
      <c r="N659" t="s">
        <v>6172</v>
      </c>
      <c r="O659" t="s">
        <v>186</v>
      </c>
      <c r="Q659" t="s">
        <v>412</v>
      </c>
      <c r="R659" t="s">
        <v>760</v>
      </c>
      <c r="S659" t="s">
        <v>188</v>
      </c>
      <c r="T659" t="s">
        <v>77</v>
      </c>
      <c r="U659" t="s">
        <v>43</v>
      </c>
      <c r="V659" t="s">
        <v>6173</v>
      </c>
      <c r="W659" t="s">
        <v>6174</v>
      </c>
      <c r="Y659" t="str">
        <f>HYPERLINK("https://recruiter.shine.com/resume/download/?resumeid=gAAAAABbk2ULQsIpHftQg5fH93YS21V3eO-erF439UoegSP-xrszng4TD3Niw2vnNcO-vjSRcQjXZW43L_W17kd4tZEZmkah3ce8mgtFXszMQaPcCPVWiEiHS1MXH3LlJwmP0bRwarCU")</f>
        <v>https://recruiter.shine.com/resume/download/?resumeid=gAAAAABbk2ULQsIpHftQg5fH93YS21V3eO-erF439UoegSP-xrszng4TD3Niw2vnNcO-vjSRcQjXZW43L_W17kd4tZEZmkah3ce8mgtFXszMQaPcCPVWiEiHS1MXH3LlJwmP0bRwarCU</v>
      </c>
    </row>
    <row r="660" spans="1:25" ht="39.950000000000003" customHeight="1">
      <c r="A660">
        <v>656</v>
      </c>
      <c r="B660" t="s">
        <v>6175</v>
      </c>
      <c r="C660" t="s">
        <v>6176</v>
      </c>
      <c r="D660" t="s">
        <v>6177</v>
      </c>
      <c r="E660" t="s">
        <v>6178</v>
      </c>
      <c r="F660" t="s">
        <v>29</v>
      </c>
      <c r="G660" t="s">
        <v>29</v>
      </c>
      <c r="H660" t="s">
        <v>31</v>
      </c>
      <c r="I660" t="s">
        <v>1165</v>
      </c>
      <c r="J660" t="s">
        <v>781</v>
      </c>
      <c r="K660" t="s">
        <v>6179</v>
      </c>
      <c r="L660" t="s">
        <v>746</v>
      </c>
      <c r="M660" t="s">
        <v>1356</v>
      </c>
      <c r="N660" t="s">
        <v>6180</v>
      </c>
      <c r="O660" t="s">
        <v>186</v>
      </c>
      <c r="P660" t="s">
        <v>771</v>
      </c>
      <c r="Q660" t="s">
        <v>158</v>
      </c>
      <c r="R660" t="s">
        <v>142</v>
      </c>
      <c r="S660" t="s">
        <v>6181</v>
      </c>
      <c r="T660" t="s">
        <v>93</v>
      </c>
      <c r="U660" t="s">
        <v>43</v>
      </c>
      <c r="V660" t="s">
        <v>6182</v>
      </c>
      <c r="W660" t="s">
        <v>6183</v>
      </c>
      <c r="Y660" t="str">
        <f>HYPERLINK("https://recruiter.shine.com/resume/download/?resumeid=gAAAAABbk2UNIiXInh0ckcNxlg5ztJNStwiempBJSiObanj_pA5uKaJx1NXGuMpchqlw09EZ834errSMYqCw-gKKU_C4VvsGED7pW9eNzSblGzImA_9QSoMDfC-Gbs1Cdf3Mpc0zC5z1toYAHIlWdvV_1j3VQKxb03GkxWoEA0RhpHyEXrv6rgQ=")</f>
        <v>https://recruiter.shine.com/resume/download/?resumeid=gAAAAABbk2UNIiXInh0ckcNxlg5ztJNStwiempBJSiObanj_pA5uKaJx1NXGuMpchqlw09EZ834errSMYqCw-gKKU_C4VvsGED7pW9eNzSblGzImA_9QSoMDfC-Gbs1Cdf3Mpc0zC5z1toYAHIlWdvV_1j3VQKxb03GkxWoEA0RhpHyEXrv6rgQ=</v>
      </c>
    </row>
    <row r="661" spans="1:25" ht="39.950000000000003" customHeight="1">
      <c r="A661">
        <v>657</v>
      </c>
      <c r="B661" t="s">
        <v>6184</v>
      </c>
      <c r="C661" t="s">
        <v>2899</v>
      </c>
      <c r="D661" t="s">
        <v>6185</v>
      </c>
      <c r="E661" t="s">
        <v>6186</v>
      </c>
      <c r="F661" t="s">
        <v>29</v>
      </c>
      <c r="G661" t="s">
        <v>6187</v>
      </c>
      <c r="H661" t="s">
        <v>31</v>
      </c>
      <c r="I661" t="s">
        <v>2074</v>
      </c>
      <c r="J661" t="s">
        <v>745</v>
      </c>
      <c r="K661" t="s">
        <v>6188</v>
      </c>
      <c r="L661" t="s">
        <v>6189</v>
      </c>
      <c r="M661" t="s">
        <v>121</v>
      </c>
      <c r="N661" t="s">
        <v>6190</v>
      </c>
      <c r="O661" t="s">
        <v>475</v>
      </c>
      <c r="P661" t="s">
        <v>140</v>
      </c>
      <c r="Q661" t="s">
        <v>41</v>
      </c>
      <c r="R661" t="s">
        <v>6191</v>
      </c>
      <c r="S661" t="s">
        <v>6192</v>
      </c>
      <c r="T661" t="s">
        <v>175</v>
      </c>
      <c r="U661" t="s">
        <v>43</v>
      </c>
      <c r="V661" t="s">
        <v>6193</v>
      </c>
      <c r="W661" t="s">
        <v>6194</v>
      </c>
      <c r="Y661" t="str">
        <f>HYPERLINK("https://recruiter.shine.com/resume/download/?resumeid=gAAAAABbk2UNbyE_A2VRHdI7fhKywaJFufvir08oGl0KRnOAjSqqhe5Y7qXe4a8eLyRDNOz-FjTzxcWDeJa6C71JHMb9ka6M6rp3pI8Lrk7QtUqwX43-Uwl7mgC-T5ath6gGxSEjWmLSh3bBWLxGEIdMf7HWqUBZaOsWs-ouG8vsJ1NJuToks8M=")</f>
        <v>https://recruiter.shine.com/resume/download/?resumeid=gAAAAABbk2UNbyE_A2VRHdI7fhKywaJFufvir08oGl0KRnOAjSqqhe5Y7qXe4a8eLyRDNOz-FjTzxcWDeJa6C71JHMb9ka6M6rp3pI8Lrk7QtUqwX43-Uwl7mgC-T5ath6gGxSEjWmLSh3bBWLxGEIdMf7HWqUBZaOsWs-ouG8vsJ1NJuToks8M=</v>
      </c>
    </row>
    <row r="662" spans="1:25" ht="39.950000000000003" customHeight="1">
      <c r="A662">
        <v>658</v>
      </c>
      <c r="B662" t="s">
        <v>6195</v>
      </c>
      <c r="C662" t="s">
        <v>6196</v>
      </c>
      <c r="D662" t="s">
        <v>6197</v>
      </c>
      <c r="E662" t="s">
        <v>6198</v>
      </c>
      <c r="F662" t="s">
        <v>29</v>
      </c>
      <c r="G662" t="s">
        <v>406</v>
      </c>
      <c r="H662" t="s">
        <v>31</v>
      </c>
      <c r="I662" t="s">
        <v>32</v>
      </c>
      <c r="J662" t="s">
        <v>6199</v>
      </c>
      <c r="K662" t="s">
        <v>6200</v>
      </c>
      <c r="L662" t="s">
        <v>155</v>
      </c>
      <c r="M662" t="s">
        <v>105</v>
      </c>
      <c r="N662" t="s">
        <v>6201</v>
      </c>
      <c r="O662" t="s">
        <v>38</v>
      </c>
      <c r="P662" t="s">
        <v>57</v>
      </c>
      <c r="Q662" t="s">
        <v>74</v>
      </c>
      <c r="R662" t="s">
        <v>159</v>
      </c>
      <c r="S662" t="s">
        <v>6202</v>
      </c>
      <c r="T662" t="s">
        <v>144</v>
      </c>
      <c r="U662" t="s">
        <v>127</v>
      </c>
      <c r="V662" t="s">
        <v>6203</v>
      </c>
      <c r="W662" t="s">
        <v>6204</v>
      </c>
      <c r="Y662" t="str">
        <f>HYPERLINK("https://recruiter.shine.com/resume/download/?resumeid=gAAAAABbk2UKoMP2W-grfkNvCVEnyTCf0OlZWhh-u-He6BwLXPFhSWdiqIKYaK9R7OMldBjaduptSAIK7DB_B7aE0Wc9R83wxYuHpM_FaQ_fi6KrFJNdLoIqAsFQR-AwmBdWgGsinSDq")</f>
        <v>https://recruiter.shine.com/resume/download/?resumeid=gAAAAABbk2UKoMP2W-grfkNvCVEnyTCf0OlZWhh-u-He6BwLXPFhSWdiqIKYaK9R7OMldBjaduptSAIK7DB_B7aE0Wc9R83wxYuHpM_FaQ_fi6KrFJNdLoIqAsFQR-AwmBdWgGsinSDq</v>
      </c>
    </row>
    <row r="663" spans="1:25" ht="39.950000000000003" customHeight="1">
      <c r="A663">
        <v>659</v>
      </c>
      <c r="B663" t="s">
        <v>6205</v>
      </c>
      <c r="C663" t="s">
        <v>6206</v>
      </c>
      <c r="D663" t="s">
        <v>6207</v>
      </c>
      <c r="E663" t="s">
        <v>6208</v>
      </c>
      <c r="F663" t="s">
        <v>858</v>
      </c>
      <c r="G663" t="s">
        <v>894</v>
      </c>
      <c r="H663" t="s">
        <v>31</v>
      </c>
      <c r="I663" t="s">
        <v>998</v>
      </c>
      <c r="J663" t="s">
        <v>506</v>
      </c>
      <c r="K663" t="s">
        <v>6209</v>
      </c>
      <c r="L663" t="s">
        <v>199</v>
      </c>
      <c r="M663" t="s">
        <v>222</v>
      </c>
      <c r="N663" t="s">
        <v>6210</v>
      </c>
      <c r="O663" t="s">
        <v>56</v>
      </c>
      <c r="P663" t="s">
        <v>39</v>
      </c>
      <c r="Q663" t="s">
        <v>107</v>
      </c>
      <c r="R663" t="s">
        <v>5397</v>
      </c>
      <c r="S663" t="s">
        <v>6211</v>
      </c>
      <c r="T663" t="s">
        <v>429</v>
      </c>
      <c r="U663" t="s">
        <v>43</v>
      </c>
      <c r="V663" t="s">
        <v>6212</v>
      </c>
      <c r="W663" t="s">
        <v>6213</v>
      </c>
      <c r="Y663" t="str">
        <f>HYPERLINK("https://recruiter.shine.com/resume/download/?resumeid=gAAAAABbk2UM0Kue0s-7Wx08ZDONkGnaqL_ZzmtwlLY2gBLM0UZfvKpz5c2C7lblp5BfQOtO720xoZUExQRogzSlxTNyds4tZTXEoTTE3HSfOklsKiPh2VtYwg8SE_24r23Np8h1t1LxQJzrEGjTow27PFQrEtXIeQ==")</f>
        <v>https://recruiter.shine.com/resume/download/?resumeid=gAAAAABbk2UM0Kue0s-7Wx08ZDONkGnaqL_ZzmtwlLY2gBLM0UZfvKpz5c2C7lblp5BfQOtO720xoZUExQRogzSlxTNyds4tZTXEoTTE3HSfOklsKiPh2VtYwg8SE_24r23Np8h1t1LxQJzrEGjTow27PFQrEtXIeQ==</v>
      </c>
    </row>
    <row r="664" spans="1:25" ht="39.950000000000003" customHeight="1">
      <c r="A664">
        <v>660</v>
      </c>
      <c r="B664" t="s">
        <v>6214</v>
      </c>
      <c r="D664" t="s">
        <v>6215</v>
      </c>
      <c r="E664" t="s">
        <v>6216</v>
      </c>
      <c r="F664" t="s">
        <v>29</v>
      </c>
      <c r="G664" t="s">
        <v>67</v>
      </c>
      <c r="H664" t="s">
        <v>234</v>
      </c>
      <c r="I664" t="s">
        <v>2354</v>
      </c>
      <c r="J664" t="s">
        <v>153</v>
      </c>
      <c r="K664" t="s">
        <v>6217</v>
      </c>
      <c r="L664" t="s">
        <v>1375</v>
      </c>
      <c r="M664" t="s">
        <v>315</v>
      </c>
      <c r="N664" t="s">
        <v>6218</v>
      </c>
      <c r="O664" t="s">
        <v>224</v>
      </c>
      <c r="P664" t="s">
        <v>57</v>
      </c>
      <c r="Q664" t="s">
        <v>1880</v>
      </c>
      <c r="R664" t="s">
        <v>573</v>
      </c>
      <c r="S664" t="s">
        <v>6219</v>
      </c>
      <c r="T664" t="s">
        <v>1842</v>
      </c>
      <c r="U664" t="s">
        <v>43</v>
      </c>
      <c r="V664" t="s">
        <v>6220</v>
      </c>
      <c r="W664" t="s">
        <v>6221</v>
      </c>
      <c r="Y664" t="str">
        <f>HYPERLINK("https://recruiter.shine.com/resume/download/?resumeid=gAAAAABbk2UOjtsBoKKI8Vf6Gwx3gJ8nL3bafB6_UUK0FfrvatN8gKk5B6auHc4fQgAlHeyDjsu87pwhyaAgqgrrwlrG3f3O_fjvttgbRuq-MxkPpnRHfUlFFezS4JsAgGLyhcdXJshSDtkcUww1WM8RabK-d_1yI5nDtmGA3UzK8osyl1ORPf4=")</f>
        <v>https://recruiter.shine.com/resume/download/?resumeid=gAAAAABbk2UOjtsBoKKI8Vf6Gwx3gJ8nL3bafB6_UUK0FfrvatN8gKk5B6auHc4fQgAlHeyDjsu87pwhyaAgqgrrwlrG3f3O_fjvttgbRuq-MxkPpnRHfUlFFezS4JsAgGLyhcdXJshSDtkcUww1WM8RabK-d_1yI5nDtmGA3UzK8osyl1ORPf4=</v>
      </c>
    </row>
    <row r="665" spans="1:25" ht="39.950000000000003" customHeight="1">
      <c r="A665">
        <v>661</v>
      </c>
      <c r="B665" t="s">
        <v>6222</v>
      </c>
      <c r="C665" t="s">
        <v>6223</v>
      </c>
      <c r="D665" t="s">
        <v>6224</v>
      </c>
      <c r="E665" t="s">
        <v>6225</v>
      </c>
      <c r="F665" t="s">
        <v>29</v>
      </c>
      <c r="G665" t="s">
        <v>6226</v>
      </c>
      <c r="H665" t="s">
        <v>31</v>
      </c>
      <c r="I665" t="s">
        <v>1242</v>
      </c>
      <c r="J665" t="s">
        <v>408</v>
      </c>
      <c r="K665" t="s">
        <v>6227</v>
      </c>
      <c r="L665" t="s">
        <v>746</v>
      </c>
      <c r="M665" t="s">
        <v>1356</v>
      </c>
      <c r="N665" t="s">
        <v>6228</v>
      </c>
      <c r="O665" t="s">
        <v>585</v>
      </c>
      <c r="P665" t="s">
        <v>57</v>
      </c>
      <c r="Q665" t="s">
        <v>123</v>
      </c>
      <c r="R665" t="s">
        <v>124</v>
      </c>
      <c r="S665" t="s">
        <v>188</v>
      </c>
      <c r="T665" t="s">
        <v>61</v>
      </c>
      <c r="U665" t="s">
        <v>43</v>
      </c>
      <c r="V665" t="s">
        <v>6229</v>
      </c>
      <c r="W665" t="s">
        <v>6230</v>
      </c>
      <c r="Y665" t="str">
        <f>HYPERLINK("https://recruiter.shine.com/resume/download/?resumeid=gAAAAABbk2ULA2_eE7vcRGZArmbOoOVCchTHfuVO291DiKWwjvqNLdParT7L54TJ1xV93qPop1wnnDdxDTpy5zDhthyLnToWxi2nQHaaeADZ--xXTnRDj01qJKmobAL7uKaDm1F2SE-O")</f>
        <v>https://recruiter.shine.com/resume/download/?resumeid=gAAAAABbk2ULA2_eE7vcRGZArmbOoOVCchTHfuVO291DiKWwjvqNLdParT7L54TJ1xV93qPop1wnnDdxDTpy5zDhthyLnToWxi2nQHaaeADZ--xXTnRDj01qJKmobAL7uKaDm1F2SE-O</v>
      </c>
    </row>
    <row r="666" spans="1:25" ht="39.950000000000003" customHeight="1">
      <c r="A666">
        <v>662</v>
      </c>
      <c r="B666" t="s">
        <v>6231</v>
      </c>
      <c r="C666" t="s">
        <v>6232</v>
      </c>
      <c r="D666" t="s">
        <v>6233</v>
      </c>
      <c r="E666" t="s">
        <v>6234</v>
      </c>
      <c r="F666" t="s">
        <v>29</v>
      </c>
      <c r="G666" t="s">
        <v>29</v>
      </c>
      <c r="H666" t="s">
        <v>31</v>
      </c>
      <c r="I666" t="s">
        <v>714</v>
      </c>
      <c r="J666" t="s">
        <v>51</v>
      </c>
      <c r="K666" t="s">
        <v>6235</v>
      </c>
      <c r="L666" t="s">
        <v>462</v>
      </c>
      <c r="M666" t="s">
        <v>473</v>
      </c>
      <c r="N666" t="s">
        <v>6236</v>
      </c>
      <c r="O666" t="s">
        <v>56</v>
      </c>
      <c r="P666" t="s">
        <v>940</v>
      </c>
      <c r="Q666" t="s">
        <v>90</v>
      </c>
      <c r="R666" t="s">
        <v>465</v>
      </c>
      <c r="S666" t="s">
        <v>6237</v>
      </c>
      <c r="T666" t="s">
        <v>304</v>
      </c>
      <c r="U666" t="s">
        <v>43</v>
      </c>
      <c r="V666" t="s">
        <v>6238</v>
      </c>
      <c r="W666" t="s">
        <v>6239</v>
      </c>
      <c r="Y666" t="str">
        <f>HYPERLINK("https://recruiter.shine.com/resume/download/?resumeid=gAAAAABbk2UMULEVg4XQdFCZcNpHns302nBaQiwpu1C0ez4Hz8SaXjXiSsOBTu4befW0qO2KZJPGzCNGzeAjqCPrgnIeusHaIlrDutO5e7sr7vMBJsL7kyQvs5I0yg8fpoHCAN0KOzdDMLtGtC43wm3Eru6pfZToig==")</f>
        <v>https://recruiter.shine.com/resume/download/?resumeid=gAAAAABbk2UMULEVg4XQdFCZcNpHns302nBaQiwpu1C0ez4Hz8SaXjXiSsOBTu4befW0qO2KZJPGzCNGzeAjqCPrgnIeusHaIlrDutO5e7sr7vMBJsL7kyQvs5I0yg8fpoHCAN0KOzdDMLtGtC43wm3Eru6pfZToig==</v>
      </c>
    </row>
    <row r="667" spans="1:25" ht="39.950000000000003" customHeight="1">
      <c r="A667">
        <v>663</v>
      </c>
      <c r="B667" t="s">
        <v>6240</v>
      </c>
      <c r="C667" t="s">
        <v>6241</v>
      </c>
      <c r="D667" t="s">
        <v>6242</v>
      </c>
      <c r="E667" t="s">
        <v>6243</v>
      </c>
      <c r="F667" t="s">
        <v>29</v>
      </c>
      <c r="G667" t="s">
        <v>67</v>
      </c>
      <c r="H667" t="s">
        <v>234</v>
      </c>
      <c r="I667" t="s">
        <v>32</v>
      </c>
      <c r="J667" t="s">
        <v>792</v>
      </c>
      <c r="K667" t="s">
        <v>1255</v>
      </c>
      <c r="L667" t="s">
        <v>1255</v>
      </c>
      <c r="M667" t="s">
        <v>36</v>
      </c>
      <c r="N667" t="s">
        <v>6244</v>
      </c>
      <c r="O667" t="s">
        <v>1377</v>
      </c>
      <c r="P667" t="s">
        <v>57</v>
      </c>
      <c r="Q667" t="s">
        <v>4157</v>
      </c>
      <c r="R667" t="s">
        <v>1255</v>
      </c>
      <c r="S667" t="s">
        <v>6245</v>
      </c>
      <c r="T667" t="s">
        <v>126</v>
      </c>
      <c r="U667" t="s">
        <v>43</v>
      </c>
      <c r="V667" t="s">
        <v>6246</v>
      </c>
      <c r="W667" t="s">
        <v>6247</v>
      </c>
      <c r="Y667" t="str">
        <f>HYPERLINK("https://recruiter.shine.com/resume/download/?resumeid=gAAAAABbk2UOEPFfxMBoLuP06X3jd4e4NxREstL3nBZ7S1UL7xsXCYTbwjxEh0qfmLkrxsMxIAll0oAfMLCwwMkDJFhCpSCfPdfNPUOpENasnJ5-ObllDTkAvoz20MpV7wpxuIl-AeJf7x-gdslSVdB5Iyx9QhhB9B_VMTO3Hk2UddsKzspXVyw=")</f>
        <v>https://recruiter.shine.com/resume/download/?resumeid=gAAAAABbk2UOEPFfxMBoLuP06X3jd4e4NxREstL3nBZ7S1UL7xsXCYTbwjxEh0qfmLkrxsMxIAll0oAfMLCwwMkDJFhCpSCfPdfNPUOpENasnJ5-ObllDTkAvoz20MpV7wpxuIl-AeJf7x-gdslSVdB5Iyx9QhhB9B_VMTO3Hk2UddsKzspXVyw=</v>
      </c>
    </row>
    <row r="668" spans="1:25" ht="39.950000000000003" customHeight="1">
      <c r="A668">
        <v>664</v>
      </c>
      <c r="B668" t="s">
        <v>6248</v>
      </c>
      <c r="C668" t="s">
        <v>6249</v>
      </c>
      <c r="D668" t="s">
        <v>6250</v>
      </c>
      <c r="E668" t="s">
        <v>6251</v>
      </c>
      <c r="F668" t="s">
        <v>29</v>
      </c>
      <c r="G668" t="s">
        <v>6252</v>
      </c>
      <c r="H668" t="s">
        <v>31</v>
      </c>
      <c r="I668" t="s">
        <v>134</v>
      </c>
      <c r="J668" t="s">
        <v>118</v>
      </c>
      <c r="K668" t="s">
        <v>6253</v>
      </c>
      <c r="L668" t="s">
        <v>794</v>
      </c>
      <c r="M668" t="s">
        <v>684</v>
      </c>
      <c r="N668" t="s">
        <v>6254</v>
      </c>
      <c r="O668" t="s">
        <v>224</v>
      </c>
      <c r="P668" t="s">
        <v>201</v>
      </c>
      <c r="Q668" t="s">
        <v>58</v>
      </c>
      <c r="R668" t="s">
        <v>1881</v>
      </c>
      <c r="S668" t="s">
        <v>6255</v>
      </c>
      <c r="T668" t="s">
        <v>415</v>
      </c>
      <c r="U668" t="s">
        <v>43</v>
      </c>
      <c r="V668" t="s">
        <v>6256</v>
      </c>
      <c r="W668" t="s">
        <v>6257</v>
      </c>
      <c r="Y668" t="str">
        <f>HYPERLINK("https://recruiter.shine.com/resume/download/?resumeid=gAAAAABbk2ULBjzxk_1D1LtVA_RVKCrdOGijBHbBwwMMRb0pl2Jynwh9xEG4CcdH8UjZEUvVOoMc34BT9oT-sBXKqtM0mHemZY6ytdM8e0jiijxyDijXI6tM_UFBO9bxxCAt9fywbHmA")</f>
        <v>https://recruiter.shine.com/resume/download/?resumeid=gAAAAABbk2ULBjzxk_1D1LtVA_RVKCrdOGijBHbBwwMMRb0pl2Jynwh9xEG4CcdH8UjZEUvVOoMc34BT9oT-sBXKqtM0mHemZY6ytdM8e0jiijxyDijXI6tM_UFBO9bxxCAt9fywbHmA</v>
      </c>
    </row>
    <row r="669" spans="1:25" ht="39.950000000000003" customHeight="1">
      <c r="A669">
        <v>665</v>
      </c>
      <c r="B669" t="s">
        <v>6258</v>
      </c>
      <c r="C669" t="s">
        <v>6259</v>
      </c>
      <c r="D669" t="s">
        <v>6260</v>
      </c>
      <c r="E669" t="s">
        <v>6261</v>
      </c>
      <c r="F669" t="s">
        <v>858</v>
      </c>
      <c r="G669" t="s">
        <v>6262</v>
      </c>
      <c r="H669" t="s">
        <v>31</v>
      </c>
      <c r="I669" t="s">
        <v>2843</v>
      </c>
      <c r="J669" t="s">
        <v>2110</v>
      </c>
      <c r="K669" t="s">
        <v>6263</v>
      </c>
      <c r="L669" t="s">
        <v>2534</v>
      </c>
      <c r="M669" t="s">
        <v>105</v>
      </c>
      <c r="N669" t="s">
        <v>6264</v>
      </c>
      <c r="O669" t="s">
        <v>804</v>
      </c>
      <c r="P669" t="s">
        <v>268</v>
      </c>
      <c r="Q669" t="s">
        <v>158</v>
      </c>
      <c r="R669" t="s">
        <v>225</v>
      </c>
      <c r="S669" t="s">
        <v>6265</v>
      </c>
      <c r="T669" t="s">
        <v>61</v>
      </c>
      <c r="U669" t="s">
        <v>94</v>
      </c>
      <c r="V669" t="s">
        <v>6266</v>
      </c>
      <c r="W669" t="s">
        <v>6267</v>
      </c>
      <c r="Y669" t="str">
        <f>HYPERLINK("https://recruiter.shine.com/resume/download/?resumeid=gAAAAABbk2UM2Dr9XRNKpBjB-_jRP-YE-0sDHgXXsj06KtSBTubZHq479XN2XHG4kJYJVMgFCHXMkH03LXvQE4b-jJ2QGvYpuvVggPuO7kk-F3uazTCwzE7V5MQGWAWWLEH-iWkdDiYmq2ekgPvL0NkckywQzQSXTyZfj9Sa_mtyPh-LiD_rS7Y=")</f>
        <v>https://recruiter.shine.com/resume/download/?resumeid=gAAAAABbk2UM2Dr9XRNKpBjB-_jRP-YE-0sDHgXXsj06KtSBTubZHq479XN2XHG4kJYJVMgFCHXMkH03LXvQE4b-jJ2QGvYpuvVggPuO7kk-F3uazTCwzE7V5MQGWAWWLEH-iWkdDiYmq2ekgPvL0NkckywQzQSXTyZfj9Sa_mtyPh-LiD_rS7Y=</v>
      </c>
    </row>
    <row r="670" spans="1:25" ht="39.950000000000003" customHeight="1">
      <c r="A670">
        <v>666</v>
      </c>
      <c r="B670" t="s">
        <v>6268</v>
      </c>
      <c r="C670" t="s">
        <v>6269</v>
      </c>
      <c r="D670" t="s">
        <v>6270</v>
      </c>
      <c r="E670" t="s">
        <v>6271</v>
      </c>
      <c r="F670" t="s">
        <v>29</v>
      </c>
      <c r="G670" t="s">
        <v>3425</v>
      </c>
      <c r="H670" t="s">
        <v>31</v>
      </c>
      <c r="I670" t="s">
        <v>85</v>
      </c>
      <c r="J670" t="s">
        <v>801</v>
      </c>
      <c r="K670" t="s">
        <v>3515</v>
      </c>
      <c r="L670" t="s">
        <v>314</v>
      </c>
      <c r="M670" t="s">
        <v>105</v>
      </c>
      <c r="N670" t="s">
        <v>6272</v>
      </c>
      <c r="O670" t="s">
        <v>3583</v>
      </c>
      <c r="P670" t="s">
        <v>771</v>
      </c>
      <c r="Q670" t="s">
        <v>123</v>
      </c>
      <c r="R670" t="s">
        <v>124</v>
      </c>
      <c r="S670" t="s">
        <v>188</v>
      </c>
      <c r="T670" t="s">
        <v>561</v>
      </c>
      <c r="U670" t="s">
        <v>43</v>
      </c>
      <c r="V670" t="s">
        <v>6273</v>
      </c>
      <c r="W670" t="s">
        <v>6274</v>
      </c>
      <c r="Y670" t="str">
        <f>HYPERLINK("https://recruiter.shine.com/resume/download/?resumeid=gAAAAABbk2UOTfYYqGBkUXCsDqarOiuMqirYyiNQAyKKUMktQQoDgTxgovBlWoijXjwfRDk_DHXEez0he69yEH3Gi6l1Q6bkd9vGk7yucUkmqrzi-i4j9GkATrCqtShvpt1A8kXyqvxFiGlga9FSE-_F_QrjoKZHNA==")</f>
        <v>https://recruiter.shine.com/resume/download/?resumeid=gAAAAABbk2UOTfYYqGBkUXCsDqarOiuMqirYyiNQAyKKUMktQQoDgTxgovBlWoijXjwfRDk_DHXEez0he69yEH3Gi6l1Q6bkd9vGk7yucUkmqrzi-i4j9GkATrCqtShvpt1A8kXyqvxFiGlga9FSE-_F_QrjoKZHNA==</v>
      </c>
    </row>
    <row r="671" spans="1:25" ht="39.950000000000003" customHeight="1">
      <c r="A671">
        <v>667</v>
      </c>
      <c r="B671" t="s">
        <v>6275</v>
      </c>
      <c r="D671" t="s">
        <v>6276</v>
      </c>
      <c r="E671" t="s">
        <v>6277</v>
      </c>
      <c r="F671" t="s">
        <v>29</v>
      </c>
      <c r="G671" t="s">
        <v>29</v>
      </c>
      <c r="H671" t="s">
        <v>31</v>
      </c>
      <c r="I671" t="s">
        <v>168</v>
      </c>
      <c r="J671" t="s">
        <v>792</v>
      </c>
      <c r="K671" t="s">
        <v>6278</v>
      </c>
      <c r="L671" t="s">
        <v>472</v>
      </c>
      <c r="M671" t="s">
        <v>473</v>
      </c>
      <c r="N671" t="s">
        <v>6279</v>
      </c>
      <c r="O671" t="s">
        <v>38</v>
      </c>
      <c r="P671" t="s">
        <v>268</v>
      </c>
      <c r="Q671" t="s">
        <v>123</v>
      </c>
      <c r="R671" t="s">
        <v>124</v>
      </c>
      <c r="S671" t="s">
        <v>188</v>
      </c>
      <c r="U671" t="s">
        <v>43</v>
      </c>
      <c r="V671" t="s">
        <v>6280</v>
      </c>
      <c r="W671" t="s">
        <v>6281</v>
      </c>
      <c r="Y671" t="str">
        <f>HYPERLINK("https://recruiter.shine.com/resume/download/?resumeid=gAAAAABbk2UKR0adTs2oCVx4abjMHXp0PA_2ZPXqOT3NwZG1Gf4vE6OIwcvqOdjU0sY7OE0B7BRJ9sMCfViIIyU3SUU5kSwwDt14Pl6IlVzV1TLUhP5LZbEDrfvE7_qIjvsPI1nbNhWh")</f>
        <v>https://recruiter.shine.com/resume/download/?resumeid=gAAAAABbk2UKR0adTs2oCVx4abjMHXp0PA_2ZPXqOT3NwZG1Gf4vE6OIwcvqOdjU0sY7OE0B7BRJ9sMCfViIIyU3SUU5kSwwDt14Pl6IlVzV1TLUhP5LZbEDrfvE7_qIjvsPI1nbNhWh</v>
      </c>
    </row>
    <row r="672" spans="1:25" ht="39.950000000000003" customHeight="1">
      <c r="A672">
        <v>668</v>
      </c>
      <c r="B672" t="s">
        <v>6282</v>
      </c>
      <c r="C672" t="s">
        <v>6283</v>
      </c>
      <c r="D672" t="s">
        <v>6284</v>
      </c>
      <c r="E672" t="s">
        <v>6285</v>
      </c>
      <c r="F672" t="s">
        <v>29</v>
      </c>
      <c r="G672" t="s">
        <v>6286</v>
      </c>
      <c r="H672" t="s">
        <v>31</v>
      </c>
      <c r="I672" t="s">
        <v>1038</v>
      </c>
      <c r="J672" t="s">
        <v>3276</v>
      </c>
      <c r="K672" t="s">
        <v>6287</v>
      </c>
      <c r="L672" t="s">
        <v>155</v>
      </c>
      <c r="M672" t="s">
        <v>339</v>
      </c>
      <c r="N672" t="s">
        <v>5893</v>
      </c>
      <c r="O672" t="s">
        <v>38</v>
      </c>
      <c r="P672" t="s">
        <v>73</v>
      </c>
      <c r="Q672" t="s">
        <v>107</v>
      </c>
      <c r="R672" t="s">
        <v>108</v>
      </c>
      <c r="S672" t="s">
        <v>6288</v>
      </c>
      <c r="T672" t="s">
        <v>687</v>
      </c>
      <c r="U672" t="s">
        <v>43</v>
      </c>
      <c r="V672" t="s">
        <v>6289</v>
      </c>
      <c r="W672" t="s">
        <v>6289</v>
      </c>
      <c r="Y672" t="str">
        <f>HYPERLINK("https://recruiter.shine.com/resume/download/?resumeid=gAAAAABbk2UNDtAmZndTtsMyynadvwPBchqC7wGb5T7uIlKu6_xKHhmrg63gfPuaWWteleKnhnKsKOJP8iJ3j3uYw1RXsDN2fv5rophW4ZocJMLiusasBvD9bKu8qjnxYUbb9x4XdPd03q2P8VjQJ7S-gFyjleaXe-ARCTcf4TxladFzWfY8I_M=")</f>
        <v>https://recruiter.shine.com/resume/download/?resumeid=gAAAAABbk2UNDtAmZndTtsMyynadvwPBchqC7wGb5T7uIlKu6_xKHhmrg63gfPuaWWteleKnhnKsKOJP8iJ3j3uYw1RXsDN2fv5rophW4ZocJMLiusasBvD9bKu8qjnxYUbb9x4XdPd03q2P8VjQJ7S-gFyjleaXe-ARCTcf4TxladFzWfY8I_M=</v>
      </c>
    </row>
    <row r="673" spans="1:25" ht="39.950000000000003" customHeight="1">
      <c r="A673">
        <v>669</v>
      </c>
      <c r="B673" t="s">
        <v>6290</v>
      </c>
      <c r="D673" t="s">
        <v>6291</v>
      </c>
      <c r="E673" t="s">
        <v>6292</v>
      </c>
      <c r="F673" t="s">
        <v>29</v>
      </c>
      <c r="G673" t="s">
        <v>67</v>
      </c>
      <c r="H673" t="s">
        <v>234</v>
      </c>
      <c r="I673" t="s">
        <v>5206</v>
      </c>
      <c r="J673" t="s">
        <v>6293</v>
      </c>
      <c r="K673" t="s">
        <v>6294</v>
      </c>
      <c r="L673" t="s">
        <v>5208</v>
      </c>
      <c r="M673" t="s">
        <v>138</v>
      </c>
      <c r="N673" t="s">
        <v>6295</v>
      </c>
      <c r="O673" t="s">
        <v>38</v>
      </c>
      <c r="P673" t="s">
        <v>57</v>
      </c>
      <c r="Q673" t="s">
        <v>699</v>
      </c>
      <c r="R673" t="s">
        <v>6296</v>
      </c>
      <c r="S673" t="s">
        <v>3490</v>
      </c>
      <c r="T673" t="s">
        <v>61</v>
      </c>
      <c r="U673" t="s">
        <v>127</v>
      </c>
      <c r="V673" t="s">
        <v>6297</v>
      </c>
      <c r="W673" t="s">
        <v>6297</v>
      </c>
      <c r="Y673" t="str">
        <f>HYPERLINK("https://recruiter.shine.com/resume/download/?resumeid=gAAAAABbk2UOFxMPLiqxI_tmBoSiNEKkCTt3pjk8NqxkffLK8kk-WlTIYzERhFRqNkLSCGak9AjuDFawtJBPxDo_-6m9dQPCSx2ZHS0sCgL2Xfl-l8LvEWnjxq_6-kMItmPfYY08kPLVpxrLMRH7KjB8LGPRu0WRncN1ZTGsGLiORaKZP1KSl3o=")</f>
        <v>https://recruiter.shine.com/resume/download/?resumeid=gAAAAABbk2UOFxMPLiqxI_tmBoSiNEKkCTt3pjk8NqxkffLK8kk-WlTIYzERhFRqNkLSCGak9AjuDFawtJBPxDo_-6m9dQPCSx2ZHS0sCgL2Xfl-l8LvEWnjxq_6-kMItmPfYY08kPLVpxrLMRH7KjB8LGPRu0WRncN1ZTGsGLiORaKZP1KSl3o=</v>
      </c>
    </row>
    <row r="674" spans="1:25" ht="39.950000000000003" customHeight="1">
      <c r="A674">
        <v>670</v>
      </c>
      <c r="B674" t="s">
        <v>6298</v>
      </c>
      <c r="D674" t="s">
        <v>6299</v>
      </c>
      <c r="E674" t="s">
        <v>6300</v>
      </c>
      <c r="F674" t="s">
        <v>29</v>
      </c>
      <c r="G674" t="s">
        <v>29</v>
      </c>
      <c r="H674" t="s">
        <v>234</v>
      </c>
      <c r="I674" t="s">
        <v>6301</v>
      </c>
      <c r="J674" t="s">
        <v>2130</v>
      </c>
      <c r="K674" t="s">
        <v>6302</v>
      </c>
      <c r="L674" t="s">
        <v>486</v>
      </c>
      <c r="M674" t="s">
        <v>238</v>
      </c>
      <c r="N674" t="s">
        <v>5140</v>
      </c>
      <c r="O674" t="s">
        <v>1245</v>
      </c>
      <c r="P674" t="s">
        <v>73</v>
      </c>
      <c r="Q674" t="s">
        <v>123</v>
      </c>
      <c r="R674" t="s">
        <v>124</v>
      </c>
      <c r="S674" t="s">
        <v>188</v>
      </c>
      <c r="U674" t="s">
        <v>43</v>
      </c>
      <c r="V674" t="s">
        <v>6303</v>
      </c>
      <c r="W674" t="s">
        <v>6304</v>
      </c>
      <c r="Y674" t="str">
        <f>HYPERLINK("https://recruiter.shine.com/resume/download/?resumeid=gAAAAABbk2UKy_fXpvV0RHDU1SLSyc8_dVEj4S_A0RG-jqgPoKofGmR1dfTfBKY6Z49e50czvnHW_EZZ_lxw3SEiEiFUndBb_wxEAZs8IOw9IFYD3NUKAPmt2beSVy293FgMTZOkHQyxaneCzjg2YJ9fa8szuSDRQA==")</f>
        <v>https://recruiter.shine.com/resume/download/?resumeid=gAAAAABbk2UKy_fXpvV0RHDU1SLSyc8_dVEj4S_A0RG-jqgPoKofGmR1dfTfBKY6Z49e50czvnHW_EZZ_lxw3SEiEiFUndBb_wxEAZs8IOw9IFYD3NUKAPmt2beSVy293FgMTZOkHQyxaneCzjg2YJ9fa8szuSDRQA==</v>
      </c>
    </row>
    <row r="675" spans="1:25" ht="39.950000000000003" customHeight="1">
      <c r="A675">
        <v>671</v>
      </c>
      <c r="B675" t="s">
        <v>6305</v>
      </c>
      <c r="C675" t="s">
        <v>6306</v>
      </c>
      <c r="D675" t="s">
        <v>6307</v>
      </c>
      <c r="E675" t="s">
        <v>6308</v>
      </c>
      <c r="F675" t="s">
        <v>29</v>
      </c>
      <c r="G675" t="s">
        <v>6309</v>
      </c>
      <c r="H675" t="s">
        <v>31</v>
      </c>
      <c r="I675" t="s">
        <v>3239</v>
      </c>
      <c r="J675" t="s">
        <v>102</v>
      </c>
      <c r="K675" t="s">
        <v>6310</v>
      </c>
      <c r="L675" t="s">
        <v>199</v>
      </c>
      <c r="M675" t="s">
        <v>54</v>
      </c>
      <c r="N675" t="s">
        <v>6311</v>
      </c>
      <c r="O675" t="s">
        <v>56</v>
      </c>
      <c r="P675" t="s">
        <v>268</v>
      </c>
      <c r="Q675" t="s">
        <v>2267</v>
      </c>
      <c r="R675" t="s">
        <v>2150</v>
      </c>
      <c r="S675" t="s">
        <v>6312</v>
      </c>
      <c r="T675" t="s">
        <v>415</v>
      </c>
      <c r="U675" t="s">
        <v>43</v>
      </c>
      <c r="V675" t="s">
        <v>6313</v>
      </c>
      <c r="W675" t="s">
        <v>6314</v>
      </c>
      <c r="Y675" t="str">
        <f>HYPERLINK("https://recruiter.shine.com/resume/download/?resumeid=gAAAAABbk2UNBzx5Y6cSx2cpEif9Jgq47iaA5EL5mZnDshzw5K3j-E-nRmUz4M5Hz7E9ewHudh5t-W76Wb_aSesLGqYeYnaSq3q5qys4viU_QPGQSfbLtDsdzW1qkPqDr8cCcuHPsD-iei3REzhbOvLa0gMWAOASB9_11SFRh5hqrnZVyPc35m0=")</f>
        <v>https://recruiter.shine.com/resume/download/?resumeid=gAAAAABbk2UNBzx5Y6cSx2cpEif9Jgq47iaA5EL5mZnDshzw5K3j-E-nRmUz4M5Hz7E9ewHudh5t-W76Wb_aSesLGqYeYnaSq3q5qys4viU_QPGQSfbLtDsdzW1qkPqDr8cCcuHPsD-iei3REzhbOvLa0gMWAOASB9_11SFRh5hqrnZVyPc35m0=</v>
      </c>
    </row>
    <row r="676" spans="1:25" ht="39.950000000000003" customHeight="1">
      <c r="A676">
        <v>672</v>
      </c>
      <c r="B676" t="s">
        <v>6315</v>
      </c>
      <c r="D676" t="s">
        <v>6316</v>
      </c>
      <c r="E676" t="s">
        <v>6317</v>
      </c>
      <c r="F676" t="s">
        <v>29</v>
      </c>
      <c r="G676" t="s">
        <v>67</v>
      </c>
      <c r="H676" t="s">
        <v>234</v>
      </c>
      <c r="I676" t="s">
        <v>362</v>
      </c>
      <c r="J676" t="s">
        <v>135</v>
      </c>
      <c r="L676" t="s">
        <v>363</v>
      </c>
      <c r="M676" t="s">
        <v>364</v>
      </c>
      <c r="Q676" t="s">
        <v>107</v>
      </c>
      <c r="R676" t="s">
        <v>864</v>
      </c>
      <c r="S676" t="s">
        <v>6318</v>
      </c>
      <c r="T676" t="s">
        <v>625</v>
      </c>
      <c r="U676" t="s">
        <v>43</v>
      </c>
      <c r="V676" t="s">
        <v>6319</v>
      </c>
      <c r="W676" t="s">
        <v>6320</v>
      </c>
      <c r="Y676" t="str">
        <f>HYPERLINK("https://recruiter.shine.com/resume/download/?resumeid=gAAAAABbk2UNn0a_lfGJb_NkNjALTfoDSr5SgO1-M8D9fjxwJgWWbhFpgHSikPgCKPkxQkno2YqYeiiNMYWmRXoDcgvrNd9-4GQaASuk3tU-3ikfvgzuFKuhtxmZzesAfV7tbBBS2Fb-NT320grBXElYCqdyUEb26wzba9N-Rj_yN_g9wYsOpSo=")</f>
        <v>https://recruiter.shine.com/resume/download/?resumeid=gAAAAABbk2UNn0a_lfGJb_NkNjALTfoDSr5SgO1-M8D9fjxwJgWWbhFpgHSikPgCKPkxQkno2YqYeiiNMYWmRXoDcgvrNd9-4GQaASuk3tU-3ikfvgzuFKuhtxmZzesAfV7tbBBS2Fb-NT320grBXElYCqdyUEb26wzba9N-Rj_yN_g9wYsOpSo=</v>
      </c>
    </row>
    <row r="677" spans="1:25" ht="39.950000000000003" customHeight="1">
      <c r="A677">
        <v>673</v>
      </c>
      <c r="B677" t="s">
        <v>6321</v>
      </c>
      <c r="C677" t="s">
        <v>6322</v>
      </c>
      <c r="D677" t="s">
        <v>6323</v>
      </c>
      <c r="E677" t="s">
        <v>6324</v>
      </c>
      <c r="F677" t="s">
        <v>249</v>
      </c>
      <c r="G677" t="s">
        <v>6325</v>
      </c>
      <c r="H677" t="s">
        <v>31</v>
      </c>
      <c r="I677" t="s">
        <v>6326</v>
      </c>
      <c r="J677" t="s">
        <v>3214</v>
      </c>
      <c r="K677" t="s">
        <v>6327</v>
      </c>
      <c r="L677" t="s">
        <v>486</v>
      </c>
      <c r="M677" t="s">
        <v>238</v>
      </c>
      <c r="N677" t="s">
        <v>6328</v>
      </c>
      <c r="O677" t="s">
        <v>224</v>
      </c>
      <c r="P677" t="s">
        <v>140</v>
      </c>
      <c r="Q677" t="s">
        <v>40</v>
      </c>
      <c r="R677" t="s">
        <v>41</v>
      </c>
      <c r="S677" t="s">
        <v>748</v>
      </c>
      <c r="T677" t="s">
        <v>415</v>
      </c>
      <c r="U677" t="s">
        <v>127</v>
      </c>
      <c r="V677" t="s">
        <v>6329</v>
      </c>
      <c r="W677" t="s">
        <v>6330</v>
      </c>
      <c r="Y677" t="str">
        <f>HYPERLINK("https://recruiter.shine.com/resume/download/?resumeid=gAAAAABbk2UKWiPr9VECE6jufmS2BXa-CKk9wgLWvsXwMHulLEJIvrUWtPbXubx0OL6Hn1H5dGrMXhKWaOIZsaY8ucxdp-OdQfEqs05KPx9TRcKwpbEwCg1RUwdX8QAVCagy5tAzpZod01sJgUYKgYdEOmDuMfVIaS8Mav5owyEFgypDAbZETiU=")</f>
        <v>https://recruiter.shine.com/resume/download/?resumeid=gAAAAABbk2UKWiPr9VECE6jufmS2BXa-CKk9wgLWvsXwMHulLEJIvrUWtPbXubx0OL6Hn1H5dGrMXhKWaOIZsaY8ucxdp-OdQfEqs05KPx9TRcKwpbEwCg1RUwdX8QAVCagy5tAzpZod01sJgUYKgYdEOmDuMfVIaS8Mav5owyEFgypDAbZETiU=</v>
      </c>
    </row>
    <row r="678" spans="1:25" ht="39.950000000000003" customHeight="1">
      <c r="A678">
        <v>674</v>
      </c>
      <c r="B678" t="s">
        <v>6331</v>
      </c>
      <c r="C678" t="s">
        <v>6332</v>
      </c>
      <c r="D678" t="s">
        <v>6333</v>
      </c>
      <c r="E678" t="s">
        <v>6334</v>
      </c>
      <c r="F678" t="s">
        <v>29</v>
      </c>
      <c r="G678" t="s">
        <v>6335</v>
      </c>
      <c r="H678" t="s">
        <v>31</v>
      </c>
      <c r="I678" t="s">
        <v>2074</v>
      </c>
      <c r="J678" t="s">
        <v>278</v>
      </c>
      <c r="K678" t="s">
        <v>6336</v>
      </c>
      <c r="L678" t="s">
        <v>155</v>
      </c>
      <c r="M678" t="s">
        <v>36</v>
      </c>
      <c r="N678" t="s">
        <v>5893</v>
      </c>
      <c r="O678" t="s">
        <v>224</v>
      </c>
      <c r="P678" t="s">
        <v>57</v>
      </c>
      <c r="Q678" t="s">
        <v>107</v>
      </c>
      <c r="R678" t="s">
        <v>864</v>
      </c>
      <c r="S678" t="s">
        <v>2018</v>
      </c>
      <c r="T678" t="s">
        <v>887</v>
      </c>
      <c r="U678" t="s">
        <v>43</v>
      </c>
      <c r="V678" t="s">
        <v>6337</v>
      </c>
      <c r="W678" t="s">
        <v>6338</v>
      </c>
      <c r="Y678" t="str">
        <f>HYPERLINK("https://recruiter.shine.com/resume/download/?resumeid=gAAAAABbk2UMHOCBj1sTI-HfYiY7GhNKpA6GQUSQfTRLXwHFFRXXlQDBMwXD7QsiwHjwncrNT_FRIq_k2ZEcf99H77prYIzZSFLGPaH8nn6PhgI96xB6Grx4wfBJChzUXhvrJG8Ygu9t")</f>
        <v>https://recruiter.shine.com/resume/download/?resumeid=gAAAAABbk2UMHOCBj1sTI-HfYiY7GhNKpA6GQUSQfTRLXwHFFRXXlQDBMwXD7QsiwHjwncrNT_FRIq_k2ZEcf99H77prYIzZSFLGPaH8nn6PhgI96xB6Grx4wfBJChzUXhvrJG8Ygu9t</v>
      </c>
    </row>
    <row r="679" spans="1:25" ht="39.950000000000003" customHeight="1">
      <c r="A679">
        <v>675</v>
      </c>
      <c r="B679" t="s">
        <v>6339</v>
      </c>
      <c r="C679" t="s">
        <v>6340</v>
      </c>
      <c r="D679" t="s">
        <v>6341</v>
      </c>
      <c r="E679" t="s">
        <v>6342</v>
      </c>
      <c r="F679" t="s">
        <v>29</v>
      </c>
      <c r="G679" t="s">
        <v>67</v>
      </c>
      <c r="H679" t="s">
        <v>31</v>
      </c>
      <c r="I679" t="s">
        <v>2074</v>
      </c>
      <c r="J679" t="s">
        <v>1060</v>
      </c>
      <c r="K679" t="s">
        <v>6343</v>
      </c>
      <c r="L679" t="s">
        <v>2249</v>
      </c>
      <c r="M679" t="s">
        <v>172</v>
      </c>
      <c r="N679" t="s">
        <v>6344</v>
      </c>
      <c r="O679" t="s">
        <v>224</v>
      </c>
      <c r="P679" t="s">
        <v>940</v>
      </c>
      <c r="Q679" t="s">
        <v>123</v>
      </c>
      <c r="R679" t="s">
        <v>124</v>
      </c>
      <c r="S679" t="s">
        <v>6345</v>
      </c>
      <c r="T679" t="s">
        <v>773</v>
      </c>
      <c r="U679" t="s">
        <v>127</v>
      </c>
      <c r="V679" t="s">
        <v>6346</v>
      </c>
      <c r="W679" t="s">
        <v>6347</v>
      </c>
      <c r="Y679" t="str">
        <f>HYPERLINK("https://recruiter.shine.com/resume/download/?resumeid=gAAAAABbk2UO0D1gI2uZ0KtKtSm-ug_L-slUkzRZC_OM7HvjTRMAr1BVjmB_bxj9GFOtAjLx8yRVN68vOTGZJ7ykmk7DG7BeHUCJ76PvxACTKIKlmcQiSoNjl0B7wgf_GeHw0DQGMdUhE3bZscF23BA66R2EQnx-hjGCeM-SXQGGcX4pgkSOnis=")</f>
        <v>https://recruiter.shine.com/resume/download/?resumeid=gAAAAABbk2UO0D1gI2uZ0KtKtSm-ug_L-slUkzRZC_OM7HvjTRMAr1BVjmB_bxj9GFOtAjLx8yRVN68vOTGZJ7ykmk7DG7BeHUCJ76PvxACTKIKlmcQiSoNjl0B7wgf_GeHw0DQGMdUhE3bZscF23BA66R2EQnx-hjGCeM-SXQGGcX4pgkSOnis=</v>
      </c>
    </row>
    <row r="680" spans="1:25" ht="39.950000000000003" customHeight="1">
      <c r="A680">
        <v>676</v>
      </c>
      <c r="B680" t="s">
        <v>6348</v>
      </c>
      <c r="C680" t="s">
        <v>6349</v>
      </c>
      <c r="D680" t="s">
        <v>6350</v>
      </c>
      <c r="E680" t="s">
        <v>6351</v>
      </c>
      <c r="F680" t="s">
        <v>29</v>
      </c>
      <c r="G680" t="s">
        <v>6352</v>
      </c>
      <c r="H680" t="s">
        <v>31</v>
      </c>
      <c r="I680" t="s">
        <v>4947</v>
      </c>
      <c r="J680" t="s">
        <v>1641</v>
      </c>
      <c r="K680" t="s">
        <v>595</v>
      </c>
      <c r="L680" t="s">
        <v>155</v>
      </c>
      <c r="M680" t="s">
        <v>884</v>
      </c>
      <c r="N680" t="s">
        <v>6353</v>
      </c>
      <c r="O680" t="s">
        <v>186</v>
      </c>
      <c r="P680" t="s">
        <v>57</v>
      </c>
      <c r="Q680" t="s">
        <v>107</v>
      </c>
      <c r="R680" t="s">
        <v>108</v>
      </c>
      <c r="S680" t="s">
        <v>6354</v>
      </c>
      <c r="T680" t="s">
        <v>304</v>
      </c>
      <c r="U680" t="s">
        <v>43</v>
      </c>
      <c r="V680" t="s">
        <v>6355</v>
      </c>
      <c r="W680" t="s">
        <v>6356</v>
      </c>
      <c r="Y680" t="str">
        <f>HYPERLINK("https://recruiter.shine.com/resume/download/?resumeid=gAAAAABbk2UKulOj9FZ4Ww-YpL3qSttr-tMkZq-YgzFu7fWNi5rNnneALLkv_-LXU5am1Qp8T7ssDnAXWgYyDxOXK8Mve2kU5HOGsm_twXNayvFUePlR35limluqKoOHhj42v95Ht9fcTyQHbRmsh8DNe0YxWwyrgQ==")</f>
        <v>https://recruiter.shine.com/resume/download/?resumeid=gAAAAABbk2UKulOj9FZ4Ww-YpL3qSttr-tMkZq-YgzFu7fWNi5rNnneALLkv_-LXU5am1Qp8T7ssDnAXWgYyDxOXK8Mve2kU5HOGsm_twXNayvFUePlR35limluqKoOHhj42v95Ht9fcTyQHbRmsh8DNe0YxWwyrgQ==</v>
      </c>
    </row>
    <row r="681" spans="1:25" ht="39.950000000000003" customHeight="1">
      <c r="A681">
        <v>677</v>
      </c>
      <c r="B681" t="s">
        <v>6357</v>
      </c>
      <c r="D681" t="s">
        <v>6358</v>
      </c>
      <c r="E681" t="s">
        <v>6359</v>
      </c>
      <c r="F681" t="s">
        <v>29</v>
      </c>
      <c r="G681" t="s">
        <v>29</v>
      </c>
      <c r="H681" t="s">
        <v>31</v>
      </c>
      <c r="I681" t="s">
        <v>714</v>
      </c>
      <c r="J681" t="s">
        <v>312</v>
      </c>
      <c r="K681" t="s">
        <v>2422</v>
      </c>
      <c r="L681" t="s">
        <v>120</v>
      </c>
      <c r="M681" t="s">
        <v>238</v>
      </c>
      <c r="N681" t="s">
        <v>6360</v>
      </c>
      <c r="O681" t="s">
        <v>186</v>
      </c>
      <c r="P681" t="s">
        <v>57</v>
      </c>
      <c r="Q681" t="s">
        <v>90</v>
      </c>
      <c r="R681" t="s">
        <v>91</v>
      </c>
      <c r="S681" t="s">
        <v>6361</v>
      </c>
      <c r="T681" t="s">
        <v>441</v>
      </c>
      <c r="U681" t="s">
        <v>127</v>
      </c>
      <c r="V681" t="s">
        <v>6362</v>
      </c>
      <c r="W681" t="s">
        <v>6363</v>
      </c>
      <c r="Y681" t="str">
        <f>HYPERLINK("https://recruiter.shine.com/resume/download/?resumeid=gAAAAABbk2UMmgx3_B5OJfmCbJ1VfNmAdvUdgh3bP4md4f_BUJO-FWOHGIQfHxXU8Skzs6tl5p9nJ5QZ8R8oEeFDMfX2w7ttXyPLNYDLB_kH07sSLhlZ3h1T_wk9anz1sj1FxVjI26-_cXFBXjoaQnU82V4YoZc6eijDQ1jbHuaj6AuYyfDxW3Q=")</f>
        <v>https://recruiter.shine.com/resume/download/?resumeid=gAAAAABbk2UMmgx3_B5OJfmCbJ1VfNmAdvUdgh3bP4md4f_BUJO-FWOHGIQfHxXU8Skzs6tl5p9nJ5QZ8R8oEeFDMfX2w7ttXyPLNYDLB_kH07sSLhlZ3h1T_wk9anz1sj1FxVjI26-_cXFBXjoaQnU82V4YoZc6eijDQ1jbHuaj6AuYyfDxW3Q=</v>
      </c>
    </row>
    <row r="682" spans="1:25" ht="39.950000000000003" customHeight="1">
      <c r="A682">
        <v>678</v>
      </c>
      <c r="B682" t="s">
        <v>6364</v>
      </c>
      <c r="D682" t="s">
        <v>6365</v>
      </c>
      <c r="E682" t="s">
        <v>6366</v>
      </c>
      <c r="F682" t="s">
        <v>29</v>
      </c>
      <c r="G682" t="s">
        <v>67</v>
      </c>
      <c r="H682" t="s">
        <v>31</v>
      </c>
      <c r="I682" t="s">
        <v>4124</v>
      </c>
      <c r="J682" t="s">
        <v>51</v>
      </c>
      <c r="K682" t="s">
        <v>6367</v>
      </c>
      <c r="L682" t="s">
        <v>2534</v>
      </c>
      <c r="M682" t="s">
        <v>339</v>
      </c>
      <c r="N682" t="s">
        <v>6368</v>
      </c>
      <c r="O682" t="s">
        <v>38</v>
      </c>
      <c r="Q682" t="s">
        <v>107</v>
      </c>
      <c r="R682" t="s">
        <v>159</v>
      </c>
      <c r="S682" t="s">
        <v>6369</v>
      </c>
      <c r="T682" t="s">
        <v>441</v>
      </c>
      <c r="U682" t="s">
        <v>43</v>
      </c>
      <c r="V682" t="s">
        <v>6370</v>
      </c>
      <c r="W682" t="s">
        <v>6371</v>
      </c>
      <c r="Y682" t="str">
        <f>HYPERLINK("https://recruiter.shine.com/resume/download/?resumeid=gAAAAABbk2UOXCe4FhRq07kDKpvw2sKltIDPYtf1Tu75SrCBurFxLhHGXCOxwCK5II9HpLuqQ0U4vY6UlTs4pkhRweUxDVoWFUm5KrE-s5eCAtAOlzjTj7KtFtO5nAHfoeLN9RAzMKmGjiPdhC2aAUPyjoHqayY9_KaTpcMeXgqx91wk5LI3LE0=")</f>
        <v>https://recruiter.shine.com/resume/download/?resumeid=gAAAAABbk2UOXCe4FhRq07kDKpvw2sKltIDPYtf1Tu75SrCBurFxLhHGXCOxwCK5II9HpLuqQ0U4vY6UlTs4pkhRweUxDVoWFUm5KrE-s5eCAtAOlzjTj7KtFtO5nAHfoeLN9RAzMKmGjiPdhC2aAUPyjoHqayY9_KaTpcMeXgqx91wk5LI3LE0=</v>
      </c>
    </row>
    <row r="683" spans="1:25" ht="39.950000000000003" customHeight="1">
      <c r="A683">
        <v>679</v>
      </c>
      <c r="B683" t="s">
        <v>6372</v>
      </c>
      <c r="C683" t="s">
        <v>4804</v>
      </c>
      <c r="D683" t="s">
        <v>6373</v>
      </c>
      <c r="E683" t="s">
        <v>6374</v>
      </c>
      <c r="F683" t="s">
        <v>29</v>
      </c>
      <c r="G683" t="s">
        <v>1849</v>
      </c>
      <c r="H683" t="s">
        <v>31</v>
      </c>
      <c r="I683" t="s">
        <v>134</v>
      </c>
      <c r="J683" t="s">
        <v>135</v>
      </c>
      <c r="K683" t="s">
        <v>6375</v>
      </c>
      <c r="L683" t="s">
        <v>664</v>
      </c>
      <c r="M683" t="s">
        <v>684</v>
      </c>
      <c r="N683" t="s">
        <v>6376</v>
      </c>
      <c r="O683" t="s">
        <v>224</v>
      </c>
      <c r="P683" t="s">
        <v>140</v>
      </c>
      <c r="Q683" t="s">
        <v>158</v>
      </c>
      <c r="R683" t="s">
        <v>341</v>
      </c>
      <c r="S683" t="s">
        <v>6377</v>
      </c>
      <c r="T683" t="s">
        <v>227</v>
      </c>
      <c r="U683" t="s">
        <v>43</v>
      </c>
      <c r="V683" t="s">
        <v>6378</v>
      </c>
      <c r="W683" t="s">
        <v>6379</v>
      </c>
      <c r="Y683" t="str">
        <f>HYPERLINK("https://recruiter.shine.com/resume/download/?resumeid=gAAAAABbk2UK1QnxAm3vN7a9v8m62qfynp1Y9K5XOozLMZqigKOktOAJ-ZgLcxfaSVDDS2AkH7c6usTy2mFPUEzH7smOOnWmmvOaIVCHltzEcMx8bRFpC34hS0Y11eIDS9ALyiDlPOitrtK_BmMa-ooGV0AAdASQXA==")</f>
        <v>https://recruiter.shine.com/resume/download/?resumeid=gAAAAABbk2UK1QnxAm3vN7a9v8m62qfynp1Y9K5XOozLMZqigKOktOAJ-ZgLcxfaSVDDS2AkH7c6usTy2mFPUEzH7smOOnWmmvOaIVCHltzEcMx8bRFpC34hS0Y11eIDS9ALyiDlPOitrtK_BmMa-ooGV0AAdASQXA==</v>
      </c>
    </row>
    <row r="684" spans="1:25" ht="39.950000000000003" customHeight="1">
      <c r="A684">
        <v>680</v>
      </c>
      <c r="B684" t="s">
        <v>6380</v>
      </c>
      <c r="C684" t="s">
        <v>2052</v>
      </c>
      <c r="D684" t="s">
        <v>6381</v>
      </c>
      <c r="E684" t="s">
        <v>6382</v>
      </c>
      <c r="F684" t="s">
        <v>29</v>
      </c>
      <c r="G684" t="s">
        <v>6383</v>
      </c>
      <c r="H684" t="s">
        <v>31</v>
      </c>
      <c r="I684" t="s">
        <v>362</v>
      </c>
      <c r="J684" t="s">
        <v>135</v>
      </c>
      <c r="L684" t="s">
        <v>363</v>
      </c>
      <c r="M684" t="s">
        <v>364</v>
      </c>
      <c r="Q684" t="s">
        <v>107</v>
      </c>
      <c r="R684" t="s">
        <v>341</v>
      </c>
      <c r="S684" t="s">
        <v>6384</v>
      </c>
      <c r="T684" t="s">
        <v>429</v>
      </c>
      <c r="U684" t="s">
        <v>43</v>
      </c>
      <c r="V684" t="s">
        <v>6385</v>
      </c>
      <c r="W684" t="s">
        <v>6385</v>
      </c>
      <c r="Y684" t="str">
        <f>HYPERLINK("https://recruiter.shine.com/resume/download/?resumeid=gAAAAABbk2UMUTgbpm6Dg76uwg-5o1KdczX-YdEMwDJi1WgPxBWlCDBLRN2NQvdPilCTB0t1xpNZ0M0s7D_2Tvz8m7LNA1qobV_tHgrKeFsb0jK6Nofy5n7rItxntm-TUU1lsesjSa0K1SQxVEJS2zPBQ_UBS0TL0U_AFiBHi3anM8u48A5oh5s=")</f>
        <v>https://recruiter.shine.com/resume/download/?resumeid=gAAAAABbk2UMUTgbpm6Dg76uwg-5o1KdczX-YdEMwDJi1WgPxBWlCDBLRN2NQvdPilCTB0t1xpNZ0M0s7D_2Tvz8m7LNA1qobV_tHgrKeFsb0jK6Nofy5n7rItxntm-TUU1lsesjSa0K1SQxVEJS2zPBQ_UBS0TL0U_AFiBHi3anM8u48A5oh5s=</v>
      </c>
    </row>
    <row r="685" spans="1:25" ht="39.950000000000003" customHeight="1">
      <c r="A685">
        <v>681</v>
      </c>
      <c r="B685" t="s">
        <v>6386</v>
      </c>
      <c r="D685" t="s">
        <v>6387</v>
      </c>
      <c r="E685" t="s">
        <v>6388</v>
      </c>
      <c r="F685" t="s">
        <v>29</v>
      </c>
      <c r="G685" t="s">
        <v>67</v>
      </c>
      <c r="H685" t="s">
        <v>31</v>
      </c>
      <c r="I685" t="s">
        <v>196</v>
      </c>
      <c r="J685" t="s">
        <v>715</v>
      </c>
      <c r="K685" t="s">
        <v>2825</v>
      </c>
      <c r="L685" t="s">
        <v>88</v>
      </c>
      <c r="M685" t="s">
        <v>473</v>
      </c>
      <c r="N685" t="s">
        <v>6389</v>
      </c>
      <c r="O685" t="s">
        <v>56</v>
      </c>
      <c r="P685" t="s">
        <v>57</v>
      </c>
      <c r="Q685" t="s">
        <v>90</v>
      </c>
      <c r="R685" t="s">
        <v>91</v>
      </c>
      <c r="S685" t="s">
        <v>2618</v>
      </c>
      <c r="T685" t="s">
        <v>110</v>
      </c>
      <c r="U685" t="s">
        <v>43</v>
      </c>
      <c r="V685" t="s">
        <v>6390</v>
      </c>
      <c r="W685" t="s">
        <v>6391</v>
      </c>
      <c r="Y685" t="str">
        <f>HYPERLINK("https://recruiter.shine.com/resume/download/?resumeid=gAAAAABbk2UOKwkar2O-YqUfhDjtf3A6OBXJLXqBdIXCUthtBw6DHjMkevkHgaz2VEBU7PxzHY0YxJ9vjzp90RISSNAt5QZcxS9bnt-Bon1BZohpbQAP9eG2gJD24fF5ux45Sw2ELiG3Hi7vRpKeS-a7riQUCpNsbA==")</f>
        <v>https://recruiter.shine.com/resume/download/?resumeid=gAAAAABbk2UOKwkar2O-YqUfhDjtf3A6OBXJLXqBdIXCUthtBw6DHjMkevkHgaz2VEBU7PxzHY0YxJ9vjzp90RISSNAt5QZcxS9bnt-Bon1BZohpbQAP9eG2gJD24fF5ux45Sw2ELiG3Hi7vRpKeS-a7riQUCpNsbA==</v>
      </c>
    </row>
    <row r="686" spans="1:25" ht="39.950000000000003" customHeight="1">
      <c r="A686">
        <v>682</v>
      </c>
      <c r="B686" t="s">
        <v>6392</v>
      </c>
      <c r="C686" t="s">
        <v>6393</v>
      </c>
      <c r="D686" t="s">
        <v>6394</v>
      </c>
      <c r="E686" t="s">
        <v>6395</v>
      </c>
      <c r="F686" t="s">
        <v>29</v>
      </c>
      <c r="G686" t="s">
        <v>6396</v>
      </c>
      <c r="H686" t="s">
        <v>31</v>
      </c>
      <c r="I686" t="s">
        <v>32</v>
      </c>
      <c r="J686" t="s">
        <v>51</v>
      </c>
      <c r="K686" t="s">
        <v>1167</v>
      </c>
      <c r="L686" t="s">
        <v>88</v>
      </c>
      <c r="M686" t="s">
        <v>473</v>
      </c>
      <c r="N686" t="s">
        <v>6397</v>
      </c>
      <c r="O686" t="s">
        <v>224</v>
      </c>
      <c r="P686" t="s">
        <v>57</v>
      </c>
      <c r="Q686" t="s">
        <v>40</v>
      </c>
      <c r="R686" t="s">
        <v>41</v>
      </c>
      <c r="S686" t="s">
        <v>6398</v>
      </c>
      <c r="T686" t="s">
        <v>2358</v>
      </c>
      <c r="U686" t="s">
        <v>43</v>
      </c>
      <c r="V686" t="s">
        <v>6399</v>
      </c>
      <c r="W686" t="s">
        <v>6400</v>
      </c>
      <c r="Y686" t="str">
        <f>HYPERLINK("https://recruiter.shine.com/resume/download/?resumeid=gAAAAABbk2ULHpdYhRqBsE_gaYbcVeMvFe4mNmTtuU9NjeJ0k_hD2JmEElsX2eMYo-LWlhPse7KUJtIlc7x9_Z_pkZv3Fu-P0qSH6YxC0HgU-d9wpmJH24BJv8hbc7KDxeK0EXpW8DtulQLknu7Xs25jk1LJMO3YMg==")</f>
        <v>https://recruiter.shine.com/resume/download/?resumeid=gAAAAABbk2ULHpdYhRqBsE_gaYbcVeMvFe4mNmTtuU9NjeJ0k_hD2JmEElsX2eMYo-LWlhPse7KUJtIlc7x9_Z_pkZv3Fu-P0qSH6YxC0HgU-d9wpmJH24BJv8hbc7KDxeK0EXpW8DtulQLknu7Xs25jk1LJMO3YMg==</v>
      </c>
    </row>
    <row r="687" spans="1:25" ht="39.950000000000003" customHeight="1">
      <c r="A687">
        <v>683</v>
      </c>
      <c r="B687" t="s">
        <v>6401</v>
      </c>
      <c r="C687" t="s">
        <v>6402</v>
      </c>
      <c r="D687" t="s">
        <v>6403</v>
      </c>
      <c r="E687" t="s">
        <v>6404</v>
      </c>
      <c r="F687" t="s">
        <v>858</v>
      </c>
      <c r="G687" t="s">
        <v>6405</v>
      </c>
      <c r="H687" t="s">
        <v>31</v>
      </c>
      <c r="I687" t="s">
        <v>362</v>
      </c>
      <c r="J687" t="s">
        <v>135</v>
      </c>
      <c r="L687" t="s">
        <v>363</v>
      </c>
      <c r="M687" t="s">
        <v>364</v>
      </c>
      <c r="Q687" t="s">
        <v>107</v>
      </c>
      <c r="R687" t="s">
        <v>341</v>
      </c>
      <c r="S687" t="s">
        <v>6406</v>
      </c>
      <c r="T687" t="s">
        <v>429</v>
      </c>
      <c r="U687" t="s">
        <v>43</v>
      </c>
      <c r="V687" t="s">
        <v>6407</v>
      </c>
      <c r="W687" t="s">
        <v>6407</v>
      </c>
      <c r="Y687" t="str">
        <f>HYPERLINK("https://recruiter.shine.com/resume/download/?resumeid=gAAAAABbk2UMj9HqOYkK9belPe6ns-zpOx922MxXZgTud-E3nJvadQQFKQWtIK4EK8neRYpR9jyCP7SbEc9BJ2RLNXqcEBE2gAAVq62uxnB4_ORtSoQNG_wmgqO0xm8l830sEspsJSmN6JwhJMbp1UWrGGm7yd5YlQ==")</f>
        <v>https://recruiter.shine.com/resume/download/?resumeid=gAAAAABbk2UMj9HqOYkK9belPe6ns-zpOx922MxXZgTud-E3nJvadQQFKQWtIK4EK8neRYpR9jyCP7SbEc9BJ2RLNXqcEBE2gAAVq62uxnB4_ORtSoQNG_wmgqO0xm8l830sEspsJSmN6JwhJMbp1UWrGGm7yd5YlQ==</v>
      </c>
    </row>
    <row r="688" spans="1:25" ht="39.950000000000003" customHeight="1">
      <c r="A688">
        <v>684</v>
      </c>
      <c r="B688" t="s">
        <v>6408</v>
      </c>
      <c r="D688" t="s">
        <v>6409</v>
      </c>
      <c r="E688" t="s">
        <v>6410</v>
      </c>
      <c r="F688" t="s">
        <v>858</v>
      </c>
      <c r="G688" t="s">
        <v>6411</v>
      </c>
      <c r="I688" t="s">
        <v>4268</v>
      </c>
      <c r="J688" t="s">
        <v>169</v>
      </c>
      <c r="K688" t="s">
        <v>6412</v>
      </c>
      <c r="L688" t="s">
        <v>290</v>
      </c>
      <c r="M688" t="s">
        <v>238</v>
      </c>
      <c r="N688" t="s">
        <v>6413</v>
      </c>
      <c r="O688" t="s">
        <v>186</v>
      </c>
      <c r="Q688" t="s">
        <v>40</v>
      </c>
      <c r="R688" t="s">
        <v>2720</v>
      </c>
      <c r="S688" t="s">
        <v>188</v>
      </c>
      <c r="T688" t="s">
        <v>441</v>
      </c>
      <c r="U688" t="s">
        <v>43</v>
      </c>
      <c r="V688" t="s">
        <v>6414</v>
      </c>
      <c r="W688" t="s">
        <v>6415</v>
      </c>
      <c r="Y688" t="str">
        <f>HYPERLINK("https://recruiter.shine.com/resume/download/?resumeid=gAAAAABbk2UN5eHJONAibhlrrEkg9tgGlFEPmCDRbN9b-mmQHSisx0IoRdKrIx1PXEtD8aMzb0CLIQ31hI9QadUbYP7Ww32Jjl2b4qY0MC-kslGs7rJ-DLcHYvYfT1SFWx1TbRsA-iEGbyWC3C1tj_Xl3G5qCBmQVE_4RpWoGbqi80XsBluYfm8=")</f>
        <v>https://recruiter.shine.com/resume/download/?resumeid=gAAAAABbk2UN5eHJONAibhlrrEkg9tgGlFEPmCDRbN9b-mmQHSisx0IoRdKrIx1PXEtD8aMzb0CLIQ31hI9QadUbYP7Ww32Jjl2b4qY0MC-kslGs7rJ-DLcHYvYfT1SFWx1TbRsA-iEGbyWC3C1tj_Xl3G5qCBmQVE_4RpWoGbqi80XsBluYfm8=</v>
      </c>
    </row>
    <row r="689" spans="1:25" ht="39.950000000000003" customHeight="1">
      <c r="A689">
        <v>685</v>
      </c>
      <c r="B689" t="s">
        <v>6416</v>
      </c>
      <c r="C689" t="s">
        <v>6417</v>
      </c>
      <c r="D689" t="s">
        <v>6418</v>
      </c>
      <c r="E689" t="s">
        <v>6419</v>
      </c>
      <c r="F689" t="s">
        <v>29</v>
      </c>
      <c r="G689" t="s">
        <v>6420</v>
      </c>
      <c r="H689" t="s">
        <v>234</v>
      </c>
      <c r="I689" t="s">
        <v>362</v>
      </c>
      <c r="J689" t="s">
        <v>135</v>
      </c>
      <c r="L689" t="s">
        <v>363</v>
      </c>
      <c r="M689" t="s">
        <v>364</v>
      </c>
      <c r="Q689" t="s">
        <v>90</v>
      </c>
      <c r="R689" t="s">
        <v>91</v>
      </c>
      <c r="S689" t="s">
        <v>6421</v>
      </c>
      <c r="T689" t="s">
        <v>441</v>
      </c>
      <c r="U689" t="s">
        <v>43</v>
      </c>
      <c r="V689" t="s">
        <v>6422</v>
      </c>
      <c r="W689" t="s">
        <v>6422</v>
      </c>
      <c r="Y689" t="str">
        <f>HYPERLINK("https://recruiter.shine.com/resume/download/?resumeid=gAAAAABbk2UK3oe5M9UJIJ5D68jYhtRLLbG9aj_YioI96ZHLCj6QrBgTb5eo4LtVpzRVg0JaHl5RCZ4mZTq7bxx9_GSKR1rnrZrOHUX_Xd0Fzu-sJMLV01C9RTjzMH-nGmDbWZXLyeXOFcpVXMOG2uHEK9WVr44pHKvNgi-mngguBvMDgjvx_H8=")</f>
        <v>https://recruiter.shine.com/resume/download/?resumeid=gAAAAABbk2UK3oe5M9UJIJ5D68jYhtRLLbG9aj_YioI96ZHLCj6QrBgTb5eo4LtVpzRVg0JaHl5RCZ4mZTq7bxx9_GSKR1rnrZrOHUX_Xd0Fzu-sJMLV01C9RTjzMH-nGmDbWZXLyeXOFcpVXMOG2uHEK9WVr44pHKvNgi-mngguBvMDgjvx_H8=</v>
      </c>
    </row>
    <row r="690" spans="1:25" ht="39.950000000000003" customHeight="1">
      <c r="A690">
        <v>686</v>
      </c>
      <c r="B690" t="s">
        <v>6423</v>
      </c>
      <c r="C690" t="s">
        <v>6424</v>
      </c>
      <c r="D690" t="s">
        <v>6425</v>
      </c>
      <c r="E690" t="s">
        <v>6426</v>
      </c>
      <c r="F690" t="s">
        <v>29</v>
      </c>
      <c r="G690" t="s">
        <v>29</v>
      </c>
      <c r="H690" t="s">
        <v>31</v>
      </c>
      <c r="I690" t="s">
        <v>362</v>
      </c>
      <c r="J690" t="s">
        <v>135</v>
      </c>
      <c r="L690" t="s">
        <v>363</v>
      </c>
      <c r="M690" t="s">
        <v>364</v>
      </c>
      <c r="Q690" t="s">
        <v>123</v>
      </c>
      <c r="R690" t="s">
        <v>124</v>
      </c>
      <c r="S690" t="s">
        <v>188</v>
      </c>
      <c r="T690" t="s">
        <v>441</v>
      </c>
      <c r="U690" t="s">
        <v>43</v>
      </c>
      <c r="V690" t="s">
        <v>6427</v>
      </c>
      <c r="W690" t="s">
        <v>6427</v>
      </c>
      <c r="Y690" t="str">
        <f>HYPERLINK("https://recruiter.shine.com/resume/download/?resumeid=gAAAAABbk2UMXCMPd6iOK_EGUG-FIPkRPYubkw0KATZgzkzacoHqequURPsa-WnEFDNk65ektJOeIYYkgFfytdeTQ8TjgFyRvwObtOk52tWUvjWZgJ9AZqJmXzYNH0mewuJRnwjvJfRIoRbfpctOE8nX0do1AzJNew==")</f>
        <v>https://recruiter.shine.com/resume/download/?resumeid=gAAAAABbk2UMXCMPd6iOK_EGUG-FIPkRPYubkw0KATZgzkzacoHqequURPsa-WnEFDNk65ektJOeIYYkgFfytdeTQ8TjgFyRvwObtOk52tWUvjWZgJ9AZqJmXzYNH0mewuJRnwjvJfRIoRbfpctOE8nX0do1AzJNew==</v>
      </c>
    </row>
    <row r="691" spans="1:25" ht="39.950000000000003" customHeight="1">
      <c r="A691">
        <v>687</v>
      </c>
      <c r="B691" t="s">
        <v>6428</v>
      </c>
      <c r="D691" t="s">
        <v>6429</v>
      </c>
      <c r="E691" t="s">
        <v>6430</v>
      </c>
      <c r="F691" t="s">
        <v>29</v>
      </c>
      <c r="G691" t="s">
        <v>67</v>
      </c>
      <c r="H691" t="s">
        <v>31</v>
      </c>
      <c r="I691" t="s">
        <v>152</v>
      </c>
      <c r="J691" t="s">
        <v>153</v>
      </c>
      <c r="K691" t="s">
        <v>6431</v>
      </c>
      <c r="L691" t="s">
        <v>120</v>
      </c>
      <c r="M691" t="s">
        <v>222</v>
      </c>
      <c r="N691" t="s">
        <v>6432</v>
      </c>
      <c r="O691" t="s">
        <v>157</v>
      </c>
      <c r="Q691" t="s">
        <v>107</v>
      </c>
      <c r="R691" t="s">
        <v>341</v>
      </c>
      <c r="S691" t="s">
        <v>6433</v>
      </c>
      <c r="T691" t="s">
        <v>161</v>
      </c>
      <c r="U691" t="s">
        <v>43</v>
      </c>
      <c r="V691" t="s">
        <v>6434</v>
      </c>
      <c r="W691" t="s">
        <v>6435</v>
      </c>
      <c r="Y691" t="str">
        <f>HYPERLINK("https://recruiter.shine.com/resume/download/?resumeid=gAAAAABbk2UNmOv-xiw7H-Z2Mb3VjDpSSh01PM0HOBrNGqN5qB6VGAuTynQDwDnshlWAo6SqHxHZK_8tztRDHuxml5AsJfRWpiMyLZo3iMqiWWps52a0ZZ85YK8tMWCh7PWlX6qjwRLV0XHUGMsf8916n5F_H9-U9P2vqLNddrVGwekeuBj3s64=")</f>
        <v>https://recruiter.shine.com/resume/download/?resumeid=gAAAAABbk2UNmOv-xiw7H-Z2Mb3VjDpSSh01PM0HOBrNGqN5qB6VGAuTynQDwDnshlWAo6SqHxHZK_8tztRDHuxml5AsJfRWpiMyLZo3iMqiWWps52a0ZZ85YK8tMWCh7PWlX6qjwRLV0XHUGMsf8916n5F_H9-U9P2vqLNddrVGwekeuBj3s64=</v>
      </c>
    </row>
    <row r="692" spans="1:25" ht="39.950000000000003" customHeight="1">
      <c r="A692">
        <v>688</v>
      </c>
      <c r="B692" t="s">
        <v>6436</v>
      </c>
      <c r="C692" t="s">
        <v>6437</v>
      </c>
      <c r="D692" t="s">
        <v>6438</v>
      </c>
      <c r="E692" t="s">
        <v>6439</v>
      </c>
      <c r="F692" t="s">
        <v>29</v>
      </c>
      <c r="G692" t="s">
        <v>6440</v>
      </c>
      <c r="H692" t="s">
        <v>31</v>
      </c>
      <c r="I692" t="s">
        <v>2317</v>
      </c>
      <c r="J692" t="s">
        <v>555</v>
      </c>
      <c r="K692" t="s">
        <v>6441</v>
      </c>
      <c r="L692" t="s">
        <v>354</v>
      </c>
      <c r="M692" t="s">
        <v>827</v>
      </c>
      <c r="N692" t="s">
        <v>6442</v>
      </c>
      <c r="O692" t="s">
        <v>157</v>
      </c>
      <c r="Q692" t="s">
        <v>699</v>
      </c>
      <c r="R692" t="s">
        <v>59</v>
      </c>
      <c r="S692" t="s">
        <v>188</v>
      </c>
      <c r="U692" t="s">
        <v>43</v>
      </c>
      <c r="V692" t="s">
        <v>6443</v>
      </c>
      <c r="W692" t="s">
        <v>6444</v>
      </c>
      <c r="Y692" t="str">
        <f>HYPERLINK("https://recruiter.shine.com/resume/download/?resumeid=gAAAAABbk2UKf4GL11WwneqQGOSKgzaF4giG5bhA6zKSFKrCkSATlVBCLqQCGoNV7pfLX3SdsRaFcYEgRGYZzVo48hMFoMkfAB6088i8eDKtL0PudBEbgr3vZMFbGiaPeXShI8NaoHOzZAmqVozoHa0mNWg2VfNgwg==")</f>
        <v>https://recruiter.shine.com/resume/download/?resumeid=gAAAAABbk2UKf4GL11WwneqQGOSKgzaF4giG5bhA6zKSFKrCkSATlVBCLqQCGoNV7pfLX3SdsRaFcYEgRGYZzVo48hMFoMkfAB6088i8eDKtL0PudBEbgr3vZMFbGiaPeXShI8NaoHOzZAmqVozoHa0mNWg2VfNgwg==</v>
      </c>
    </row>
    <row r="693" spans="1:25" ht="39.950000000000003" customHeight="1">
      <c r="A693">
        <v>689</v>
      </c>
      <c r="B693" t="s">
        <v>6445</v>
      </c>
      <c r="C693" t="s">
        <v>6446</v>
      </c>
      <c r="D693" t="s">
        <v>6447</v>
      </c>
      <c r="E693" t="s">
        <v>6448</v>
      </c>
      <c r="F693" t="s">
        <v>249</v>
      </c>
      <c r="G693" t="s">
        <v>922</v>
      </c>
      <c r="H693" t="s">
        <v>31</v>
      </c>
      <c r="I693" t="s">
        <v>6449</v>
      </c>
      <c r="J693" t="s">
        <v>3276</v>
      </c>
      <c r="K693" t="s">
        <v>6450</v>
      </c>
      <c r="L693" t="s">
        <v>486</v>
      </c>
      <c r="M693" t="s">
        <v>238</v>
      </c>
      <c r="N693" t="s">
        <v>6451</v>
      </c>
      <c r="O693" t="s">
        <v>186</v>
      </c>
      <c r="P693" t="s">
        <v>73</v>
      </c>
      <c r="Q693" t="s">
        <v>123</v>
      </c>
      <c r="R693" t="s">
        <v>124</v>
      </c>
      <c r="S693" t="s">
        <v>188</v>
      </c>
      <c r="T693" t="s">
        <v>687</v>
      </c>
      <c r="U693" t="s">
        <v>43</v>
      </c>
      <c r="V693" t="s">
        <v>6452</v>
      </c>
      <c r="W693" t="s">
        <v>6453</v>
      </c>
      <c r="Y693" t="str">
        <f>HYPERLINK("https://recruiter.shine.com/resume/download/?resumeid=gAAAAABbk2UMNPsqORUA85Tuo6szFegxmQkoRpe0v2EIvkLWdjWMlUS-K0oFWPpTibRRlCdo2zOB9YG-Mfh-BkPfUJcgeONXo5p4GY7lVIAZ5F94Q3wuRfA9kwwtVSNDuciQ2BSwWZI33iwRIOV0mr_MZ46PRZlXSkJ6NLOcR0697mbwvBdHQdk=")</f>
        <v>https://recruiter.shine.com/resume/download/?resumeid=gAAAAABbk2UMNPsqORUA85Tuo6szFegxmQkoRpe0v2EIvkLWdjWMlUS-K0oFWPpTibRRlCdo2zOB9YG-Mfh-BkPfUJcgeONXo5p4GY7lVIAZ5F94Q3wuRfA9kwwtVSNDuciQ2BSwWZI33iwRIOV0mr_MZ46PRZlXSkJ6NLOcR0697mbwvBdHQdk=</v>
      </c>
    </row>
    <row r="694" spans="1:25" ht="39.950000000000003" customHeight="1">
      <c r="A694">
        <v>690</v>
      </c>
      <c r="B694" t="s">
        <v>6454</v>
      </c>
      <c r="D694" t="s">
        <v>6455</v>
      </c>
      <c r="E694" t="s">
        <v>6456</v>
      </c>
      <c r="F694" t="s">
        <v>29</v>
      </c>
      <c r="G694" t="s">
        <v>67</v>
      </c>
      <c r="H694" t="s">
        <v>31</v>
      </c>
      <c r="I694" t="s">
        <v>4268</v>
      </c>
      <c r="J694" t="s">
        <v>408</v>
      </c>
      <c r="K694" t="s">
        <v>6457</v>
      </c>
      <c r="L694" t="s">
        <v>184</v>
      </c>
      <c r="M694" t="s">
        <v>238</v>
      </c>
      <c r="N694" t="s">
        <v>239</v>
      </c>
      <c r="O694" t="s">
        <v>56</v>
      </c>
      <c r="Q694" t="s">
        <v>365</v>
      </c>
      <c r="R694" t="s">
        <v>124</v>
      </c>
      <c r="S694" t="s">
        <v>1031</v>
      </c>
      <c r="T694" t="s">
        <v>110</v>
      </c>
      <c r="U694" t="s">
        <v>43</v>
      </c>
      <c r="V694" t="s">
        <v>6458</v>
      </c>
      <c r="W694" t="s">
        <v>6458</v>
      </c>
      <c r="Y694" t="str">
        <f>HYPERLINK("https://recruiter.shine.com/resume/download/?resumeid=gAAAAABbk2UO5e-iylOLYDDQDiGzlp997lkJj9ZLhcDPr9vyl_llSQQbHTdjbhnX7AIyhX0nUw8Z75Vb9RXRxgNYZ04dvVqWs2SWqmbVLgGoRq7OL8Xx2Yc15zA6aZttVs2cv9gxsORloO72FAw8hoFOBrfUi3oRLtC7qpBR_FLN8s3L6of7m5I=")</f>
        <v>https://recruiter.shine.com/resume/download/?resumeid=gAAAAABbk2UO5e-iylOLYDDQDiGzlp997lkJj9ZLhcDPr9vyl_llSQQbHTdjbhnX7AIyhX0nUw8Z75Vb9RXRxgNYZ04dvVqWs2SWqmbVLgGoRq7OL8Xx2Yc15zA6aZttVs2cv9gxsORloO72FAw8hoFOBrfUi3oRLtC7qpBR_FLN8s3L6of7m5I=</v>
      </c>
    </row>
    <row r="695" spans="1:25" ht="39.950000000000003" customHeight="1">
      <c r="A695">
        <v>691</v>
      </c>
      <c r="B695" t="s">
        <v>6459</v>
      </c>
      <c r="C695" t="s">
        <v>6460</v>
      </c>
      <c r="D695" t="s">
        <v>6461</v>
      </c>
      <c r="E695" t="s">
        <v>6462</v>
      </c>
      <c r="F695" t="s">
        <v>29</v>
      </c>
      <c r="G695" t="s">
        <v>6463</v>
      </c>
      <c r="H695" t="s">
        <v>31</v>
      </c>
      <c r="I695" t="s">
        <v>1826</v>
      </c>
      <c r="J695" t="s">
        <v>5039</v>
      </c>
      <c r="K695" t="s">
        <v>6464</v>
      </c>
      <c r="L695" t="s">
        <v>519</v>
      </c>
      <c r="M695" t="s">
        <v>6465</v>
      </c>
      <c r="N695" t="s">
        <v>6466</v>
      </c>
      <c r="O695" t="s">
        <v>186</v>
      </c>
      <c r="P695" t="s">
        <v>57</v>
      </c>
      <c r="Q695" t="s">
        <v>107</v>
      </c>
      <c r="R695" t="s">
        <v>559</v>
      </c>
      <c r="S695" t="s">
        <v>6467</v>
      </c>
      <c r="T695" t="s">
        <v>61</v>
      </c>
      <c r="U695" t="s">
        <v>43</v>
      </c>
      <c r="V695" t="s">
        <v>6468</v>
      </c>
      <c r="W695" t="s">
        <v>6469</v>
      </c>
      <c r="Y695" t="str">
        <f>HYPERLINK("https://recruiter.shine.com/resume/download/?resumeid=gAAAAABbk2UKO3EQNOcu5sWF6H9f-3DcGxW-XlkxiLKlHKQzXB0aorUcSu5QxlLy3EVd-bkAm5-zm2Lj6h8gpitq1JhjtLnOekYT7nfuHhyKSeRsesCqS8fZMq2D5i6Mr8k4WcszMNaJSYjBCJYedWtv2Gf_QyBW0jtsuWfNH275tB2qwqXlSJM=")</f>
        <v>https://recruiter.shine.com/resume/download/?resumeid=gAAAAABbk2UKO3EQNOcu5sWF6H9f-3DcGxW-XlkxiLKlHKQzXB0aorUcSu5QxlLy3EVd-bkAm5-zm2Lj6h8gpitq1JhjtLnOekYT7nfuHhyKSeRsesCqS8fZMq2D5i6Mr8k4WcszMNaJSYjBCJYedWtv2Gf_QyBW0jtsuWfNH275tB2qwqXlSJM=</v>
      </c>
    </row>
    <row r="696" spans="1:25" ht="39.950000000000003" customHeight="1">
      <c r="A696">
        <v>692</v>
      </c>
      <c r="B696" t="s">
        <v>6470</v>
      </c>
      <c r="C696" t="s">
        <v>6471</v>
      </c>
      <c r="D696" t="s">
        <v>6472</v>
      </c>
      <c r="E696" t="s">
        <v>6473</v>
      </c>
      <c r="F696" t="s">
        <v>29</v>
      </c>
      <c r="G696" t="s">
        <v>6474</v>
      </c>
      <c r="H696" t="s">
        <v>31</v>
      </c>
      <c r="I696" t="s">
        <v>196</v>
      </c>
      <c r="J696" t="s">
        <v>118</v>
      </c>
      <c r="K696" t="s">
        <v>154</v>
      </c>
      <c r="L696" t="s">
        <v>266</v>
      </c>
      <c r="M696" t="s">
        <v>105</v>
      </c>
      <c r="N696" t="s">
        <v>3285</v>
      </c>
      <c r="O696" t="s">
        <v>186</v>
      </c>
      <c r="P696" t="s">
        <v>57</v>
      </c>
      <c r="Q696" t="s">
        <v>107</v>
      </c>
      <c r="R696" t="s">
        <v>159</v>
      </c>
      <c r="S696" t="s">
        <v>188</v>
      </c>
      <c r="T696" t="s">
        <v>441</v>
      </c>
      <c r="U696" t="s">
        <v>43</v>
      </c>
      <c r="V696" t="s">
        <v>6475</v>
      </c>
      <c r="W696" t="s">
        <v>6476</v>
      </c>
      <c r="Y696" t="str">
        <f>HYPERLINK("https://recruiter.shine.com/resume/download/?resumeid=gAAAAABbk2UMjT5aa9hE6PsG0-nQyhl6VE3dfSL_TyOSAvRVvT00_UN6DtHZzGWKM8-Jxan1H6I31sc3teFYiC9S0Mgn5pPobVJv3CVdx0-O_L5jmKFdZFKghjblr32jiqOPXbQiQ6Ddf7ZI-H9_2r_NDWRm_wXoGg==")</f>
        <v>https://recruiter.shine.com/resume/download/?resumeid=gAAAAABbk2UMjT5aa9hE6PsG0-nQyhl6VE3dfSL_TyOSAvRVvT00_UN6DtHZzGWKM8-Jxan1H6I31sc3teFYiC9S0Mgn5pPobVJv3CVdx0-O_L5jmKFdZFKghjblr32jiqOPXbQiQ6Ddf7ZI-H9_2r_NDWRm_wXoGg==</v>
      </c>
    </row>
    <row r="697" spans="1:25" ht="39.950000000000003" customHeight="1">
      <c r="A697">
        <v>693</v>
      </c>
      <c r="B697" t="s">
        <v>6477</v>
      </c>
      <c r="C697" t="s">
        <v>6478</v>
      </c>
      <c r="D697" t="s">
        <v>6479</v>
      </c>
      <c r="E697" t="s">
        <v>6480</v>
      </c>
      <c r="F697" t="s">
        <v>29</v>
      </c>
      <c r="G697" t="s">
        <v>6481</v>
      </c>
      <c r="H697" t="s">
        <v>31</v>
      </c>
      <c r="I697" t="s">
        <v>4904</v>
      </c>
      <c r="J697" t="s">
        <v>118</v>
      </c>
      <c r="K697" t="s">
        <v>595</v>
      </c>
      <c r="L697" t="s">
        <v>486</v>
      </c>
      <c r="M697" t="s">
        <v>487</v>
      </c>
      <c r="N697" t="s">
        <v>6482</v>
      </c>
      <c r="O697" t="s">
        <v>186</v>
      </c>
      <c r="P697" t="s">
        <v>140</v>
      </c>
      <c r="Q697" t="s">
        <v>90</v>
      </c>
      <c r="R697" t="s">
        <v>292</v>
      </c>
      <c r="S697" t="s">
        <v>6483</v>
      </c>
      <c r="T697" t="s">
        <v>415</v>
      </c>
      <c r="U697" t="s">
        <v>43</v>
      </c>
      <c r="V697" t="s">
        <v>6484</v>
      </c>
      <c r="W697" t="s">
        <v>6485</v>
      </c>
      <c r="Y697" t="str">
        <f>HYPERLINK("https://recruiter.shine.com/resume/download/?resumeid=gAAAAABbk2UO7tqgky7b45LCIQ1u-ImuSoKdFZMmAOqSEfqfDhRx2DrAEE1mqNS13XgrarRlhTXpowfoTEz4wscNHCuK1R2Nn9-Vw7hhGa3V770dXETsWnc7_ukAr5gvW-7yajQa4f_T")</f>
        <v>https://recruiter.shine.com/resume/download/?resumeid=gAAAAABbk2UO7tqgky7b45LCIQ1u-ImuSoKdFZMmAOqSEfqfDhRx2DrAEE1mqNS13XgrarRlhTXpowfoTEz4wscNHCuK1R2Nn9-Vw7hhGa3V770dXETsWnc7_ukAr5gvW-7yajQa4f_T</v>
      </c>
    </row>
    <row r="698" spans="1:25" ht="39.950000000000003" customHeight="1">
      <c r="A698">
        <v>694</v>
      </c>
      <c r="B698" t="s">
        <v>6486</v>
      </c>
      <c r="D698" t="s">
        <v>6487</v>
      </c>
      <c r="E698" t="s">
        <v>6488</v>
      </c>
      <c r="F698" t="s">
        <v>29</v>
      </c>
      <c r="G698" t="s">
        <v>29</v>
      </c>
      <c r="H698" t="s">
        <v>31</v>
      </c>
      <c r="I698" t="s">
        <v>2354</v>
      </c>
      <c r="J698" t="s">
        <v>251</v>
      </c>
      <c r="K698" t="s">
        <v>6489</v>
      </c>
      <c r="L698" t="s">
        <v>120</v>
      </c>
      <c r="M698" t="s">
        <v>938</v>
      </c>
      <c r="N698" t="s">
        <v>6490</v>
      </c>
      <c r="O698" t="s">
        <v>224</v>
      </c>
      <c r="Q698" t="s">
        <v>365</v>
      </c>
      <c r="R698" t="s">
        <v>124</v>
      </c>
      <c r="S698" t="s">
        <v>6491</v>
      </c>
      <c r="U698" t="s">
        <v>127</v>
      </c>
      <c r="V698" t="s">
        <v>6492</v>
      </c>
      <c r="W698" t="s">
        <v>6493</v>
      </c>
    </row>
    <row r="699" spans="1:25" ht="39.950000000000003" customHeight="1">
      <c r="A699">
        <v>695</v>
      </c>
      <c r="B699" t="s">
        <v>6494</v>
      </c>
      <c r="C699" t="s">
        <v>6495</v>
      </c>
      <c r="D699" t="s">
        <v>6496</v>
      </c>
      <c r="E699" t="s">
        <v>6497</v>
      </c>
      <c r="F699" t="s">
        <v>29</v>
      </c>
      <c r="G699" t="s">
        <v>6498</v>
      </c>
      <c r="H699" t="s">
        <v>31</v>
      </c>
      <c r="I699" t="s">
        <v>3304</v>
      </c>
      <c r="J699" t="s">
        <v>715</v>
      </c>
      <c r="K699" t="s">
        <v>6499</v>
      </c>
      <c r="L699" t="s">
        <v>155</v>
      </c>
      <c r="M699" t="s">
        <v>473</v>
      </c>
      <c r="N699" t="s">
        <v>6500</v>
      </c>
      <c r="O699" t="s">
        <v>224</v>
      </c>
      <c r="P699" t="s">
        <v>57</v>
      </c>
      <c r="Q699" t="s">
        <v>107</v>
      </c>
      <c r="R699" t="s">
        <v>159</v>
      </c>
      <c r="S699" t="s">
        <v>6501</v>
      </c>
      <c r="T699" t="s">
        <v>77</v>
      </c>
      <c r="U699" t="s">
        <v>43</v>
      </c>
      <c r="V699" t="s">
        <v>6502</v>
      </c>
      <c r="W699" t="s">
        <v>6503</v>
      </c>
      <c r="Y699" t="str">
        <f>HYPERLINK("https://recruiter.shine.com/resume/download/?resumeid=gAAAAABbk2UMA_mu-mqrLRSCZylpl3wc8nxVWZwZBTubnwb69asNcA6PdtEiVdHfj6wRQ83bUXrCi0vTNHixKr-2aatEsaNtf_kVLUs7kBFK_j9OuSEGhHU7tc-Uilm5nctDMZCAScJnoJAVmui7_R_krQhpPOfRB_TFN0JjWvZNjYxSBbfaeq8=")</f>
        <v>https://recruiter.shine.com/resume/download/?resumeid=gAAAAABbk2UMA_mu-mqrLRSCZylpl3wc8nxVWZwZBTubnwb69asNcA6PdtEiVdHfj6wRQ83bUXrCi0vTNHixKr-2aatEsaNtf_kVLUs7kBFK_j9OuSEGhHU7tc-Uilm5nctDMZCAScJnoJAVmui7_R_krQhpPOfRB_TFN0JjWvZNjYxSBbfaeq8=</v>
      </c>
    </row>
    <row r="700" spans="1:25" ht="39.950000000000003" customHeight="1">
      <c r="A700">
        <v>696</v>
      </c>
      <c r="B700" t="s">
        <v>6504</v>
      </c>
      <c r="D700" t="s">
        <v>6505</v>
      </c>
      <c r="E700" t="s">
        <v>6506</v>
      </c>
      <c r="F700" t="s">
        <v>29</v>
      </c>
      <c r="G700" t="s">
        <v>67</v>
      </c>
      <c r="H700" t="s">
        <v>31</v>
      </c>
      <c r="I700" t="s">
        <v>6326</v>
      </c>
      <c r="J700" t="s">
        <v>251</v>
      </c>
      <c r="K700" t="s">
        <v>6507</v>
      </c>
      <c r="L700" t="s">
        <v>462</v>
      </c>
      <c r="M700" t="s">
        <v>105</v>
      </c>
      <c r="N700" t="s">
        <v>6508</v>
      </c>
      <c r="O700" t="s">
        <v>1245</v>
      </c>
      <c r="Q700" t="s">
        <v>40</v>
      </c>
      <c r="R700" t="s">
        <v>476</v>
      </c>
      <c r="S700" t="s">
        <v>6509</v>
      </c>
      <c r="T700" t="s">
        <v>161</v>
      </c>
      <c r="U700" t="s">
        <v>43</v>
      </c>
      <c r="V700" t="s">
        <v>6510</v>
      </c>
      <c r="W700" t="s">
        <v>6511</v>
      </c>
      <c r="Y700" t="str">
        <f>HYPERLINK("https://recruiter.shine.com/resume/download/?resumeid=gAAAAABbk2UNNaafbBPABwZW_At-gZMdW2IVrNRY_b5TZvAe2bG94JadGsemWvffllhTp1cnMdY0F-lZ9BMVfV8bhzOggZtQ7EbVOr7LJph367G5LqcfaS3oBVaAlowCysSZ_s0KB5_DwrxGz7TiHjrsgQr0yaWUQSCKR2HkhVbq6kMNE3h7k5I=")</f>
        <v>https://recruiter.shine.com/resume/download/?resumeid=gAAAAABbk2UNNaafbBPABwZW_At-gZMdW2IVrNRY_b5TZvAe2bG94JadGsemWvffllhTp1cnMdY0F-lZ9BMVfV8bhzOggZtQ7EbVOr7LJph367G5LqcfaS3oBVaAlowCysSZ_s0KB5_DwrxGz7TiHjrsgQr0yaWUQSCKR2HkhVbq6kMNE3h7k5I=</v>
      </c>
    </row>
    <row r="701" spans="1:25" ht="39.950000000000003" customHeight="1">
      <c r="A701">
        <v>697</v>
      </c>
      <c r="B701" t="s">
        <v>6512</v>
      </c>
      <c r="C701" t="s">
        <v>6513</v>
      </c>
      <c r="D701" t="s">
        <v>6514</v>
      </c>
      <c r="E701" t="s">
        <v>6515</v>
      </c>
      <c r="F701" t="s">
        <v>29</v>
      </c>
      <c r="G701" t="s">
        <v>29</v>
      </c>
      <c r="H701" t="s">
        <v>234</v>
      </c>
      <c r="I701" t="s">
        <v>1038</v>
      </c>
      <c r="J701" t="s">
        <v>3265</v>
      </c>
      <c r="K701" t="s">
        <v>6516</v>
      </c>
      <c r="L701" t="s">
        <v>314</v>
      </c>
      <c r="M701" t="s">
        <v>1755</v>
      </c>
      <c r="N701" t="s">
        <v>6517</v>
      </c>
      <c r="O701" t="s">
        <v>56</v>
      </c>
      <c r="P701" t="s">
        <v>57</v>
      </c>
      <c r="Q701" t="s">
        <v>123</v>
      </c>
      <c r="R701" t="s">
        <v>124</v>
      </c>
      <c r="S701" t="s">
        <v>6518</v>
      </c>
      <c r="T701" t="s">
        <v>144</v>
      </c>
      <c r="U701" t="s">
        <v>43</v>
      </c>
      <c r="V701" t="s">
        <v>6519</v>
      </c>
      <c r="W701" t="s">
        <v>6520</v>
      </c>
      <c r="Y701" t="str">
        <f>HYPERLINK("https://recruiter.shine.com/resume/download/?resumeid=gAAAAABbk2UKeWBKJ2k9HBGP9Ufwue8DMBM4dfvdafToW9_43CWqbxzggN3TJH3xeU-EJ6DYM0-8Ciyq_FbQk7T5SeFghUykrtmRbZSQkC7WJaH5SV5AoQNfSs3A_F2Qv4Eahx1wQuZPvQdIbc9t4vhdKWjeNPM3ZQ==")</f>
        <v>https://recruiter.shine.com/resume/download/?resumeid=gAAAAABbk2UKeWBKJ2k9HBGP9Ufwue8DMBM4dfvdafToW9_43CWqbxzggN3TJH3xeU-EJ6DYM0-8Ciyq_FbQk7T5SeFghUykrtmRbZSQkC7WJaH5SV5AoQNfSs3A_F2Qv4Eahx1wQuZPvQdIbc9t4vhdKWjeNPM3ZQ==</v>
      </c>
    </row>
    <row r="702" spans="1:25" ht="39.950000000000003" customHeight="1">
      <c r="A702">
        <v>698</v>
      </c>
      <c r="B702" t="s">
        <v>6521</v>
      </c>
      <c r="C702" t="s">
        <v>4230</v>
      </c>
      <c r="D702" t="s">
        <v>6522</v>
      </c>
      <c r="E702" t="s">
        <v>4232</v>
      </c>
      <c r="F702" t="s">
        <v>29</v>
      </c>
      <c r="G702" t="s">
        <v>29</v>
      </c>
      <c r="H702" t="s">
        <v>31</v>
      </c>
      <c r="I702" t="s">
        <v>6100</v>
      </c>
      <c r="J702" t="s">
        <v>6523</v>
      </c>
      <c r="K702" t="s">
        <v>6524</v>
      </c>
      <c r="L702" t="s">
        <v>290</v>
      </c>
      <c r="M702" t="s">
        <v>315</v>
      </c>
      <c r="N702" t="s">
        <v>6525</v>
      </c>
      <c r="O702" t="s">
        <v>186</v>
      </c>
      <c r="P702" t="s">
        <v>73</v>
      </c>
      <c r="Q702" t="s">
        <v>90</v>
      </c>
      <c r="R702" t="s">
        <v>292</v>
      </c>
      <c r="S702" t="s">
        <v>188</v>
      </c>
      <c r="T702" t="s">
        <v>441</v>
      </c>
      <c r="U702" t="s">
        <v>94</v>
      </c>
      <c r="V702" t="s">
        <v>6526</v>
      </c>
      <c r="W702" t="s">
        <v>6527</v>
      </c>
      <c r="Y702" t="str">
        <f>HYPERLINK("https://recruiter.shine.com/resume/download/?resumeid=gAAAAABbk2UMXR0kt-rWy2kvXzAx2Li5VhjpHnyoLo4hzk6ag1V6nPJDILUz45ozOhpORaabUabUm-5qzMtZLao20XyFXnRGKdoScqAtmtVCTf9yTOaNr2dDPWljZ6--r3iA5_mXnjENXBOoH8GJEGj_hj5WR_WIigZT5xyvx20w9B4VHncVCRk=")</f>
        <v>https://recruiter.shine.com/resume/download/?resumeid=gAAAAABbk2UMXR0kt-rWy2kvXzAx2Li5VhjpHnyoLo4hzk6ag1V6nPJDILUz45ozOhpORaabUabUm-5qzMtZLao20XyFXnRGKdoScqAtmtVCTf9yTOaNr2dDPWljZ6--r3iA5_mXnjENXBOoH8GJEGj_hj5WR_WIigZT5xyvx20w9B4VHncVCRk=</v>
      </c>
    </row>
    <row r="703" spans="1:25" ht="39.950000000000003" customHeight="1">
      <c r="A703">
        <v>699</v>
      </c>
      <c r="B703" t="s">
        <v>6528</v>
      </c>
      <c r="C703" t="s">
        <v>6529</v>
      </c>
      <c r="D703" t="s">
        <v>6530</v>
      </c>
      <c r="E703" t="s">
        <v>6531</v>
      </c>
      <c r="F703" t="s">
        <v>29</v>
      </c>
      <c r="G703" t="s">
        <v>6532</v>
      </c>
      <c r="H703" t="s">
        <v>31</v>
      </c>
      <c r="I703" t="s">
        <v>1774</v>
      </c>
      <c r="J703" t="s">
        <v>299</v>
      </c>
      <c r="K703" t="s">
        <v>6533</v>
      </c>
      <c r="L703" t="s">
        <v>88</v>
      </c>
      <c r="M703" t="s">
        <v>5640</v>
      </c>
      <c r="N703" t="s">
        <v>6534</v>
      </c>
      <c r="O703" t="s">
        <v>186</v>
      </c>
      <c r="Q703" t="s">
        <v>74</v>
      </c>
      <c r="R703" t="s">
        <v>225</v>
      </c>
      <c r="S703" t="s">
        <v>6535</v>
      </c>
      <c r="T703" t="s">
        <v>625</v>
      </c>
      <c r="U703" t="s">
        <v>127</v>
      </c>
      <c r="V703" t="s">
        <v>6536</v>
      </c>
      <c r="W703" t="s">
        <v>6537</v>
      </c>
      <c r="Y703" t="str">
        <f>HYPERLINK("https://recruiter.shine.com/resume/download/?resumeid=gAAAAABbk2UO1OhvsYlzGdid28NoE6FdLdiymiHAy1Gupwgmp2hCNGkx2v3Wo5mzm5UG8DJuECurL-Dxchs5bUTd1JWYbJmIw1hWjS0PBTD28tByPYizaQCMqafqnBSnkDg6ZHldpaI-p0bGJt4KpfF8k6nTliLtaExnM98pWxQjcPuuXIY51_U=")</f>
        <v>https://recruiter.shine.com/resume/download/?resumeid=gAAAAABbk2UO1OhvsYlzGdid28NoE6FdLdiymiHAy1Gupwgmp2hCNGkx2v3Wo5mzm5UG8DJuECurL-Dxchs5bUTd1JWYbJmIw1hWjS0PBTD28tByPYizaQCMqafqnBSnkDg6ZHldpaI-p0bGJt4KpfF8k6nTliLtaExnM98pWxQjcPuuXIY51_U=</v>
      </c>
    </row>
    <row r="704" spans="1:25" ht="39.950000000000003" customHeight="1">
      <c r="A704">
        <v>700</v>
      </c>
      <c r="B704" t="s">
        <v>6538</v>
      </c>
      <c r="C704" t="s">
        <v>3892</v>
      </c>
      <c r="D704" t="s">
        <v>6539</v>
      </c>
      <c r="E704" t="s">
        <v>6540</v>
      </c>
      <c r="F704" t="s">
        <v>29</v>
      </c>
      <c r="G704" t="s">
        <v>29</v>
      </c>
      <c r="H704" t="s">
        <v>234</v>
      </c>
      <c r="I704" t="s">
        <v>3745</v>
      </c>
      <c r="J704" t="s">
        <v>517</v>
      </c>
      <c r="K704" t="s">
        <v>6541</v>
      </c>
      <c r="L704" t="s">
        <v>937</v>
      </c>
      <c r="M704" t="s">
        <v>1335</v>
      </c>
      <c r="N704" t="s">
        <v>6542</v>
      </c>
      <c r="O704" t="s">
        <v>585</v>
      </c>
      <c r="P704" t="s">
        <v>57</v>
      </c>
      <c r="Q704" t="s">
        <v>123</v>
      </c>
      <c r="R704" t="s">
        <v>124</v>
      </c>
      <c r="S704" t="s">
        <v>6543</v>
      </c>
      <c r="U704" t="s">
        <v>43</v>
      </c>
      <c r="V704" t="s">
        <v>6544</v>
      </c>
      <c r="W704" t="s">
        <v>6545</v>
      </c>
      <c r="Y704" t="str">
        <f>HYPERLINK("https://recruiter.shine.com/resume/download/?resumeid=gAAAAABbk2ULm-AP3eLMpGsew1SJDis3OkiQW9n-NKi42T2Km4uSezMtLfBmWkqfIUDfUoZylW6eg7J4BMr8MomVvBiaJ7VMvedkaYCxfWRYnzZtYyRKWmTnOYScBfO8A_ZsxoqV5j8y8rXnekC3LZOntfWtR2CHQ6jQwj_lb2XWpkmOHAac5kk=")</f>
        <v>https://recruiter.shine.com/resume/download/?resumeid=gAAAAABbk2ULm-AP3eLMpGsew1SJDis3OkiQW9n-NKi42T2Km4uSezMtLfBmWkqfIUDfUoZylW6eg7J4BMr8MomVvBiaJ7VMvedkaYCxfWRYnzZtYyRKWmTnOYScBfO8A_ZsxoqV5j8y8rXnekC3LZOntfWtR2CHQ6jQwj_lb2XWpkmOHAac5kk=</v>
      </c>
    </row>
    <row r="705" spans="1:25" ht="39.950000000000003" customHeight="1">
      <c r="A705">
        <v>701</v>
      </c>
      <c r="B705" t="s">
        <v>6546</v>
      </c>
      <c r="D705" t="s">
        <v>6547</v>
      </c>
      <c r="E705" t="s">
        <v>6548</v>
      </c>
      <c r="F705" t="s">
        <v>29</v>
      </c>
      <c r="G705" t="s">
        <v>29</v>
      </c>
      <c r="I705" t="s">
        <v>825</v>
      </c>
      <c r="J705" t="s">
        <v>801</v>
      </c>
      <c r="K705" t="s">
        <v>6549</v>
      </c>
      <c r="L705" t="s">
        <v>266</v>
      </c>
      <c r="M705" t="s">
        <v>105</v>
      </c>
      <c r="N705" t="s">
        <v>6550</v>
      </c>
      <c r="O705" t="s">
        <v>186</v>
      </c>
      <c r="P705" t="s">
        <v>57</v>
      </c>
      <c r="Q705" t="s">
        <v>158</v>
      </c>
      <c r="R705" t="s">
        <v>159</v>
      </c>
      <c r="S705" t="s">
        <v>6551</v>
      </c>
      <c r="T705" t="s">
        <v>304</v>
      </c>
      <c r="U705" t="s">
        <v>43</v>
      </c>
      <c r="V705" t="s">
        <v>6552</v>
      </c>
      <c r="W705" t="s">
        <v>6553</v>
      </c>
      <c r="Y705" t="str">
        <f>HYPERLINK("https://recruiter.shine.com/resume/download/?resumeid=gAAAAABbk2UM1Pr9ygwJBWMLIOSfv4mwqzVf7g0KLJBM7H31Uw7pi1xUCy-6d41GHzpYhKltfBO7eJ6qzc-aeWS1JeJGECva9Zx7U1q26bbK_jY43bQSb7kQhZgRWmuqh4ne3A12uX0DmFfF8t766mbePcEE2L4ZGQ==")</f>
        <v>https://recruiter.shine.com/resume/download/?resumeid=gAAAAABbk2UM1Pr9ygwJBWMLIOSfv4mwqzVf7g0KLJBM7H31Uw7pi1xUCy-6d41GHzpYhKltfBO7eJ6qzc-aeWS1JeJGECva9Zx7U1q26bbK_jY43bQSb7kQhZgRWmuqh4ne3A12uX0DmFfF8t766mbePcEE2L4ZGQ==</v>
      </c>
    </row>
    <row r="706" spans="1:25" ht="39.950000000000003" customHeight="1">
      <c r="A706">
        <v>702</v>
      </c>
      <c r="B706" t="s">
        <v>6554</v>
      </c>
      <c r="D706" t="s">
        <v>6555</v>
      </c>
      <c r="E706" t="s">
        <v>6556</v>
      </c>
      <c r="F706" t="s">
        <v>29</v>
      </c>
      <c r="G706" t="s">
        <v>67</v>
      </c>
      <c r="H706" t="s">
        <v>31</v>
      </c>
      <c r="I706" t="s">
        <v>2188</v>
      </c>
      <c r="J706" t="s">
        <v>299</v>
      </c>
      <c r="K706" t="s">
        <v>4259</v>
      </c>
      <c r="L706" t="s">
        <v>266</v>
      </c>
      <c r="M706" t="s">
        <v>5640</v>
      </c>
      <c r="N706" t="s">
        <v>5465</v>
      </c>
      <c r="O706" t="s">
        <v>186</v>
      </c>
      <c r="Q706" t="s">
        <v>158</v>
      </c>
      <c r="R706" t="s">
        <v>159</v>
      </c>
      <c r="S706" t="s">
        <v>6557</v>
      </c>
      <c r="T706" t="s">
        <v>429</v>
      </c>
      <c r="U706" t="s">
        <v>43</v>
      </c>
      <c r="V706" t="s">
        <v>6558</v>
      </c>
      <c r="W706" t="s">
        <v>6559</v>
      </c>
      <c r="Y706" t="str">
        <f>HYPERLINK("https://recruiter.shine.com/resume/download/?resumeid=gAAAAABbk2UNWk00IeuKCgo0iZQhAM9SVKiPWwXPZvVc3J6_4WIkC445UcyiP15LwfeRS3FAYudAjtwPz653tzODs1OuJnQs22cx_TkBeHQ7-rtJHmbHKgT5yDjjj8_VqCJ2Fm931Q-nyv2tk2la9KKkBUQvxizBPA==")</f>
        <v>https://recruiter.shine.com/resume/download/?resumeid=gAAAAABbk2UNWk00IeuKCgo0iZQhAM9SVKiPWwXPZvVc3J6_4WIkC445UcyiP15LwfeRS3FAYudAjtwPz653tzODs1OuJnQs22cx_TkBeHQ7-rtJHmbHKgT5yDjjj8_VqCJ2Fm931Q-nyv2tk2la9KKkBUQvxizBPA==</v>
      </c>
    </row>
    <row r="707" spans="1:25" ht="39.950000000000003" customHeight="1">
      <c r="A707">
        <v>703</v>
      </c>
      <c r="B707" t="s">
        <v>6560</v>
      </c>
      <c r="D707" t="s">
        <v>6561</v>
      </c>
      <c r="E707" t="s">
        <v>6562</v>
      </c>
      <c r="F707" t="s">
        <v>29</v>
      </c>
      <c r="G707" t="s">
        <v>6563</v>
      </c>
      <c r="H707" t="s">
        <v>234</v>
      </c>
      <c r="I707" t="s">
        <v>134</v>
      </c>
      <c r="J707" t="s">
        <v>1742</v>
      </c>
      <c r="K707" t="s">
        <v>6564</v>
      </c>
      <c r="L707" t="s">
        <v>137</v>
      </c>
      <c r="M707" t="s">
        <v>121</v>
      </c>
      <c r="N707" t="s">
        <v>6565</v>
      </c>
      <c r="O707" t="s">
        <v>186</v>
      </c>
      <c r="Q707" t="s">
        <v>40</v>
      </c>
      <c r="R707" t="s">
        <v>760</v>
      </c>
      <c r="S707" t="s">
        <v>748</v>
      </c>
      <c r="U707" t="s">
        <v>43</v>
      </c>
      <c r="V707" t="s">
        <v>6566</v>
      </c>
      <c r="W707" t="s">
        <v>6566</v>
      </c>
      <c r="Y707" t="str">
        <f>HYPERLINK("https://recruiter.shine.com/resume/download/?resumeid=gAAAAABbk2ULW-6B_I5SAKPz1Ojz906iGEvwaNzDalomPhifLvVD2FFeKNS7SP9JbNvohE9OB_iQWloYdscuobGf0SP0ArtYtUg2FTeTUQuGzTHIgEez3y1MC5lmGP0bJrQ5fTPuRCWH7LGrwfOrmyuZ2b8s_xOLQw==")</f>
        <v>https://recruiter.shine.com/resume/download/?resumeid=gAAAAABbk2ULW-6B_I5SAKPz1Ojz906iGEvwaNzDalomPhifLvVD2FFeKNS7SP9JbNvohE9OB_iQWloYdscuobGf0SP0ArtYtUg2FTeTUQuGzTHIgEez3y1MC5lmGP0bJrQ5fTPuRCWH7LGrwfOrmyuZ2b8s_xOLQw==</v>
      </c>
    </row>
    <row r="708" spans="1:25" ht="39.950000000000003" customHeight="1">
      <c r="A708">
        <v>704</v>
      </c>
      <c r="B708" t="s">
        <v>6567</v>
      </c>
      <c r="C708" t="s">
        <v>6568</v>
      </c>
      <c r="D708" t="s">
        <v>6569</v>
      </c>
      <c r="E708" t="s">
        <v>6570</v>
      </c>
      <c r="F708" t="s">
        <v>29</v>
      </c>
      <c r="G708" t="s">
        <v>29</v>
      </c>
      <c r="H708" t="s">
        <v>31</v>
      </c>
      <c r="I708" t="s">
        <v>32</v>
      </c>
      <c r="J708" t="s">
        <v>1785</v>
      </c>
      <c r="K708" t="s">
        <v>1609</v>
      </c>
      <c r="L708" t="s">
        <v>155</v>
      </c>
      <c r="M708" t="s">
        <v>473</v>
      </c>
      <c r="N708" t="s">
        <v>6571</v>
      </c>
      <c r="O708" t="s">
        <v>475</v>
      </c>
      <c r="P708" t="s">
        <v>57</v>
      </c>
      <c r="Q708" t="s">
        <v>107</v>
      </c>
      <c r="R708" t="s">
        <v>159</v>
      </c>
      <c r="S708" t="s">
        <v>598</v>
      </c>
      <c r="T708" t="s">
        <v>851</v>
      </c>
      <c r="U708" t="s">
        <v>43</v>
      </c>
      <c r="V708" t="s">
        <v>6572</v>
      </c>
      <c r="W708" t="s">
        <v>6572</v>
      </c>
      <c r="Y708" t="str">
        <f>HYPERLINK("https://recruiter.shine.com/resume/download/?resumeid=gAAAAABbk2UND9DkFq53VySM0vnmgL61LfpmgzLI3KnEWlclp9hm0YO4hoaAxHE67elxvb42O-cvySeou1B1ZjPV5b20v3FrzeI2gCVpnhfkldCl0wXC39diOl8wRO7km6z0EvUM_6TbLwDX77-CWg9I6IDIGNgHP5KDqfk715YkCmtpxxz2y6s=")</f>
        <v>https://recruiter.shine.com/resume/download/?resumeid=gAAAAABbk2UND9DkFq53VySM0vnmgL61LfpmgzLI3KnEWlclp9hm0YO4hoaAxHE67elxvb42O-cvySeou1B1ZjPV5b20v3FrzeI2gCVpnhfkldCl0wXC39diOl8wRO7km6z0EvUM_6TbLwDX77-CWg9I6IDIGNgHP5KDqfk715YkCmtpxxz2y6s=</v>
      </c>
    </row>
    <row r="709" spans="1:25" ht="39.950000000000003" customHeight="1">
      <c r="A709">
        <v>705</v>
      </c>
      <c r="B709" t="s">
        <v>6573</v>
      </c>
      <c r="D709" t="s">
        <v>6574</v>
      </c>
      <c r="E709" t="s">
        <v>6575</v>
      </c>
      <c r="F709" t="s">
        <v>29</v>
      </c>
      <c r="G709" t="s">
        <v>67</v>
      </c>
      <c r="H709" t="s">
        <v>31</v>
      </c>
      <c r="I709" t="s">
        <v>6576</v>
      </c>
      <c r="J709" t="s">
        <v>169</v>
      </c>
      <c r="K709" t="s">
        <v>6577</v>
      </c>
      <c r="L709" t="s">
        <v>2834</v>
      </c>
      <c r="M709" t="s">
        <v>105</v>
      </c>
      <c r="N709" t="s">
        <v>6578</v>
      </c>
      <c r="O709" t="s">
        <v>1377</v>
      </c>
      <c r="P709" t="s">
        <v>73</v>
      </c>
      <c r="Q709" t="s">
        <v>107</v>
      </c>
      <c r="R709" t="s">
        <v>559</v>
      </c>
      <c r="S709" t="s">
        <v>6579</v>
      </c>
      <c r="T709" t="s">
        <v>429</v>
      </c>
      <c r="U709" t="s">
        <v>127</v>
      </c>
      <c r="V709" t="s">
        <v>6580</v>
      </c>
      <c r="W709" t="s">
        <v>6581</v>
      </c>
      <c r="Y709" t="str">
        <f>HYPERLINK("https://recruiter.shine.com/resume/download/?resumeid=gAAAAABbk2UNfMCt0UccaT9LplKkmTDScs_k1NLWIifFE-U116OaGv0_oMbA-ubhOn85s9XPoKudRmo5xer685qULuGh2j-oXml18P4x6XujcioZ3GJVgoXFVk1YckP9WIkqGG2AG3gCXNLDILkBBq8fzp2Wj_Lqo0HRWR2WC6ZTo0a_t4MoU6I=")</f>
        <v>https://recruiter.shine.com/resume/download/?resumeid=gAAAAABbk2UNfMCt0UccaT9LplKkmTDScs_k1NLWIifFE-U116OaGv0_oMbA-ubhOn85s9XPoKudRmo5xer685qULuGh2j-oXml18P4x6XujcioZ3GJVgoXFVk1YckP9WIkqGG2AG3gCXNLDILkBBq8fzp2Wj_Lqo0HRWR2WC6ZTo0a_t4MoU6I=</v>
      </c>
    </row>
    <row r="710" spans="1:25" ht="39.950000000000003" customHeight="1">
      <c r="A710">
        <v>706</v>
      </c>
      <c r="B710" t="s">
        <v>6582</v>
      </c>
      <c r="C710" t="s">
        <v>6583</v>
      </c>
      <c r="D710" t="s">
        <v>6584</v>
      </c>
      <c r="E710" t="s">
        <v>6585</v>
      </c>
      <c r="F710" t="s">
        <v>29</v>
      </c>
      <c r="G710" t="s">
        <v>6586</v>
      </c>
      <c r="H710" t="s">
        <v>31</v>
      </c>
      <c r="I710" t="s">
        <v>825</v>
      </c>
      <c r="J710" t="s">
        <v>871</v>
      </c>
      <c r="K710" t="s">
        <v>6587</v>
      </c>
      <c r="L710" t="s">
        <v>301</v>
      </c>
      <c r="M710" t="s">
        <v>339</v>
      </c>
      <c r="N710" t="s">
        <v>6588</v>
      </c>
      <c r="O710" t="s">
        <v>157</v>
      </c>
      <c r="P710" t="s">
        <v>201</v>
      </c>
      <c r="Q710" t="s">
        <v>40</v>
      </c>
      <c r="R710" t="s">
        <v>41</v>
      </c>
      <c r="S710" t="s">
        <v>6589</v>
      </c>
      <c r="T710" t="s">
        <v>161</v>
      </c>
      <c r="U710" t="s">
        <v>43</v>
      </c>
      <c r="V710" t="s">
        <v>6590</v>
      </c>
      <c r="W710" t="s">
        <v>6591</v>
      </c>
      <c r="Y710" t="str">
        <f>HYPERLINK("https://recruiter.shine.com/resume/download/?resumeid=gAAAAABbk2ULAzhdGOQrbFqCd9DjP-MkUkZaTnKi9YIzs9xEZkXWnOanFZa9sNYdV-l7D6PjFeoiGphFlK7iKTzccPhYbtvtRzm9ow-Vm_rzH8xDZUBgZq_S1W6p8K0JVBlplfC5NV_o4ghW36fVYoPC--R4s91W9w==")</f>
        <v>https://recruiter.shine.com/resume/download/?resumeid=gAAAAABbk2ULAzhdGOQrbFqCd9DjP-MkUkZaTnKi9YIzs9xEZkXWnOanFZa9sNYdV-l7D6PjFeoiGphFlK7iKTzccPhYbtvtRzm9ow-Vm_rzH8xDZUBgZq_S1W6p8K0JVBlplfC5NV_o4ghW36fVYoPC--R4s91W9w==</v>
      </c>
    </row>
    <row r="711" spans="1:25" ht="39.950000000000003" customHeight="1">
      <c r="A711">
        <v>707</v>
      </c>
      <c r="B711" t="s">
        <v>6592</v>
      </c>
      <c r="C711" t="s">
        <v>4487</v>
      </c>
      <c r="D711" t="s">
        <v>6593</v>
      </c>
      <c r="E711" t="s">
        <v>6594</v>
      </c>
      <c r="F711" t="s">
        <v>29</v>
      </c>
      <c r="G711" t="s">
        <v>30</v>
      </c>
      <c r="H711" t="s">
        <v>31</v>
      </c>
      <c r="I711" t="s">
        <v>1093</v>
      </c>
      <c r="J711" t="s">
        <v>135</v>
      </c>
      <c r="K711" t="s">
        <v>518</v>
      </c>
      <c r="L711" t="s">
        <v>664</v>
      </c>
      <c r="M711" t="s">
        <v>1124</v>
      </c>
      <c r="N711" t="s">
        <v>6595</v>
      </c>
      <c r="O711" t="s">
        <v>38</v>
      </c>
      <c r="P711" t="s">
        <v>57</v>
      </c>
      <c r="Q711" t="s">
        <v>107</v>
      </c>
      <c r="R711" t="s">
        <v>2302</v>
      </c>
      <c r="S711" t="s">
        <v>6596</v>
      </c>
      <c r="T711" t="s">
        <v>441</v>
      </c>
      <c r="U711" t="s">
        <v>43</v>
      </c>
      <c r="V711" t="s">
        <v>6597</v>
      </c>
      <c r="W711" t="s">
        <v>6598</v>
      </c>
      <c r="Y711" t="str">
        <f>HYPERLINK("https://recruiter.shine.com/resume/download/?resumeid=gAAAAABbk2UMECqjmx_271oPYcuDVUu8OUXDb_GD46JxMbSP3mbYAeTgeSck1BUe7hNnDed10gkbiqNrPR3TDY4vsnKsTYMZXtDw1oSV6yxAEPnP6DrtMsRbhfCjFv3igMeBoGkeQEXJMAyEgpixXl7rAurcO9VufA==")</f>
        <v>https://recruiter.shine.com/resume/download/?resumeid=gAAAAABbk2UMECqjmx_271oPYcuDVUu8OUXDb_GD46JxMbSP3mbYAeTgeSck1BUe7hNnDed10gkbiqNrPR3TDY4vsnKsTYMZXtDw1oSV6yxAEPnP6DrtMsRbhfCjFv3igMeBoGkeQEXJMAyEgpixXl7rAurcO9VufA==</v>
      </c>
    </row>
    <row r="712" spans="1:25" ht="39.950000000000003" customHeight="1">
      <c r="A712">
        <v>708</v>
      </c>
      <c r="B712" t="s">
        <v>6599</v>
      </c>
      <c r="D712" t="s">
        <v>6600</v>
      </c>
      <c r="E712" t="s">
        <v>6601</v>
      </c>
      <c r="F712" t="s">
        <v>29</v>
      </c>
      <c r="G712" t="s">
        <v>67</v>
      </c>
      <c r="H712" t="s">
        <v>31</v>
      </c>
      <c r="I712" t="s">
        <v>362</v>
      </c>
      <c r="J712" t="s">
        <v>135</v>
      </c>
      <c r="L712" t="s">
        <v>363</v>
      </c>
      <c r="M712" t="s">
        <v>364</v>
      </c>
      <c r="P712" t="s">
        <v>940</v>
      </c>
      <c r="Q712" t="s">
        <v>158</v>
      </c>
      <c r="R712" t="s">
        <v>864</v>
      </c>
      <c r="S712" t="s">
        <v>6602</v>
      </c>
      <c r="T712" t="s">
        <v>429</v>
      </c>
      <c r="U712" t="s">
        <v>43</v>
      </c>
      <c r="V712" t="s">
        <v>6603</v>
      </c>
      <c r="W712" t="s">
        <v>6604</v>
      </c>
      <c r="Y712" t="str">
        <f>HYPERLINK("https://recruiter.shine.com/resume/download/?resumeid=gAAAAABbk2UNQxThB8BEpszpp9UaHOxt8daFYGzRsD1Z4LPnAYpqJZJks2Ajv8TLt-DIy5WG9GhZCDppTq5jdGQEC7KduIuQ2cE_RPgcKXC-Cb6EGP-Rb6CocNWgsKmbBSMFHO-OtfKjG6PlkKrUdVW-DA9W1iA6yw==")</f>
        <v>https://recruiter.shine.com/resume/download/?resumeid=gAAAAABbk2UNQxThB8BEpszpp9UaHOxt8daFYGzRsD1Z4LPnAYpqJZJks2Ajv8TLt-DIy5WG9GhZCDppTq5jdGQEC7KduIuQ2cE_RPgcKXC-Cb6EGP-Rb6CocNWgsKmbBSMFHO-OtfKjG6PlkKrUdVW-DA9W1iA6yw==</v>
      </c>
    </row>
    <row r="713" spans="1:25" ht="39.950000000000003" customHeight="1">
      <c r="A713">
        <v>709</v>
      </c>
      <c r="B713" t="s">
        <v>6605</v>
      </c>
      <c r="C713" t="s">
        <v>6606</v>
      </c>
      <c r="D713" t="s">
        <v>6607</v>
      </c>
      <c r="E713" t="s">
        <v>6608</v>
      </c>
      <c r="F713" t="s">
        <v>29</v>
      </c>
      <c r="G713" t="s">
        <v>6609</v>
      </c>
      <c r="H713" t="s">
        <v>31</v>
      </c>
      <c r="I713" t="s">
        <v>32</v>
      </c>
      <c r="J713" t="s">
        <v>6610</v>
      </c>
      <c r="K713" t="s">
        <v>6611</v>
      </c>
      <c r="L713" t="s">
        <v>450</v>
      </c>
      <c r="M713" t="s">
        <v>105</v>
      </c>
      <c r="N713" t="s">
        <v>6612</v>
      </c>
      <c r="O713" t="s">
        <v>38</v>
      </c>
      <c r="P713" t="s">
        <v>73</v>
      </c>
      <c r="Q713" t="s">
        <v>90</v>
      </c>
      <c r="R713" t="s">
        <v>317</v>
      </c>
      <c r="S713" t="s">
        <v>6613</v>
      </c>
      <c r="T713" t="s">
        <v>2817</v>
      </c>
      <c r="U713" t="s">
        <v>94</v>
      </c>
      <c r="V713" t="s">
        <v>6614</v>
      </c>
      <c r="W713" t="s">
        <v>6615</v>
      </c>
      <c r="Y713" t="str">
        <f>HYPERLINK("https://recruiter.shine.com/resume/download/?resumeid=gAAAAABbk2ULKgy59oOSCCUxnDX9VEoNoFlsd-uYoMqihHl0pNoyA7CJMDykXg9zxrt46AHZsz_ZYSoPM571MexpYyv14ef31pzho8ZubCAEEKqsL5RId_TJSIaZXRC64-Pyn5yheP5cBRFut446R67VdL_zwUVqKIyNup4WMNuRbey0Z7Cvj_0=")</f>
        <v>https://recruiter.shine.com/resume/download/?resumeid=gAAAAABbk2ULKgy59oOSCCUxnDX9VEoNoFlsd-uYoMqihHl0pNoyA7CJMDykXg9zxrt46AHZsz_ZYSoPM571MexpYyv14ef31pzho8ZubCAEEKqsL5RId_TJSIaZXRC64-Pyn5yheP5cBRFut446R67VdL_zwUVqKIyNup4WMNuRbey0Z7Cvj_0=</v>
      </c>
    </row>
    <row r="714" spans="1:25" ht="39.950000000000003" customHeight="1">
      <c r="A714">
        <v>710</v>
      </c>
      <c r="B714" t="s">
        <v>6616</v>
      </c>
      <c r="C714" t="s">
        <v>6617</v>
      </c>
      <c r="D714" t="s">
        <v>6618</v>
      </c>
      <c r="E714" t="s">
        <v>6619</v>
      </c>
      <c r="F714" t="s">
        <v>29</v>
      </c>
      <c r="G714" t="s">
        <v>29</v>
      </c>
      <c r="H714" t="s">
        <v>31</v>
      </c>
      <c r="I714" t="s">
        <v>32</v>
      </c>
      <c r="J714" t="s">
        <v>4996</v>
      </c>
      <c r="K714" t="s">
        <v>6620</v>
      </c>
      <c r="L714" t="s">
        <v>266</v>
      </c>
      <c r="M714" t="s">
        <v>105</v>
      </c>
      <c r="N714" t="s">
        <v>6621</v>
      </c>
      <c r="O714" t="s">
        <v>186</v>
      </c>
      <c r="P714" t="s">
        <v>140</v>
      </c>
      <c r="Q714" t="s">
        <v>107</v>
      </c>
      <c r="R714" t="s">
        <v>341</v>
      </c>
      <c r="S714" t="s">
        <v>6622</v>
      </c>
      <c r="T714" t="s">
        <v>941</v>
      </c>
      <c r="U714" t="s">
        <v>43</v>
      </c>
      <c r="V714" t="s">
        <v>6623</v>
      </c>
      <c r="W714" t="s">
        <v>6623</v>
      </c>
      <c r="Y714" t="str">
        <f>HYPERLINK("https://recruiter.shine.com/resume/download/?resumeid=gAAAAABbk2UMo19vIH8ityCYmnzHoP6m14qXHUbKEsTGEK8APXNROiTs6X6Jabl8MkbUq9nodR8BP68VvY2Yb_X1ZDzi6b4eQiAtJyuSxzvTQSRyr92nzkzLVjw2iIuMi1DVGwd065rD9mIGYU2tV-oQdbJuU9QcLIV6nv3l1hfoJrz0rErEhqU=")</f>
        <v>https://recruiter.shine.com/resume/download/?resumeid=gAAAAABbk2UMo19vIH8ityCYmnzHoP6m14qXHUbKEsTGEK8APXNROiTs6X6Jabl8MkbUq9nodR8BP68VvY2Yb_X1ZDzi6b4eQiAtJyuSxzvTQSRyr92nzkzLVjw2iIuMi1DVGwd065rD9mIGYU2tV-oQdbJuU9QcLIV6nv3l1hfoJrz0rErEhqU=</v>
      </c>
    </row>
    <row r="715" spans="1:25" ht="39.950000000000003" customHeight="1">
      <c r="A715">
        <v>711</v>
      </c>
      <c r="B715" t="s">
        <v>6624</v>
      </c>
      <c r="C715" t="s">
        <v>6625</v>
      </c>
      <c r="D715" t="s">
        <v>6626</v>
      </c>
      <c r="E715" t="s">
        <v>6627</v>
      </c>
      <c r="F715" t="s">
        <v>29</v>
      </c>
      <c r="G715" t="s">
        <v>29</v>
      </c>
      <c r="H715" t="s">
        <v>31</v>
      </c>
      <c r="I715" t="s">
        <v>4543</v>
      </c>
      <c r="J715" t="s">
        <v>135</v>
      </c>
      <c r="K715" t="s">
        <v>6628</v>
      </c>
      <c r="L715" t="s">
        <v>5851</v>
      </c>
      <c r="M715" t="s">
        <v>121</v>
      </c>
      <c r="N715" t="s">
        <v>6629</v>
      </c>
      <c r="O715" t="s">
        <v>38</v>
      </c>
      <c r="Q715" t="s">
        <v>107</v>
      </c>
      <c r="R715" t="s">
        <v>546</v>
      </c>
      <c r="S715" t="s">
        <v>6630</v>
      </c>
      <c r="T715" t="s">
        <v>625</v>
      </c>
      <c r="U715" t="s">
        <v>43</v>
      </c>
      <c r="V715" t="s">
        <v>6631</v>
      </c>
      <c r="W715" t="s">
        <v>6632</v>
      </c>
      <c r="Y715" t="str">
        <f>HYPERLINK("https://recruiter.shine.com/resume/download/?resumeid=gAAAAABbk2UOEzsgK1qohzbthtOHPy5cis4OjtFMWODZOomuOxlb2oyL-gXHin_P6t5Sb0NbYVC9Lz9ggSIYqGTdYX459MQa8FikFs04ggo43rVuPwndMGWz0SyuifQfzoNaxE-93TbiM-AirSx0P-8EvHyqLAdietzrIWow77SeYya_gZT-3-E=")</f>
        <v>https://recruiter.shine.com/resume/download/?resumeid=gAAAAABbk2UOEzsgK1qohzbthtOHPy5cis4OjtFMWODZOomuOxlb2oyL-gXHin_P6t5Sb0NbYVC9Lz9ggSIYqGTdYX459MQa8FikFs04ggo43rVuPwndMGWz0SyuifQfzoNaxE-93TbiM-AirSx0P-8EvHyqLAdietzrIWow77SeYya_gZT-3-E=</v>
      </c>
    </row>
    <row r="716" spans="1:25" ht="39.950000000000003" customHeight="1">
      <c r="A716">
        <v>712</v>
      </c>
      <c r="B716" t="s">
        <v>6633</v>
      </c>
      <c r="C716" t="s">
        <v>6634</v>
      </c>
      <c r="D716" t="s">
        <v>6635</v>
      </c>
      <c r="E716" t="s">
        <v>6636</v>
      </c>
      <c r="F716" t="s">
        <v>29</v>
      </c>
      <c r="G716" t="s">
        <v>29</v>
      </c>
      <c r="H716" t="s">
        <v>31</v>
      </c>
      <c r="I716" t="s">
        <v>32</v>
      </c>
      <c r="J716" t="s">
        <v>1513</v>
      </c>
      <c r="K716" t="s">
        <v>6637</v>
      </c>
      <c r="L716" t="s">
        <v>266</v>
      </c>
      <c r="M716" t="s">
        <v>105</v>
      </c>
      <c r="N716" t="s">
        <v>6638</v>
      </c>
      <c r="O716" t="s">
        <v>56</v>
      </c>
      <c r="P716" t="s">
        <v>140</v>
      </c>
      <c r="Q716" t="s">
        <v>158</v>
      </c>
      <c r="R716" t="s">
        <v>559</v>
      </c>
      <c r="S716" t="s">
        <v>6639</v>
      </c>
      <c r="T716" t="s">
        <v>851</v>
      </c>
      <c r="U716" t="s">
        <v>43</v>
      </c>
      <c r="V716" t="s">
        <v>6640</v>
      </c>
      <c r="W716" t="s">
        <v>6641</v>
      </c>
      <c r="Y716" t="str">
        <f>HYPERLINK("https://recruiter.shine.com/resume/download/?resumeid=gAAAAABbk2UKA5kJCeq_Pjf67cwq-nujBVgrlDUhbQFMG8VrkQzaBcVUG31BFI1myPZ6BnnRVON1b8PALahjgo5whNuSsEDMC0EFv4WKTy2WD-oVYK6KlMiQIkfaTr-EcKs-zwqhozyVTAtCY4Gg8ivjxDXTG-FfSQ==")</f>
        <v>https://recruiter.shine.com/resume/download/?resumeid=gAAAAABbk2UKA5kJCeq_Pjf67cwq-nujBVgrlDUhbQFMG8VrkQzaBcVUG31BFI1myPZ6BnnRVON1b8PALahjgo5whNuSsEDMC0EFv4WKTy2WD-oVYK6KlMiQIkfaTr-EcKs-zwqhozyVTAtCY4Gg8ivjxDXTG-FfSQ==</v>
      </c>
    </row>
    <row r="717" spans="1:25" ht="39.950000000000003" customHeight="1">
      <c r="A717">
        <v>713</v>
      </c>
      <c r="B717" t="s">
        <v>6642</v>
      </c>
      <c r="D717" t="s">
        <v>6643</v>
      </c>
      <c r="E717" t="s">
        <v>6644</v>
      </c>
      <c r="F717" t="s">
        <v>29</v>
      </c>
      <c r="G717" t="s">
        <v>29</v>
      </c>
      <c r="H717" t="s">
        <v>31</v>
      </c>
      <c r="I717" t="s">
        <v>32</v>
      </c>
      <c r="J717" t="s">
        <v>6645</v>
      </c>
      <c r="K717" t="s">
        <v>6646</v>
      </c>
      <c r="L717" t="s">
        <v>596</v>
      </c>
      <c r="M717" t="s">
        <v>2845</v>
      </c>
      <c r="N717" t="s">
        <v>6647</v>
      </c>
      <c r="O717" t="s">
        <v>1041</v>
      </c>
      <c r="Q717" t="s">
        <v>158</v>
      </c>
      <c r="R717" t="s">
        <v>341</v>
      </c>
      <c r="S717" t="s">
        <v>6648</v>
      </c>
      <c r="T717" t="s">
        <v>281</v>
      </c>
      <c r="U717" t="s">
        <v>43</v>
      </c>
      <c r="V717" t="s">
        <v>6649</v>
      </c>
      <c r="W717" t="s">
        <v>6650</v>
      </c>
      <c r="Y717" t="str">
        <f>HYPERLINK("https://recruiter.shine.com/resume/download/?resumeid=gAAAAABbk2UNn11cj68we1SH-jt-HS0V6HP_JXjom2efpveIMDKQSioyFiwDY_Rhb0U_ZMOyIVXVxr0wpVGmzSDQzlo7cIpgDxV-uyLUTg203Z2tkW4wCThB3xPpo_NXNukBdtxdQ9Y00m2xxsmPbJ8aTmnBSD3uyA==")</f>
        <v>https://recruiter.shine.com/resume/download/?resumeid=gAAAAABbk2UNn11cj68we1SH-jt-HS0V6HP_JXjom2efpveIMDKQSioyFiwDY_Rhb0U_ZMOyIVXVxr0wpVGmzSDQzlo7cIpgDxV-uyLUTg203Z2tkW4wCThB3xPpo_NXNukBdtxdQ9Y00m2xxsmPbJ8aTmnBSD3uyA==</v>
      </c>
    </row>
    <row r="718" spans="1:25" ht="39.950000000000003" customHeight="1">
      <c r="A718">
        <v>714</v>
      </c>
      <c r="B718" t="s">
        <v>6651</v>
      </c>
      <c r="D718" t="s">
        <v>6652</v>
      </c>
      <c r="E718" t="s">
        <v>6653</v>
      </c>
      <c r="F718" t="s">
        <v>29</v>
      </c>
      <c r="G718" t="s">
        <v>67</v>
      </c>
      <c r="H718" t="s">
        <v>234</v>
      </c>
      <c r="I718" t="s">
        <v>1072</v>
      </c>
      <c r="J718" t="s">
        <v>705</v>
      </c>
      <c r="K718" t="s">
        <v>6654</v>
      </c>
      <c r="L718" t="s">
        <v>6189</v>
      </c>
      <c r="M718" t="s">
        <v>121</v>
      </c>
      <c r="N718" t="s">
        <v>6655</v>
      </c>
      <c r="O718" t="s">
        <v>475</v>
      </c>
      <c r="Q718" t="s">
        <v>123</v>
      </c>
      <c r="R718" t="s">
        <v>124</v>
      </c>
      <c r="S718" t="s">
        <v>6656</v>
      </c>
      <c r="T718" t="s">
        <v>304</v>
      </c>
      <c r="U718" t="s">
        <v>43</v>
      </c>
      <c r="V718" t="s">
        <v>6657</v>
      </c>
      <c r="W718" t="s">
        <v>6658</v>
      </c>
      <c r="Y718" t="str">
        <f>HYPERLINK("https://recruiter.shine.com/resume/download/?resumeid=gAAAAABbk2UOobgzbKjnjwjQyGOlEl0eSGF5Kheyln3c_B-eHS2kd2fDN2dLT6VXo6rmPiUGvTbL8n4IvYedrDz2xNvai37883PutCrteeuGX7PIDvXTOh5rvy7TwcEVRGOZ66A3X7D66P955RUV-Gm06rh9bAatdosolVmfnxaESw4T2tskRSM=")</f>
        <v>https://recruiter.shine.com/resume/download/?resumeid=gAAAAABbk2UOobgzbKjnjwjQyGOlEl0eSGF5Kheyln3c_B-eHS2kd2fDN2dLT6VXo6rmPiUGvTbL8n4IvYedrDz2xNvai37883PutCrteeuGX7PIDvXTOh5rvy7TwcEVRGOZ66A3X7D66P955RUV-Gm06rh9bAatdosolVmfnxaESw4T2tskRSM=</v>
      </c>
    </row>
    <row r="719" spans="1:25" ht="39.950000000000003" customHeight="1">
      <c r="A719">
        <v>715</v>
      </c>
      <c r="B719" t="s">
        <v>6659</v>
      </c>
      <c r="C719" t="s">
        <v>6660</v>
      </c>
      <c r="D719" t="s">
        <v>6661</v>
      </c>
      <c r="E719" t="s">
        <v>6662</v>
      </c>
      <c r="F719" t="s">
        <v>29</v>
      </c>
      <c r="G719" t="s">
        <v>6663</v>
      </c>
      <c r="H719" t="s">
        <v>31</v>
      </c>
      <c r="I719" t="s">
        <v>825</v>
      </c>
      <c r="J719" t="s">
        <v>51</v>
      </c>
      <c r="K719" t="s">
        <v>6664</v>
      </c>
      <c r="L719" t="s">
        <v>253</v>
      </c>
      <c r="M719" t="s">
        <v>1446</v>
      </c>
      <c r="N719" t="s">
        <v>291</v>
      </c>
      <c r="O719" t="s">
        <v>186</v>
      </c>
      <c r="P719" t="s">
        <v>39</v>
      </c>
      <c r="Q719" t="s">
        <v>187</v>
      </c>
      <c r="R719" t="s">
        <v>124</v>
      </c>
      <c r="S719" t="s">
        <v>6665</v>
      </c>
      <c r="T719" t="s">
        <v>304</v>
      </c>
      <c r="U719" t="s">
        <v>43</v>
      </c>
      <c r="V719" t="s">
        <v>6666</v>
      </c>
      <c r="W719" t="s">
        <v>6667</v>
      </c>
      <c r="Y719" t="str">
        <f>HYPERLINK("https://recruiter.shine.com/resume/download/?resumeid=gAAAAABbk2ULUI5lkMuIfQwheVHS7rCT4Zmn2z_awJvcZwHn8D_56_bpHax0DrKwhG0eZ-495ubmio9s3BXEBRAj2E2gftOq2A6Dnu1IbclluLZJbAnUAMA-xAAeDZj0ahba8qMJO4F0Tuc2kSDObK6pyMsSsorHsWQafk2jfSCz_TRZHfTeROM=")</f>
        <v>https://recruiter.shine.com/resume/download/?resumeid=gAAAAABbk2ULUI5lkMuIfQwheVHS7rCT4Zmn2z_awJvcZwHn8D_56_bpHax0DrKwhG0eZ-495ubmio9s3BXEBRAj2E2gftOq2A6Dnu1IbclluLZJbAnUAMA-xAAeDZj0ahba8qMJO4F0Tuc2kSDObK6pyMsSsorHsWQafk2jfSCz_TRZHfTeROM=</v>
      </c>
    </row>
    <row r="720" spans="1:25" ht="39.950000000000003" customHeight="1">
      <c r="A720">
        <v>716</v>
      </c>
      <c r="B720" t="s">
        <v>6668</v>
      </c>
      <c r="C720" t="s">
        <v>6669</v>
      </c>
      <c r="D720" t="s">
        <v>6670</v>
      </c>
      <c r="E720" t="s">
        <v>6671</v>
      </c>
      <c r="F720" t="s">
        <v>29</v>
      </c>
      <c r="G720" t="s">
        <v>6672</v>
      </c>
      <c r="H720" t="s">
        <v>31</v>
      </c>
      <c r="I720" t="s">
        <v>3016</v>
      </c>
      <c r="J720" t="s">
        <v>1166</v>
      </c>
      <c r="K720" t="s">
        <v>6673</v>
      </c>
      <c r="L720" t="s">
        <v>354</v>
      </c>
      <c r="M720" t="s">
        <v>105</v>
      </c>
      <c r="N720" t="s">
        <v>156</v>
      </c>
      <c r="O720" t="s">
        <v>224</v>
      </c>
      <c r="P720" t="s">
        <v>73</v>
      </c>
      <c r="Q720" t="s">
        <v>783</v>
      </c>
      <c r="R720" t="s">
        <v>292</v>
      </c>
      <c r="S720" t="s">
        <v>2759</v>
      </c>
      <c r="T720" t="s">
        <v>625</v>
      </c>
      <c r="U720" t="s">
        <v>127</v>
      </c>
      <c r="V720" t="s">
        <v>6674</v>
      </c>
      <c r="W720" t="s">
        <v>6675</v>
      </c>
      <c r="Y720" t="str">
        <f>HYPERLINK("https://recruiter.shine.com/resume/download/?resumeid=gAAAAABbk2UMFHWJjQzg-K-GHnPE4lGpXkpY2d7huF3H2q31XOG3yzxxPkc4YDA2nfGR5vGiWTXql80h3-yucL74u7vBaqwx-rAgYAJjhHYyFug6w5HV5pAwL0VpGAQIixid65s6XhH9V-B8hZ5xoJW238qbWOa8QcEsnNg1_LynpCS-mARMVQg=")</f>
        <v>https://recruiter.shine.com/resume/download/?resumeid=gAAAAABbk2UMFHWJjQzg-K-GHnPE4lGpXkpY2d7huF3H2q31XOG3yzxxPkc4YDA2nfGR5vGiWTXql80h3-yucL74u7vBaqwx-rAgYAJjhHYyFug6w5HV5pAwL0VpGAQIixid65s6XhH9V-B8hZ5xoJW238qbWOa8QcEsnNg1_LynpCS-mARMVQg=</v>
      </c>
    </row>
    <row r="721" spans="1:25" ht="39.950000000000003" customHeight="1">
      <c r="A721">
        <v>717</v>
      </c>
      <c r="B721" t="s">
        <v>6676</v>
      </c>
      <c r="C721" t="s">
        <v>6677</v>
      </c>
      <c r="D721" t="s">
        <v>6678</v>
      </c>
      <c r="E721" t="s">
        <v>6679</v>
      </c>
      <c r="F721" t="s">
        <v>29</v>
      </c>
      <c r="G721" t="s">
        <v>67</v>
      </c>
      <c r="H721" t="s">
        <v>31</v>
      </c>
      <c r="I721" t="s">
        <v>4268</v>
      </c>
      <c r="J721" t="s">
        <v>1608</v>
      </c>
      <c r="K721" t="s">
        <v>6680</v>
      </c>
      <c r="L721" t="s">
        <v>1889</v>
      </c>
      <c r="M721" t="s">
        <v>138</v>
      </c>
      <c r="N721" t="s">
        <v>6681</v>
      </c>
      <c r="O721" t="s">
        <v>186</v>
      </c>
      <c r="P721" t="s">
        <v>57</v>
      </c>
      <c r="Q721" t="s">
        <v>4181</v>
      </c>
      <c r="R721" t="s">
        <v>4565</v>
      </c>
      <c r="S721" t="s">
        <v>6682</v>
      </c>
      <c r="T721" t="s">
        <v>415</v>
      </c>
      <c r="U721" t="s">
        <v>43</v>
      </c>
      <c r="V721" t="s">
        <v>6683</v>
      </c>
      <c r="W721" t="s">
        <v>6684</v>
      </c>
      <c r="Y721" t="str">
        <f>HYPERLINK("https://recruiter.shine.com/resume/download/?resumeid=gAAAAABbk2UNBr56eiB482iIUh1zB6JUfle5g8qi_vMOCQShcorPGRT4NP6L25JFNMcvebKzq0rrgAXuQWQ-4gKTZcaQbg_ELzgPlGcoXErJQ1fKz4BqJKATt0tCGm-udWhOgZDdumbQ5DHuGZ_epSOpr-MoaWnRZD9ELkayQUOcrsomfz2w-iM=")</f>
        <v>https://recruiter.shine.com/resume/download/?resumeid=gAAAAABbk2UNBr56eiB482iIUh1zB6JUfle5g8qi_vMOCQShcorPGRT4NP6L25JFNMcvebKzq0rrgAXuQWQ-4gKTZcaQbg_ELzgPlGcoXErJQ1fKz4BqJKATt0tCGm-udWhOgZDdumbQ5DHuGZ_epSOpr-MoaWnRZD9ELkayQUOcrsomfz2w-iM=</v>
      </c>
    </row>
    <row r="722" spans="1:25" ht="39.950000000000003" customHeight="1">
      <c r="A722">
        <v>718</v>
      </c>
      <c r="B722" t="s">
        <v>6685</v>
      </c>
      <c r="C722" t="s">
        <v>6686</v>
      </c>
      <c r="D722" t="s">
        <v>6687</v>
      </c>
      <c r="E722" t="s">
        <v>6688</v>
      </c>
      <c r="F722" t="s">
        <v>29</v>
      </c>
      <c r="G722" t="s">
        <v>29</v>
      </c>
      <c r="H722" t="s">
        <v>234</v>
      </c>
      <c r="I722" t="s">
        <v>6048</v>
      </c>
      <c r="J722" t="s">
        <v>251</v>
      </c>
      <c r="K722" t="s">
        <v>6689</v>
      </c>
      <c r="L722" t="s">
        <v>3566</v>
      </c>
      <c r="M722" t="s">
        <v>172</v>
      </c>
      <c r="N722" t="s">
        <v>6690</v>
      </c>
      <c r="O722" t="s">
        <v>157</v>
      </c>
      <c r="Q722" t="s">
        <v>41</v>
      </c>
      <c r="R722" t="s">
        <v>4556</v>
      </c>
      <c r="S722" t="s">
        <v>6691</v>
      </c>
      <c r="T722" t="s">
        <v>144</v>
      </c>
      <c r="U722" t="s">
        <v>43</v>
      </c>
      <c r="V722" t="s">
        <v>6692</v>
      </c>
      <c r="W722" t="s">
        <v>6693</v>
      </c>
      <c r="Y722" t="str">
        <f>HYPERLINK("https://recruiter.shine.com/resume/download/?resumeid=gAAAAABbk2UL8tJsC21teoC8BebeBXYRuFMXHX9mjyu6tHt7eYTCOxKygY91F69N3F9E1ptMnkvCuqhTMsi_lLKCD7rREDmKZkz_coX7ftlspzW_8stRIJZ2sNMG1Ks28Kno2vvY1NSdcwuJf_2w5Ex2hF19UYg6fg==")</f>
        <v>https://recruiter.shine.com/resume/download/?resumeid=gAAAAABbk2UL8tJsC21teoC8BebeBXYRuFMXHX9mjyu6tHt7eYTCOxKygY91F69N3F9E1ptMnkvCuqhTMsi_lLKCD7rREDmKZkz_coX7ftlspzW_8stRIJZ2sNMG1Ks28Kno2vvY1NSdcwuJf_2w5Ex2hF19UYg6fg==</v>
      </c>
    </row>
    <row r="723" spans="1:25" ht="39.950000000000003" customHeight="1">
      <c r="A723">
        <v>719</v>
      </c>
      <c r="B723" t="s">
        <v>6694</v>
      </c>
      <c r="C723" t="s">
        <v>6695</v>
      </c>
      <c r="D723" t="s">
        <v>6696</v>
      </c>
      <c r="E723" t="s">
        <v>6697</v>
      </c>
      <c r="F723" t="s">
        <v>29</v>
      </c>
      <c r="G723" t="s">
        <v>1495</v>
      </c>
      <c r="H723" t="s">
        <v>31</v>
      </c>
      <c r="I723" t="s">
        <v>5030</v>
      </c>
      <c r="J723" t="s">
        <v>102</v>
      </c>
      <c r="K723" t="s">
        <v>6698</v>
      </c>
      <c r="L723" t="s">
        <v>104</v>
      </c>
      <c r="M723" t="s">
        <v>105</v>
      </c>
      <c r="N723" t="s">
        <v>6699</v>
      </c>
      <c r="O723" t="s">
        <v>56</v>
      </c>
      <c r="P723" t="s">
        <v>57</v>
      </c>
      <c r="Q723" t="s">
        <v>107</v>
      </c>
      <c r="R723" t="s">
        <v>341</v>
      </c>
      <c r="S723" t="s">
        <v>188</v>
      </c>
      <c r="T723" t="s">
        <v>429</v>
      </c>
      <c r="U723" t="s">
        <v>43</v>
      </c>
      <c r="V723" t="s">
        <v>6700</v>
      </c>
      <c r="W723" t="s">
        <v>6700</v>
      </c>
      <c r="Y723" t="str">
        <f>HYPERLINK("https://recruiter.shine.com/resume/download/?resumeid=gAAAAABbk2UM612WxM_AwhBvJ70RkL0HaOEDjpIWrzKc6uyrafBSCurJj3CXT8J0aSwj0stWG2eklIXxFbgqK1R3nwG00Jw2jYY79RUP7W9OqjQGyXPSKROwt535nSWtvY04N6IJKfd8MXHeXQgMGO4ztp5sx0S1P74EHrgXB2Gz5SnlpXB1QvE=")</f>
        <v>https://recruiter.shine.com/resume/download/?resumeid=gAAAAABbk2UM612WxM_AwhBvJ70RkL0HaOEDjpIWrzKc6uyrafBSCurJj3CXT8J0aSwj0stWG2eklIXxFbgqK1R3nwG00Jw2jYY79RUP7W9OqjQGyXPSKROwt535nSWtvY04N6IJKfd8MXHeXQgMGO4ztp5sx0S1P74EHrgXB2Gz5SnlpXB1QvE=</v>
      </c>
    </row>
    <row r="724" spans="1:25" ht="39.950000000000003" customHeight="1">
      <c r="A724">
        <v>720</v>
      </c>
      <c r="B724" t="s">
        <v>6701</v>
      </c>
      <c r="C724" t="s">
        <v>6702</v>
      </c>
      <c r="D724" t="s">
        <v>6703</v>
      </c>
      <c r="E724" t="s">
        <v>6704</v>
      </c>
      <c r="F724" t="s">
        <v>29</v>
      </c>
      <c r="G724" t="s">
        <v>67</v>
      </c>
      <c r="H724" t="s">
        <v>234</v>
      </c>
      <c r="I724" t="s">
        <v>6705</v>
      </c>
      <c r="J724" t="s">
        <v>3265</v>
      </c>
      <c r="K724" t="s">
        <v>6706</v>
      </c>
      <c r="L724" t="s">
        <v>1643</v>
      </c>
      <c r="M724" t="s">
        <v>172</v>
      </c>
      <c r="N724" t="s">
        <v>6707</v>
      </c>
      <c r="O724" t="s">
        <v>572</v>
      </c>
      <c r="Q724" t="s">
        <v>489</v>
      </c>
      <c r="R724" t="s">
        <v>91</v>
      </c>
      <c r="S724" t="s">
        <v>188</v>
      </c>
      <c r="T724" t="s">
        <v>144</v>
      </c>
      <c r="U724" t="s">
        <v>43</v>
      </c>
      <c r="V724" t="s">
        <v>6708</v>
      </c>
      <c r="W724" t="s">
        <v>6709</v>
      </c>
      <c r="Y724" t="str">
        <f>HYPERLINK("https://recruiter.shine.com/resume/download/?resumeid=gAAAAABbk2UN_BucSOUwv6wSGw4cG6KP2puxoQd-3a7n7mwGLklXd27x5q9ZJSAxt9Rc7m6YSAt1x4TtSEb2j8GYE5pz1S__wdKOXDanGpzng1lNAliSJUTpO78AJrzLfvU9aWzd4i6h8HpCvLN48yrBhmYZMCtJ-rd1PNUoQup-b3uEgQESoy8=")</f>
        <v>https://recruiter.shine.com/resume/download/?resumeid=gAAAAABbk2UN_BucSOUwv6wSGw4cG6KP2puxoQd-3a7n7mwGLklXd27x5q9ZJSAxt9Rc7m6YSAt1x4TtSEb2j8GYE5pz1S__wdKOXDanGpzng1lNAliSJUTpO78AJrzLfvU9aWzd4i6h8HpCvLN48yrBhmYZMCtJ-rd1PNUoQup-b3uEgQESoy8=</v>
      </c>
    </row>
    <row r="725" spans="1:25" ht="39.950000000000003" customHeight="1">
      <c r="A725">
        <v>721</v>
      </c>
      <c r="B725" t="s">
        <v>6710</v>
      </c>
      <c r="C725" t="s">
        <v>6711</v>
      </c>
      <c r="D725" t="s">
        <v>6712</v>
      </c>
      <c r="E725" t="s">
        <v>6713</v>
      </c>
      <c r="F725" t="s">
        <v>29</v>
      </c>
      <c r="G725" t="s">
        <v>67</v>
      </c>
      <c r="H725" t="s">
        <v>31</v>
      </c>
      <c r="I725" t="s">
        <v>208</v>
      </c>
      <c r="J725" t="s">
        <v>801</v>
      </c>
      <c r="K725" t="s">
        <v>6714</v>
      </c>
      <c r="L725" t="s">
        <v>2199</v>
      </c>
      <c r="M725" t="s">
        <v>36</v>
      </c>
      <c r="N725" t="s">
        <v>6715</v>
      </c>
      <c r="O725" t="s">
        <v>157</v>
      </c>
      <c r="P725" t="s">
        <v>73</v>
      </c>
      <c r="Q725" t="s">
        <v>699</v>
      </c>
      <c r="R725" t="s">
        <v>1235</v>
      </c>
      <c r="S725" t="s">
        <v>6716</v>
      </c>
      <c r="T725" t="s">
        <v>2358</v>
      </c>
      <c r="U725" t="s">
        <v>43</v>
      </c>
      <c r="V725" t="s">
        <v>6717</v>
      </c>
      <c r="W725" t="s">
        <v>6718</v>
      </c>
      <c r="Y725" t="str">
        <f>HYPERLINK("https://recruiter.shine.com/resume/download/?resumeid=gAAAAABbk2ULtxF1vs2pi-v0FyC8WKmefK5XyKNhzpGX709vjKjd7eAIkYztnVLKuTNMDuUqcE4cYNQwtg3Ft-_0UZ2pAV422UG0FDPUmdvzLy9nEJ1aNHskhoKyoi-uZqtqoVwzF-wJ0dSdUAz1vfXRtJB2NX5QYIT2oNwYqcOYcnQd2jmYDu8=")</f>
        <v>https://recruiter.shine.com/resume/download/?resumeid=gAAAAABbk2ULtxF1vs2pi-v0FyC8WKmefK5XyKNhzpGX709vjKjd7eAIkYztnVLKuTNMDuUqcE4cYNQwtg3Ft-_0UZ2pAV422UG0FDPUmdvzLy9nEJ1aNHskhoKyoi-uZqtqoVwzF-wJ0dSdUAz1vfXRtJB2NX5QYIT2oNwYqcOYcnQd2jmYDu8=</v>
      </c>
    </row>
    <row r="726" spans="1:25" ht="39.950000000000003" customHeight="1">
      <c r="A726">
        <v>722</v>
      </c>
      <c r="B726" t="s">
        <v>6719</v>
      </c>
      <c r="D726" t="s">
        <v>6720</v>
      </c>
      <c r="E726" t="s">
        <v>6721</v>
      </c>
      <c r="F726" t="s">
        <v>29</v>
      </c>
      <c r="G726" t="s">
        <v>6722</v>
      </c>
      <c r="H726" t="s">
        <v>31</v>
      </c>
      <c r="I726" t="s">
        <v>860</v>
      </c>
      <c r="J726" t="s">
        <v>935</v>
      </c>
      <c r="K726" t="s">
        <v>1167</v>
      </c>
      <c r="L726" t="s">
        <v>237</v>
      </c>
      <c r="M726" t="s">
        <v>238</v>
      </c>
      <c r="N726" t="s">
        <v>6723</v>
      </c>
      <c r="O726" t="s">
        <v>585</v>
      </c>
      <c r="P726" t="s">
        <v>73</v>
      </c>
      <c r="Q726" t="s">
        <v>90</v>
      </c>
      <c r="R726" t="s">
        <v>292</v>
      </c>
      <c r="S726" t="s">
        <v>6724</v>
      </c>
      <c r="T726" t="s">
        <v>110</v>
      </c>
      <c r="U726" t="s">
        <v>43</v>
      </c>
      <c r="V726" t="s">
        <v>6725</v>
      </c>
      <c r="W726" t="s">
        <v>6726</v>
      </c>
      <c r="Y726" t="str">
        <f>HYPERLINK("https://recruiter.shine.com/resume/download/?resumeid=gAAAAABbk2UMXomqJ_W39QRuYKqk-3fjT_Yju_4gwcsBglGqoL_k2znTfB3Tp7kZHgp0ox4J892GP80SVbxfOamdVkcBWAYtczbxsON5xpN_OtzM4iOB_jOMQvieYAhOTMgQYh2TFAdOsuK94jmOSArbOmn3eezCfV-tITsnIgzMUFqbyp_rSRI=")</f>
        <v>https://recruiter.shine.com/resume/download/?resumeid=gAAAAABbk2UMXomqJ_W39QRuYKqk-3fjT_Yju_4gwcsBglGqoL_k2znTfB3Tp7kZHgp0ox4J892GP80SVbxfOamdVkcBWAYtczbxsON5xpN_OtzM4iOB_jOMQvieYAhOTMgQYh2TFAdOsuK94jmOSArbOmn3eezCfV-tITsnIgzMUFqbyp_rSRI=</v>
      </c>
    </row>
    <row r="727" spans="1:25" ht="39.950000000000003" customHeight="1">
      <c r="A727">
        <v>723</v>
      </c>
      <c r="B727" t="s">
        <v>6727</v>
      </c>
      <c r="D727" t="s">
        <v>6728</v>
      </c>
      <c r="E727" t="s">
        <v>6729</v>
      </c>
      <c r="F727" t="s">
        <v>29</v>
      </c>
      <c r="G727" t="s">
        <v>67</v>
      </c>
      <c r="H727" t="s">
        <v>234</v>
      </c>
      <c r="I727" t="s">
        <v>362</v>
      </c>
      <c r="J727" t="s">
        <v>135</v>
      </c>
      <c r="L727" t="s">
        <v>363</v>
      </c>
      <c r="M727" t="s">
        <v>364</v>
      </c>
      <c r="Q727" t="s">
        <v>1880</v>
      </c>
      <c r="R727" t="s">
        <v>6730</v>
      </c>
      <c r="S727" t="s">
        <v>6731</v>
      </c>
      <c r="T727" t="s">
        <v>625</v>
      </c>
      <c r="U727" t="s">
        <v>43</v>
      </c>
      <c r="V727" t="s">
        <v>6732</v>
      </c>
      <c r="W727" t="s">
        <v>6733</v>
      </c>
      <c r="Y727" t="str">
        <f>HYPERLINK("https://recruiter.shine.com/resume/download/?resumeid=gAAAAABbk2UN1WzAb5qzzh6iiinQuvokW5rCs3nD-OIIxDuMd7cOZDR1KRZSQvgdv22Cl5h3FFyeum_gBIiUtV5M7yrLxOTmgT5la9US1w7s4FidUEWU1CFtHoZz6oA-HkjMFkrgE0jZylnoorREnVWsoVc4MAJpaLOfAvQXCPlRlH3LcJRBals=")</f>
        <v>https://recruiter.shine.com/resume/download/?resumeid=gAAAAABbk2UN1WzAb5qzzh6iiinQuvokW5rCs3nD-OIIxDuMd7cOZDR1KRZSQvgdv22Cl5h3FFyeum_gBIiUtV5M7yrLxOTmgT5la9US1w7s4FidUEWU1CFtHoZz6oA-HkjMFkrgE0jZylnoorREnVWsoVc4MAJpaLOfAvQXCPlRlH3LcJRBals=</v>
      </c>
    </row>
    <row r="728" spans="1:25" ht="39.950000000000003" customHeight="1">
      <c r="A728">
        <v>724</v>
      </c>
      <c r="B728" t="s">
        <v>6734</v>
      </c>
      <c r="C728" t="s">
        <v>6735</v>
      </c>
      <c r="D728" t="s">
        <v>6736</v>
      </c>
      <c r="E728" t="s">
        <v>6737</v>
      </c>
      <c r="F728" t="s">
        <v>29</v>
      </c>
      <c r="G728" t="s">
        <v>29</v>
      </c>
      <c r="H728" t="s">
        <v>31</v>
      </c>
      <c r="I728" t="s">
        <v>32</v>
      </c>
      <c r="J728" t="s">
        <v>715</v>
      </c>
      <c r="K728" t="s">
        <v>6738</v>
      </c>
      <c r="L728" t="s">
        <v>314</v>
      </c>
      <c r="M728" t="s">
        <v>884</v>
      </c>
      <c r="N728" t="s">
        <v>6739</v>
      </c>
      <c r="O728" t="s">
        <v>3810</v>
      </c>
      <c r="P728" t="s">
        <v>57</v>
      </c>
      <c r="Q728" t="s">
        <v>40</v>
      </c>
      <c r="R728" t="s">
        <v>2364</v>
      </c>
      <c r="S728" t="s">
        <v>3248</v>
      </c>
      <c r="T728" t="s">
        <v>175</v>
      </c>
      <c r="U728" t="s">
        <v>43</v>
      </c>
      <c r="V728" t="s">
        <v>6740</v>
      </c>
      <c r="W728" t="s">
        <v>6741</v>
      </c>
      <c r="Y728" t="str">
        <f>HYPERLINK("https://recruiter.shine.com/resume/download/?resumeid=gAAAAABbk2ULQhl7ZX7vkTt_JuB4HdmB_2ttWAQmL_Fak9oM2d0z7WFWzeeMtcaui7WjFWCaQBYtRfdp8ZEkX-BoMklVwVshgVKYSwjOMukl9drw1o8t_8fAktnIjuFCCrxNDxZO49D4TCzb9M211CTCre0GT0YVag==")</f>
        <v>https://recruiter.shine.com/resume/download/?resumeid=gAAAAABbk2ULQhl7ZX7vkTt_JuB4HdmB_2ttWAQmL_Fak9oM2d0z7WFWzeeMtcaui7WjFWCaQBYtRfdp8ZEkX-BoMklVwVshgVKYSwjOMukl9drw1o8t_8fAktnIjuFCCrxNDxZO49D4TCzb9M211CTCre0GT0YVag==</v>
      </c>
    </row>
    <row r="729" spans="1:25" ht="39.950000000000003" customHeight="1">
      <c r="A729">
        <v>725</v>
      </c>
      <c r="B729" t="s">
        <v>6742</v>
      </c>
      <c r="C729" t="s">
        <v>6743</v>
      </c>
      <c r="D729" t="s">
        <v>6744</v>
      </c>
      <c r="E729" t="s">
        <v>6745</v>
      </c>
      <c r="F729" t="s">
        <v>29</v>
      </c>
      <c r="G729" t="s">
        <v>6746</v>
      </c>
      <c r="H729" t="s">
        <v>31</v>
      </c>
      <c r="I729" t="s">
        <v>825</v>
      </c>
      <c r="J729" t="s">
        <v>408</v>
      </c>
      <c r="K729" t="s">
        <v>6747</v>
      </c>
      <c r="L729" t="s">
        <v>606</v>
      </c>
      <c r="M729" t="s">
        <v>684</v>
      </c>
      <c r="N729" t="s">
        <v>6748</v>
      </c>
      <c r="O729" t="s">
        <v>38</v>
      </c>
      <c r="Q729" t="s">
        <v>783</v>
      </c>
      <c r="R729" t="s">
        <v>341</v>
      </c>
      <c r="S729" t="s">
        <v>6749</v>
      </c>
      <c r="T729" t="s">
        <v>441</v>
      </c>
      <c r="U729" t="s">
        <v>43</v>
      </c>
      <c r="V729" t="s">
        <v>6750</v>
      </c>
      <c r="W729" t="s">
        <v>6751</v>
      </c>
      <c r="Y729" t="str">
        <f>HYPERLINK("https://recruiter.shine.com/resume/download/?resumeid=gAAAAABbk2UM5SXIuDmSUWhCdObbKsXrCgPe-UxThXgQ7oEM5BpxJNOE2M2_-Ya5qY2NFNFsOzZaE4copAu-wK5YnHMk3CKgAD6jtt3KYCx8ssGLg6ujs6OnpgN8NvwWFhxC5_K29DSQjH70mMPqeX4NDxSlApmi2w==")</f>
        <v>https://recruiter.shine.com/resume/download/?resumeid=gAAAAABbk2UM5SXIuDmSUWhCdObbKsXrCgPe-UxThXgQ7oEM5BpxJNOE2M2_-Ya5qY2NFNFsOzZaE4copAu-wK5YnHMk3CKgAD6jtt3KYCx8ssGLg6ujs6OnpgN8NvwWFhxC5_K29DSQjH70mMPqeX4NDxSlApmi2w==</v>
      </c>
    </row>
    <row r="730" spans="1:25" ht="39.950000000000003" customHeight="1">
      <c r="A730">
        <v>726</v>
      </c>
      <c r="B730" t="s">
        <v>6752</v>
      </c>
      <c r="D730" t="s">
        <v>6753</v>
      </c>
      <c r="E730" t="s">
        <v>6754</v>
      </c>
      <c r="F730" t="s">
        <v>29</v>
      </c>
      <c r="G730" t="s">
        <v>67</v>
      </c>
      <c r="H730" t="s">
        <v>234</v>
      </c>
      <c r="I730" t="s">
        <v>362</v>
      </c>
      <c r="J730" t="s">
        <v>135</v>
      </c>
      <c r="L730" t="s">
        <v>363</v>
      </c>
      <c r="M730" t="s">
        <v>364</v>
      </c>
      <c r="P730" t="s">
        <v>940</v>
      </c>
      <c r="Q730" t="s">
        <v>158</v>
      </c>
      <c r="R730" t="s">
        <v>6755</v>
      </c>
      <c r="S730" t="s">
        <v>6756</v>
      </c>
      <c r="T730" t="s">
        <v>625</v>
      </c>
      <c r="U730" t="s">
        <v>127</v>
      </c>
      <c r="V730" t="s">
        <v>6757</v>
      </c>
      <c r="W730" t="s">
        <v>6757</v>
      </c>
      <c r="Y730" t="str">
        <f>HYPERLINK("https://recruiter.shine.com/resume/download/?resumeid=gAAAAABbk2UNhNiV5CS335gqsbgvqp_g_9bQ6drmJlkQw1faScwOEqDisPLaAOnBK64S46ykG_eh1BIjLZVmmETBe2yaRhAV0pkwmuEy-jyCY6f_zElN1ynTKzF_lIwp2gTso7kSm5C4wpL9Jj67xd0G-BaZX7joOlLKN4gYfPMGwGRhML7rOiM=")</f>
        <v>https://recruiter.shine.com/resume/download/?resumeid=gAAAAABbk2UNhNiV5CS335gqsbgvqp_g_9bQ6drmJlkQw1faScwOEqDisPLaAOnBK64S46ykG_eh1BIjLZVmmETBe2yaRhAV0pkwmuEy-jyCY6f_zElN1ynTKzF_lIwp2gTso7kSm5C4wpL9Jj67xd0G-BaZX7joOlLKN4gYfPMGwGRhML7rOiM=</v>
      </c>
    </row>
    <row r="731" spans="1:25" ht="39.950000000000003" customHeight="1">
      <c r="A731">
        <v>727</v>
      </c>
      <c r="B731" t="s">
        <v>6758</v>
      </c>
      <c r="C731" t="s">
        <v>6759</v>
      </c>
      <c r="D731" t="s">
        <v>6760</v>
      </c>
      <c r="E731" t="s">
        <v>6761</v>
      </c>
      <c r="F731" t="s">
        <v>249</v>
      </c>
      <c r="G731" t="s">
        <v>6762</v>
      </c>
      <c r="H731" t="s">
        <v>31</v>
      </c>
      <c r="I731" t="s">
        <v>860</v>
      </c>
      <c r="J731" t="s">
        <v>715</v>
      </c>
      <c r="K731" t="s">
        <v>518</v>
      </c>
      <c r="L731" t="s">
        <v>794</v>
      </c>
      <c r="M731" t="s">
        <v>684</v>
      </c>
      <c r="N731" t="s">
        <v>6763</v>
      </c>
      <c r="O731" t="s">
        <v>56</v>
      </c>
      <c r="P731" t="s">
        <v>73</v>
      </c>
      <c r="Q731" t="s">
        <v>107</v>
      </c>
      <c r="R731" t="s">
        <v>2346</v>
      </c>
      <c r="S731" t="s">
        <v>6764</v>
      </c>
      <c r="T731" t="s">
        <v>304</v>
      </c>
      <c r="U731" t="s">
        <v>43</v>
      </c>
      <c r="V731" t="s">
        <v>6765</v>
      </c>
      <c r="W731" t="s">
        <v>6765</v>
      </c>
      <c r="Y731" t="str">
        <f>HYPERLINK("https://recruiter.shine.com/resume/download/?resumeid=gAAAAABbk2UK5fkgJsJyXuzbmhXEMxzam9HmO5fs-HQkFNmOr-AtEvYMtgeXDTn5mlRUn8SOp3qlVekG_s2RkKT7POQjax7KWxCa8O6j7NH0ywL9K09ow53mGT0k2UnHaM9egW6JvhvkhYiy78gS9UqpZttqKkPZDw==")</f>
        <v>https://recruiter.shine.com/resume/download/?resumeid=gAAAAABbk2UK5fkgJsJyXuzbmhXEMxzam9HmO5fs-HQkFNmOr-AtEvYMtgeXDTn5mlRUn8SOp3qlVekG_s2RkKT7POQjax7KWxCa8O6j7NH0ywL9K09ow53mGT0k2UnHaM9egW6JvhvkhYiy78gS9UqpZttqKkPZDw==</v>
      </c>
    </row>
    <row r="732" spans="1:25" ht="39.950000000000003" customHeight="1">
      <c r="A732">
        <v>728</v>
      </c>
      <c r="B732" t="s">
        <v>6766</v>
      </c>
      <c r="C732" t="s">
        <v>6767</v>
      </c>
      <c r="D732" t="s">
        <v>6768</v>
      </c>
      <c r="E732" t="s">
        <v>6769</v>
      </c>
      <c r="F732" t="s">
        <v>29</v>
      </c>
      <c r="G732" t="s">
        <v>29</v>
      </c>
      <c r="H732" t="s">
        <v>31</v>
      </c>
      <c r="I732" t="s">
        <v>6449</v>
      </c>
      <c r="J732" t="s">
        <v>569</v>
      </c>
      <c r="K732" t="s">
        <v>6770</v>
      </c>
      <c r="L732" t="s">
        <v>794</v>
      </c>
      <c r="M732" t="s">
        <v>105</v>
      </c>
      <c r="N732" t="s">
        <v>6771</v>
      </c>
      <c r="O732" t="s">
        <v>56</v>
      </c>
      <c r="P732" t="s">
        <v>57</v>
      </c>
      <c r="Q732" t="s">
        <v>365</v>
      </c>
      <c r="R732" t="s">
        <v>124</v>
      </c>
      <c r="S732" t="s">
        <v>6772</v>
      </c>
      <c r="T732" t="s">
        <v>687</v>
      </c>
      <c r="U732" t="s">
        <v>43</v>
      </c>
      <c r="V732" t="s">
        <v>6773</v>
      </c>
      <c r="W732" t="s">
        <v>6774</v>
      </c>
      <c r="Y732" t="str">
        <f>HYPERLINK("https://recruiter.shine.com/resume/download/?resumeid=gAAAAABbk2UMmTeJdfpQ5b-XlzqBaOIhP58ZkRf1mNMczo4R1JKI8hecKM4x6Dq8-FtTQOcTy301Hij_ZufFCRN1jVIoHDS_1-9N6yGssJIT1bw91WccY_4QgSQ9HLzG_7fTFX7BM_PewQSPcZ_0gBYIah8fFQ1G268TSIqqmyzsE9ZIXx1oT6I=")</f>
        <v>https://recruiter.shine.com/resume/download/?resumeid=gAAAAABbk2UMmTeJdfpQ5b-XlzqBaOIhP58ZkRf1mNMczo4R1JKI8hecKM4x6Dq8-FtTQOcTy301Hij_ZufFCRN1jVIoHDS_1-9N6yGssJIT1bw91WccY_4QgSQ9HLzG_7fTFX7BM_PewQSPcZ_0gBYIah8fFQ1G268TSIqqmyzsE9ZIXx1oT6I=</v>
      </c>
    </row>
    <row r="733" spans="1:25" ht="39.950000000000003" customHeight="1">
      <c r="A733">
        <v>729</v>
      </c>
      <c r="B733" t="s">
        <v>6775</v>
      </c>
      <c r="C733" t="s">
        <v>6776</v>
      </c>
      <c r="D733" t="s">
        <v>6777</v>
      </c>
      <c r="E733" t="s">
        <v>6778</v>
      </c>
      <c r="F733" t="s">
        <v>29</v>
      </c>
      <c r="G733" t="s">
        <v>6779</v>
      </c>
      <c r="H733" t="s">
        <v>31</v>
      </c>
      <c r="I733" t="s">
        <v>134</v>
      </c>
      <c r="J733" t="s">
        <v>801</v>
      </c>
      <c r="K733" t="s">
        <v>6780</v>
      </c>
      <c r="L733" t="s">
        <v>6781</v>
      </c>
      <c r="M733" t="s">
        <v>463</v>
      </c>
      <c r="N733" t="s">
        <v>6782</v>
      </c>
      <c r="O733" t="s">
        <v>56</v>
      </c>
      <c r="P733" t="s">
        <v>57</v>
      </c>
      <c r="Q733" t="s">
        <v>90</v>
      </c>
      <c r="R733" t="s">
        <v>91</v>
      </c>
      <c r="S733" t="s">
        <v>6783</v>
      </c>
      <c r="T733" t="s">
        <v>61</v>
      </c>
      <c r="U733" t="s">
        <v>43</v>
      </c>
      <c r="V733" t="s">
        <v>6784</v>
      </c>
      <c r="W733" t="s">
        <v>6784</v>
      </c>
      <c r="Y733" t="str">
        <f>HYPERLINK("https://recruiter.shine.com/resume/download/?resumeid=gAAAAABbk2UOJHQWQzECdU9gqAdL3fAzlceQEEmuELcKpZfwHHFwkWRrxf8_61zguwKFfDleO0UoykLICnCKF0OkDl7VNWhAbPwjFIuCOxtv_7vdmsd6bcEpnGT1jzKjLMt9NI3R9NDlVLNjBc5JUZeBWLHKbTlzC0ip4beFjLEmSKjezYgzQBA=")</f>
        <v>https://recruiter.shine.com/resume/download/?resumeid=gAAAAABbk2UOJHQWQzECdU9gqAdL3fAzlceQEEmuELcKpZfwHHFwkWRrxf8_61zguwKFfDleO0UoykLICnCKF0OkDl7VNWhAbPwjFIuCOxtv_7vdmsd6bcEpnGT1jzKjLMt9NI3R9NDlVLNjBc5JUZeBWLHKbTlzC0ip4beFjLEmSKjezYgzQBA=</v>
      </c>
    </row>
    <row r="734" spans="1:25" ht="39.950000000000003" customHeight="1">
      <c r="A734">
        <v>730</v>
      </c>
      <c r="B734" t="s">
        <v>6785</v>
      </c>
      <c r="C734" t="s">
        <v>6786</v>
      </c>
      <c r="D734" t="s">
        <v>6787</v>
      </c>
      <c r="E734" t="s">
        <v>6788</v>
      </c>
      <c r="F734" t="s">
        <v>249</v>
      </c>
      <c r="G734" t="s">
        <v>6789</v>
      </c>
      <c r="H734" t="s">
        <v>31</v>
      </c>
      <c r="I734" t="s">
        <v>4947</v>
      </c>
      <c r="J734" t="s">
        <v>517</v>
      </c>
      <c r="K734" t="s">
        <v>6790</v>
      </c>
      <c r="L734" t="s">
        <v>664</v>
      </c>
      <c r="M734" t="s">
        <v>36</v>
      </c>
      <c r="N734" t="s">
        <v>6791</v>
      </c>
      <c r="O734" t="s">
        <v>186</v>
      </c>
      <c r="P734" t="s">
        <v>57</v>
      </c>
      <c r="Q734" t="s">
        <v>107</v>
      </c>
      <c r="R734" t="s">
        <v>341</v>
      </c>
      <c r="S734" t="s">
        <v>6792</v>
      </c>
      <c r="T734" t="s">
        <v>61</v>
      </c>
      <c r="U734" t="s">
        <v>43</v>
      </c>
      <c r="V734" t="s">
        <v>6793</v>
      </c>
      <c r="W734" t="s">
        <v>6794</v>
      </c>
      <c r="Y734" t="str">
        <f>HYPERLINK("https://recruiter.shine.com/resume/download/?resumeid=gAAAAABbk2UKaUXUGCaqrYV95RoFGGHRc1JPvo8H_ul2VNQmIolpz-_WomDNAX-kgEZP6H9GVdZtk0sb_HEgFYc0K-V398UzQl6zY28rxWovQ18Vz1-htJq2rC9vaZ592d_XVJnk-G8Tq346PJKJL9Nc_ZIxhY1CYql4ygyqwiozzoHNGmZDdfE=")</f>
        <v>https://recruiter.shine.com/resume/download/?resumeid=gAAAAABbk2UKaUXUGCaqrYV95RoFGGHRc1JPvo8H_ul2VNQmIolpz-_WomDNAX-kgEZP6H9GVdZtk0sb_HEgFYc0K-V398UzQl6zY28rxWovQ18Vz1-htJq2rC9vaZ592d_XVJnk-G8Tq346PJKJL9Nc_ZIxhY1CYql4ygyqwiozzoHNGmZDdfE=</v>
      </c>
    </row>
    <row r="735" spans="1:25" ht="39.950000000000003" customHeight="1">
      <c r="A735">
        <v>731</v>
      </c>
      <c r="B735" t="s">
        <v>6795</v>
      </c>
      <c r="D735" t="s">
        <v>6796</v>
      </c>
      <c r="E735" t="s">
        <v>6797</v>
      </c>
      <c r="F735" t="s">
        <v>29</v>
      </c>
      <c r="G735" t="s">
        <v>29</v>
      </c>
      <c r="H735" t="s">
        <v>31</v>
      </c>
      <c r="I735" t="s">
        <v>85</v>
      </c>
      <c r="J735" t="s">
        <v>135</v>
      </c>
      <c r="K735" t="s">
        <v>6798</v>
      </c>
      <c r="L735" t="s">
        <v>450</v>
      </c>
      <c r="M735" t="s">
        <v>473</v>
      </c>
      <c r="N735" t="s">
        <v>6799</v>
      </c>
      <c r="O735" t="s">
        <v>157</v>
      </c>
      <c r="Q735" t="s">
        <v>489</v>
      </c>
      <c r="R735" t="s">
        <v>490</v>
      </c>
      <c r="S735" t="s">
        <v>6800</v>
      </c>
      <c r="T735" t="s">
        <v>761</v>
      </c>
      <c r="U735" t="s">
        <v>43</v>
      </c>
      <c r="V735" t="s">
        <v>6801</v>
      </c>
      <c r="W735" t="s">
        <v>6802</v>
      </c>
      <c r="Y735" t="str">
        <f>HYPERLINK("https://recruiter.shine.com/resume/download/?resumeid=gAAAAABbk2UMTAy4m7hu645mGPjHYCrRnkK48IT55paX6rsrDCqWDxNsOR6RWMRtyA-O9mznT1rcey3g0pXLvLJAX8hTK_ew-3Gls5r8jWnpTh5e68eVQ6IMQlGx6BQ6oVCIhfsxhuhD4QGReMmUhQoXai8PaMIENQ==")</f>
        <v>https://recruiter.shine.com/resume/download/?resumeid=gAAAAABbk2UMTAy4m7hu645mGPjHYCrRnkK48IT55paX6rsrDCqWDxNsOR6RWMRtyA-O9mznT1rcey3g0pXLvLJAX8hTK_ew-3Gls5r8jWnpTh5e68eVQ6IMQlGx6BQ6oVCIhfsxhuhD4QGReMmUhQoXai8PaMIENQ==</v>
      </c>
    </row>
    <row r="736" spans="1:25" ht="39.950000000000003" customHeight="1">
      <c r="A736">
        <v>732</v>
      </c>
      <c r="B736" t="s">
        <v>6803</v>
      </c>
      <c r="D736" t="s">
        <v>6804</v>
      </c>
      <c r="E736" t="s">
        <v>6805</v>
      </c>
      <c r="F736" t="s">
        <v>29</v>
      </c>
      <c r="G736" t="s">
        <v>67</v>
      </c>
      <c r="H736" t="s">
        <v>234</v>
      </c>
      <c r="I736" t="s">
        <v>208</v>
      </c>
      <c r="J736" t="s">
        <v>251</v>
      </c>
      <c r="K736" t="s">
        <v>6806</v>
      </c>
      <c r="L736" t="s">
        <v>6163</v>
      </c>
      <c r="M736" t="s">
        <v>315</v>
      </c>
      <c r="N736" t="s">
        <v>6807</v>
      </c>
      <c r="O736" t="s">
        <v>186</v>
      </c>
      <c r="Q736" t="s">
        <v>58</v>
      </c>
      <c r="R736" t="s">
        <v>6808</v>
      </c>
      <c r="S736" t="s">
        <v>6809</v>
      </c>
      <c r="T736" t="s">
        <v>887</v>
      </c>
      <c r="U736" t="s">
        <v>127</v>
      </c>
      <c r="V736" t="s">
        <v>6810</v>
      </c>
      <c r="W736" t="s">
        <v>6811</v>
      </c>
      <c r="Y736" t="str">
        <f>HYPERLINK("https://recruiter.shine.com/resume/download/?resumeid=gAAAAABbk2UNi-EL_GC2w0hrZS3LQXTazYUObCkghFIOijveD_ARRgKPcH6dmAgIwtF1kt5chrzOxQ6aDoz2lLZApivX3BHQXoDAs-JJFPdOXejazDu-Urc6cc5UN5cIqDhOtw32xj_yJ2QTAUo1EaeZuLRy6MN8owULrYfLhJP8oW5KEdOQL2k=")</f>
        <v>https://recruiter.shine.com/resume/download/?resumeid=gAAAAABbk2UNi-EL_GC2w0hrZS3LQXTazYUObCkghFIOijveD_ARRgKPcH6dmAgIwtF1kt5chrzOxQ6aDoz2lLZApivX3BHQXoDAs-JJFPdOXejazDu-Urc6cc5UN5cIqDhOtw32xj_yJ2QTAUo1EaeZuLRy6MN8owULrYfLhJP8oW5KEdOQL2k=</v>
      </c>
    </row>
    <row r="737" spans="1:25" ht="39.950000000000003" customHeight="1">
      <c r="A737">
        <v>733</v>
      </c>
      <c r="B737" t="s">
        <v>6812</v>
      </c>
      <c r="D737" t="s">
        <v>6813</v>
      </c>
      <c r="E737" t="s">
        <v>6814</v>
      </c>
      <c r="F737" t="s">
        <v>29</v>
      </c>
      <c r="G737" t="s">
        <v>29</v>
      </c>
      <c r="H737" t="s">
        <v>31</v>
      </c>
      <c r="I737" t="s">
        <v>825</v>
      </c>
      <c r="J737" t="s">
        <v>118</v>
      </c>
      <c r="K737" t="s">
        <v>6815</v>
      </c>
      <c r="L737" t="s">
        <v>4096</v>
      </c>
      <c r="M737" t="s">
        <v>1356</v>
      </c>
      <c r="N737" t="s">
        <v>6816</v>
      </c>
      <c r="O737" t="s">
        <v>585</v>
      </c>
      <c r="Q737" t="s">
        <v>123</v>
      </c>
      <c r="R737" t="s">
        <v>124</v>
      </c>
      <c r="S737" t="s">
        <v>188</v>
      </c>
      <c r="U737" t="s">
        <v>43</v>
      </c>
      <c r="V737" t="s">
        <v>6817</v>
      </c>
      <c r="W737" t="s">
        <v>6818</v>
      </c>
      <c r="Y737" t="str">
        <f>HYPERLINK("https://recruiter.shine.com/resume/download/?resumeid=gAAAAABbk2UKzJGRzonSe6IEktv2to2M8QpWKtVRDqOks4DtK3bzxoBnH4-M-qfbqxNR-JHW5W1WfnwB5Dih1YL5oyxd0fdW_p-TqlmqvGsIqMlWam51hPeNjLEYaeikb1TVe3AEVTmGGzuqyxfQtrahCfKb-uPq_Q==")</f>
        <v>https://recruiter.shine.com/resume/download/?resumeid=gAAAAABbk2UKzJGRzonSe6IEktv2to2M8QpWKtVRDqOks4DtK3bzxoBnH4-M-qfbqxNR-JHW5W1WfnwB5Dih1YL5oyxd0fdW_p-TqlmqvGsIqMlWam51hPeNjLEYaeikb1TVe3AEVTmGGzuqyxfQtrahCfKb-uPq_Q==</v>
      </c>
    </row>
    <row r="738" spans="1:25" ht="39.950000000000003" customHeight="1">
      <c r="A738">
        <v>734</v>
      </c>
      <c r="B738" t="s">
        <v>6819</v>
      </c>
      <c r="C738" t="s">
        <v>6820</v>
      </c>
      <c r="D738" t="s">
        <v>6821</v>
      </c>
      <c r="E738" t="s">
        <v>6822</v>
      </c>
      <c r="F738" t="s">
        <v>29</v>
      </c>
      <c r="G738" t="s">
        <v>6823</v>
      </c>
      <c r="H738" t="s">
        <v>31</v>
      </c>
      <c r="I738" t="s">
        <v>483</v>
      </c>
      <c r="J738" t="s">
        <v>408</v>
      </c>
      <c r="K738" t="s">
        <v>6824</v>
      </c>
      <c r="L738" t="s">
        <v>596</v>
      </c>
      <c r="M738" t="s">
        <v>105</v>
      </c>
      <c r="N738" t="s">
        <v>6825</v>
      </c>
      <c r="O738" t="s">
        <v>1041</v>
      </c>
      <c r="P738" t="s">
        <v>140</v>
      </c>
      <c r="Q738" t="s">
        <v>365</v>
      </c>
      <c r="R738" t="s">
        <v>6826</v>
      </c>
      <c r="S738" t="s">
        <v>6819</v>
      </c>
      <c r="T738" t="s">
        <v>1921</v>
      </c>
      <c r="U738" t="s">
        <v>43</v>
      </c>
      <c r="V738" t="s">
        <v>6827</v>
      </c>
      <c r="W738" t="s">
        <v>6828</v>
      </c>
      <c r="Y738" t="str">
        <f>HYPERLINK("https://recruiter.shine.com/resume/download/?resumeid=gAAAAABbk2UNZrm-YtYXRQ6Ipb0Rse1b4BTranojCVtsxSCQ3w0NOpjkl5xPZaNoo9ZWqnD7P1-JuPJUZHdR1kKHn7J5kABY3x3TxSB7ePAvPcmHDhXbcqblGLqWSASIGa_2TokV1WOXNKL1wDTK9Ag6S07s7YBO9A==")</f>
        <v>https://recruiter.shine.com/resume/download/?resumeid=gAAAAABbk2UNZrm-YtYXRQ6Ipb0Rse1b4BTranojCVtsxSCQ3w0NOpjkl5xPZaNoo9ZWqnD7P1-JuPJUZHdR1kKHn7J5kABY3x3TxSB7ePAvPcmHDhXbcqblGLqWSASIGa_2TokV1WOXNKL1wDTK9Ag6S07s7YBO9A==</v>
      </c>
    </row>
    <row r="739" spans="1:25" ht="39.950000000000003" customHeight="1">
      <c r="A739">
        <v>735</v>
      </c>
      <c r="B739" t="s">
        <v>6829</v>
      </c>
      <c r="D739" t="s">
        <v>6830</v>
      </c>
      <c r="E739" t="s">
        <v>6831</v>
      </c>
      <c r="F739" t="s">
        <v>29</v>
      </c>
      <c r="G739" t="s">
        <v>67</v>
      </c>
      <c r="H739" t="s">
        <v>31</v>
      </c>
      <c r="I739" t="s">
        <v>860</v>
      </c>
      <c r="J739" t="s">
        <v>6832</v>
      </c>
      <c r="K739" t="s">
        <v>6833</v>
      </c>
      <c r="L739" t="s">
        <v>171</v>
      </c>
      <c r="M739" t="s">
        <v>254</v>
      </c>
      <c r="N739" t="s">
        <v>6834</v>
      </c>
      <c r="O739" t="s">
        <v>224</v>
      </c>
      <c r="Q739" t="s">
        <v>90</v>
      </c>
      <c r="R739" t="s">
        <v>427</v>
      </c>
      <c r="S739" t="s">
        <v>6835</v>
      </c>
      <c r="T739" t="s">
        <v>441</v>
      </c>
      <c r="U739" t="s">
        <v>43</v>
      </c>
      <c r="V739" t="s">
        <v>6836</v>
      </c>
      <c r="W739" t="s">
        <v>6837</v>
      </c>
      <c r="Y739" t="str">
        <f>HYPERLINK("https://recruiter.shine.com/resume/download/?resumeid=gAAAAABbk2UNv0R3b7uNWuokBGHkE_Ef8EU92KsDIpkHIXXKiXr6QGZlED2oDXAoMg8iUeSxZOpwPIjDtYGV6K5l6tquNO4x5mE_Ad7TTGAEoZPN19fqGwPq2oMtAY-RNz-IJsrhV8xDtxrwawqqexrkl-RuXT2wVw==")</f>
        <v>https://recruiter.shine.com/resume/download/?resumeid=gAAAAABbk2UNv0R3b7uNWuokBGHkE_Ef8EU92KsDIpkHIXXKiXr6QGZlED2oDXAoMg8iUeSxZOpwPIjDtYGV6K5l6tquNO4x5mE_Ad7TTGAEoZPN19fqGwPq2oMtAY-RNz-IJsrhV8xDtxrwawqqexrkl-RuXT2wVw==</v>
      </c>
    </row>
    <row r="740" spans="1:25" ht="39.950000000000003" customHeight="1">
      <c r="A740">
        <v>736</v>
      </c>
      <c r="B740" t="s">
        <v>6838</v>
      </c>
      <c r="C740" t="s">
        <v>6839</v>
      </c>
      <c r="D740" t="s">
        <v>6840</v>
      </c>
      <c r="E740" t="s">
        <v>6841</v>
      </c>
      <c r="F740" t="s">
        <v>29</v>
      </c>
      <c r="G740" t="s">
        <v>6842</v>
      </c>
      <c r="H740" t="s">
        <v>31</v>
      </c>
      <c r="I740" t="s">
        <v>6048</v>
      </c>
      <c r="J740" t="s">
        <v>182</v>
      </c>
      <c r="K740" t="s">
        <v>198</v>
      </c>
      <c r="L740" t="s">
        <v>155</v>
      </c>
      <c r="M740" t="s">
        <v>315</v>
      </c>
      <c r="N740" t="s">
        <v>6843</v>
      </c>
      <c r="O740" t="s">
        <v>38</v>
      </c>
      <c r="P740" t="s">
        <v>57</v>
      </c>
      <c r="Q740" t="s">
        <v>107</v>
      </c>
      <c r="R740" t="s">
        <v>108</v>
      </c>
      <c r="S740" t="s">
        <v>6844</v>
      </c>
      <c r="T740" t="s">
        <v>61</v>
      </c>
      <c r="U740" t="s">
        <v>43</v>
      </c>
      <c r="V740" t="s">
        <v>6845</v>
      </c>
      <c r="W740" t="s">
        <v>6846</v>
      </c>
      <c r="Y740" t="str">
        <f>HYPERLINK("https://recruiter.shine.com/resume/download/?resumeid=gAAAAABbk2UL9V45z-LsrCWrIg6zgfo8-biJBukCfQEoXNdMXpxIvHP6RK4FpDIuVbd-wkOfbdEz3IKp7eKGTVJ6dlOjDWSC2tAtomrNMcU6uiSP-_OrGDeEeNXokxjk-4XS69mIg1hq6ieqW77MsqSLTFflfKNxC6S__lgirxC-xjfMT4iS3dI=")</f>
        <v>https://recruiter.shine.com/resume/download/?resumeid=gAAAAABbk2UL9V45z-LsrCWrIg6zgfo8-biJBukCfQEoXNdMXpxIvHP6RK4FpDIuVbd-wkOfbdEz3IKp7eKGTVJ6dlOjDWSC2tAtomrNMcU6uiSP-_OrGDeEeNXokxjk-4XS69mIg1hq6ieqW77MsqSLTFflfKNxC6S__lgirxC-xjfMT4iS3dI=</v>
      </c>
    </row>
    <row r="741" spans="1:25" ht="39.950000000000003" customHeight="1">
      <c r="A741">
        <v>737</v>
      </c>
      <c r="B741" t="s">
        <v>6847</v>
      </c>
      <c r="C741" t="s">
        <v>6848</v>
      </c>
      <c r="D741" t="s">
        <v>6849</v>
      </c>
      <c r="E741" t="s">
        <v>6850</v>
      </c>
      <c r="F741" t="s">
        <v>29</v>
      </c>
      <c r="G741" t="s">
        <v>6851</v>
      </c>
      <c r="H741" t="s">
        <v>31</v>
      </c>
      <c r="I741" t="s">
        <v>1122</v>
      </c>
      <c r="J741" t="s">
        <v>1050</v>
      </c>
      <c r="K741" t="s">
        <v>6852</v>
      </c>
      <c r="L741" t="s">
        <v>120</v>
      </c>
      <c r="M741" t="s">
        <v>622</v>
      </c>
      <c r="N741" t="s">
        <v>6853</v>
      </c>
      <c r="O741" t="s">
        <v>186</v>
      </c>
      <c r="P741" t="s">
        <v>57</v>
      </c>
      <c r="Q741" t="s">
        <v>107</v>
      </c>
      <c r="R741" t="s">
        <v>559</v>
      </c>
      <c r="S741" t="s">
        <v>6854</v>
      </c>
      <c r="T741" t="s">
        <v>126</v>
      </c>
      <c r="U741" t="s">
        <v>43</v>
      </c>
      <c r="V741" t="s">
        <v>6855</v>
      </c>
      <c r="W741" t="s">
        <v>6856</v>
      </c>
      <c r="Y741" t="str">
        <f>HYPERLINK("https://recruiter.shine.com/resume/download/?resumeid=gAAAAABbk2UMvmebGnaHhOcrU_NBQ6ANYGEQeXRCMX1gYgVmVWne-MUnYveY9G5eUiYyHuVlF7rRl2Uqpqx04NxPmyG3MEhAtOTmxCqBhQbztpgyrS8ijDUuFRk6_pXfxDaqoPuTlf7ox5G6Me6aSWgmph3eOgw8MA==")</f>
        <v>https://recruiter.shine.com/resume/download/?resumeid=gAAAAABbk2UMvmebGnaHhOcrU_NBQ6ANYGEQeXRCMX1gYgVmVWne-MUnYveY9G5eUiYyHuVlF7rRl2Uqpqx04NxPmyG3MEhAtOTmxCqBhQbztpgyrS8ijDUuFRk6_pXfxDaqoPuTlf7ox5G6Me6aSWgmph3eOgw8MA==</v>
      </c>
    </row>
    <row r="742" spans="1:25" ht="39.950000000000003" customHeight="1">
      <c r="A742">
        <v>738</v>
      </c>
      <c r="B742" t="s">
        <v>6857</v>
      </c>
      <c r="C742" t="s">
        <v>6858</v>
      </c>
      <c r="D742" t="s">
        <v>6859</v>
      </c>
      <c r="E742" t="s">
        <v>6860</v>
      </c>
      <c r="F742" t="s">
        <v>29</v>
      </c>
      <c r="G742" t="s">
        <v>6861</v>
      </c>
      <c r="H742" t="s">
        <v>234</v>
      </c>
      <c r="I742" t="s">
        <v>362</v>
      </c>
      <c r="J742" t="s">
        <v>135</v>
      </c>
      <c r="L742" t="s">
        <v>363</v>
      </c>
      <c r="M742" t="s">
        <v>364</v>
      </c>
      <c r="P742" t="s">
        <v>140</v>
      </c>
      <c r="Q742" t="s">
        <v>240</v>
      </c>
      <c r="R742" t="s">
        <v>241</v>
      </c>
      <c r="S742" t="s">
        <v>6862</v>
      </c>
      <c r="T742" t="s">
        <v>625</v>
      </c>
      <c r="U742" t="s">
        <v>43</v>
      </c>
      <c r="V742" t="s">
        <v>6863</v>
      </c>
      <c r="W742" t="s">
        <v>6864</v>
      </c>
      <c r="Y742" t="str">
        <f>HYPERLINK("https://recruiter.shine.com/resume/download/?resumeid=gAAAAABbk2UNPdzF_1g2Fha3YK_Wv4Ne0mnfwiGLDURTQcTt_XadbPBElLn-M6ACl3IVGRUESRXU-7Nhwe9B_lb1Cj86KoVOhcrDWSrD2pGysG98o-Uvp0-lhXDEZU8ko_2cXsSECh6NPXsydXBOpEilzjXah2oZvljogdhOi1IOnFvByrJuuvE=")</f>
        <v>https://recruiter.shine.com/resume/download/?resumeid=gAAAAABbk2UNPdzF_1g2Fha3YK_Wv4Ne0mnfwiGLDURTQcTt_XadbPBElLn-M6ACl3IVGRUESRXU-7Nhwe9B_lb1Cj86KoVOhcrDWSrD2pGysG98o-Uvp0-lhXDEZU8ko_2cXsSECh6NPXsydXBOpEilzjXah2oZvljogdhOi1IOnFvByrJuuvE=</v>
      </c>
    </row>
    <row r="743" spans="1:25" ht="39.950000000000003" customHeight="1">
      <c r="A743">
        <v>739</v>
      </c>
      <c r="B743" t="s">
        <v>6865</v>
      </c>
      <c r="C743" t="s">
        <v>6866</v>
      </c>
      <c r="D743" t="s">
        <v>6867</v>
      </c>
      <c r="E743" t="s">
        <v>6868</v>
      </c>
      <c r="F743" t="s">
        <v>29</v>
      </c>
      <c r="G743" t="s">
        <v>6869</v>
      </c>
      <c r="H743" t="s">
        <v>31</v>
      </c>
      <c r="I743" t="s">
        <v>134</v>
      </c>
      <c r="J743" t="s">
        <v>6870</v>
      </c>
      <c r="K743" t="s">
        <v>6871</v>
      </c>
      <c r="L743" t="s">
        <v>794</v>
      </c>
      <c r="M743" t="s">
        <v>105</v>
      </c>
      <c r="N743" t="s">
        <v>6872</v>
      </c>
      <c r="O743" t="s">
        <v>224</v>
      </c>
      <c r="P743" t="s">
        <v>140</v>
      </c>
      <c r="Q743" t="s">
        <v>107</v>
      </c>
      <c r="R743" t="s">
        <v>341</v>
      </c>
      <c r="S743" t="s">
        <v>6873</v>
      </c>
      <c r="T743" t="s">
        <v>144</v>
      </c>
      <c r="U743" t="s">
        <v>43</v>
      </c>
      <c r="V743" t="s">
        <v>6874</v>
      </c>
      <c r="W743" t="s">
        <v>6874</v>
      </c>
      <c r="Y743" t="str">
        <f>HYPERLINK("https://recruiter.shine.com/resume/download/?resumeid=gAAAAABbk2UL0XeD4Fiq4meqTnqMWzICKIVfyCYngDPQG0ZGj-1W0rYqZ0hMTNV7lDPnm_VdYHqKfH9oMJzqUkPVzLWY3XzsPDgzBMY7cjlykDloqxrdAGk3kwL6AqIdtBIFldQtoB1oPL7Un-0XJ_wGo9nwhX3qjn5ya1RiCzGLmurSTL-5-_A=")</f>
        <v>https://recruiter.shine.com/resume/download/?resumeid=gAAAAABbk2UL0XeD4Fiq4meqTnqMWzICKIVfyCYngDPQG0ZGj-1W0rYqZ0hMTNV7lDPnm_VdYHqKfH9oMJzqUkPVzLWY3XzsPDgzBMY7cjlykDloqxrdAGk3kwL6AqIdtBIFldQtoB1oPL7Un-0XJ_wGo9nwhX3qjn5ya1RiCzGLmurSTL-5-_A=</v>
      </c>
    </row>
    <row r="744" spans="1:25" ht="39.950000000000003" customHeight="1">
      <c r="A744">
        <v>740</v>
      </c>
      <c r="B744" t="s">
        <v>6875</v>
      </c>
      <c r="C744" t="s">
        <v>6876</v>
      </c>
      <c r="D744" t="s">
        <v>6877</v>
      </c>
      <c r="E744" t="s">
        <v>6878</v>
      </c>
      <c r="F744" t="s">
        <v>29</v>
      </c>
      <c r="G744" t="s">
        <v>29</v>
      </c>
      <c r="H744" t="s">
        <v>31</v>
      </c>
      <c r="I744" t="s">
        <v>6449</v>
      </c>
      <c r="J744" t="s">
        <v>6879</v>
      </c>
      <c r="K744" t="s">
        <v>6880</v>
      </c>
      <c r="L744" t="s">
        <v>266</v>
      </c>
      <c r="M744" t="s">
        <v>105</v>
      </c>
      <c r="N744" t="s">
        <v>6881</v>
      </c>
      <c r="O744" t="s">
        <v>475</v>
      </c>
      <c r="P744" t="s">
        <v>57</v>
      </c>
      <c r="Q744" t="s">
        <v>107</v>
      </c>
      <c r="R744" t="s">
        <v>341</v>
      </c>
      <c r="S744" t="s">
        <v>6882</v>
      </c>
      <c r="T744" t="s">
        <v>161</v>
      </c>
      <c r="U744" t="s">
        <v>43</v>
      </c>
      <c r="V744" t="s">
        <v>6883</v>
      </c>
      <c r="W744" t="s">
        <v>6884</v>
      </c>
      <c r="Y744" t="str">
        <f>HYPERLINK("https://recruiter.shine.com/resume/download/?resumeid=gAAAAABbk2UM8dY6yeXsx_VcyuX3F4Ee02HqMUy5EyS4VgSDDg1YbdDOXAdLA5KtoucM3Q-9G6mGCwUhoLVx3No4hev88hPGGvfO-EauE1ODvqSM0V8wZozi98Sq7jQL3IPo13NmBQIfr83n-6vtULoQPuA8r3SU3A==")</f>
        <v>https://recruiter.shine.com/resume/download/?resumeid=gAAAAABbk2UM8dY6yeXsx_VcyuX3F4Ee02HqMUy5EyS4VgSDDg1YbdDOXAdLA5KtoucM3Q-9G6mGCwUhoLVx3No4hev88hPGGvfO-EauE1ODvqSM0V8wZozi98Sq7jQL3IPo13NmBQIfr83n-6vtULoQPuA8r3SU3A==</v>
      </c>
    </row>
    <row r="745" spans="1:25" ht="39.950000000000003" customHeight="1">
      <c r="A745">
        <v>741</v>
      </c>
      <c r="B745" t="s">
        <v>6885</v>
      </c>
      <c r="C745" t="s">
        <v>6886</v>
      </c>
      <c r="D745" t="s">
        <v>6887</v>
      </c>
      <c r="E745" t="s">
        <v>6888</v>
      </c>
      <c r="F745" t="s">
        <v>29</v>
      </c>
      <c r="G745" t="s">
        <v>6779</v>
      </c>
      <c r="H745" t="s">
        <v>234</v>
      </c>
      <c r="I745" t="s">
        <v>1463</v>
      </c>
      <c r="J745" t="s">
        <v>935</v>
      </c>
      <c r="K745" t="s">
        <v>337</v>
      </c>
      <c r="L745" t="s">
        <v>171</v>
      </c>
      <c r="M745" t="s">
        <v>121</v>
      </c>
      <c r="N745" t="s">
        <v>6889</v>
      </c>
      <c r="O745" t="s">
        <v>186</v>
      </c>
      <c r="Q745" t="s">
        <v>90</v>
      </c>
      <c r="R745" t="s">
        <v>91</v>
      </c>
      <c r="S745" t="s">
        <v>6890</v>
      </c>
      <c r="T745" t="s">
        <v>2554</v>
      </c>
      <c r="U745" t="s">
        <v>127</v>
      </c>
      <c r="V745" t="s">
        <v>6891</v>
      </c>
      <c r="W745" t="s">
        <v>6891</v>
      </c>
      <c r="Y745" t="str">
        <f>HYPERLINK("https://recruiter.shine.com/resume/download/?resumeid=gAAAAABbk2UOu9rWlSUX7YJVOn31CimNVx8txXC2R4vfrY0Zg1hvKBDqTdwICaAbmHjdTO_iM2c5wneJ0NZVPJqYBs-mwLiraHvb5842UiyDcBmodD1OWChX-y-RgxuSWx1Z4kylHNCJcA88g8G21iXPDIxy2lcCFD5D7eZ2MfOZ10LyPpC6qps=")</f>
        <v>https://recruiter.shine.com/resume/download/?resumeid=gAAAAABbk2UOu9rWlSUX7YJVOn31CimNVx8txXC2R4vfrY0Zg1hvKBDqTdwICaAbmHjdTO_iM2c5wneJ0NZVPJqYBs-mwLiraHvb5842UiyDcBmodD1OWChX-y-RgxuSWx1Z4kylHNCJcA88g8G21iXPDIxy2lcCFD5D7eZ2MfOZ10LyPpC6qps=</v>
      </c>
    </row>
    <row r="746" spans="1:25" ht="39.950000000000003" customHeight="1">
      <c r="A746">
        <v>742</v>
      </c>
      <c r="B746" t="s">
        <v>6892</v>
      </c>
      <c r="C746" t="s">
        <v>6893</v>
      </c>
      <c r="D746" t="s">
        <v>6894</v>
      </c>
      <c r="E746" t="s">
        <v>6895</v>
      </c>
      <c r="F746" t="s">
        <v>29</v>
      </c>
      <c r="G746" t="s">
        <v>6896</v>
      </c>
      <c r="H746" t="s">
        <v>31</v>
      </c>
      <c r="I746" t="s">
        <v>6897</v>
      </c>
      <c r="J746" t="s">
        <v>4791</v>
      </c>
      <c r="K746" t="s">
        <v>6898</v>
      </c>
      <c r="L746" t="s">
        <v>266</v>
      </c>
      <c r="M746" t="s">
        <v>105</v>
      </c>
      <c r="N746" t="s">
        <v>4815</v>
      </c>
      <c r="O746" t="s">
        <v>759</v>
      </c>
      <c r="P746" t="s">
        <v>39</v>
      </c>
      <c r="Q746" t="s">
        <v>107</v>
      </c>
      <c r="R746" t="s">
        <v>341</v>
      </c>
      <c r="S746" t="s">
        <v>6899</v>
      </c>
      <c r="T746" t="s">
        <v>93</v>
      </c>
      <c r="U746" t="s">
        <v>127</v>
      </c>
      <c r="V746" t="s">
        <v>6900</v>
      </c>
      <c r="W746" t="s">
        <v>6901</v>
      </c>
      <c r="Y746" t="str">
        <f>HYPERLINK("https://recruiter.shine.com/resume/download/?resumeid=gAAAAABbk2UKbSTpok0kxSNq1FtHjyYdZxICKUuSLvMnvD8O0T-j1h0_AGYrqTCWi8NbnVOP7YHs9IC9OcYmzUUrORSF1NQHTxf-kDq2RNxebh9zsrzksO9Nrx56X1PwfaaIPBm06XAi5iLS1Hx2pC1ctjFFj7FPmnD-p6BSLHBhTzwP0vfbwGE=")</f>
        <v>https://recruiter.shine.com/resume/download/?resumeid=gAAAAABbk2UKbSTpok0kxSNq1FtHjyYdZxICKUuSLvMnvD8O0T-j1h0_AGYrqTCWi8NbnVOP7YHs9IC9OcYmzUUrORSF1NQHTxf-kDq2RNxebh9zsrzksO9Nrx56X1PwfaaIPBm06XAi5iLS1Hx2pC1ctjFFj7FPmnD-p6BSLHBhTzwP0vfbwGE=</v>
      </c>
    </row>
    <row r="747" spans="1:25" ht="39.950000000000003" customHeight="1">
      <c r="A747">
        <v>743</v>
      </c>
      <c r="B747" t="s">
        <v>6902</v>
      </c>
      <c r="D747" t="s">
        <v>6903</v>
      </c>
      <c r="E747" t="s">
        <v>6904</v>
      </c>
      <c r="F747" t="s">
        <v>858</v>
      </c>
      <c r="G747" t="s">
        <v>6411</v>
      </c>
      <c r="H747" t="s">
        <v>234</v>
      </c>
      <c r="I747" t="s">
        <v>1419</v>
      </c>
      <c r="J747" t="s">
        <v>871</v>
      </c>
      <c r="K747" t="s">
        <v>6905</v>
      </c>
      <c r="L747" t="s">
        <v>1524</v>
      </c>
      <c r="M747" t="s">
        <v>473</v>
      </c>
      <c r="N747" t="s">
        <v>6906</v>
      </c>
      <c r="O747" t="s">
        <v>38</v>
      </c>
      <c r="Q747" t="s">
        <v>849</v>
      </c>
      <c r="R747" t="s">
        <v>536</v>
      </c>
      <c r="S747" t="s">
        <v>6907</v>
      </c>
      <c r="T747" t="s">
        <v>761</v>
      </c>
      <c r="U747" t="s">
        <v>43</v>
      </c>
      <c r="V747" t="s">
        <v>6908</v>
      </c>
      <c r="W747" t="s">
        <v>6909</v>
      </c>
      <c r="Y747" t="str">
        <f>HYPERLINK("https://recruiter.shine.com/resume/download/?resumeid=gAAAAABbk2UMk37Hh8RM6zpYcUG3ZLgLAfWtkA0vwv60cmpnYb5VhgbZ_NIew89d4T-cetXedj730lpU2uTcylF-oRyGQ9NK8lUGck1Jt6Lp2igiq9ZqLnem6iuNllinkAQrCxOPmhP6hsWf-MdMQ2txAgfS_XxxhmO0xrf_1WRGH_HMK12XfXw=")</f>
        <v>https://recruiter.shine.com/resume/download/?resumeid=gAAAAABbk2UMk37Hh8RM6zpYcUG3ZLgLAfWtkA0vwv60cmpnYb5VhgbZ_NIew89d4T-cetXedj730lpU2uTcylF-oRyGQ9NK8lUGck1Jt6Lp2igiq9ZqLnem6iuNllinkAQrCxOPmhP6hsWf-MdMQ2txAgfS_XxxhmO0xrf_1WRGH_HMK12XfXw=</v>
      </c>
    </row>
    <row r="748" spans="1:25" ht="39.950000000000003" customHeight="1">
      <c r="A748">
        <v>744</v>
      </c>
      <c r="B748" t="s">
        <v>6910</v>
      </c>
      <c r="D748" t="s">
        <v>6911</v>
      </c>
      <c r="E748" t="s">
        <v>6912</v>
      </c>
      <c r="F748" t="s">
        <v>29</v>
      </c>
      <c r="G748" t="s">
        <v>67</v>
      </c>
      <c r="H748" t="s">
        <v>31</v>
      </c>
      <c r="I748" t="s">
        <v>6913</v>
      </c>
      <c r="J748" t="s">
        <v>1850</v>
      </c>
      <c r="K748" t="s">
        <v>6914</v>
      </c>
      <c r="L748" t="s">
        <v>3757</v>
      </c>
      <c r="M748" t="s">
        <v>1124</v>
      </c>
      <c r="N748" t="s">
        <v>6915</v>
      </c>
      <c r="O748" t="s">
        <v>56</v>
      </c>
      <c r="Q748" t="s">
        <v>123</v>
      </c>
      <c r="R748" t="s">
        <v>124</v>
      </c>
      <c r="S748" t="s">
        <v>188</v>
      </c>
      <c r="T748" t="s">
        <v>429</v>
      </c>
      <c r="U748" t="s">
        <v>43</v>
      </c>
      <c r="V748" t="s">
        <v>6916</v>
      </c>
      <c r="W748" t="s">
        <v>6917</v>
      </c>
      <c r="Y748" t="str">
        <f>HYPERLINK("https://recruiter.shine.com/resume/download/?resumeid=gAAAAABbk2UOdD90Z39z-DCxBWZ5cfRUMRe7_O5a_jslGDFdil-2EWfz7_b0HvfbfYvMmRJ6Zq4v9DhSJ8axob7r6Pt2bB6saJrHZcSHFQGt2uia0E7mYbiQ54uOsCwhx3G83Q1NRX2O5FTPDY0AVEdezDZ-TK76FgFKskP8J8a3iuJKmgqM3GA=")</f>
        <v>https://recruiter.shine.com/resume/download/?resumeid=gAAAAABbk2UOdD90Z39z-DCxBWZ5cfRUMRe7_O5a_jslGDFdil-2EWfz7_b0HvfbfYvMmRJ6Zq4v9DhSJ8axob7r6Pt2bB6saJrHZcSHFQGt2uia0E7mYbiQ54uOsCwhx3G83Q1NRX2O5FTPDY0AVEdezDZ-TK76FgFKskP8J8a3iuJKmgqM3GA=</v>
      </c>
    </row>
    <row r="749" spans="1:25" ht="39.950000000000003" customHeight="1">
      <c r="A749">
        <v>745</v>
      </c>
      <c r="B749" t="s">
        <v>6918</v>
      </c>
      <c r="C749" t="s">
        <v>6919</v>
      </c>
      <c r="D749" t="s">
        <v>6920</v>
      </c>
      <c r="E749" t="s">
        <v>6921</v>
      </c>
      <c r="F749" t="s">
        <v>29</v>
      </c>
      <c r="G749" t="s">
        <v>6922</v>
      </c>
      <c r="H749" t="s">
        <v>234</v>
      </c>
      <c r="I749" t="s">
        <v>4677</v>
      </c>
      <c r="J749" t="s">
        <v>1513</v>
      </c>
      <c r="K749" t="s">
        <v>6923</v>
      </c>
      <c r="L749" t="s">
        <v>184</v>
      </c>
      <c r="M749" t="s">
        <v>827</v>
      </c>
      <c r="N749" t="s">
        <v>6924</v>
      </c>
      <c r="O749" t="s">
        <v>186</v>
      </c>
      <c r="P749" t="s">
        <v>73</v>
      </c>
      <c r="Q749" t="s">
        <v>107</v>
      </c>
      <c r="R749" t="s">
        <v>108</v>
      </c>
      <c r="S749" t="s">
        <v>6925</v>
      </c>
      <c r="U749" t="s">
        <v>43</v>
      </c>
      <c r="V749" t="s">
        <v>6926</v>
      </c>
      <c r="W749" t="s">
        <v>6927</v>
      </c>
      <c r="Y749" t="str">
        <f>HYPERLINK("https://recruiter.shine.com/resume/download/?resumeid=gAAAAABbk2ULCZESTvbxmdAi1NDeXC-w1Tona33BVa9sRKKuaZWhtu2SuCKMW2Kykfzdo-AHcnEd5pwznNwJFW68ib0r59O8q7ew8xQhe9TkR4gLfHR_TPxbNcKhDr4cR4x4OgI6QbUhzCuKKbF38JEZdPbhbdn8jg==")</f>
        <v>https://recruiter.shine.com/resume/download/?resumeid=gAAAAABbk2ULCZESTvbxmdAi1NDeXC-w1Tona33BVa9sRKKuaZWhtu2SuCKMW2Kykfzdo-AHcnEd5pwznNwJFW68ib0r59O8q7ew8xQhe9TkR4gLfHR_TPxbNcKhDr4cR4x4OgI6QbUhzCuKKbF38JEZdPbhbdn8jg==</v>
      </c>
    </row>
    <row r="750" spans="1:25" ht="39.950000000000003" customHeight="1">
      <c r="A750">
        <v>746</v>
      </c>
      <c r="B750" t="s">
        <v>6928</v>
      </c>
      <c r="D750" t="s">
        <v>6929</v>
      </c>
      <c r="E750" t="s">
        <v>6930</v>
      </c>
      <c r="F750" t="s">
        <v>29</v>
      </c>
      <c r="G750" t="s">
        <v>1008</v>
      </c>
      <c r="H750" t="s">
        <v>31</v>
      </c>
      <c r="I750" t="s">
        <v>1038</v>
      </c>
      <c r="J750" t="s">
        <v>1785</v>
      </c>
      <c r="K750" t="s">
        <v>6931</v>
      </c>
      <c r="L750" t="s">
        <v>664</v>
      </c>
      <c r="M750" t="s">
        <v>54</v>
      </c>
      <c r="N750" t="s">
        <v>6932</v>
      </c>
      <c r="O750" t="s">
        <v>224</v>
      </c>
      <c r="P750" t="s">
        <v>73</v>
      </c>
      <c r="Q750" t="s">
        <v>58</v>
      </c>
      <c r="R750" t="s">
        <v>897</v>
      </c>
      <c r="S750" t="s">
        <v>6933</v>
      </c>
      <c r="T750" t="s">
        <v>415</v>
      </c>
      <c r="U750" t="s">
        <v>43</v>
      </c>
      <c r="V750" t="s">
        <v>6934</v>
      </c>
      <c r="W750" t="s">
        <v>6935</v>
      </c>
      <c r="Y750" t="str">
        <f>HYPERLINK("https://recruiter.shine.com/resume/download/?resumeid=gAAAAABbk2UMNzplr1Jp_6UmiailpsYt_qMMSbG2_gAFL1aG5T_V2yl3b1DMYHi8GK54gP1SSHmolyWYn7b5pmua_HksVeoKPVLfFZcZZhyR1N_7D8CYQQprq1m_ewupkAyfeoUAY_svU24eXPy8Zci_fuNbZERbMk9cuOc7Hzb4QPn6gLiKO0U=")</f>
        <v>https://recruiter.shine.com/resume/download/?resumeid=gAAAAABbk2UMNzplr1Jp_6UmiailpsYt_qMMSbG2_gAFL1aG5T_V2yl3b1DMYHi8GK54gP1SSHmolyWYn7b5pmua_HksVeoKPVLfFZcZZhyR1N_7D8CYQQprq1m_ewupkAyfeoUAY_svU24eXPy8Zci_fuNbZERbMk9cuOc7Hzb4QPn6gLiKO0U=</v>
      </c>
    </row>
    <row r="751" spans="1:25" ht="39.950000000000003" customHeight="1">
      <c r="A751">
        <v>747</v>
      </c>
      <c r="B751" t="s">
        <v>6936</v>
      </c>
      <c r="C751" t="s">
        <v>6937</v>
      </c>
      <c r="D751" t="s">
        <v>6938</v>
      </c>
      <c r="E751" t="s">
        <v>6939</v>
      </c>
      <c r="F751" t="s">
        <v>29</v>
      </c>
      <c r="G751" t="s">
        <v>67</v>
      </c>
      <c r="H751" t="s">
        <v>31</v>
      </c>
      <c r="I751" t="s">
        <v>633</v>
      </c>
      <c r="J751" t="s">
        <v>135</v>
      </c>
      <c r="K751" t="s">
        <v>6940</v>
      </c>
      <c r="L751" t="s">
        <v>199</v>
      </c>
      <c r="M751" t="s">
        <v>36</v>
      </c>
      <c r="N751" t="s">
        <v>6941</v>
      </c>
      <c r="O751" t="s">
        <v>186</v>
      </c>
      <c r="P751" t="s">
        <v>771</v>
      </c>
      <c r="Q751" t="s">
        <v>107</v>
      </c>
      <c r="R751" t="s">
        <v>341</v>
      </c>
      <c r="S751" t="s">
        <v>6942</v>
      </c>
      <c r="T751" t="s">
        <v>625</v>
      </c>
      <c r="U751" t="s">
        <v>43</v>
      </c>
      <c r="V751" t="s">
        <v>6943</v>
      </c>
      <c r="W751" t="s">
        <v>6943</v>
      </c>
      <c r="Y751" t="str">
        <f>HYPERLINK("https://recruiter.shine.com/resume/download/?resumeid=gAAAAABbk2UO47hg_a1jd0cFwHgoLrCH1dL27wnrL32jHw6WYO2twAF_emx5QBDBxP9SeWycCTHFq8qoV6SjZ4okM1kQccIk4av9gypSHO-5kPBCaB2VcNNIooWAyO_VEtwdG424JhqeuS-0rE-Gz9gQ7jHsQO_Xkg==")</f>
        <v>https://recruiter.shine.com/resume/download/?resumeid=gAAAAABbk2UO47hg_a1jd0cFwHgoLrCH1dL27wnrL32jHw6WYO2twAF_emx5QBDBxP9SeWycCTHFq8qoV6SjZ4okM1kQccIk4av9gypSHO-5kPBCaB2VcNNIooWAyO_VEtwdG424JhqeuS-0rE-Gz9gQ7jHsQO_Xkg==</v>
      </c>
    </row>
    <row r="752" spans="1:25" ht="39.950000000000003" customHeight="1">
      <c r="A752">
        <v>748</v>
      </c>
      <c r="B752" t="s">
        <v>6944</v>
      </c>
      <c r="C752" t="s">
        <v>6945</v>
      </c>
      <c r="D752" t="s">
        <v>6946</v>
      </c>
      <c r="E752" t="s">
        <v>6947</v>
      </c>
      <c r="F752" t="s">
        <v>29</v>
      </c>
      <c r="G752" t="s">
        <v>6948</v>
      </c>
      <c r="H752" t="s">
        <v>31</v>
      </c>
      <c r="I752" t="s">
        <v>134</v>
      </c>
      <c r="J752" t="s">
        <v>251</v>
      </c>
      <c r="K752" t="s">
        <v>6949</v>
      </c>
      <c r="L752" t="s">
        <v>199</v>
      </c>
      <c r="M752" t="s">
        <v>105</v>
      </c>
      <c r="N752" t="s">
        <v>6950</v>
      </c>
      <c r="O752" t="s">
        <v>585</v>
      </c>
      <c r="P752" t="s">
        <v>57</v>
      </c>
      <c r="Q752" t="s">
        <v>107</v>
      </c>
      <c r="R752" t="s">
        <v>341</v>
      </c>
      <c r="S752" t="s">
        <v>6951</v>
      </c>
      <c r="T752" t="s">
        <v>304</v>
      </c>
      <c r="U752" t="s">
        <v>43</v>
      </c>
      <c r="V752" t="s">
        <v>6952</v>
      </c>
      <c r="W752" t="s">
        <v>6953</v>
      </c>
      <c r="Y752" t="str">
        <f>HYPERLINK("https://recruiter.shine.com/resume/download/?resumeid=gAAAAABbk2UL75_Oa3spIcOGhZgF5Tso6ISeZUqa8vpZwopp2DBEoWwMnhTCM6xpsodrsOwhZsZRVaHQS0odhMy2u-7UOJOTIq2wHtSPM4JY4kRgWubV2gJIKYULK_BrnoT2qUw4t0fell6jm5Pau3_buYkBA1gecA==")</f>
        <v>https://recruiter.shine.com/resume/download/?resumeid=gAAAAABbk2UL75_Oa3spIcOGhZgF5Tso6ISeZUqa8vpZwopp2DBEoWwMnhTCM6xpsodrsOwhZsZRVaHQS0odhMy2u-7UOJOTIq2wHtSPM4JY4kRgWubV2gJIKYULK_BrnoT2qUw4t0fell6jm5Pau3_buYkBA1gecA==</v>
      </c>
    </row>
    <row r="753" spans="1:25" ht="39.950000000000003" customHeight="1">
      <c r="A753">
        <v>749</v>
      </c>
      <c r="B753" t="s">
        <v>6954</v>
      </c>
      <c r="C753" t="s">
        <v>6955</v>
      </c>
      <c r="D753" t="s">
        <v>6956</v>
      </c>
      <c r="E753" t="s">
        <v>6957</v>
      </c>
      <c r="F753" t="s">
        <v>29</v>
      </c>
      <c r="G753" t="s">
        <v>6958</v>
      </c>
      <c r="H753" t="s">
        <v>31</v>
      </c>
      <c r="I753" t="s">
        <v>2747</v>
      </c>
      <c r="J753" t="s">
        <v>299</v>
      </c>
      <c r="K753" t="s">
        <v>6959</v>
      </c>
      <c r="L753" t="s">
        <v>596</v>
      </c>
      <c r="M753" t="s">
        <v>2636</v>
      </c>
      <c r="N753" t="s">
        <v>6960</v>
      </c>
      <c r="O753" t="s">
        <v>186</v>
      </c>
      <c r="P753" t="s">
        <v>57</v>
      </c>
      <c r="Q753" t="s">
        <v>107</v>
      </c>
      <c r="R753" t="s">
        <v>341</v>
      </c>
      <c r="S753" t="s">
        <v>6961</v>
      </c>
      <c r="T753" t="s">
        <v>441</v>
      </c>
      <c r="U753" t="s">
        <v>43</v>
      </c>
      <c r="V753" t="s">
        <v>6962</v>
      </c>
      <c r="W753" t="s">
        <v>6963</v>
      </c>
      <c r="Y753" t="str">
        <f>HYPERLINK("https://recruiter.shine.com/resume/download/?resumeid=gAAAAABbk2UMS3r1B_e6fS3GDQdSYcDT5kkB54AvfZRWPQNNnXyScwg9hWlK2hs4ql-3ffpMwBfXi6D28HmNl2Htginrahc-SUlQd4QBjAeCR43eR2W3LuoaRuJhNT1BewLEDF5B9wUVcVGepKH73fua-hk08iuK0PdejitSashmGPpReoKCiFE=")</f>
        <v>https://recruiter.shine.com/resume/download/?resumeid=gAAAAABbk2UMS3r1B_e6fS3GDQdSYcDT5kkB54AvfZRWPQNNnXyScwg9hWlK2hs4ql-3ffpMwBfXi6D28HmNl2Htginrahc-SUlQd4QBjAeCR43eR2W3LuoaRuJhNT1BewLEDF5B9wUVcVGepKH73fua-hk08iuK0PdejitSashmGPpReoKCiFE=</v>
      </c>
    </row>
    <row r="754" spans="1:25" ht="39.950000000000003" customHeight="1">
      <c r="A754">
        <v>750</v>
      </c>
      <c r="B754" t="s">
        <v>6964</v>
      </c>
      <c r="D754" t="s">
        <v>6965</v>
      </c>
      <c r="E754" t="s">
        <v>6966</v>
      </c>
      <c r="F754" t="s">
        <v>29</v>
      </c>
      <c r="I754" t="s">
        <v>1122</v>
      </c>
      <c r="J754" t="s">
        <v>801</v>
      </c>
      <c r="K754" t="s">
        <v>6967</v>
      </c>
      <c r="L754" t="s">
        <v>171</v>
      </c>
      <c r="M754" t="s">
        <v>54</v>
      </c>
      <c r="N754" t="s">
        <v>6968</v>
      </c>
      <c r="O754" t="s">
        <v>56</v>
      </c>
      <c r="Q754" t="s">
        <v>41</v>
      </c>
      <c r="R754" t="s">
        <v>6969</v>
      </c>
      <c r="S754" t="s">
        <v>398</v>
      </c>
      <c r="T754" t="s">
        <v>429</v>
      </c>
      <c r="U754" t="s">
        <v>43</v>
      </c>
      <c r="V754" t="s">
        <v>6970</v>
      </c>
      <c r="W754" t="s">
        <v>6971</v>
      </c>
      <c r="Y754" t="str">
        <f>HYPERLINK("https://recruiter.shine.com/resume/download/?resumeid=gAAAAABbk2UNPahMscZKXy70SJSwsHgrzoMFMbpWra_Y0tQSrzoiDwvVr4yZXwNw3TSR59alI6vNfeuv2iRbnbLLPBpP_gw33cWvX397fbW5GxdrlSkloF7xqAGKkGrZQ28Zu2cKHftOksSkXNqSO4lkwwVDMm_KyA==")</f>
        <v>https://recruiter.shine.com/resume/download/?resumeid=gAAAAABbk2UNPahMscZKXy70SJSwsHgrzoMFMbpWra_Y0tQSrzoiDwvVr4yZXwNw3TSR59alI6vNfeuv2iRbnbLLPBpP_gw33cWvX397fbW5GxdrlSkloF7xqAGKkGrZQ28Zu2cKHftOksSkXNqSO4lkwwVDMm_KyA==</v>
      </c>
    </row>
    <row r="755" spans="1:25" ht="39.950000000000003" customHeight="1">
      <c r="A755">
        <v>751</v>
      </c>
      <c r="B755" t="s">
        <v>6972</v>
      </c>
      <c r="C755" t="s">
        <v>6973</v>
      </c>
      <c r="D755" t="s">
        <v>6974</v>
      </c>
      <c r="E755" t="s">
        <v>6975</v>
      </c>
      <c r="F755" t="s">
        <v>29</v>
      </c>
      <c r="G755" t="s">
        <v>30</v>
      </c>
      <c r="H755" t="s">
        <v>31</v>
      </c>
      <c r="I755" t="s">
        <v>208</v>
      </c>
      <c r="J755" t="s">
        <v>251</v>
      </c>
      <c r="K755" t="s">
        <v>6976</v>
      </c>
      <c r="L755" t="s">
        <v>266</v>
      </c>
      <c r="M755" t="s">
        <v>105</v>
      </c>
      <c r="N755" t="s">
        <v>6977</v>
      </c>
      <c r="O755" t="s">
        <v>157</v>
      </c>
      <c r="P755" t="s">
        <v>57</v>
      </c>
      <c r="Q755" t="s">
        <v>158</v>
      </c>
      <c r="R755" t="s">
        <v>159</v>
      </c>
      <c r="S755" t="s">
        <v>6978</v>
      </c>
      <c r="T755" t="s">
        <v>161</v>
      </c>
      <c r="U755" t="s">
        <v>43</v>
      </c>
      <c r="V755" t="s">
        <v>6979</v>
      </c>
      <c r="W755" t="s">
        <v>6980</v>
      </c>
      <c r="Y755" t="str">
        <f>HYPERLINK("https://recruiter.shine.com/resume/download/?resumeid=gAAAAABbk2UKFOu84V6rYefLM4V6epOsVEks3LTXUh3eOtT8y6qAcradFVJDHEea5yoaho2FadI9g6NrFnRsdS0at1IiRjxKbqFRjo49dX21OiVqpGaoCb01PeWBjJhZBNxCNHhhKjMdcdU_8XbK5BhSVU_InQu6TA==")</f>
        <v>https://recruiter.shine.com/resume/download/?resumeid=gAAAAABbk2UKFOu84V6rYefLM4V6epOsVEks3LTXUh3eOtT8y6qAcradFVJDHEea5yoaho2FadI9g6NrFnRsdS0at1IiRjxKbqFRjo49dX21OiVqpGaoCb01PeWBjJhZBNxCNHhhKjMdcdU_8XbK5BhSVU_InQu6TA==</v>
      </c>
    </row>
    <row r="756" spans="1:25" ht="39.950000000000003" customHeight="1">
      <c r="A756">
        <v>752</v>
      </c>
      <c r="B756" t="s">
        <v>6981</v>
      </c>
      <c r="C756" t="s">
        <v>6982</v>
      </c>
      <c r="D756" t="s">
        <v>6983</v>
      </c>
      <c r="E756" t="s">
        <v>6984</v>
      </c>
      <c r="F756" t="s">
        <v>29</v>
      </c>
      <c r="G756" t="s">
        <v>6985</v>
      </c>
      <c r="H756" t="s">
        <v>31</v>
      </c>
      <c r="I756" t="s">
        <v>1038</v>
      </c>
      <c r="J756" t="s">
        <v>6986</v>
      </c>
      <c r="K756" t="s">
        <v>6987</v>
      </c>
      <c r="L756" t="s">
        <v>155</v>
      </c>
      <c r="M756" t="s">
        <v>105</v>
      </c>
      <c r="N756" t="s">
        <v>6988</v>
      </c>
      <c r="O756" t="s">
        <v>186</v>
      </c>
      <c r="P756" t="s">
        <v>57</v>
      </c>
      <c r="Q756" t="s">
        <v>107</v>
      </c>
      <c r="R756" t="s">
        <v>159</v>
      </c>
      <c r="S756" t="s">
        <v>6989</v>
      </c>
      <c r="T756" t="s">
        <v>144</v>
      </c>
      <c r="U756" t="s">
        <v>43</v>
      </c>
      <c r="V756" t="s">
        <v>6990</v>
      </c>
      <c r="W756" t="s">
        <v>6991</v>
      </c>
      <c r="Y756" t="str">
        <f>HYPERLINK("https://recruiter.shine.com/resume/download/?resumeid=gAAAAABbk2UMBxbUFgvBvnhGXLYjm2RZ0FcdGABixoDNJCwy_NEm4pTAoZuGu4zHHh1v_R5R_X8cgwLQK9_H3NDOd_UBNYYs35R-lzihgNFgPvy6PAyfWgN2Oy6kn8nm3SscsdvSOLl-Ct5LB2i2cnWJt-lvH7Wtrg==")</f>
        <v>https://recruiter.shine.com/resume/download/?resumeid=gAAAAABbk2UMBxbUFgvBvnhGXLYjm2RZ0FcdGABixoDNJCwy_NEm4pTAoZuGu4zHHh1v_R5R_X8cgwLQK9_H3NDOd_UBNYYs35R-lzihgNFgPvy6PAyfWgN2Oy6kn8nm3SscsdvSOLl-Ct5LB2i2cnWJt-lvH7Wtrg==</v>
      </c>
    </row>
    <row r="757" spans="1:25" ht="39.950000000000003" customHeight="1">
      <c r="A757">
        <v>753</v>
      </c>
      <c r="B757" t="s">
        <v>6992</v>
      </c>
      <c r="C757" t="s">
        <v>6993</v>
      </c>
      <c r="D757" t="s">
        <v>6994</v>
      </c>
      <c r="E757" t="s">
        <v>6995</v>
      </c>
      <c r="F757" t="s">
        <v>29</v>
      </c>
      <c r="G757" t="s">
        <v>3425</v>
      </c>
      <c r="H757" t="s">
        <v>31</v>
      </c>
      <c r="I757" t="s">
        <v>362</v>
      </c>
      <c r="J757" t="s">
        <v>135</v>
      </c>
      <c r="K757" t="s">
        <v>4259</v>
      </c>
      <c r="L757" t="s">
        <v>266</v>
      </c>
      <c r="M757" t="s">
        <v>105</v>
      </c>
      <c r="N757" t="s">
        <v>6996</v>
      </c>
      <c r="O757" t="s">
        <v>5360</v>
      </c>
      <c r="Q757" t="s">
        <v>158</v>
      </c>
      <c r="R757" t="s">
        <v>159</v>
      </c>
      <c r="S757" t="s">
        <v>6997</v>
      </c>
      <c r="T757" t="s">
        <v>441</v>
      </c>
      <c r="U757" t="s">
        <v>43</v>
      </c>
      <c r="V757" t="s">
        <v>6998</v>
      </c>
      <c r="W757" t="s">
        <v>6999</v>
      </c>
      <c r="Y757" t="str">
        <f>HYPERLINK("https://recruiter.shine.com/resume/download/?resumeid=gAAAAABbk2UOyZd7nGto-R-dVubVZPWFyatVaQzHaJS-3rK7Tg37w8UeZwVnKeOxf6MM6NU3tubr-dH6GIbpwhRo1ivzkJFkOSEoekkgiOhOqwvxE4i_XsXXZTTfOKKonIzPEIeHbwMh6uobMe7QdDi5aVVRW61VS-8cdbiTiT-tFiNXTdGFwBg=")</f>
        <v>https://recruiter.shine.com/resume/download/?resumeid=gAAAAABbk2UOyZd7nGto-R-dVubVZPWFyatVaQzHaJS-3rK7Tg37w8UeZwVnKeOxf6MM6NU3tubr-dH6GIbpwhRo1ivzkJFkOSEoekkgiOhOqwvxE4i_XsXXZTTfOKKonIzPEIeHbwMh6uobMe7QdDi5aVVRW61VS-8cdbiTiT-tFiNXTdGFwBg=</v>
      </c>
    </row>
    <row r="758" spans="1:25" ht="39.950000000000003" customHeight="1">
      <c r="A758">
        <v>754</v>
      </c>
      <c r="B758" t="s">
        <v>7000</v>
      </c>
      <c r="C758" t="s">
        <v>7001</v>
      </c>
      <c r="D758" t="s">
        <v>7002</v>
      </c>
      <c r="E758" t="s">
        <v>7003</v>
      </c>
      <c r="F758" t="s">
        <v>29</v>
      </c>
      <c r="G758" t="s">
        <v>67</v>
      </c>
      <c r="H758" t="s">
        <v>31</v>
      </c>
      <c r="I758" t="s">
        <v>825</v>
      </c>
      <c r="J758" t="s">
        <v>336</v>
      </c>
      <c r="K758" t="s">
        <v>7004</v>
      </c>
      <c r="L758" t="s">
        <v>266</v>
      </c>
      <c r="M758" t="s">
        <v>105</v>
      </c>
      <c r="N758" t="s">
        <v>7005</v>
      </c>
      <c r="O758" t="s">
        <v>585</v>
      </c>
      <c r="Q758" t="s">
        <v>107</v>
      </c>
      <c r="R758" t="s">
        <v>341</v>
      </c>
      <c r="S758" t="s">
        <v>6361</v>
      </c>
      <c r="T758" t="s">
        <v>61</v>
      </c>
      <c r="U758" t="s">
        <v>43</v>
      </c>
      <c r="V758" t="s">
        <v>7006</v>
      </c>
      <c r="W758" t="s">
        <v>7007</v>
      </c>
      <c r="Y758" t="str">
        <f>HYPERLINK("https://recruiter.shine.com/resume/download/?resumeid=gAAAAABbk2ULbxksTj7cVKQBEOAQSfI8MdLI3veVWTq6xJ_hNnquf-xmcEQaWIwGrv0Ofx14cw0kJ1pZT4r1QtXsDdUnWxrUo_FEA_xzN14W2aMvRl7BFGt__2LlGTeluGhRj0pyPE8Sco85PsvlddAQKgTB2TcQsg==")</f>
        <v>https://recruiter.shine.com/resume/download/?resumeid=gAAAAABbk2ULbxksTj7cVKQBEOAQSfI8MdLI3veVWTq6xJ_hNnquf-xmcEQaWIwGrv0Ofx14cw0kJ1pZT4r1QtXsDdUnWxrUo_FEA_xzN14W2aMvRl7BFGt__2LlGTeluGhRj0pyPE8Sco85PsvlddAQKgTB2TcQsg==</v>
      </c>
    </row>
    <row r="759" spans="1:25" ht="39.950000000000003" customHeight="1">
      <c r="A759">
        <v>755</v>
      </c>
      <c r="B759" t="s">
        <v>7008</v>
      </c>
      <c r="C759" t="s">
        <v>7009</v>
      </c>
      <c r="D759" t="s">
        <v>7010</v>
      </c>
      <c r="E759" t="s">
        <v>7011</v>
      </c>
      <c r="F759" t="s">
        <v>29</v>
      </c>
      <c r="G759" t="s">
        <v>30</v>
      </c>
      <c r="H759" t="s">
        <v>31</v>
      </c>
      <c r="I759" t="s">
        <v>905</v>
      </c>
      <c r="J759" t="s">
        <v>299</v>
      </c>
      <c r="K759" t="s">
        <v>7012</v>
      </c>
      <c r="L759" t="s">
        <v>338</v>
      </c>
      <c r="M759" t="s">
        <v>473</v>
      </c>
      <c r="N759" t="s">
        <v>7013</v>
      </c>
      <c r="O759" t="s">
        <v>186</v>
      </c>
      <c r="P759" t="s">
        <v>57</v>
      </c>
      <c r="Q759" t="s">
        <v>90</v>
      </c>
      <c r="R759" t="s">
        <v>427</v>
      </c>
      <c r="S759" t="s">
        <v>7014</v>
      </c>
      <c r="T759" t="s">
        <v>429</v>
      </c>
      <c r="U759" t="s">
        <v>43</v>
      </c>
      <c r="V759" t="s">
        <v>7015</v>
      </c>
      <c r="W759" t="s">
        <v>7016</v>
      </c>
      <c r="Y759" t="str">
        <f>HYPERLINK("https://recruiter.shine.com/resume/download/?resumeid=gAAAAABbk2UMfQfVH9Tioy55tcVlrCeJKvjWwka3FNRoJmlkvylUhdmcz9NQAgzSLaClyrofY9m6oea1lCoepTAAcEZCBL1D9T4xLQefUm-WwC-l99Z2mP42Mc8jCBpemr_brWGNd2oOWpnLApUWjaTWJXfsu-EIztkC0vWIsc7-EY-o3L7hTUs=")</f>
        <v>https://recruiter.shine.com/resume/download/?resumeid=gAAAAABbk2UMfQfVH9Tioy55tcVlrCeJKvjWwka3FNRoJmlkvylUhdmcz9NQAgzSLaClyrofY9m6oea1lCoepTAAcEZCBL1D9T4xLQefUm-WwC-l99Z2mP42Mc8jCBpemr_brWGNd2oOWpnLApUWjaTWJXfsu-EIztkC0vWIsc7-EY-o3L7hTUs=</v>
      </c>
    </row>
    <row r="760" spans="1:25" ht="39.950000000000003" customHeight="1">
      <c r="A760">
        <v>756</v>
      </c>
      <c r="B760" t="s">
        <v>7017</v>
      </c>
      <c r="D760" t="s">
        <v>7018</v>
      </c>
      <c r="E760" t="s">
        <v>7019</v>
      </c>
      <c r="F760" t="s">
        <v>29</v>
      </c>
      <c r="I760" t="s">
        <v>3365</v>
      </c>
      <c r="J760" t="s">
        <v>2503</v>
      </c>
      <c r="K760" t="s">
        <v>7020</v>
      </c>
      <c r="L760" t="s">
        <v>155</v>
      </c>
      <c r="M760" t="s">
        <v>105</v>
      </c>
      <c r="N760" t="s">
        <v>7021</v>
      </c>
      <c r="O760" t="s">
        <v>558</v>
      </c>
      <c r="Q760" t="s">
        <v>107</v>
      </c>
      <c r="R760" t="s">
        <v>864</v>
      </c>
      <c r="S760" t="s">
        <v>643</v>
      </c>
      <c r="T760" t="s">
        <v>1921</v>
      </c>
      <c r="U760" t="s">
        <v>43</v>
      </c>
      <c r="V760" t="s">
        <v>7022</v>
      </c>
      <c r="W760" t="s">
        <v>7023</v>
      </c>
      <c r="Y760" t="str">
        <f>HYPERLINK("https://recruiter.shine.com/resume/download/?resumeid=gAAAAABbk2UOkCpn7TdMiHkrBt-kQActhm9RdKpT_q1ajS1Uk7o5A_Yoo5QZcgZEaqsqAJ1XlSsyR717KyoIAz1cLYSO0kzyR2KE6DjAEZ_WAyFaDjVAf-C1Vchk8DN0Zg0it7UMlvc-TZbqEMcH7caI94FpXE42lQ==")</f>
        <v>https://recruiter.shine.com/resume/download/?resumeid=gAAAAABbk2UOkCpn7TdMiHkrBt-kQActhm9RdKpT_q1ajS1Uk7o5A_Yoo5QZcgZEaqsqAJ1XlSsyR717KyoIAz1cLYSO0kzyR2KE6DjAEZ_WAyFaDjVAf-C1Vchk8DN0Zg0it7UMlvc-TZbqEMcH7caI94FpXE42lQ==</v>
      </c>
    </row>
    <row r="761" spans="1:25" ht="39.950000000000003" customHeight="1">
      <c r="A761">
        <v>757</v>
      </c>
      <c r="B761" t="s">
        <v>7024</v>
      </c>
      <c r="C761" t="s">
        <v>7025</v>
      </c>
      <c r="D761" t="s">
        <v>7026</v>
      </c>
      <c r="E761" t="s">
        <v>7027</v>
      </c>
      <c r="F761" t="s">
        <v>29</v>
      </c>
      <c r="G761" t="s">
        <v>29</v>
      </c>
      <c r="H761" t="s">
        <v>31</v>
      </c>
      <c r="I761" t="s">
        <v>6048</v>
      </c>
      <c r="J761" t="s">
        <v>7028</v>
      </c>
      <c r="K761" t="s">
        <v>7029</v>
      </c>
      <c r="L761" t="s">
        <v>606</v>
      </c>
      <c r="M761" t="s">
        <v>36</v>
      </c>
      <c r="N761" t="s">
        <v>7030</v>
      </c>
      <c r="O761" t="s">
        <v>224</v>
      </c>
      <c r="P761" t="s">
        <v>39</v>
      </c>
      <c r="Q761" t="s">
        <v>107</v>
      </c>
      <c r="R761" t="s">
        <v>864</v>
      </c>
      <c r="S761" t="s">
        <v>188</v>
      </c>
      <c r="T761" t="s">
        <v>144</v>
      </c>
      <c r="U761" t="s">
        <v>43</v>
      </c>
      <c r="V761" t="s">
        <v>7031</v>
      </c>
      <c r="W761" t="s">
        <v>7032</v>
      </c>
      <c r="Y761" t="str">
        <f>HYPERLINK("https://recruiter.shine.com/resume/download/?resumeid=gAAAAABbk2UKhNcda5rgUSQJCybQpItXb4CLJsxXCqws4vQpuBIdeo9TFV9eAL7qI87Mvowats4bfvP5ZGAMDSxfNct9cwsBbTtXTIuzuL_LiAEo9iVha6UxX3oOaKtd5d-J7Lt2gF12Scwj2OFdCgMolpz_6-TVpg==")</f>
        <v>https://recruiter.shine.com/resume/download/?resumeid=gAAAAABbk2UKhNcda5rgUSQJCybQpItXb4CLJsxXCqws4vQpuBIdeo9TFV9eAL7qI87Mvowats4bfvP5ZGAMDSxfNct9cwsBbTtXTIuzuL_LiAEo9iVha6UxX3oOaKtd5d-J7Lt2gF12Scwj2OFdCgMolpz_6-TVpg==</v>
      </c>
    </row>
    <row r="762" spans="1:25" ht="39.950000000000003" customHeight="1">
      <c r="A762">
        <v>758</v>
      </c>
      <c r="B762" t="s">
        <v>7033</v>
      </c>
      <c r="C762" t="s">
        <v>7034</v>
      </c>
      <c r="D762" t="s">
        <v>7035</v>
      </c>
      <c r="E762" t="s">
        <v>6430</v>
      </c>
      <c r="F762" t="s">
        <v>29</v>
      </c>
      <c r="G762" t="s">
        <v>29</v>
      </c>
      <c r="H762" t="s">
        <v>31</v>
      </c>
      <c r="I762" t="s">
        <v>3470</v>
      </c>
      <c r="J762" t="s">
        <v>5610</v>
      </c>
      <c r="K762" t="s">
        <v>7036</v>
      </c>
      <c r="L762" t="s">
        <v>3767</v>
      </c>
      <c r="M762" t="s">
        <v>36</v>
      </c>
      <c r="N762" t="s">
        <v>7037</v>
      </c>
      <c r="O762" t="s">
        <v>38</v>
      </c>
      <c r="P762" t="s">
        <v>57</v>
      </c>
      <c r="Q762" t="s">
        <v>107</v>
      </c>
      <c r="R762" t="s">
        <v>341</v>
      </c>
      <c r="S762" t="s">
        <v>7038</v>
      </c>
      <c r="T762" t="s">
        <v>161</v>
      </c>
      <c r="U762" t="s">
        <v>43</v>
      </c>
      <c r="V762" t="s">
        <v>7039</v>
      </c>
      <c r="W762" t="s">
        <v>7040</v>
      </c>
      <c r="Y762" t="str">
        <f>HYPERLINK("https://recruiter.shine.com/resume/download/?resumeid=gAAAAABbk2UMLl2ydVvc123B3nOsrf8PqJqvUQldNjcjoX-NONtDr3xrslSeMnqb3NC4pBKrQ1TANnJ7qpFzmtlDZil0xIXx3qioqcNtQyH-sXmLVQHi0Cy5jB-MXAexmd8cseuhPc5MwJvmvKXp6Fx3GMtilusR1OyBPsnkCuEIIbiwOuY9wHA=")</f>
        <v>https://recruiter.shine.com/resume/download/?resumeid=gAAAAABbk2UMLl2ydVvc123B3nOsrf8PqJqvUQldNjcjoX-NONtDr3xrslSeMnqb3NC4pBKrQ1TANnJ7qpFzmtlDZil0xIXx3qioqcNtQyH-sXmLVQHi0Cy5jB-MXAexmd8cseuhPc5MwJvmvKXp6Fx3GMtilusR1OyBPsnkCuEIIbiwOuY9wHA=</v>
      </c>
    </row>
    <row r="763" spans="1:25" ht="39.950000000000003" customHeight="1">
      <c r="A763">
        <v>759</v>
      </c>
      <c r="B763" t="s">
        <v>7041</v>
      </c>
      <c r="C763" t="s">
        <v>7042</v>
      </c>
      <c r="D763" t="s">
        <v>7043</v>
      </c>
      <c r="E763" t="s">
        <v>7044</v>
      </c>
      <c r="F763" t="s">
        <v>858</v>
      </c>
      <c r="G763" t="s">
        <v>6411</v>
      </c>
      <c r="H763" t="s">
        <v>234</v>
      </c>
      <c r="I763" t="s">
        <v>362</v>
      </c>
      <c r="J763" t="s">
        <v>135</v>
      </c>
      <c r="L763" t="s">
        <v>363</v>
      </c>
      <c r="M763" t="s">
        <v>364</v>
      </c>
      <c r="Q763" t="s">
        <v>107</v>
      </c>
      <c r="R763" t="s">
        <v>864</v>
      </c>
      <c r="S763" t="s">
        <v>7045</v>
      </c>
      <c r="T763" t="s">
        <v>2078</v>
      </c>
      <c r="U763" t="s">
        <v>43</v>
      </c>
      <c r="V763" t="s">
        <v>7046</v>
      </c>
      <c r="W763" t="s">
        <v>7047</v>
      </c>
      <c r="Y763" t="str">
        <f>HYPERLINK("https://recruiter.shine.com/resume/download/?resumeid=gAAAAABbk2UO8CXWi-I-5Q05V11EZvAdB_ldf3cunlfGwWZ_6esVvYbnEfzAj4YO7IgpEeJCMnYk01NywRqr8RbXZ5oFEDaQM2UKoD-OVVHufubphC9Diqt88ab9iE8S_1Nh5GdN4ijZy6pr_WK-nunBEUHAkBz-VreITZ67_ri6xrV0lqt1CBU=")</f>
        <v>https://recruiter.shine.com/resume/download/?resumeid=gAAAAABbk2UO8CXWi-I-5Q05V11EZvAdB_ldf3cunlfGwWZ_6esVvYbnEfzAj4YO7IgpEeJCMnYk01NywRqr8RbXZ5oFEDaQM2UKoD-OVVHufubphC9Diqt88ab9iE8S_1Nh5GdN4ijZy6pr_WK-nunBEUHAkBz-VreITZ67_ri6xrV0lqt1CBU=</v>
      </c>
    </row>
    <row r="764" spans="1:25" ht="39.950000000000003" customHeight="1">
      <c r="A764">
        <v>760</v>
      </c>
      <c r="B764" t="s">
        <v>7048</v>
      </c>
      <c r="D764" t="s">
        <v>7049</v>
      </c>
      <c r="E764" t="s">
        <v>7050</v>
      </c>
      <c r="F764" t="s">
        <v>29</v>
      </c>
      <c r="G764" t="s">
        <v>29</v>
      </c>
      <c r="H764" t="s">
        <v>234</v>
      </c>
      <c r="I764" t="s">
        <v>714</v>
      </c>
      <c r="J764" t="s">
        <v>7051</v>
      </c>
      <c r="K764" t="s">
        <v>2730</v>
      </c>
      <c r="L764" t="s">
        <v>88</v>
      </c>
      <c r="M764" t="s">
        <v>238</v>
      </c>
      <c r="N764" t="s">
        <v>7052</v>
      </c>
      <c r="O764" t="s">
        <v>38</v>
      </c>
      <c r="Q764" t="s">
        <v>187</v>
      </c>
      <c r="R764" t="s">
        <v>124</v>
      </c>
      <c r="S764" t="s">
        <v>7053</v>
      </c>
      <c r="U764" t="s">
        <v>43</v>
      </c>
      <c r="V764" t="s">
        <v>7054</v>
      </c>
      <c r="W764" t="s">
        <v>7055</v>
      </c>
      <c r="Y764" t="str">
        <f>HYPERLINK("https://recruiter.shine.com/resume/download/?resumeid=gAAAAABbk2UL6zQoMUOCNXMqXDLmqHycpcnY6mYCEDgeIgJh3A4IOwC6ZQN1E_YZ3YIKCT0JgEmwhSm_hGWaIX95EjLtM6hkYe99lLnP_PqZWJJxZdGGjCWncQsdts4sUjwHATQw87D1jF4KAhqM9ngULwlAvkktRoLQ-ZvO2osBs2dUaB3i1QI=")</f>
        <v>https://recruiter.shine.com/resume/download/?resumeid=gAAAAABbk2UL6zQoMUOCNXMqXDLmqHycpcnY6mYCEDgeIgJh3A4IOwC6ZQN1E_YZ3YIKCT0JgEmwhSm_hGWaIX95EjLtM6hkYe99lLnP_PqZWJJxZdGGjCWncQsdts4sUjwHATQw87D1jF4KAhqM9ngULwlAvkktRoLQ-ZvO2osBs2dUaB3i1QI=</v>
      </c>
    </row>
    <row r="765" spans="1:25" ht="39.950000000000003" customHeight="1">
      <c r="A765">
        <v>761</v>
      </c>
      <c r="B765" t="s">
        <v>7056</v>
      </c>
      <c r="C765" t="s">
        <v>7057</v>
      </c>
      <c r="D765" t="s">
        <v>7058</v>
      </c>
      <c r="E765" t="s">
        <v>7059</v>
      </c>
      <c r="F765" t="s">
        <v>858</v>
      </c>
      <c r="G765" t="s">
        <v>7060</v>
      </c>
      <c r="H765" t="s">
        <v>234</v>
      </c>
      <c r="I765" t="s">
        <v>6449</v>
      </c>
      <c r="J765" t="s">
        <v>102</v>
      </c>
      <c r="K765" t="s">
        <v>7061</v>
      </c>
      <c r="L765" t="s">
        <v>937</v>
      </c>
      <c r="M765" t="s">
        <v>463</v>
      </c>
      <c r="N765" t="s">
        <v>7062</v>
      </c>
      <c r="O765" t="s">
        <v>56</v>
      </c>
      <c r="P765" t="s">
        <v>57</v>
      </c>
      <c r="Q765" t="s">
        <v>107</v>
      </c>
      <c r="R765" t="s">
        <v>75</v>
      </c>
      <c r="S765" t="s">
        <v>1402</v>
      </c>
      <c r="T765" t="s">
        <v>415</v>
      </c>
      <c r="U765" t="s">
        <v>43</v>
      </c>
      <c r="V765" t="s">
        <v>7063</v>
      </c>
      <c r="W765" t="s">
        <v>7064</v>
      </c>
      <c r="Y765" t="str">
        <f>HYPERLINK("https://recruiter.shine.com/resume/download/?resumeid=gAAAAABbk2UNriMasqM5JNV-ZGwFfesgszo0MnZtaVoSCJV15uw3rM0QJPBYzlgGX-6id9QSiJ56QJlsH4boMgi7af3h9rLm_uZwdojattU-FGcwkhK4ybDZyurunM9T6IDU4HyIQwK3xbhYkBN3gYXbUPqKBPbZKg==")</f>
        <v>https://recruiter.shine.com/resume/download/?resumeid=gAAAAABbk2UNriMasqM5JNV-ZGwFfesgszo0MnZtaVoSCJV15uw3rM0QJPBYzlgGX-6id9QSiJ56QJlsH4boMgi7af3h9rLm_uZwdojattU-FGcwkhK4ybDZyurunM9T6IDU4HyIQwK3xbhYkBN3gYXbUPqKBPbZKg==</v>
      </c>
    </row>
    <row r="766" spans="1:25" ht="39.950000000000003" customHeight="1">
      <c r="A766">
        <v>762</v>
      </c>
      <c r="B766" t="s">
        <v>7065</v>
      </c>
      <c r="D766" t="s">
        <v>7066</v>
      </c>
      <c r="E766" t="s">
        <v>7067</v>
      </c>
      <c r="F766" t="s">
        <v>29</v>
      </c>
      <c r="G766" t="s">
        <v>67</v>
      </c>
      <c r="H766" t="s">
        <v>31</v>
      </c>
      <c r="I766" t="s">
        <v>825</v>
      </c>
      <c r="J766" t="s">
        <v>51</v>
      </c>
      <c r="K766" t="s">
        <v>2571</v>
      </c>
      <c r="L766" t="s">
        <v>6189</v>
      </c>
      <c r="M766" t="s">
        <v>121</v>
      </c>
      <c r="N766" t="s">
        <v>7068</v>
      </c>
      <c r="O766" t="s">
        <v>224</v>
      </c>
      <c r="P766" t="s">
        <v>39</v>
      </c>
      <c r="Q766" t="s">
        <v>365</v>
      </c>
      <c r="R766" t="s">
        <v>476</v>
      </c>
      <c r="S766" t="s">
        <v>7069</v>
      </c>
      <c r="T766" t="s">
        <v>304</v>
      </c>
      <c r="U766" t="s">
        <v>43</v>
      </c>
      <c r="V766" t="s">
        <v>7070</v>
      </c>
      <c r="W766" t="s">
        <v>7071</v>
      </c>
      <c r="Y766" t="str">
        <f>HYPERLINK("https://recruiter.shine.com/resume/download/?resumeid=gAAAAABbk2UO2tGmu41ADB21OHPddqQiUBIptRjae3ZZVy7SCgxRSACutYYZkYtKi0367YEYbuBwumIi0NSZGSjgdDLS_xS9mF4IA5Or966bUzKSpg8USwyi-CZIVkbqHuS8dkPuPaOLFaSVYwH7IzaOxgVDTMA8dA==")</f>
        <v>https://recruiter.shine.com/resume/download/?resumeid=gAAAAABbk2UO2tGmu41ADB21OHPddqQiUBIptRjae3ZZVy7SCgxRSACutYYZkYtKi0367YEYbuBwumIi0NSZGSjgdDLS_xS9mF4IA5Or966bUzKSpg8USwyi-CZIVkbqHuS8dkPuPaOLFaSVYwH7IzaOxgVDTMA8dA==</v>
      </c>
    </row>
    <row r="767" spans="1:25" ht="39.950000000000003" customHeight="1">
      <c r="A767">
        <v>763</v>
      </c>
      <c r="B767" t="s">
        <v>7072</v>
      </c>
      <c r="C767" t="s">
        <v>7073</v>
      </c>
      <c r="D767" t="s">
        <v>7074</v>
      </c>
      <c r="E767" t="s">
        <v>7075</v>
      </c>
      <c r="F767" t="s">
        <v>858</v>
      </c>
      <c r="G767" t="s">
        <v>2854</v>
      </c>
      <c r="H767" t="s">
        <v>31</v>
      </c>
      <c r="I767" t="s">
        <v>7076</v>
      </c>
      <c r="J767" t="s">
        <v>4059</v>
      </c>
      <c r="K767" t="s">
        <v>7077</v>
      </c>
      <c r="L767" t="s">
        <v>7078</v>
      </c>
      <c r="M767" t="s">
        <v>707</v>
      </c>
      <c r="N767" t="s">
        <v>7079</v>
      </c>
      <c r="O767" t="s">
        <v>1063</v>
      </c>
      <c r="P767" t="s">
        <v>73</v>
      </c>
      <c r="Q767" t="s">
        <v>365</v>
      </c>
      <c r="R767" t="s">
        <v>7080</v>
      </c>
      <c r="S767" t="s">
        <v>7081</v>
      </c>
      <c r="T767" t="s">
        <v>887</v>
      </c>
      <c r="U767" t="s">
        <v>43</v>
      </c>
      <c r="V767" t="s">
        <v>7082</v>
      </c>
      <c r="W767" t="s">
        <v>7083</v>
      </c>
      <c r="Y767" t="str">
        <f>HYPERLINK("https://recruiter.shine.com/resume/download/?resumeid=gAAAAABbk2ULUxdbKwcOGt6oETFqgcLapDkJVe4mxRl8zFpIiDZvsqO9LiSBt38qf7yDa1TC2AicFAfpvuAnntJog2sCAN_-dbMU2W3WIvaE2lzgJc7dKcxFa9Q29QXyEa25ZhnIEB3XghfvKyOlwSbf-9G2Bkg3hzqHdHV8okZQm1ljktXubwE=")</f>
        <v>https://recruiter.shine.com/resume/download/?resumeid=gAAAAABbk2ULUxdbKwcOGt6oETFqgcLapDkJVe4mxRl8zFpIiDZvsqO9LiSBt38qf7yDa1TC2AicFAfpvuAnntJog2sCAN_-dbMU2W3WIvaE2lzgJc7dKcxFa9Q29QXyEa25ZhnIEB3XghfvKyOlwSbf-9G2Bkg3hzqHdHV8okZQm1ljktXubwE=</v>
      </c>
    </row>
    <row r="768" spans="1:25" ht="39.950000000000003" customHeight="1">
      <c r="A768">
        <v>764</v>
      </c>
      <c r="B768" t="s">
        <v>7084</v>
      </c>
      <c r="C768" t="s">
        <v>7085</v>
      </c>
      <c r="D768" t="s">
        <v>7086</v>
      </c>
      <c r="E768" t="s">
        <v>7087</v>
      </c>
      <c r="F768" t="s">
        <v>29</v>
      </c>
      <c r="G768" t="s">
        <v>957</v>
      </c>
      <c r="H768" t="s">
        <v>234</v>
      </c>
      <c r="I768" t="s">
        <v>7088</v>
      </c>
      <c r="J768" t="s">
        <v>51</v>
      </c>
      <c r="K768" t="s">
        <v>7089</v>
      </c>
      <c r="L768" t="s">
        <v>3757</v>
      </c>
      <c r="M768" t="s">
        <v>3183</v>
      </c>
      <c r="N768" t="s">
        <v>7090</v>
      </c>
      <c r="O768" t="s">
        <v>186</v>
      </c>
      <c r="P768" t="s">
        <v>73</v>
      </c>
      <c r="Q768" t="s">
        <v>107</v>
      </c>
      <c r="R768" t="s">
        <v>864</v>
      </c>
      <c r="S768" t="s">
        <v>7091</v>
      </c>
      <c r="T768" t="s">
        <v>429</v>
      </c>
      <c r="U768" t="s">
        <v>43</v>
      </c>
      <c r="V768" t="s">
        <v>7092</v>
      </c>
      <c r="W768" t="s">
        <v>7093</v>
      </c>
      <c r="Y768" t="str">
        <f>HYPERLINK("https://recruiter.shine.com/resume/download/?resumeid=gAAAAABbk2UNFDPgD2K3CTq0Os4WgLeyyxgc_fvvwxdpQG3PY9SS0RWgasOyP1s7w9-dcgCaV4XHdsOnXOaZBgdA9GDcs7NkSi3hnpEvixQ18E-nD0nFIR6n_Tzpk2clXT7oD4Kd_49n0sD4hq6ylHaoMXFO5POKUQ==")</f>
        <v>https://recruiter.shine.com/resume/download/?resumeid=gAAAAABbk2UNFDPgD2K3CTq0Os4WgLeyyxgc_fvvwxdpQG3PY9SS0RWgasOyP1s7w9-dcgCaV4XHdsOnXOaZBgdA9GDcs7NkSi3hnpEvixQ18E-nD0nFIR6n_Tzpk2clXT7oD4Kd_49n0sD4hq6ylHaoMXFO5POKUQ==</v>
      </c>
    </row>
    <row r="769" spans="1:25" ht="39.950000000000003" customHeight="1">
      <c r="A769">
        <v>765</v>
      </c>
      <c r="B769" t="s">
        <v>7094</v>
      </c>
      <c r="D769" t="s">
        <v>7095</v>
      </c>
      <c r="E769" t="s">
        <v>7096</v>
      </c>
      <c r="F769" t="s">
        <v>29</v>
      </c>
      <c r="G769" t="s">
        <v>67</v>
      </c>
      <c r="H769" t="s">
        <v>31</v>
      </c>
      <c r="I769" t="s">
        <v>1365</v>
      </c>
      <c r="J769" t="s">
        <v>1742</v>
      </c>
      <c r="K769" t="s">
        <v>7097</v>
      </c>
      <c r="L769" t="s">
        <v>266</v>
      </c>
      <c r="M769" t="s">
        <v>105</v>
      </c>
      <c r="N769" t="s">
        <v>7098</v>
      </c>
      <c r="O769" t="s">
        <v>224</v>
      </c>
      <c r="Q769" t="s">
        <v>107</v>
      </c>
      <c r="R769" t="s">
        <v>559</v>
      </c>
      <c r="S769" t="s">
        <v>7099</v>
      </c>
      <c r="T769" t="s">
        <v>227</v>
      </c>
      <c r="U769" t="s">
        <v>43</v>
      </c>
      <c r="V769" t="s">
        <v>7100</v>
      </c>
      <c r="W769" t="s">
        <v>7101</v>
      </c>
      <c r="Y769" t="str">
        <f>HYPERLINK("https://recruiter.shine.com/resume/download/?resumeid=gAAAAABbk2UNK8HQq_vHQ3MrzLlxb5vEGawmNSDisSCZGpp-pGL6g_b-r3ytGvO0jHxinAeDG35Sr9J7Fe2HDMIc2aZhPa6mAdfYKGismT0kbthR56uBbyLV-2cEljpwW-eUM6FBrHREawvlBkjr3yoINN_1n4GtLFJwWeLgVI2Q_G6OKcPb-uI=")</f>
        <v>https://recruiter.shine.com/resume/download/?resumeid=gAAAAABbk2UNK8HQq_vHQ3MrzLlxb5vEGawmNSDisSCZGpp-pGL6g_b-r3ytGvO0jHxinAeDG35Sr9J7Fe2HDMIc2aZhPa6mAdfYKGismT0kbthR56uBbyLV-2cEljpwW-eUM6FBrHREawvlBkjr3yoINN_1n4GtLFJwWeLgVI2Q_G6OKcPb-uI=</v>
      </c>
    </row>
    <row r="770" spans="1:25" ht="39.950000000000003" customHeight="1">
      <c r="A770">
        <v>766</v>
      </c>
      <c r="B770" t="s">
        <v>7102</v>
      </c>
      <c r="D770" t="s">
        <v>7103</v>
      </c>
      <c r="E770" t="s">
        <v>7104</v>
      </c>
      <c r="F770" t="s">
        <v>29</v>
      </c>
      <c r="G770" t="s">
        <v>29</v>
      </c>
      <c r="H770" t="s">
        <v>31</v>
      </c>
      <c r="I770" t="s">
        <v>362</v>
      </c>
      <c r="J770" t="s">
        <v>1186</v>
      </c>
      <c r="L770" t="s">
        <v>363</v>
      </c>
      <c r="M770" t="s">
        <v>364</v>
      </c>
      <c r="Q770" t="s">
        <v>123</v>
      </c>
      <c r="R770" t="s">
        <v>124</v>
      </c>
      <c r="S770" t="s">
        <v>7105</v>
      </c>
      <c r="U770" t="s">
        <v>43</v>
      </c>
      <c r="V770" t="s">
        <v>7106</v>
      </c>
      <c r="W770" t="s">
        <v>7106</v>
      </c>
      <c r="Y770" t="str">
        <f>HYPERLINK("https://recruiter.shine.com/resume/download/?resumeid=gAAAAABbk2UKPlf5rz7ykKRoBrftYFpf_C9bgdxt6JjeUFXRLEB4pL__iwA-FAJgixYDOiCmJ8N-0-EpmzYsyDHhFT0PyJiU8TRp072Ol3lEv10r62Q9BcqoMN8h08dTjdvyxDzLJ2f20yy8FcWwjeeyH8vepwBZIA==")</f>
        <v>https://recruiter.shine.com/resume/download/?resumeid=gAAAAABbk2UKPlf5rz7ykKRoBrftYFpf_C9bgdxt6JjeUFXRLEB4pL__iwA-FAJgixYDOiCmJ8N-0-EpmzYsyDHhFT0PyJiU8TRp072Ol3lEv10r62Q9BcqoMN8h08dTjdvyxDzLJ2f20yy8FcWwjeeyH8vepwBZIA==</v>
      </c>
    </row>
    <row r="771" spans="1:25" ht="39.950000000000003" customHeight="1">
      <c r="A771">
        <v>767</v>
      </c>
      <c r="B771" t="s">
        <v>7107</v>
      </c>
      <c r="C771" t="s">
        <v>7108</v>
      </c>
      <c r="D771" t="s">
        <v>7109</v>
      </c>
      <c r="E771" t="s">
        <v>7110</v>
      </c>
      <c r="F771" t="s">
        <v>29</v>
      </c>
      <c r="G771" t="s">
        <v>7111</v>
      </c>
      <c r="H771" t="s">
        <v>31</v>
      </c>
      <c r="I771" t="s">
        <v>825</v>
      </c>
      <c r="J771" t="s">
        <v>278</v>
      </c>
      <c r="K771" t="s">
        <v>595</v>
      </c>
      <c r="L771" t="s">
        <v>596</v>
      </c>
      <c r="M771" t="s">
        <v>36</v>
      </c>
      <c r="N771" t="s">
        <v>7112</v>
      </c>
      <c r="O771" t="s">
        <v>585</v>
      </c>
      <c r="P771" t="s">
        <v>268</v>
      </c>
      <c r="Q771" t="s">
        <v>107</v>
      </c>
      <c r="R771" t="s">
        <v>559</v>
      </c>
      <c r="S771" t="s">
        <v>7113</v>
      </c>
      <c r="T771" t="s">
        <v>61</v>
      </c>
      <c r="U771" t="s">
        <v>43</v>
      </c>
      <c r="V771" t="s">
        <v>7114</v>
      </c>
      <c r="W771" t="s">
        <v>7115</v>
      </c>
      <c r="Y771" t="str">
        <f>HYPERLINK("https://recruiter.shine.com/resume/download/?resumeid=gAAAAABbk2UMMDMM8If5kB_8fM9iIB-aUVMgPs9Whb-12nq7MN3Kcgp6yrby6_GgI4qTcRBeCIIi9Hau7fEmhEVTVIFXX-JmTO1RhH4lNrtywGZbUSICmbdwygu8uJTrz9HWX_XYyn5hKPI9ahK78RnTUiNcUoNkW-JjqF2Y2kYejT2pZuUBHIo=")</f>
        <v>https://recruiter.shine.com/resume/download/?resumeid=gAAAAABbk2UMMDMM8If5kB_8fM9iIB-aUVMgPs9Whb-12nq7MN3Kcgp6yrby6_GgI4qTcRBeCIIi9Hau7fEmhEVTVIFXX-JmTO1RhH4lNrtywGZbUSICmbdwygu8uJTrz9HWX_XYyn5hKPI9ahK78RnTUiNcUoNkW-JjqF2Y2kYejT2pZuUBHIo=</v>
      </c>
    </row>
    <row r="772" spans="1:25" ht="39.950000000000003" customHeight="1">
      <c r="A772">
        <v>768</v>
      </c>
      <c r="B772" t="s">
        <v>7116</v>
      </c>
      <c r="C772" t="s">
        <v>7117</v>
      </c>
      <c r="D772" t="s">
        <v>7118</v>
      </c>
      <c r="E772" t="s">
        <v>7119</v>
      </c>
      <c r="F772" t="s">
        <v>29</v>
      </c>
      <c r="G772" t="s">
        <v>29</v>
      </c>
      <c r="H772" t="s">
        <v>234</v>
      </c>
      <c r="I772" t="s">
        <v>362</v>
      </c>
      <c r="J772" t="s">
        <v>135</v>
      </c>
      <c r="L772" t="s">
        <v>363</v>
      </c>
      <c r="M772" t="s">
        <v>364</v>
      </c>
      <c r="Q772" t="s">
        <v>107</v>
      </c>
      <c r="R772" t="s">
        <v>642</v>
      </c>
      <c r="S772" t="s">
        <v>7120</v>
      </c>
      <c r="T772" t="s">
        <v>625</v>
      </c>
      <c r="U772" t="s">
        <v>43</v>
      </c>
      <c r="V772" t="s">
        <v>7121</v>
      </c>
      <c r="W772" t="s">
        <v>7122</v>
      </c>
      <c r="Y772" t="str">
        <f>HYPERLINK("https://recruiter.shine.com/resume/download/?resumeid=gAAAAABbk2UOinStSAwyo_YlEVhOLkjmBq0EgxGjOfsTc60WeRfRKJZgU_vSlUt06x_Vr7CLqfiUHzcMFGahjL_FyT0m0nzSVPDAt8itnt6ahMoZWA2Mo1I_xnyN-eFlJAMOdgzQUgRva0myXRaXlIiaM08u-b06mvgIcQ-Ju4phuFKKEhgl5uc=")</f>
        <v>https://recruiter.shine.com/resume/download/?resumeid=gAAAAABbk2UOinStSAwyo_YlEVhOLkjmBq0EgxGjOfsTc60WeRfRKJZgU_vSlUt06x_Vr7CLqfiUHzcMFGahjL_FyT0m0nzSVPDAt8itnt6ahMoZWA2Mo1I_xnyN-eFlJAMOdgzQUgRva0myXRaXlIiaM08u-b06mvgIcQ-Ju4phuFKKEhgl5uc=</v>
      </c>
    </row>
    <row r="773" spans="1:25" ht="39.950000000000003" customHeight="1">
      <c r="A773">
        <v>769</v>
      </c>
      <c r="B773" t="s">
        <v>7123</v>
      </c>
      <c r="C773" t="s">
        <v>7124</v>
      </c>
      <c r="D773" t="s">
        <v>7125</v>
      </c>
      <c r="E773" t="s">
        <v>7126</v>
      </c>
      <c r="F773" t="s">
        <v>29</v>
      </c>
      <c r="G773" t="s">
        <v>2902</v>
      </c>
      <c r="H773" t="s">
        <v>31</v>
      </c>
      <c r="I773" t="s">
        <v>392</v>
      </c>
      <c r="J773" t="s">
        <v>153</v>
      </c>
      <c r="K773" t="s">
        <v>7127</v>
      </c>
      <c r="L773" t="s">
        <v>596</v>
      </c>
      <c r="M773" t="s">
        <v>105</v>
      </c>
      <c r="N773" t="s">
        <v>7128</v>
      </c>
      <c r="O773" t="s">
        <v>186</v>
      </c>
      <c r="P773" t="s">
        <v>57</v>
      </c>
      <c r="Q773" t="s">
        <v>158</v>
      </c>
      <c r="R773" t="s">
        <v>341</v>
      </c>
      <c r="S773" t="s">
        <v>188</v>
      </c>
      <c r="T773" t="s">
        <v>2817</v>
      </c>
      <c r="U773" t="s">
        <v>43</v>
      </c>
      <c r="V773" t="s">
        <v>7129</v>
      </c>
      <c r="W773" t="s">
        <v>7130</v>
      </c>
      <c r="Y773" t="str">
        <f>HYPERLINK("https://recruiter.shine.com/resume/download/?resumeid=gAAAAABbk2UK1If-_nXyW4beV0faI3fU34JKdwUS6G6Ub2mGzc8qjXd4QyvC96Hf2jseuT87dGIfNAzBUassMCb3p686YKDJup9Ndtk8971BkV1z4eaBJD6x8__Lm78zF4NLbYEleiuo6LCETBgD4-l_BkLBwUu5ZQ==")</f>
        <v>https://recruiter.shine.com/resume/download/?resumeid=gAAAAABbk2UK1If-_nXyW4beV0faI3fU34JKdwUS6G6Ub2mGzc8qjXd4QyvC96Hf2jseuT87dGIfNAzBUassMCb3p686YKDJup9Ndtk8971BkV1z4eaBJD6x8__Lm78zF4NLbYEleiuo6LCETBgD4-l_BkLBwUu5ZQ==</v>
      </c>
    </row>
    <row r="774" spans="1:25" ht="39.950000000000003" customHeight="1">
      <c r="A774">
        <v>770</v>
      </c>
      <c r="B774" t="s">
        <v>7131</v>
      </c>
      <c r="C774" t="s">
        <v>7132</v>
      </c>
      <c r="D774" t="s">
        <v>7133</v>
      </c>
      <c r="E774" t="s">
        <v>7134</v>
      </c>
      <c r="F774" t="s">
        <v>29</v>
      </c>
      <c r="G774" t="s">
        <v>29</v>
      </c>
      <c r="H774" t="s">
        <v>234</v>
      </c>
      <c r="I774" t="s">
        <v>1185</v>
      </c>
      <c r="J774" t="s">
        <v>1050</v>
      </c>
      <c r="K774" t="s">
        <v>1187</v>
      </c>
      <c r="L774" t="s">
        <v>184</v>
      </c>
      <c r="M774" t="s">
        <v>238</v>
      </c>
      <c r="N774" t="s">
        <v>7135</v>
      </c>
      <c r="O774" t="s">
        <v>56</v>
      </c>
      <c r="P774" t="s">
        <v>268</v>
      </c>
      <c r="Q774" t="s">
        <v>90</v>
      </c>
      <c r="R774" t="s">
        <v>292</v>
      </c>
      <c r="S774" t="s">
        <v>7136</v>
      </c>
      <c r="T774" t="s">
        <v>441</v>
      </c>
      <c r="U774" t="s">
        <v>43</v>
      </c>
      <c r="V774" t="s">
        <v>7137</v>
      </c>
      <c r="W774" t="s">
        <v>7138</v>
      </c>
      <c r="Y774" t="str">
        <f>HYPERLINK("https://recruiter.shine.com/resume/download/?resumeid=gAAAAABbk2UNVsWOhToe6hGXahpyL3OP3RsHYAa3QsG4BqTkI2SRv12kqTL7JyasfcihltWMeZ9tKRsEjIy3K7NvHUx9VtcBDewA8fViW1_5FfrszaFEYzNojIJhF24kIOhs4Qrws3M5Bq9h8ODaKAPtIuMIvYWOmA==")</f>
        <v>https://recruiter.shine.com/resume/download/?resumeid=gAAAAABbk2UNVsWOhToe6hGXahpyL3OP3RsHYAa3QsG4BqTkI2SRv12kqTL7JyasfcihltWMeZ9tKRsEjIy3K7NvHUx9VtcBDewA8fViW1_5FfrszaFEYzNojIJhF24kIOhs4Qrws3M5Bq9h8ODaKAPtIuMIvYWOmA==</v>
      </c>
    </row>
    <row r="775" spans="1:25" ht="39.950000000000003" customHeight="1">
      <c r="A775">
        <v>771</v>
      </c>
      <c r="B775" t="s">
        <v>7139</v>
      </c>
      <c r="D775" t="s">
        <v>7140</v>
      </c>
      <c r="E775" t="s">
        <v>7141</v>
      </c>
      <c r="F775" t="s">
        <v>29</v>
      </c>
      <c r="G775" t="s">
        <v>67</v>
      </c>
      <c r="H775" t="s">
        <v>31</v>
      </c>
      <c r="I775" t="s">
        <v>7142</v>
      </c>
      <c r="J775" t="s">
        <v>169</v>
      </c>
      <c r="K775" t="s">
        <v>7143</v>
      </c>
      <c r="L775" t="s">
        <v>155</v>
      </c>
      <c r="M775" t="s">
        <v>105</v>
      </c>
      <c r="N775" t="s">
        <v>7144</v>
      </c>
      <c r="O775" t="s">
        <v>1392</v>
      </c>
      <c r="Q775" t="s">
        <v>107</v>
      </c>
      <c r="R775" t="s">
        <v>75</v>
      </c>
      <c r="S775" t="s">
        <v>7145</v>
      </c>
      <c r="T775" t="s">
        <v>93</v>
      </c>
      <c r="U775" t="s">
        <v>43</v>
      </c>
      <c r="V775" t="s">
        <v>7146</v>
      </c>
      <c r="W775" t="s">
        <v>7147</v>
      </c>
      <c r="Y775" t="str">
        <f>HYPERLINK("https://recruiter.shine.com/resume/download/?resumeid=gAAAAABbk2UNU2-Jils85tN6mB226pHVVTtFdQ63ylVqcmxRCWFfo9o4IRKOeqP3CDDlJKkIlMBhjzGZFBpCpHHmi9Q3oBQUcRiHbPgn-HU9mbubaHAxW7sJFYaYZik-YNXOMugu9uy_JWq7BNJikzqusQftGatobQ==")</f>
        <v>https://recruiter.shine.com/resume/download/?resumeid=gAAAAABbk2UNU2-Jils85tN6mB226pHVVTtFdQ63ylVqcmxRCWFfo9o4IRKOeqP3CDDlJKkIlMBhjzGZFBpCpHHmi9Q3oBQUcRiHbPgn-HU9mbubaHAxW7sJFYaYZik-YNXOMugu9uy_JWq7BNJikzqusQftGatobQ==</v>
      </c>
    </row>
    <row r="776" spans="1:25" ht="39.950000000000003" customHeight="1">
      <c r="A776">
        <v>772</v>
      </c>
      <c r="B776" t="s">
        <v>7148</v>
      </c>
      <c r="C776" t="s">
        <v>7149</v>
      </c>
      <c r="D776" t="s">
        <v>7150</v>
      </c>
      <c r="E776" t="s">
        <v>7151</v>
      </c>
      <c r="F776" t="s">
        <v>29</v>
      </c>
      <c r="G776" t="s">
        <v>29</v>
      </c>
      <c r="H776" t="s">
        <v>234</v>
      </c>
      <c r="I776" t="s">
        <v>695</v>
      </c>
      <c r="J776" t="s">
        <v>7152</v>
      </c>
      <c r="K776" t="s">
        <v>7153</v>
      </c>
      <c r="L776" t="s">
        <v>171</v>
      </c>
      <c r="M776" t="s">
        <v>121</v>
      </c>
      <c r="N776" t="s">
        <v>7154</v>
      </c>
      <c r="O776" t="s">
        <v>38</v>
      </c>
      <c r="P776" t="s">
        <v>940</v>
      </c>
      <c r="Q776" t="s">
        <v>123</v>
      </c>
      <c r="R776" t="s">
        <v>124</v>
      </c>
      <c r="S776" t="s">
        <v>7155</v>
      </c>
      <c r="T776" t="s">
        <v>227</v>
      </c>
      <c r="U776" t="s">
        <v>43</v>
      </c>
      <c r="V776" t="s">
        <v>7156</v>
      </c>
      <c r="W776" t="s">
        <v>7157</v>
      </c>
      <c r="Y776" t="str">
        <f>HYPERLINK("https://recruiter.shine.com/resume/download/?resumeid=gAAAAABbk2UKfHfYNEhMTZpZH-lqt4lZE-qylH70YnDuObJQxjSywPIipZMRUQvzw-GyZwEUtV0wVaEtmf4mX0HGUa4JTK1vv94Ftm8lHRyOYKwr1_4hZ4IRnOJrWeMZC6HZq1RmU-Z0-wrszVjgSqfD6itCr3js3-OaJFZISNnLjN1u4eQmDjU=")</f>
        <v>https://recruiter.shine.com/resume/download/?resumeid=gAAAAABbk2UKfHfYNEhMTZpZH-lqt4lZE-qylH70YnDuObJQxjSywPIipZMRUQvzw-GyZwEUtV0wVaEtmf4mX0HGUa4JTK1vv94Ftm8lHRyOYKwr1_4hZ4IRnOJrWeMZC6HZq1RmU-Z0-wrszVjgSqfD6itCr3js3-OaJFZISNnLjN1u4eQmDjU=</v>
      </c>
    </row>
    <row r="777" spans="1:25" ht="39.950000000000003" customHeight="1">
      <c r="A777">
        <v>773</v>
      </c>
      <c r="B777" t="s">
        <v>7158</v>
      </c>
      <c r="C777" t="s">
        <v>7159</v>
      </c>
      <c r="D777" t="s">
        <v>7160</v>
      </c>
      <c r="E777" t="s">
        <v>7161</v>
      </c>
      <c r="F777" t="s">
        <v>29</v>
      </c>
      <c r="G777" t="s">
        <v>29</v>
      </c>
      <c r="H777" t="s">
        <v>31</v>
      </c>
      <c r="I777" t="s">
        <v>1826</v>
      </c>
      <c r="J777" t="s">
        <v>569</v>
      </c>
      <c r="K777" t="s">
        <v>7162</v>
      </c>
      <c r="L777" t="s">
        <v>301</v>
      </c>
      <c r="M777" t="s">
        <v>684</v>
      </c>
      <c r="N777" t="s">
        <v>7163</v>
      </c>
      <c r="O777" t="s">
        <v>56</v>
      </c>
      <c r="P777" t="s">
        <v>140</v>
      </c>
      <c r="Q777" t="s">
        <v>699</v>
      </c>
      <c r="R777" t="s">
        <v>41</v>
      </c>
      <c r="S777" t="s">
        <v>7164</v>
      </c>
      <c r="T777" t="s">
        <v>441</v>
      </c>
      <c r="U777" t="s">
        <v>43</v>
      </c>
      <c r="V777" t="s">
        <v>7165</v>
      </c>
      <c r="W777" t="s">
        <v>7166</v>
      </c>
      <c r="Y777" t="str">
        <f>HYPERLINK("https://recruiter.shine.com/resume/download/?resumeid=gAAAAABbk2UMIuPigktWbHqy0y2NKxX6iT6r87-FfjPy8XS2W0dEJZL2Pec140uJh9ds6X0nPNHDztuVhCL6_K-trufbDv0ajtCBIg_VFmGXGDZ6mrCHuaQvLxwQdPboDg--UNeberWfCLTSDMZ675p9nngK7B-UP04BXwswCW4TCTscLjk9X0E=")</f>
        <v>https://recruiter.shine.com/resume/download/?resumeid=gAAAAABbk2UMIuPigktWbHqy0y2NKxX6iT6r87-FfjPy8XS2W0dEJZL2Pec140uJh9ds6X0nPNHDztuVhCL6_K-trufbDv0ajtCBIg_VFmGXGDZ6mrCHuaQvLxwQdPboDg--UNeberWfCLTSDMZ675p9nngK7B-UP04BXwswCW4TCTscLjk9X0E=</v>
      </c>
    </row>
    <row r="778" spans="1:25" ht="39.950000000000003" customHeight="1">
      <c r="A778">
        <v>774</v>
      </c>
      <c r="B778" t="s">
        <v>7167</v>
      </c>
      <c r="C778" t="s">
        <v>7168</v>
      </c>
      <c r="D778" t="s">
        <v>7169</v>
      </c>
      <c r="E778" t="s">
        <v>7170</v>
      </c>
      <c r="F778" t="s">
        <v>29</v>
      </c>
      <c r="G778" t="s">
        <v>2006</v>
      </c>
      <c r="H778" t="s">
        <v>31</v>
      </c>
      <c r="I778" t="s">
        <v>1826</v>
      </c>
      <c r="J778" t="s">
        <v>153</v>
      </c>
      <c r="K778" t="s">
        <v>595</v>
      </c>
      <c r="L778" t="s">
        <v>199</v>
      </c>
      <c r="M778" t="s">
        <v>36</v>
      </c>
      <c r="N778" t="s">
        <v>3673</v>
      </c>
      <c r="O778" t="s">
        <v>157</v>
      </c>
      <c r="P778" t="s">
        <v>73</v>
      </c>
      <c r="Q778" t="s">
        <v>107</v>
      </c>
      <c r="R778" t="s">
        <v>341</v>
      </c>
      <c r="S778" t="s">
        <v>7171</v>
      </c>
      <c r="T778" t="s">
        <v>61</v>
      </c>
      <c r="U778" t="s">
        <v>43</v>
      </c>
      <c r="V778" t="s">
        <v>7172</v>
      </c>
      <c r="W778" t="s">
        <v>7173</v>
      </c>
      <c r="Y778" t="str">
        <f>HYPERLINK("https://recruiter.shine.com/resume/download/?resumeid=gAAAAABbk2UOqUqWn-IAZlQZtHSN5wAEIpzsJ9JGjvy_qsWJw62WgroDP1fPUbeR7hHhzL1XcpoZY2ggGJ4Ud0HqCkH99QN70MUbepvZLd1rQ-rnWTH9F4zLhE83FH0sfgY5TRVk3WrbpfljgqdHj3H1MfTD75oSjg==")</f>
        <v>https://recruiter.shine.com/resume/download/?resumeid=gAAAAABbk2UOqUqWn-IAZlQZtHSN5wAEIpzsJ9JGjvy_qsWJw62WgroDP1fPUbeR7hHhzL1XcpoZY2ggGJ4Ud0HqCkH99QN70MUbepvZLd1rQ-rnWTH9F4zLhE83FH0sfgY5TRVk3WrbpfljgqdHj3H1MfTD75oSjg==</v>
      </c>
    </row>
    <row r="779" spans="1:25" ht="39.950000000000003" customHeight="1">
      <c r="A779">
        <v>775</v>
      </c>
      <c r="B779" t="s">
        <v>7174</v>
      </c>
      <c r="C779" t="s">
        <v>7175</v>
      </c>
      <c r="D779" t="s">
        <v>7176</v>
      </c>
      <c r="E779" t="s">
        <v>7177</v>
      </c>
      <c r="F779" t="s">
        <v>29</v>
      </c>
      <c r="G779" t="s">
        <v>7178</v>
      </c>
      <c r="H779" t="s">
        <v>31</v>
      </c>
      <c r="I779" t="s">
        <v>825</v>
      </c>
      <c r="J779" t="s">
        <v>801</v>
      </c>
      <c r="K779" t="s">
        <v>7179</v>
      </c>
      <c r="L779" t="s">
        <v>266</v>
      </c>
      <c r="M779" t="s">
        <v>105</v>
      </c>
      <c r="N779" t="s">
        <v>7180</v>
      </c>
      <c r="O779" t="s">
        <v>56</v>
      </c>
      <c r="P779" t="s">
        <v>140</v>
      </c>
      <c r="Q779" t="s">
        <v>158</v>
      </c>
      <c r="R779" t="s">
        <v>341</v>
      </c>
      <c r="S779" t="s">
        <v>7181</v>
      </c>
      <c r="T779" t="s">
        <v>415</v>
      </c>
      <c r="U779" t="s">
        <v>43</v>
      </c>
      <c r="V779" t="s">
        <v>7182</v>
      </c>
      <c r="W779" t="s">
        <v>7183</v>
      </c>
      <c r="Y779" t="str">
        <f>HYPERLINK("https://recruiter.shine.com/resume/download/?resumeid=gAAAAABbk2UKJINh2mXFMJORS9cQzDf2HNJ3YBWjS7-RrGqNURqCiIiBOkX_60VwLyUqSYMcCU3HTiAG6Bi2KizpNW70x0kBQC-L2e0EjrImuHO-mh6Kri4L3vsfcv3j0jKj7816grrNiJzgm3nlA0D-qVc8rxE8yQ==")</f>
        <v>https://recruiter.shine.com/resume/download/?resumeid=gAAAAABbk2UKJINh2mXFMJORS9cQzDf2HNJ3YBWjS7-RrGqNURqCiIiBOkX_60VwLyUqSYMcCU3HTiAG6Bi2KizpNW70x0kBQC-L2e0EjrImuHO-mh6Kri4L3vsfcv3j0jKj7816grrNiJzgm3nlA0D-qVc8rxE8yQ==</v>
      </c>
    </row>
    <row r="780" spans="1:25" ht="39.950000000000003" customHeight="1">
      <c r="A780">
        <v>776</v>
      </c>
      <c r="B780" t="s">
        <v>7184</v>
      </c>
      <c r="D780" t="s">
        <v>7185</v>
      </c>
      <c r="E780" t="s">
        <v>7186</v>
      </c>
      <c r="F780" t="s">
        <v>29</v>
      </c>
      <c r="G780" t="s">
        <v>29</v>
      </c>
      <c r="H780" t="s">
        <v>31</v>
      </c>
      <c r="I780" t="s">
        <v>825</v>
      </c>
      <c r="J780" t="s">
        <v>861</v>
      </c>
      <c r="K780" t="s">
        <v>7187</v>
      </c>
      <c r="L780" t="s">
        <v>199</v>
      </c>
      <c r="M780" t="s">
        <v>36</v>
      </c>
      <c r="N780" t="s">
        <v>7188</v>
      </c>
      <c r="O780" t="s">
        <v>56</v>
      </c>
      <c r="Q780" t="s">
        <v>74</v>
      </c>
      <c r="R780" t="s">
        <v>341</v>
      </c>
      <c r="S780" t="s">
        <v>7189</v>
      </c>
      <c r="T780" t="s">
        <v>110</v>
      </c>
      <c r="U780" t="s">
        <v>43</v>
      </c>
      <c r="V780" t="s">
        <v>7190</v>
      </c>
      <c r="W780" t="s">
        <v>7191</v>
      </c>
      <c r="Y780" t="str">
        <f>HYPERLINK("https://recruiter.shine.com/resume/download/?resumeid=gAAAAABbk2UNJoSGiEqDY8X0sAeSFBEiSqGl2xYtZacXUWH-NmWjjiMEFiSiAntr-JtpeFT1SFgFXTFdWvd0FpkdXSPN1GCaAKp6CMmQ9vifX-jV1vRqn8r7_gltxfy7Ey3_qmyuMepCa2SY6g18h4YDjS2_sP-rSr8_kOLtiMZrbP3u-6Tb-RE=")</f>
        <v>https://recruiter.shine.com/resume/download/?resumeid=gAAAAABbk2UNJoSGiEqDY8X0sAeSFBEiSqGl2xYtZacXUWH-NmWjjiMEFiSiAntr-JtpeFT1SFgFXTFdWvd0FpkdXSPN1GCaAKp6CMmQ9vifX-jV1vRqn8r7_gltxfy7Ey3_qmyuMepCa2SY6g18h4YDjS2_sP-rSr8_kOLtiMZrbP3u-6Tb-RE=</v>
      </c>
    </row>
    <row r="781" spans="1:25" ht="39.950000000000003" customHeight="1">
      <c r="A781">
        <v>777</v>
      </c>
      <c r="B781" t="s">
        <v>7192</v>
      </c>
      <c r="C781" t="s">
        <v>3058</v>
      </c>
      <c r="D781" t="s">
        <v>7193</v>
      </c>
      <c r="E781" t="s">
        <v>7194</v>
      </c>
      <c r="F781" t="s">
        <v>29</v>
      </c>
      <c r="G781" t="s">
        <v>7195</v>
      </c>
      <c r="H781" t="s">
        <v>31</v>
      </c>
      <c r="I781" t="s">
        <v>5086</v>
      </c>
      <c r="J781" t="s">
        <v>745</v>
      </c>
      <c r="K781" t="s">
        <v>7196</v>
      </c>
      <c r="L781" t="s">
        <v>314</v>
      </c>
      <c r="M781" t="s">
        <v>315</v>
      </c>
      <c r="N781" t="s">
        <v>7197</v>
      </c>
      <c r="O781" t="s">
        <v>186</v>
      </c>
      <c r="Q781" t="s">
        <v>74</v>
      </c>
      <c r="R781" t="s">
        <v>4526</v>
      </c>
      <c r="S781" t="s">
        <v>7198</v>
      </c>
      <c r="T781" t="s">
        <v>415</v>
      </c>
      <c r="U781" t="s">
        <v>43</v>
      </c>
      <c r="V781" t="s">
        <v>7199</v>
      </c>
      <c r="W781" t="s">
        <v>7199</v>
      </c>
      <c r="Y781" t="str">
        <f>HYPERLINK("https://recruiter.shine.com/resume/download/?resumeid=gAAAAABbk2UOUk0w9ycyXAdKmHYDkTF9kYqt4M_FxaLNLiy0FlczXaG-Hc7LCkpbVT0erVxFpMarfz_cKvFhwq7hmQf_7Uo9sCKp9iSqBay5sjPvqdZUx-NiGnJF-4EjvL8m1VxM9qiosK3J2vx9iIcBTghwoAcb2g==")</f>
        <v>https://recruiter.shine.com/resume/download/?resumeid=gAAAAABbk2UOUk0w9ycyXAdKmHYDkTF9kYqt4M_FxaLNLiy0FlczXaG-Hc7LCkpbVT0erVxFpMarfz_cKvFhwq7hmQf_7Uo9sCKp9iSqBay5sjPvqdZUx-NiGnJF-4EjvL8m1VxM9qiosK3J2vx9iIcBTghwoAcb2g==</v>
      </c>
    </row>
    <row r="782" spans="1:25" ht="39.950000000000003" customHeight="1">
      <c r="A782">
        <v>778</v>
      </c>
      <c r="B782" t="s">
        <v>7200</v>
      </c>
      <c r="C782" t="s">
        <v>7201</v>
      </c>
      <c r="D782" t="s">
        <v>7202</v>
      </c>
      <c r="E782" t="s">
        <v>7203</v>
      </c>
      <c r="F782" t="s">
        <v>29</v>
      </c>
      <c r="G782" t="s">
        <v>7204</v>
      </c>
      <c r="H782" t="s">
        <v>31</v>
      </c>
      <c r="I782" t="s">
        <v>825</v>
      </c>
      <c r="J782" t="s">
        <v>715</v>
      </c>
      <c r="K782" t="s">
        <v>7205</v>
      </c>
      <c r="L782" t="s">
        <v>314</v>
      </c>
      <c r="M782" t="s">
        <v>938</v>
      </c>
      <c r="N782" t="s">
        <v>7206</v>
      </c>
      <c r="O782" t="s">
        <v>157</v>
      </c>
      <c r="P782" t="s">
        <v>268</v>
      </c>
      <c r="Q782" t="s">
        <v>40</v>
      </c>
      <c r="R782" t="s">
        <v>41</v>
      </c>
      <c r="S782" t="s">
        <v>2229</v>
      </c>
      <c r="T782" t="s">
        <v>304</v>
      </c>
      <c r="U782" t="s">
        <v>43</v>
      </c>
      <c r="V782" t="s">
        <v>7207</v>
      </c>
      <c r="W782" t="s">
        <v>7208</v>
      </c>
      <c r="Y782" t="str">
        <f>HYPERLINK("https://recruiter.shine.com/resume/download/?resumeid=gAAAAABbk2UL_721BGL-zBcD8hBhJBRT833ViHfVZJOS1EIivYyDCT2JI7JZLp5YRefVlls90KvJfUt1JTko0_yG2FkScD8FZHlZrX7B85KLJtMnsE_RAP-vZj66H4z3E2qXg92lnwBmtQL1llaJItjls-3vwGKSvXDxlxoqJ3GzCzOeVzC7l_c=")</f>
        <v>https://recruiter.shine.com/resume/download/?resumeid=gAAAAABbk2UL_721BGL-zBcD8hBhJBRT833ViHfVZJOS1EIivYyDCT2JI7JZLp5YRefVlls90KvJfUt1JTko0_yG2FkScD8FZHlZrX7B85KLJtMnsE_RAP-vZj66H4z3E2qXg92lnwBmtQL1llaJItjls-3vwGKSvXDxlxoqJ3GzCzOeVzC7l_c=</v>
      </c>
    </row>
    <row r="783" spans="1:25" ht="39.950000000000003" customHeight="1">
      <c r="A783">
        <v>779</v>
      </c>
      <c r="B783" t="s">
        <v>7209</v>
      </c>
      <c r="C783" t="s">
        <v>7210</v>
      </c>
      <c r="D783" t="s">
        <v>7211</v>
      </c>
      <c r="E783" t="s">
        <v>7212</v>
      </c>
      <c r="F783" t="s">
        <v>29</v>
      </c>
      <c r="G783" t="s">
        <v>7213</v>
      </c>
      <c r="H783" t="s">
        <v>31</v>
      </c>
      <c r="I783" t="s">
        <v>3180</v>
      </c>
      <c r="J783" t="s">
        <v>3147</v>
      </c>
      <c r="K783" t="s">
        <v>7214</v>
      </c>
      <c r="L783" t="s">
        <v>794</v>
      </c>
      <c r="M783" t="s">
        <v>105</v>
      </c>
      <c r="N783" t="s">
        <v>156</v>
      </c>
      <c r="O783" t="s">
        <v>38</v>
      </c>
      <c r="Q783" t="s">
        <v>158</v>
      </c>
      <c r="R783" t="s">
        <v>341</v>
      </c>
      <c r="S783" t="s">
        <v>7215</v>
      </c>
      <c r="T783" t="s">
        <v>1200</v>
      </c>
      <c r="U783" t="s">
        <v>43</v>
      </c>
      <c r="V783" t="s">
        <v>7216</v>
      </c>
      <c r="W783" t="s">
        <v>7217</v>
      </c>
      <c r="Y783" t="str">
        <f>HYPERLINK("https://recruiter.shine.com/resume/download/?resumeid=gAAAAABbk2UMirV1ODTENkj8dk5xn8uhfMkunnyygUkEgtBmR0VMeM7EzCfPajiemda6MAeEqyrOPZxhgoXt5yyox-nX6YEG0CDS_v6gEProp05ip1IXCy8lH3bQkmeAjLc4C8XxTmU3Agh75zuE1av_lMC-b7cZ2w==")</f>
        <v>https://recruiter.shine.com/resume/download/?resumeid=gAAAAABbk2UMirV1ODTENkj8dk5xn8uhfMkunnyygUkEgtBmR0VMeM7EzCfPajiemda6MAeEqyrOPZxhgoXt5yyox-nX6YEG0CDS_v6gEProp05ip1IXCy8lH3bQkmeAjLc4C8XxTmU3Agh75zuE1av_lMC-b7cZ2w==</v>
      </c>
    </row>
    <row r="784" spans="1:25" ht="39.950000000000003" customHeight="1">
      <c r="A784">
        <v>780</v>
      </c>
      <c r="B784" t="s">
        <v>7218</v>
      </c>
      <c r="C784" t="s">
        <v>7219</v>
      </c>
      <c r="D784" t="s">
        <v>7220</v>
      </c>
      <c r="E784" t="s">
        <v>7221</v>
      </c>
      <c r="F784" t="s">
        <v>29</v>
      </c>
      <c r="G784" t="s">
        <v>67</v>
      </c>
      <c r="H784" t="s">
        <v>31</v>
      </c>
      <c r="I784" t="s">
        <v>152</v>
      </c>
      <c r="J784" t="s">
        <v>871</v>
      </c>
      <c r="K784" t="s">
        <v>2702</v>
      </c>
      <c r="L784" t="s">
        <v>199</v>
      </c>
      <c r="M784" t="s">
        <v>36</v>
      </c>
      <c r="N784" t="s">
        <v>3673</v>
      </c>
      <c r="O784" t="s">
        <v>585</v>
      </c>
      <c r="P784" t="s">
        <v>73</v>
      </c>
      <c r="Q784" t="s">
        <v>107</v>
      </c>
      <c r="R784" t="s">
        <v>341</v>
      </c>
      <c r="S784" t="s">
        <v>7222</v>
      </c>
      <c r="T784" t="s">
        <v>161</v>
      </c>
      <c r="U784" t="s">
        <v>43</v>
      </c>
      <c r="V784" t="s">
        <v>7223</v>
      </c>
      <c r="W784" t="s">
        <v>7224</v>
      </c>
      <c r="Y784" t="str">
        <f>HYPERLINK("https://recruiter.shine.com/resume/download/?resumeid=gAAAAABbk2UND513TpOKKdMvIV42ZPuAmvdIla9WS3axmFoN1GodRXpShsvmJgRejHHVsyXsohiz-DiS90kHdO9_nXdKyKdZv_trgmTF38jyen1F4fKhjy5iP3TMR1eNZrwQtYUp0CDqqf0ztMbFZbsIrm-9KbFQjOEim2FKYAm14U3fz3bCTg8=")</f>
        <v>https://recruiter.shine.com/resume/download/?resumeid=gAAAAABbk2UND513TpOKKdMvIV42ZPuAmvdIla9WS3axmFoN1GodRXpShsvmJgRejHHVsyXsohiz-DiS90kHdO9_nXdKyKdZv_trgmTF38jyen1F4fKhjy5iP3TMR1eNZrwQtYUp0CDqqf0ztMbFZbsIrm-9KbFQjOEim2FKYAm14U3fz3bCTg8=</v>
      </c>
    </row>
    <row r="785" spans="1:25" ht="39.950000000000003" customHeight="1">
      <c r="A785">
        <v>781</v>
      </c>
      <c r="B785" t="s">
        <v>7225</v>
      </c>
      <c r="C785" t="s">
        <v>5035</v>
      </c>
      <c r="D785" t="s">
        <v>7226</v>
      </c>
      <c r="E785" t="s">
        <v>7227</v>
      </c>
      <c r="F785" t="s">
        <v>29</v>
      </c>
      <c r="G785" t="s">
        <v>406</v>
      </c>
      <c r="H785" t="s">
        <v>31</v>
      </c>
      <c r="I785" t="s">
        <v>1721</v>
      </c>
      <c r="J785" t="s">
        <v>1081</v>
      </c>
      <c r="K785" t="s">
        <v>6457</v>
      </c>
      <c r="L785" t="s">
        <v>184</v>
      </c>
      <c r="M785" t="s">
        <v>36</v>
      </c>
      <c r="N785" t="s">
        <v>3673</v>
      </c>
      <c r="O785" t="s">
        <v>1041</v>
      </c>
      <c r="P785" t="s">
        <v>73</v>
      </c>
      <c r="Q785" t="s">
        <v>3159</v>
      </c>
      <c r="R785" t="s">
        <v>3160</v>
      </c>
      <c r="S785" t="s">
        <v>7228</v>
      </c>
      <c r="T785" t="s">
        <v>257</v>
      </c>
      <c r="U785" t="s">
        <v>43</v>
      </c>
      <c r="V785" t="s">
        <v>7229</v>
      </c>
      <c r="W785" t="s">
        <v>7230</v>
      </c>
      <c r="Y785" t="str">
        <f>HYPERLINK("https://recruiter.shine.com/resume/download/?resumeid=gAAAAABbk2ULFI7xDmnvAjFT1TDN47e9-Cnec4cdvgnRZQciK8XyY4qnAd-q4s21CTfpIXO64rTh7dcROpvMeT3cZIoHSsat7N0PwlNwTyTSOzOYZ6lfatcr5DwvDAiYArOe00CsJfucIhdEC96gsuUyq_SQ-gJuZDzhaz9wIqjfc4XDNHlUc6g=")</f>
        <v>https://recruiter.shine.com/resume/download/?resumeid=gAAAAABbk2ULFI7xDmnvAjFT1TDN47e9-Cnec4cdvgnRZQciK8XyY4qnAd-q4s21CTfpIXO64rTh7dcROpvMeT3cZIoHSsat7N0PwlNwTyTSOzOYZ6lfatcr5DwvDAiYArOe00CsJfucIhdEC96gsuUyq_SQ-gJuZDzhaz9wIqjfc4XDNHlUc6g=</v>
      </c>
    </row>
    <row r="786" spans="1:25" ht="39.950000000000003" customHeight="1">
      <c r="A786">
        <v>782</v>
      </c>
      <c r="B786" t="s">
        <v>7231</v>
      </c>
      <c r="D786" t="s">
        <v>7232</v>
      </c>
      <c r="E786" t="s">
        <v>7233</v>
      </c>
      <c r="F786" t="s">
        <v>29</v>
      </c>
      <c r="G786" t="s">
        <v>67</v>
      </c>
      <c r="H786" t="s">
        <v>31</v>
      </c>
      <c r="I786" t="s">
        <v>32</v>
      </c>
      <c r="J786" t="s">
        <v>7234</v>
      </c>
      <c r="K786" t="s">
        <v>7235</v>
      </c>
      <c r="L786" t="s">
        <v>664</v>
      </c>
      <c r="M786" t="s">
        <v>105</v>
      </c>
      <c r="N786" t="s">
        <v>7236</v>
      </c>
      <c r="O786" t="s">
        <v>848</v>
      </c>
      <c r="Q786" t="s">
        <v>158</v>
      </c>
      <c r="R786" t="s">
        <v>341</v>
      </c>
      <c r="S786" t="s">
        <v>7237</v>
      </c>
      <c r="T786" t="s">
        <v>874</v>
      </c>
      <c r="U786" t="s">
        <v>43</v>
      </c>
      <c r="V786" t="s">
        <v>7238</v>
      </c>
      <c r="W786" t="s">
        <v>7239</v>
      </c>
      <c r="Y786" t="str">
        <f>HYPERLINK("https://recruiter.shine.com/resume/download/?resumeid=gAAAAABbk2UMnFrk5MYJFxK4IkeFqSLIgDELNYhiDoEEk7GHakXDkKdyrO-6nPUZJnwuqusaOJZAAQl7_U2cBFGnq0kiKeahF1248Oa2UNI6Y-PJmNlWDUY5EgvjSZhnG-dKRFhStNSf7tlU_sC5VCFwRmGeOeKD5w==")</f>
        <v>https://recruiter.shine.com/resume/download/?resumeid=gAAAAABbk2UMnFrk5MYJFxK4IkeFqSLIgDELNYhiDoEEk7GHakXDkKdyrO-6nPUZJnwuqusaOJZAAQl7_U2cBFGnq0kiKeahF1248Oa2UNI6Y-PJmNlWDUY5EgvjSZhnG-dKRFhStNSf7tlU_sC5VCFwRmGeOeKD5w==</v>
      </c>
    </row>
    <row r="787" spans="1:25" ht="39.950000000000003" customHeight="1">
      <c r="A787">
        <v>783</v>
      </c>
      <c r="B787" t="s">
        <v>7240</v>
      </c>
      <c r="C787" t="s">
        <v>7241</v>
      </c>
      <c r="D787" t="s">
        <v>7242</v>
      </c>
      <c r="E787" t="s">
        <v>7243</v>
      </c>
      <c r="F787" t="s">
        <v>29</v>
      </c>
      <c r="G787" t="s">
        <v>67</v>
      </c>
      <c r="H787" t="s">
        <v>31</v>
      </c>
      <c r="I787" t="s">
        <v>362</v>
      </c>
      <c r="J787" t="s">
        <v>135</v>
      </c>
      <c r="L787" t="s">
        <v>363</v>
      </c>
      <c r="M787" t="s">
        <v>364</v>
      </c>
      <c r="Q787" t="s">
        <v>107</v>
      </c>
      <c r="R787" t="s">
        <v>384</v>
      </c>
      <c r="S787" t="s">
        <v>7244</v>
      </c>
      <c r="T787" t="s">
        <v>625</v>
      </c>
      <c r="U787" t="s">
        <v>43</v>
      </c>
      <c r="V787" t="s">
        <v>7245</v>
      </c>
      <c r="W787" t="s">
        <v>7246</v>
      </c>
      <c r="Y787" t="str">
        <f>HYPERLINK("https://recruiter.shine.com/resume/download/?resumeid=gAAAAABbk2UOLx3Dkv2UeeUT7yMYVK6Wz-_fMWAvBUZy6LR8O8oqarEyeTeTYMXblbD_V3lyFYlXdstqZjF0LPX_Q3sFIO26EuRrYTM33hfpbLbqAaOFMHZDWipm90u4dC7KdbFcCs2zBdIwr1XwMlUnWeXipdpqMA==")</f>
        <v>https://recruiter.shine.com/resume/download/?resumeid=gAAAAABbk2UOLx3Dkv2UeeUT7yMYVK6Wz-_fMWAvBUZy6LR8O8oqarEyeTeTYMXblbD_V3lyFYlXdstqZjF0LPX_Q3sFIO26EuRrYTM33hfpbLbqAaOFMHZDWipm90u4dC7KdbFcCs2zBdIwr1XwMlUnWeXipdpqMA==</v>
      </c>
    </row>
    <row r="788" spans="1:25" ht="39.950000000000003" customHeight="1">
      <c r="A788">
        <v>784</v>
      </c>
      <c r="B788" t="s">
        <v>7247</v>
      </c>
      <c r="C788" t="s">
        <v>7248</v>
      </c>
      <c r="D788" t="s">
        <v>7249</v>
      </c>
      <c r="E788" t="s">
        <v>7250</v>
      </c>
      <c r="F788" t="s">
        <v>29</v>
      </c>
      <c r="G788" t="s">
        <v>7251</v>
      </c>
      <c r="H788" t="s">
        <v>31</v>
      </c>
      <c r="I788" t="s">
        <v>32</v>
      </c>
      <c r="J788" t="s">
        <v>506</v>
      </c>
      <c r="K788" t="s">
        <v>7252</v>
      </c>
      <c r="L788" t="s">
        <v>582</v>
      </c>
      <c r="M788" t="s">
        <v>583</v>
      </c>
      <c r="N788" t="s">
        <v>7253</v>
      </c>
      <c r="O788" t="s">
        <v>186</v>
      </c>
      <c r="Q788" t="s">
        <v>4157</v>
      </c>
      <c r="R788" t="s">
        <v>1255</v>
      </c>
      <c r="S788" t="s">
        <v>7254</v>
      </c>
      <c r="T788" t="s">
        <v>61</v>
      </c>
      <c r="U788" t="s">
        <v>43</v>
      </c>
      <c r="V788" t="s">
        <v>7255</v>
      </c>
      <c r="W788" t="s">
        <v>7256</v>
      </c>
      <c r="Y788" t="str">
        <f>HYPERLINK("https://recruiter.shine.com/resume/download/?resumeid=gAAAAABbk2ULrbJ_LvE9itVxI-nh4bYCMU-P4xZGq2BAoyaerw77psEHSqihJRhdMvNOEKDmkne1_7Oo2w8CtUNCrVcQYK_W7zQkIqZMyySuoLYdZ-gr5Viv5-mbrAln0EpMyF2gVwtHMpM8SZUT4aakXu57tX-68g==")</f>
        <v>https://recruiter.shine.com/resume/download/?resumeid=gAAAAABbk2ULrbJ_LvE9itVxI-nh4bYCMU-P4xZGq2BAoyaerw77psEHSqihJRhdMvNOEKDmkne1_7Oo2w8CtUNCrVcQYK_W7zQkIqZMyySuoLYdZ-gr5Viv5-mbrAln0EpMyF2gVwtHMpM8SZUT4aakXu57tX-68g==</v>
      </c>
    </row>
    <row r="789" spans="1:25" ht="39.950000000000003" customHeight="1">
      <c r="A789">
        <v>785</v>
      </c>
      <c r="B789" t="s">
        <v>7257</v>
      </c>
      <c r="C789" t="s">
        <v>7258</v>
      </c>
      <c r="D789" t="s">
        <v>7259</v>
      </c>
      <c r="E789" t="s">
        <v>7260</v>
      </c>
      <c r="F789" t="s">
        <v>29</v>
      </c>
      <c r="G789" t="s">
        <v>29</v>
      </c>
      <c r="H789" t="s">
        <v>31</v>
      </c>
      <c r="I789" t="s">
        <v>2263</v>
      </c>
      <c r="J789" t="s">
        <v>2936</v>
      </c>
      <c r="K789" t="s">
        <v>544</v>
      </c>
      <c r="L789" t="s">
        <v>338</v>
      </c>
      <c r="M789" t="s">
        <v>105</v>
      </c>
      <c r="N789" t="s">
        <v>7261</v>
      </c>
      <c r="O789" t="s">
        <v>157</v>
      </c>
      <c r="P789" t="s">
        <v>140</v>
      </c>
      <c r="Q789" t="s">
        <v>40</v>
      </c>
      <c r="R789" t="s">
        <v>41</v>
      </c>
      <c r="S789" t="s">
        <v>7262</v>
      </c>
      <c r="T789" t="s">
        <v>2358</v>
      </c>
      <c r="U789" t="s">
        <v>43</v>
      </c>
      <c r="V789" t="s">
        <v>7263</v>
      </c>
      <c r="W789" t="s">
        <v>7264</v>
      </c>
      <c r="Y789" t="str">
        <f>HYPERLINK("https://recruiter.shine.com/resume/download/?resumeid=gAAAAABbk2UMVMwkijTvrw7Vq1DIgfVrnGyZkkdZ2jDpBDabiDzPVw3SUWO82YocsYyaawPU0FGO-w96A9-dtvgYgTIT8SudkvQn23dRHIN_f8DiBksW-zQlSGDKOZ7XmcWpy3nV3abQ5IF5F1FawIhKm8g8dSt2wxnGrb2GswH5gOk5x-dMwkg=")</f>
        <v>https://recruiter.shine.com/resume/download/?resumeid=gAAAAABbk2UMVMwkijTvrw7Vq1DIgfVrnGyZkkdZ2jDpBDabiDzPVw3SUWO82YocsYyaawPU0FGO-w96A9-dtvgYgTIT8SudkvQn23dRHIN_f8DiBksW-zQlSGDKOZ7XmcWpy3nV3abQ5IF5F1FawIhKm8g8dSt2wxnGrb2GswH5gOk5x-dMwkg=</v>
      </c>
    </row>
    <row r="790" spans="1:25" ht="39.950000000000003" customHeight="1">
      <c r="A790">
        <v>786</v>
      </c>
      <c r="B790" t="s">
        <v>7265</v>
      </c>
      <c r="C790" t="s">
        <v>7266</v>
      </c>
      <c r="D790" t="s">
        <v>7267</v>
      </c>
      <c r="E790" t="s">
        <v>7268</v>
      </c>
      <c r="F790" t="s">
        <v>29</v>
      </c>
      <c r="G790" t="s">
        <v>67</v>
      </c>
      <c r="H790" t="s">
        <v>31</v>
      </c>
      <c r="I790" t="s">
        <v>7269</v>
      </c>
      <c r="J790" t="s">
        <v>580</v>
      </c>
      <c r="K790" t="s">
        <v>7270</v>
      </c>
      <c r="L790" t="s">
        <v>88</v>
      </c>
      <c r="M790" t="s">
        <v>222</v>
      </c>
      <c r="N790" t="s">
        <v>7271</v>
      </c>
      <c r="O790" t="s">
        <v>186</v>
      </c>
      <c r="P790" t="s">
        <v>140</v>
      </c>
      <c r="Q790" t="s">
        <v>123</v>
      </c>
      <c r="R790" t="s">
        <v>124</v>
      </c>
      <c r="S790" t="s">
        <v>7272</v>
      </c>
      <c r="T790" t="s">
        <v>270</v>
      </c>
      <c r="U790" t="s">
        <v>43</v>
      </c>
      <c r="V790" t="s">
        <v>7273</v>
      </c>
      <c r="W790" t="s">
        <v>7274</v>
      </c>
      <c r="Y790" t="str">
        <f>HYPERLINK("https://recruiter.shine.com/resume/download/?resumeid=gAAAAABbk2UO_O-EQh2KRJv6g9PPE_juiMmAm4wjrvDQ8ZX0GucErI0R4ZsgVe6t7Q3FHiUL_nFDLN1FmsiOjZdj8KLB1J5a4ohYfhWtC0G2ARvPq2uxblAX5-m4QMd6ck_yM7lDWM_ihPBEXG34J_YC7JNvE1VCzt5-wKtSIZR5cYGpGaW1CWw=")</f>
        <v>https://recruiter.shine.com/resume/download/?resumeid=gAAAAABbk2UO_O-EQh2KRJv6g9PPE_juiMmAm4wjrvDQ8ZX0GucErI0R4ZsgVe6t7Q3FHiUL_nFDLN1FmsiOjZdj8KLB1J5a4ohYfhWtC0G2ARvPq2uxblAX5-m4QMd6ck_yM7lDWM_ihPBEXG34J_YC7JNvE1VCzt5-wKtSIZR5cYGpGaW1CWw=</v>
      </c>
    </row>
    <row r="791" spans="1:25" ht="39.950000000000003" customHeight="1">
      <c r="A791">
        <v>787</v>
      </c>
      <c r="B791" t="s">
        <v>7275</v>
      </c>
      <c r="C791" t="s">
        <v>7276</v>
      </c>
      <c r="D791" t="s">
        <v>7277</v>
      </c>
      <c r="E791" t="s">
        <v>7278</v>
      </c>
      <c r="F791" t="s">
        <v>29</v>
      </c>
      <c r="G791" t="s">
        <v>7279</v>
      </c>
      <c r="H791" t="s">
        <v>234</v>
      </c>
      <c r="I791" t="s">
        <v>362</v>
      </c>
      <c r="J791" t="s">
        <v>135</v>
      </c>
      <c r="L791" t="s">
        <v>363</v>
      </c>
      <c r="M791" t="s">
        <v>364</v>
      </c>
      <c r="Q791" t="s">
        <v>74</v>
      </c>
      <c r="R791" t="s">
        <v>341</v>
      </c>
      <c r="S791" t="s">
        <v>7280</v>
      </c>
      <c r="T791" t="s">
        <v>625</v>
      </c>
      <c r="U791" t="s">
        <v>43</v>
      </c>
      <c r="V791" t="s">
        <v>7281</v>
      </c>
      <c r="W791" t="s">
        <v>7282</v>
      </c>
      <c r="Y791" t="str">
        <f>HYPERLINK("https://recruiter.shine.com/resume/download/?resumeid=gAAAAABbk2UKBDM67zJv82AozbkbzqA0uGYbJmajKJi-kAa0BXx8rZiaG35YegRqDSCY5IFlgLOBgQlQg6mUODangmXGlktiRQfTMkpXi6SXxG4E3FUPlYsDibAF-160t_36vo0FWy3d3h_hj8zgahO92FvuT5ySGg==")</f>
        <v>https://recruiter.shine.com/resume/download/?resumeid=gAAAAABbk2UKBDM67zJv82AozbkbzqA0uGYbJmajKJi-kAa0BXx8rZiaG35YegRqDSCY5IFlgLOBgQlQg6mUODangmXGlktiRQfTMkpXi6SXxG4E3FUPlYsDibAF-160t_36vo0FWy3d3h_hj8zgahO92FvuT5ySGg==</v>
      </c>
    </row>
    <row r="792" spans="1:25" ht="39.950000000000003" customHeight="1">
      <c r="A792">
        <v>788</v>
      </c>
      <c r="B792" t="s">
        <v>7283</v>
      </c>
      <c r="C792" t="s">
        <v>7284</v>
      </c>
      <c r="D792" t="s">
        <v>7285</v>
      </c>
      <c r="E792" t="s">
        <v>7286</v>
      </c>
      <c r="F792" t="s">
        <v>29</v>
      </c>
      <c r="G792" t="s">
        <v>29</v>
      </c>
      <c r="H792" t="s">
        <v>234</v>
      </c>
      <c r="I792" t="s">
        <v>362</v>
      </c>
      <c r="J792" t="s">
        <v>135</v>
      </c>
      <c r="L792" t="s">
        <v>363</v>
      </c>
      <c r="M792" t="s">
        <v>364</v>
      </c>
      <c r="Q792" t="s">
        <v>107</v>
      </c>
      <c r="R792" t="s">
        <v>341</v>
      </c>
      <c r="S792" t="s">
        <v>188</v>
      </c>
      <c r="T792" t="s">
        <v>126</v>
      </c>
      <c r="U792" t="s">
        <v>43</v>
      </c>
      <c r="V792" t="s">
        <v>7287</v>
      </c>
      <c r="W792" t="s">
        <v>7288</v>
      </c>
      <c r="Y792" t="str">
        <f>HYPERLINK("https://recruiter.shine.com/resume/download/?resumeid=gAAAAABbk2UM-v4EYTtSyzfxEbQWOlzXd24hcGo32TSGnp0Oi6sd1_ohl_bpymbcYlB57EeQxU196XobNcOlKK71pINKb0Nxd9bcdYjX9V8VhC-CqsNa9cWt9rniFXTYIUj1aPVZaj5aZWpJnc4nW59n9u19Utq0OswKsbE8cDs0KNPYiYfDg_8=")</f>
        <v>https://recruiter.shine.com/resume/download/?resumeid=gAAAAABbk2UM-v4EYTtSyzfxEbQWOlzXd24hcGo32TSGnp0Oi6sd1_ohl_bpymbcYlB57EeQxU196XobNcOlKK71pINKb0Nxd9bcdYjX9V8VhC-CqsNa9cWt9rniFXTYIUj1aPVZaj5aZWpJnc4nW59n9u19Utq0OswKsbE8cDs0KNPYiYfDg_8=</v>
      </c>
    </row>
    <row r="793" spans="1:25" ht="39.950000000000003" customHeight="1">
      <c r="A793">
        <v>789</v>
      </c>
      <c r="B793" t="s">
        <v>7289</v>
      </c>
      <c r="D793" t="s">
        <v>7290</v>
      </c>
      <c r="E793" t="s">
        <v>7291</v>
      </c>
      <c r="F793" t="s">
        <v>29</v>
      </c>
      <c r="G793" t="s">
        <v>67</v>
      </c>
      <c r="H793" t="s">
        <v>234</v>
      </c>
      <c r="I793" t="s">
        <v>673</v>
      </c>
      <c r="J793" t="s">
        <v>781</v>
      </c>
      <c r="K793" t="s">
        <v>1167</v>
      </c>
      <c r="L793" t="s">
        <v>155</v>
      </c>
      <c r="M793" t="s">
        <v>105</v>
      </c>
      <c r="N793" t="s">
        <v>156</v>
      </c>
      <c r="O793" t="s">
        <v>224</v>
      </c>
      <c r="Q793" t="s">
        <v>107</v>
      </c>
      <c r="R793" t="s">
        <v>559</v>
      </c>
      <c r="S793" t="s">
        <v>7292</v>
      </c>
      <c r="T793" t="s">
        <v>2453</v>
      </c>
      <c r="U793" t="s">
        <v>43</v>
      </c>
      <c r="V793" t="s">
        <v>7293</v>
      </c>
      <c r="W793" t="s">
        <v>7294</v>
      </c>
      <c r="Y793" t="str">
        <f>HYPERLINK("https://recruiter.shine.com/resume/download/?resumeid=gAAAAABbk2UN4c6foltAAUvltBZiM6_g-IgVhjrfAFBRmh2nB9ypp_iYmz9hx1yBip0w5KatNuOTwMf6hysWbUZBNKp1orbMkxlhhUpkppeq8mBRrK-K7VQTOccErGRWAOu62rssavmXJJVfO3yX8Jy9HY_U3IWmzy5_i1SfMWLZF8GPLio6NfU=")</f>
        <v>https://recruiter.shine.com/resume/download/?resumeid=gAAAAABbk2UN4c6foltAAUvltBZiM6_g-IgVhjrfAFBRmh2nB9ypp_iYmz9hx1yBip0w5KatNuOTwMf6hysWbUZBNKp1orbMkxlhhUpkppeq8mBRrK-K7VQTOccErGRWAOu62rssavmXJJVfO3yX8Jy9HY_U3IWmzy5_i1SfMWLZF8GPLio6NfU=</v>
      </c>
    </row>
    <row r="794" spans="1:25" ht="39.950000000000003" customHeight="1">
      <c r="A794">
        <v>790</v>
      </c>
      <c r="B794" t="s">
        <v>7295</v>
      </c>
      <c r="C794" t="s">
        <v>5064</v>
      </c>
      <c r="D794" t="s">
        <v>7296</v>
      </c>
      <c r="E794" t="s">
        <v>7297</v>
      </c>
      <c r="F794" t="s">
        <v>29</v>
      </c>
      <c r="G794" t="s">
        <v>29</v>
      </c>
      <c r="H794" t="s">
        <v>31</v>
      </c>
      <c r="I794" t="s">
        <v>1265</v>
      </c>
      <c r="J794" t="s">
        <v>299</v>
      </c>
      <c r="K794" t="s">
        <v>7298</v>
      </c>
      <c r="L794" t="s">
        <v>596</v>
      </c>
      <c r="M794" t="s">
        <v>222</v>
      </c>
      <c r="N794" t="s">
        <v>7299</v>
      </c>
      <c r="O794" t="s">
        <v>1041</v>
      </c>
      <c r="Q794" t="s">
        <v>412</v>
      </c>
      <c r="R794" t="s">
        <v>2364</v>
      </c>
      <c r="S794" t="s">
        <v>7300</v>
      </c>
      <c r="U794" t="s">
        <v>43</v>
      </c>
      <c r="V794" t="s">
        <v>7301</v>
      </c>
      <c r="W794" t="s">
        <v>7302</v>
      </c>
      <c r="Y794" t="str">
        <f>HYPERLINK("https://recruiter.shine.com/resume/download/?resumeid=gAAAAABbk2UK4r_dQd2XxlcC31FEBBNljpCENGVrY7UK_rz_X1gzxSnTG9qSnbUeziGtr3f7GVXnfJm1gvcwY05g1SygALks8P_ZD9FUh6YqkrmA2ohCQsJ_Y59g8wZIfzSReM0sRHVaLQOXpq1sTn0Dd8_EAgJYmw==")</f>
        <v>https://recruiter.shine.com/resume/download/?resumeid=gAAAAABbk2UK4r_dQd2XxlcC31FEBBNljpCENGVrY7UK_rz_X1gzxSnTG9qSnbUeziGtr3f7GVXnfJm1gvcwY05g1SygALks8P_ZD9FUh6YqkrmA2ohCQsJ_Y59g8wZIfzSReM0sRHVaLQOXpq1sTn0Dd8_EAgJYmw==</v>
      </c>
    </row>
    <row r="795" spans="1:25" ht="39.950000000000003" customHeight="1">
      <c r="A795">
        <v>791</v>
      </c>
      <c r="B795" t="s">
        <v>7303</v>
      </c>
      <c r="C795" t="s">
        <v>7304</v>
      </c>
      <c r="D795" t="s">
        <v>7305</v>
      </c>
      <c r="E795" t="s">
        <v>7306</v>
      </c>
      <c r="F795" t="s">
        <v>29</v>
      </c>
      <c r="G795" t="s">
        <v>7307</v>
      </c>
      <c r="H795" t="s">
        <v>31</v>
      </c>
      <c r="I795" t="s">
        <v>860</v>
      </c>
      <c r="J795" t="s">
        <v>517</v>
      </c>
      <c r="K795" t="s">
        <v>7308</v>
      </c>
      <c r="L795" t="s">
        <v>664</v>
      </c>
      <c r="M795" t="s">
        <v>684</v>
      </c>
      <c r="N795" t="s">
        <v>7309</v>
      </c>
      <c r="O795" t="s">
        <v>186</v>
      </c>
      <c r="P795" t="s">
        <v>940</v>
      </c>
      <c r="Q795" t="s">
        <v>365</v>
      </c>
      <c r="R795" t="s">
        <v>2230</v>
      </c>
      <c r="S795" t="s">
        <v>7310</v>
      </c>
      <c r="T795" t="s">
        <v>110</v>
      </c>
      <c r="U795" t="s">
        <v>43</v>
      </c>
      <c r="V795" t="s">
        <v>7311</v>
      </c>
      <c r="W795" t="s">
        <v>7311</v>
      </c>
      <c r="Y795" t="str">
        <f>HYPERLINK("https://recruiter.shine.com/resume/download/?resumeid=gAAAAABbk2UMzFf57RYLeFBdP5pw70WEll-F5DVWRlrL2Hagg4vGjAS__QCle8fAs6aroAE23eJEckX37enTDVR8vVnwE9MtMw1FJEaXxvNQnBvvTdjRz6df_HZB88AkuaQ0sjoXjdXFZMkTeSFx8hMuDBQW7VYVRQ==")</f>
        <v>https://recruiter.shine.com/resume/download/?resumeid=gAAAAABbk2UMzFf57RYLeFBdP5pw70WEll-F5DVWRlrL2Hagg4vGjAS__QCle8fAs6aroAE23eJEckX37enTDVR8vVnwE9MtMw1FJEaXxvNQnBvvTdjRz6df_HZB88AkuaQ0sjoXjdXFZMkTeSFx8hMuDBQW7VYVRQ==</v>
      </c>
    </row>
    <row r="796" spans="1:25" ht="39.950000000000003" customHeight="1">
      <c r="A796">
        <v>792</v>
      </c>
      <c r="B796" t="s">
        <v>7312</v>
      </c>
      <c r="C796" t="s">
        <v>7313</v>
      </c>
      <c r="D796" t="s">
        <v>7314</v>
      </c>
      <c r="E796" t="s">
        <v>7315</v>
      </c>
      <c r="F796" t="s">
        <v>29</v>
      </c>
      <c r="G796" t="s">
        <v>67</v>
      </c>
      <c r="H796" t="s">
        <v>234</v>
      </c>
      <c r="I796" t="s">
        <v>362</v>
      </c>
      <c r="J796" t="s">
        <v>135</v>
      </c>
      <c r="L796" t="s">
        <v>363</v>
      </c>
      <c r="M796" t="s">
        <v>364</v>
      </c>
      <c r="P796" t="s">
        <v>940</v>
      </c>
      <c r="Q796" t="s">
        <v>107</v>
      </c>
      <c r="R796" t="s">
        <v>864</v>
      </c>
      <c r="S796" t="s">
        <v>7316</v>
      </c>
      <c r="T796" t="s">
        <v>625</v>
      </c>
      <c r="U796" t="s">
        <v>43</v>
      </c>
      <c r="V796" t="s">
        <v>7317</v>
      </c>
      <c r="W796" t="s">
        <v>7318</v>
      </c>
      <c r="Y796" t="str">
        <f>HYPERLINK("https://recruiter.shine.com/resume/download/?resumeid=gAAAAABbk2UO1FD_q0pIwmZdPA33ND01i9aPxaqbDa_w8-nW-vgcmcTnO8q-eD_F-lHwLeo7-KQLgC8agiLXB1Ul3rWaEIQvomjmIvAuNCWlWY1f_xmJaeaotZQ6w3g9VYQ2YfXOSPG6CxnJ_RVvDInczL_uZ6xZW_WwsRPj1WDzPauBYQKhRQc=")</f>
        <v>https://recruiter.shine.com/resume/download/?resumeid=gAAAAABbk2UO1FD_q0pIwmZdPA33ND01i9aPxaqbDa_w8-nW-vgcmcTnO8q-eD_F-lHwLeo7-KQLgC8agiLXB1Ul3rWaEIQvomjmIvAuNCWlWY1f_xmJaeaotZQ6w3g9VYQ2YfXOSPG6CxnJ_RVvDInczL_uZ6xZW_WwsRPj1WDzPauBYQKhRQc=</v>
      </c>
    </row>
    <row r="797" spans="1:25" ht="39.950000000000003" customHeight="1">
      <c r="A797">
        <v>793</v>
      </c>
      <c r="B797" t="s">
        <v>7319</v>
      </c>
      <c r="C797" t="s">
        <v>7320</v>
      </c>
      <c r="D797" t="s">
        <v>7321</v>
      </c>
      <c r="E797" t="s">
        <v>7322</v>
      </c>
      <c r="F797" t="s">
        <v>29</v>
      </c>
      <c r="G797" t="s">
        <v>7323</v>
      </c>
      <c r="H797" t="s">
        <v>31</v>
      </c>
      <c r="I797" t="s">
        <v>32</v>
      </c>
      <c r="J797" t="s">
        <v>7152</v>
      </c>
      <c r="K797" t="s">
        <v>7324</v>
      </c>
      <c r="L797" t="s">
        <v>120</v>
      </c>
      <c r="M797" t="s">
        <v>138</v>
      </c>
      <c r="N797" t="s">
        <v>7325</v>
      </c>
      <c r="O797" t="s">
        <v>38</v>
      </c>
      <c r="P797" t="s">
        <v>57</v>
      </c>
      <c r="Q797" t="s">
        <v>1880</v>
      </c>
      <c r="R797" t="s">
        <v>6730</v>
      </c>
      <c r="S797" t="s">
        <v>7326</v>
      </c>
      <c r="T797" t="s">
        <v>415</v>
      </c>
      <c r="U797" t="s">
        <v>127</v>
      </c>
      <c r="V797" t="s">
        <v>7327</v>
      </c>
      <c r="W797" t="s">
        <v>7328</v>
      </c>
      <c r="Y797" t="str">
        <f>HYPERLINK("https://recruiter.shine.com/resume/download/?resumeid=gAAAAABbk2ULsLL4Y1ST53HhgNl-IpNPe9lPAVBrFbBEPD_5RLwoaoRhD8GeWUcK_umD9r7UFtowEiTFqLuYCtM_kzfU9sfc0QP5f0q1fcM0pPVAfZMMp2osjxwjqmut97qCqoI6TYbGjDpOz8FNSsBckbD1Mt-KBQ==")</f>
        <v>https://recruiter.shine.com/resume/download/?resumeid=gAAAAABbk2ULsLL4Y1ST53HhgNl-IpNPe9lPAVBrFbBEPD_5RLwoaoRhD8GeWUcK_umD9r7UFtowEiTFqLuYCtM_kzfU9sfc0QP5f0q1fcM0pPVAfZMMp2osjxwjqmut97qCqoI6TYbGjDpOz8FNSsBckbD1Mt-KBQ==</v>
      </c>
    </row>
    <row r="798" spans="1:25" ht="39.950000000000003" customHeight="1">
      <c r="A798">
        <v>794</v>
      </c>
      <c r="B798" t="s">
        <v>7329</v>
      </c>
      <c r="C798" t="s">
        <v>7330</v>
      </c>
      <c r="D798" t="s">
        <v>7331</v>
      </c>
      <c r="E798" t="s">
        <v>7332</v>
      </c>
      <c r="F798" t="s">
        <v>29</v>
      </c>
      <c r="G798" t="s">
        <v>7333</v>
      </c>
      <c r="H798" t="s">
        <v>31</v>
      </c>
      <c r="I798" t="s">
        <v>50</v>
      </c>
      <c r="J798" t="s">
        <v>1641</v>
      </c>
      <c r="K798" t="s">
        <v>5031</v>
      </c>
      <c r="L798" t="s">
        <v>199</v>
      </c>
      <c r="M798" t="s">
        <v>884</v>
      </c>
      <c r="N798" t="s">
        <v>7334</v>
      </c>
      <c r="O798" t="s">
        <v>186</v>
      </c>
      <c r="P798" t="s">
        <v>39</v>
      </c>
      <c r="Q798" t="s">
        <v>158</v>
      </c>
      <c r="R798" t="s">
        <v>7335</v>
      </c>
      <c r="S798" t="s">
        <v>7336</v>
      </c>
      <c r="T798" t="s">
        <v>625</v>
      </c>
      <c r="U798" t="s">
        <v>43</v>
      </c>
      <c r="V798" t="s">
        <v>7337</v>
      </c>
      <c r="W798" t="s">
        <v>7338</v>
      </c>
      <c r="Y798" t="str">
        <f>HYPERLINK("https://recruiter.shine.com/resume/download/?resumeid=gAAAAABbk2UMOR3MigIVSg9mB5t9Rhgc8F0KOSNw9JMHTOVjzPr-goRgUiv7hsYSywWjnEPjdrd-4SPO5ChSgFtVWCNdpbGnoxpinNv6-b6B18bpLW7owNq2neE4rHfDKp4PDSx6XNRu4z67InYBa7KQNt4Nn2AZ9Szsx9ub7fpXgW1lwPHFS0E=")</f>
        <v>https://recruiter.shine.com/resume/download/?resumeid=gAAAAABbk2UMOR3MigIVSg9mB5t9Rhgc8F0KOSNw9JMHTOVjzPr-goRgUiv7hsYSywWjnEPjdrd-4SPO5ChSgFtVWCNdpbGnoxpinNv6-b6B18bpLW7owNq2neE4rHfDKp4PDSx6XNRu4z67InYBa7KQNt4Nn2AZ9Szsx9ub7fpXgW1lwPHFS0E=</v>
      </c>
    </row>
    <row r="799" spans="1:25" ht="39.950000000000003" customHeight="1">
      <c r="A799">
        <v>795</v>
      </c>
      <c r="B799" t="s">
        <v>7339</v>
      </c>
      <c r="C799" t="s">
        <v>7340</v>
      </c>
      <c r="D799" t="s">
        <v>7341</v>
      </c>
      <c r="E799" t="s">
        <v>7342</v>
      </c>
      <c r="F799" t="s">
        <v>249</v>
      </c>
      <c r="G799" t="s">
        <v>7343</v>
      </c>
      <c r="H799" t="s">
        <v>31</v>
      </c>
      <c r="I799" t="s">
        <v>4677</v>
      </c>
      <c r="J799" t="s">
        <v>580</v>
      </c>
      <c r="K799" t="s">
        <v>7344</v>
      </c>
      <c r="L799" t="s">
        <v>7345</v>
      </c>
      <c r="M799" t="s">
        <v>1124</v>
      </c>
      <c r="N799" t="s">
        <v>4501</v>
      </c>
      <c r="O799" t="s">
        <v>224</v>
      </c>
      <c r="P799" t="s">
        <v>39</v>
      </c>
      <c r="Q799" t="s">
        <v>365</v>
      </c>
      <c r="R799" t="s">
        <v>124</v>
      </c>
      <c r="S799" t="s">
        <v>188</v>
      </c>
      <c r="T799" t="s">
        <v>144</v>
      </c>
      <c r="U799" t="s">
        <v>43</v>
      </c>
      <c r="V799" t="s">
        <v>7346</v>
      </c>
      <c r="W799" t="s">
        <v>7347</v>
      </c>
      <c r="Y799" t="str">
        <f>HYPERLINK("https://recruiter.shine.com/resume/download/?resumeid=gAAAAABbk2UNE3NlFP2UjJgnlron2RIIigThoYuG-jqu3t_zweySlhYdoxVIUWmiufzqVRzT8MtV4VusBvcYKloHBsDf9wG9gyNRAXsD6ttqJxW6cEw8YnWUFHnjHrRkpPcKNhc1cR0d8WMiGH9z0j09_tsJhGSKy6sR3r8Bt-6AFTkhjXPi-OU=")</f>
        <v>https://recruiter.shine.com/resume/download/?resumeid=gAAAAABbk2UNE3NlFP2UjJgnlron2RIIigThoYuG-jqu3t_zweySlhYdoxVIUWmiufzqVRzT8MtV4VusBvcYKloHBsDf9wG9gyNRAXsD6ttqJxW6cEw8YnWUFHnjHrRkpPcKNhc1cR0d8WMiGH9z0j09_tsJhGSKy6sR3r8Bt-6AFTkhjXPi-OU=</v>
      </c>
    </row>
    <row r="800" spans="1:25" ht="39.950000000000003" customHeight="1">
      <c r="A800">
        <v>796</v>
      </c>
      <c r="B800" t="s">
        <v>7348</v>
      </c>
      <c r="C800" t="s">
        <v>7349</v>
      </c>
      <c r="D800" t="s">
        <v>7350</v>
      </c>
      <c r="E800" t="s">
        <v>7351</v>
      </c>
      <c r="F800" t="s">
        <v>29</v>
      </c>
      <c r="G800" t="s">
        <v>29</v>
      </c>
      <c r="H800" t="s">
        <v>31</v>
      </c>
      <c r="I800" t="s">
        <v>1554</v>
      </c>
      <c r="J800" t="s">
        <v>251</v>
      </c>
      <c r="K800" t="s">
        <v>7352</v>
      </c>
      <c r="L800" t="s">
        <v>664</v>
      </c>
      <c r="M800" t="s">
        <v>36</v>
      </c>
      <c r="N800" t="s">
        <v>7353</v>
      </c>
      <c r="O800" t="s">
        <v>1041</v>
      </c>
      <c r="P800" t="s">
        <v>39</v>
      </c>
      <c r="Q800" t="s">
        <v>783</v>
      </c>
      <c r="R800" t="s">
        <v>341</v>
      </c>
      <c r="S800" t="s">
        <v>7354</v>
      </c>
      <c r="T800" t="s">
        <v>144</v>
      </c>
      <c r="U800" t="s">
        <v>43</v>
      </c>
      <c r="V800" t="s">
        <v>7355</v>
      </c>
      <c r="W800" t="s">
        <v>7356</v>
      </c>
      <c r="Y800" t="str">
        <f>HYPERLINK("https://recruiter.shine.com/resume/download/?resumeid=gAAAAABbk2UL7ZH4RrvXKS_r0Dj9qW_VYCA5nC86phip_5y0TJ-tPe0YzZ7WCj5p1vNT5cTD8lOZFiM8GdES1ULxMi2ECo2Z6YHjzNjBAjt9foWDnVcW6bj49lfDK8g_WoBmm8bOscJAd-Kxr5fwZ4MHVpP4Ifl9WA==")</f>
        <v>https://recruiter.shine.com/resume/download/?resumeid=gAAAAABbk2UL7ZH4RrvXKS_r0Dj9qW_VYCA5nC86phip_5y0TJ-tPe0YzZ7WCj5p1vNT5cTD8lOZFiM8GdES1ULxMi2ECo2Z6YHjzNjBAjt9foWDnVcW6bj49lfDK8g_WoBmm8bOscJAd-Kxr5fwZ4MHVpP4Ifl9WA==</v>
      </c>
    </row>
    <row r="801" spans="1:25" ht="39.950000000000003" customHeight="1">
      <c r="A801">
        <v>797</v>
      </c>
      <c r="B801" t="s">
        <v>7357</v>
      </c>
      <c r="C801" t="s">
        <v>7358</v>
      </c>
      <c r="D801" t="s">
        <v>7359</v>
      </c>
      <c r="E801" t="s">
        <v>7360</v>
      </c>
      <c r="F801" t="s">
        <v>29</v>
      </c>
      <c r="G801" t="s">
        <v>29</v>
      </c>
      <c r="H801" t="s">
        <v>31</v>
      </c>
      <c r="I801" t="s">
        <v>407</v>
      </c>
      <c r="J801" t="s">
        <v>745</v>
      </c>
      <c r="K801" t="s">
        <v>5988</v>
      </c>
      <c r="L801" t="s">
        <v>88</v>
      </c>
      <c r="M801" t="s">
        <v>684</v>
      </c>
      <c r="N801" t="s">
        <v>7361</v>
      </c>
      <c r="O801" t="s">
        <v>585</v>
      </c>
      <c r="P801" t="s">
        <v>268</v>
      </c>
      <c r="Q801" t="s">
        <v>40</v>
      </c>
      <c r="R801" t="s">
        <v>41</v>
      </c>
      <c r="S801" t="s">
        <v>7362</v>
      </c>
      <c r="T801" t="s">
        <v>281</v>
      </c>
      <c r="U801" t="s">
        <v>43</v>
      </c>
      <c r="V801" t="s">
        <v>7363</v>
      </c>
      <c r="W801" t="s">
        <v>7364</v>
      </c>
      <c r="Y801" t="str">
        <f>HYPERLINK("https://recruiter.shine.com/resume/download/?resumeid=gAAAAABbk2UM5KVywMAh0bakd3jnzmaavN0uTEE53BRTVsYzA4qYW7S42pYC37Verca3wdYGAEe0LW_LtP9sT5F-BaOlilzgFU7nYpAgQpx8s7mmHWq8lGcZtHlwLQthq5hTYsmUQ4r39jYGeEOpSx_0dsPuDA5gnQ==")</f>
        <v>https://recruiter.shine.com/resume/download/?resumeid=gAAAAABbk2UM5KVywMAh0bakd3jnzmaavN0uTEE53BRTVsYzA4qYW7S42pYC37Verca3wdYGAEe0LW_LtP9sT5F-BaOlilzgFU7nYpAgQpx8s7mmHWq8lGcZtHlwLQthq5hTYsmUQ4r39jYGeEOpSx_0dsPuDA5gnQ==</v>
      </c>
    </row>
    <row r="802" spans="1:25" ht="39.950000000000003" customHeight="1">
      <c r="A802">
        <v>798</v>
      </c>
      <c r="B802" t="s">
        <v>7365</v>
      </c>
      <c r="C802" t="s">
        <v>7366</v>
      </c>
      <c r="D802" t="s">
        <v>7367</v>
      </c>
      <c r="E802" t="s">
        <v>7368</v>
      </c>
      <c r="F802" t="s">
        <v>29</v>
      </c>
      <c r="G802" t="s">
        <v>7369</v>
      </c>
      <c r="H802" t="s">
        <v>31</v>
      </c>
      <c r="I802" t="s">
        <v>325</v>
      </c>
      <c r="J802" t="s">
        <v>135</v>
      </c>
      <c r="K802" t="s">
        <v>7370</v>
      </c>
      <c r="L802" t="s">
        <v>199</v>
      </c>
      <c r="M802" t="s">
        <v>36</v>
      </c>
      <c r="N802" t="s">
        <v>7371</v>
      </c>
      <c r="O802" t="s">
        <v>186</v>
      </c>
      <c r="Q802" t="s">
        <v>107</v>
      </c>
      <c r="R802" t="s">
        <v>341</v>
      </c>
      <c r="S802" t="s">
        <v>7372</v>
      </c>
      <c r="T802" t="s">
        <v>625</v>
      </c>
      <c r="U802" t="s">
        <v>43</v>
      </c>
      <c r="V802" t="s">
        <v>7373</v>
      </c>
      <c r="W802" t="s">
        <v>7374</v>
      </c>
      <c r="Y802" t="str">
        <f>HYPERLINK("https://recruiter.shine.com/resume/download/?resumeid=gAAAAABbk2UOzXhxASP1SJsoxlzDjlcZ5Op2_JMeClRofiRljn8JFRfkyFzeE6HzFyUQ6dkPYV7K8NSQUVBwc56kPtcdf5SxNMbRRYIL1kuvvqA8sCApzM86GjKus3EAGUCj6OTC9Zr8ePMeCHPNQh77QrwWaHedA3JEJSzk9pc_YH9KtoqxGzE=")</f>
        <v>https://recruiter.shine.com/resume/download/?resumeid=gAAAAABbk2UOzXhxASP1SJsoxlzDjlcZ5Op2_JMeClRofiRljn8JFRfkyFzeE6HzFyUQ6dkPYV7K8NSQUVBwc56kPtcdf5SxNMbRRYIL1kuvvqA8sCApzM86GjKus3EAGUCj6OTC9Zr8ePMeCHPNQh77QrwWaHedA3JEJSzk9pc_YH9KtoqxGzE=</v>
      </c>
    </row>
    <row r="803" spans="1:25" ht="39.950000000000003" customHeight="1">
      <c r="A803">
        <v>799</v>
      </c>
      <c r="B803" t="s">
        <v>7375</v>
      </c>
      <c r="C803" t="s">
        <v>7376</v>
      </c>
      <c r="D803" t="s">
        <v>7377</v>
      </c>
      <c r="E803" t="s">
        <v>7378</v>
      </c>
      <c r="F803" t="s">
        <v>29</v>
      </c>
      <c r="G803" t="s">
        <v>29</v>
      </c>
      <c r="H803" t="s">
        <v>31</v>
      </c>
      <c r="I803" t="s">
        <v>825</v>
      </c>
      <c r="J803" t="s">
        <v>7379</v>
      </c>
      <c r="K803" t="s">
        <v>7380</v>
      </c>
      <c r="L803" t="s">
        <v>184</v>
      </c>
      <c r="M803" t="s">
        <v>238</v>
      </c>
      <c r="N803" t="s">
        <v>239</v>
      </c>
      <c r="O803" t="s">
        <v>38</v>
      </c>
      <c r="P803" t="s">
        <v>73</v>
      </c>
      <c r="Q803" t="s">
        <v>240</v>
      </c>
      <c r="R803" t="s">
        <v>241</v>
      </c>
      <c r="S803" t="s">
        <v>242</v>
      </c>
      <c r="T803" t="s">
        <v>61</v>
      </c>
      <c r="U803" t="s">
        <v>43</v>
      </c>
      <c r="V803" t="s">
        <v>7381</v>
      </c>
      <c r="W803" t="s">
        <v>7382</v>
      </c>
      <c r="Y803" t="str">
        <f>HYPERLINK("https://recruiter.shine.com/resume/download/?resumeid=gAAAAABbk2UKc0wZUKBv1TVUIcCPc0vuS70AhQ3JEqJcCqM-llPGrDhEBabmHoWKCz-amHXN_ATDXR4HHDQQIaMIXfEEblIFYXwhPsRHENaTkD24qIgLL7GVp6v8FjSskPXD6O7s2Y0KioRSOT_usICbiMcTjVql-uyKLE3oCzyu-pxtAMW8D0g=")</f>
        <v>https://recruiter.shine.com/resume/download/?resumeid=gAAAAABbk2UKc0wZUKBv1TVUIcCPc0vuS70AhQ3JEqJcCqM-llPGrDhEBabmHoWKCz-amHXN_ATDXR4HHDQQIaMIXfEEblIFYXwhPsRHENaTkD24qIgLL7GVp6v8FjSskPXD6O7s2Y0KioRSOT_usICbiMcTjVql-uyKLE3oCzyu-pxtAMW8D0g=</v>
      </c>
    </row>
    <row r="804" spans="1:25" ht="39.950000000000003" customHeight="1">
      <c r="A804">
        <v>800</v>
      </c>
      <c r="B804" t="s">
        <v>7383</v>
      </c>
      <c r="C804" t="s">
        <v>7384</v>
      </c>
      <c r="D804" t="s">
        <v>7385</v>
      </c>
      <c r="E804" t="s">
        <v>7386</v>
      </c>
      <c r="F804" t="s">
        <v>29</v>
      </c>
      <c r="G804" t="s">
        <v>29</v>
      </c>
      <c r="H804" t="s">
        <v>31</v>
      </c>
      <c r="I804" t="s">
        <v>7387</v>
      </c>
      <c r="J804" t="s">
        <v>1785</v>
      </c>
      <c r="K804" t="s">
        <v>7388</v>
      </c>
      <c r="L804" t="s">
        <v>462</v>
      </c>
      <c r="M804" t="s">
        <v>36</v>
      </c>
      <c r="N804" t="s">
        <v>7389</v>
      </c>
      <c r="O804" t="s">
        <v>186</v>
      </c>
      <c r="P804" t="s">
        <v>57</v>
      </c>
      <c r="Q804" t="s">
        <v>90</v>
      </c>
      <c r="R804" t="s">
        <v>465</v>
      </c>
      <c r="S804" t="s">
        <v>7390</v>
      </c>
      <c r="T804" t="s">
        <v>161</v>
      </c>
      <c r="U804" t="s">
        <v>43</v>
      </c>
      <c r="V804" t="s">
        <v>7391</v>
      </c>
      <c r="W804" t="s">
        <v>7392</v>
      </c>
      <c r="Y804" t="str">
        <f>HYPERLINK("https://recruiter.shine.com/resume/download/?resumeid=gAAAAABbk2UM2Vg7-07Ewy6epWtlHzm4wvaJtETBbTdPzMwUAxl1eUBg3P6U7jdQqUQTH4ymBRtcGSy7T2nSoT0i_fyaYxfXalZ5AwvN_IQQ4-a7wZ44N_x1Vf61G-kGt-v8WJjg3mD96k24EDI4hJkCe15w2cGUTw==")</f>
        <v>https://recruiter.shine.com/resume/download/?resumeid=gAAAAABbk2UM2Vg7-07Ewy6epWtlHzm4wvaJtETBbTdPzMwUAxl1eUBg3P6U7jdQqUQTH4ymBRtcGSy7T2nSoT0i_fyaYxfXalZ5AwvN_IQQ4-a7wZ44N_x1Vf61G-kGt-v8WJjg3mD96k24EDI4hJkCe15w2cGUTw==</v>
      </c>
    </row>
    <row r="805" spans="1:25" ht="39.950000000000003" customHeight="1">
      <c r="A805">
        <v>801</v>
      </c>
      <c r="B805" t="s">
        <v>7393</v>
      </c>
      <c r="D805" t="s">
        <v>7394</v>
      </c>
      <c r="E805" t="s">
        <v>7395</v>
      </c>
      <c r="F805" t="s">
        <v>29</v>
      </c>
      <c r="G805" t="s">
        <v>67</v>
      </c>
      <c r="H805" t="s">
        <v>234</v>
      </c>
      <c r="I805" t="s">
        <v>362</v>
      </c>
      <c r="J805" t="s">
        <v>135</v>
      </c>
      <c r="L805" t="s">
        <v>363</v>
      </c>
      <c r="M805" t="s">
        <v>364</v>
      </c>
      <c r="Q805" t="s">
        <v>365</v>
      </c>
      <c r="R805" t="s">
        <v>2230</v>
      </c>
      <c r="S805" t="s">
        <v>7396</v>
      </c>
      <c r="T805" t="s">
        <v>61</v>
      </c>
      <c r="U805" t="s">
        <v>94</v>
      </c>
      <c r="V805" t="s">
        <v>7397</v>
      </c>
      <c r="W805" t="s">
        <v>7397</v>
      </c>
      <c r="Y805" t="str">
        <f>HYPERLINK("https://recruiter.shine.com/resume/download/?resumeid=gAAAAABbk2UN3Co7h0jUc5WklTAthDMF5ScP3RFtZUDzEzzQVTu3dyQ1MWuIuFgbsszn3tLWt0yv4puVlsvaM-OpzpXZjikP5Xur9mWaLhxCCMlu_7QYEtQ4Z984ObW_ZG3ZlwsNyJRl8NS79ZXKWWoJRIsGjec5v75I3aOi8sSh9a_syeI04z0=")</f>
        <v>https://recruiter.shine.com/resume/download/?resumeid=gAAAAABbk2UN3Co7h0jUc5WklTAthDMF5ScP3RFtZUDzEzzQVTu3dyQ1MWuIuFgbsszn3tLWt0yv4puVlsvaM-OpzpXZjikP5Xur9mWaLhxCCMlu_7QYEtQ4Z984ObW_ZG3ZlwsNyJRl8NS79ZXKWWoJRIsGjec5v75I3aOi8sSh9a_syeI04z0=</v>
      </c>
    </row>
    <row r="806" spans="1:25" ht="39.950000000000003" customHeight="1">
      <c r="A806">
        <v>802</v>
      </c>
      <c r="B806" t="s">
        <v>7398</v>
      </c>
      <c r="C806" t="s">
        <v>7399</v>
      </c>
      <c r="D806" t="s">
        <v>7400</v>
      </c>
      <c r="E806" t="s">
        <v>7401</v>
      </c>
      <c r="F806" t="s">
        <v>29</v>
      </c>
      <c r="G806" t="s">
        <v>7402</v>
      </c>
      <c r="H806" t="s">
        <v>31</v>
      </c>
      <c r="I806" t="s">
        <v>32</v>
      </c>
      <c r="J806" t="s">
        <v>393</v>
      </c>
      <c r="K806" t="s">
        <v>7403</v>
      </c>
      <c r="L806" t="s">
        <v>794</v>
      </c>
      <c r="M806" t="s">
        <v>884</v>
      </c>
      <c r="N806" t="s">
        <v>7404</v>
      </c>
      <c r="O806" t="s">
        <v>585</v>
      </c>
      <c r="P806" t="s">
        <v>39</v>
      </c>
      <c r="Q806" t="s">
        <v>107</v>
      </c>
      <c r="R806" t="s">
        <v>341</v>
      </c>
      <c r="S806" t="s">
        <v>2365</v>
      </c>
      <c r="T806" t="s">
        <v>1842</v>
      </c>
      <c r="U806" t="s">
        <v>43</v>
      </c>
      <c r="V806" t="s">
        <v>7405</v>
      </c>
      <c r="W806" t="s">
        <v>7406</v>
      </c>
      <c r="Y806" t="str">
        <f>HYPERLINK("https://recruiter.shine.com/resume/download/?resumeid=gAAAAABbk2ULf_BUvTvzwzim4NzviVh-Mw3CyT8jUO5opIJTVk6XWJ0OXWaqW9fhQJscWOCgjVhDLBjwtjFgMX4Ftyi8AxUV2pXMCR4XJVL3oqbGY8sK_pSJ0JsqyASLfGD_1hTzK0TAXqnlR3oiMnQa0Lsd2fySSA==")</f>
        <v>https://recruiter.shine.com/resume/download/?resumeid=gAAAAABbk2ULf_BUvTvzwzim4NzviVh-Mw3CyT8jUO5opIJTVk6XWJ0OXWaqW9fhQJscWOCgjVhDLBjwtjFgMX4Ftyi8AxUV2pXMCR4XJVL3oqbGY8sK_pSJ0JsqyASLfGD_1hTzK0TAXqnlR3oiMnQa0Lsd2fySSA==</v>
      </c>
    </row>
    <row r="807" spans="1:25" ht="39.950000000000003" customHeight="1">
      <c r="A807">
        <v>803</v>
      </c>
      <c r="B807" t="s">
        <v>7407</v>
      </c>
      <c r="C807" t="s">
        <v>7408</v>
      </c>
      <c r="D807" t="s">
        <v>7409</v>
      </c>
      <c r="E807" t="s">
        <v>7410</v>
      </c>
      <c r="F807" t="s">
        <v>29</v>
      </c>
      <c r="G807" t="s">
        <v>7411</v>
      </c>
      <c r="H807" t="s">
        <v>31</v>
      </c>
      <c r="I807" t="s">
        <v>196</v>
      </c>
      <c r="J807" t="s">
        <v>135</v>
      </c>
      <c r="K807" t="s">
        <v>7412</v>
      </c>
      <c r="L807" t="s">
        <v>266</v>
      </c>
      <c r="M807" t="s">
        <v>105</v>
      </c>
      <c r="N807" t="s">
        <v>7413</v>
      </c>
      <c r="O807" t="s">
        <v>585</v>
      </c>
      <c r="Q807" t="s">
        <v>107</v>
      </c>
      <c r="R807" t="s">
        <v>341</v>
      </c>
      <c r="S807" t="s">
        <v>2563</v>
      </c>
      <c r="T807" t="s">
        <v>441</v>
      </c>
      <c r="U807" t="s">
        <v>43</v>
      </c>
      <c r="V807" t="s">
        <v>7414</v>
      </c>
      <c r="W807" t="s">
        <v>7415</v>
      </c>
      <c r="Y807" t="str">
        <f>HYPERLINK("https://recruiter.shine.com/resume/download/?resumeid=gAAAAABbk2UMhwnAQxr3h7Rh8r6KKnZr8Wmz-C-bI81qsM9vtmz8YquMDtSvJhudcMwhmMz9aIz9AHHklH52hMj34HGj--b5hI9SGbYmhdc_BX80LFhBaFDR05tAMHQKMHX2pxjb5xvc-e3KxLnPczgNqo06sj4d-44o3xmaTQXkYZUGy3BdIpA=")</f>
        <v>https://recruiter.shine.com/resume/download/?resumeid=gAAAAABbk2UMhwnAQxr3h7Rh8r6KKnZr8Wmz-C-bI81qsM9vtmz8YquMDtSvJhudcMwhmMz9aIz9AHHklH52hMj34HGj--b5hI9SGbYmhdc_BX80LFhBaFDR05tAMHQKMHX2pxjb5xvc-e3KxLnPczgNqo06sj4d-44o3xmaTQXkYZUGy3BdIpA=</v>
      </c>
    </row>
    <row r="808" spans="1:25" ht="39.950000000000003" customHeight="1">
      <c r="A808">
        <v>804</v>
      </c>
      <c r="B808" t="s">
        <v>7416</v>
      </c>
      <c r="C808" t="s">
        <v>7417</v>
      </c>
      <c r="D808" t="s">
        <v>7418</v>
      </c>
      <c r="E808" t="s">
        <v>7419</v>
      </c>
      <c r="F808" t="s">
        <v>29</v>
      </c>
      <c r="G808" t="s">
        <v>67</v>
      </c>
      <c r="H808" t="s">
        <v>31</v>
      </c>
      <c r="I808" t="s">
        <v>2354</v>
      </c>
      <c r="J808" t="s">
        <v>7420</v>
      </c>
      <c r="K808" t="s">
        <v>7421</v>
      </c>
      <c r="L808" t="s">
        <v>35</v>
      </c>
      <c r="M808" t="s">
        <v>2835</v>
      </c>
      <c r="N808" t="s">
        <v>2229</v>
      </c>
      <c r="O808" t="s">
        <v>397</v>
      </c>
      <c r="P808" t="s">
        <v>940</v>
      </c>
      <c r="Q808" t="s">
        <v>40</v>
      </c>
      <c r="R808" t="s">
        <v>2192</v>
      </c>
      <c r="S808" t="s">
        <v>7422</v>
      </c>
      <c r="T808" t="s">
        <v>227</v>
      </c>
      <c r="U808" t="s">
        <v>127</v>
      </c>
      <c r="V808" t="s">
        <v>7423</v>
      </c>
      <c r="W808" t="s">
        <v>7424</v>
      </c>
      <c r="Y808" t="str">
        <f>HYPERLINK("https://recruiter.shine.com/resume/download/?resumeid=gAAAAABbk2UOyZyVukFf7Hh_5EelWDqSNZZ2BW9e7IiseXD3IxTidlKogqvmO72nfwz8glZ6UxS1TywUhALZpCYILZkAT4Lq0H-nkM7IYZIcphYObAYuBvVj8yKeOlEPw0X14QBRw2O3MPIHZBjDitLPh7D-ghHvDRfY1i7blvXvAJRk4xV_kjk=")</f>
        <v>https://recruiter.shine.com/resume/download/?resumeid=gAAAAABbk2UOyZyVukFf7Hh_5EelWDqSNZZ2BW9e7IiseXD3IxTidlKogqvmO72nfwz8glZ6UxS1TywUhALZpCYILZkAT4Lq0H-nkM7IYZIcphYObAYuBvVj8yKeOlEPw0X14QBRw2O3MPIHZBjDitLPh7D-ghHvDRfY1i7blvXvAJRk4xV_kjk=</v>
      </c>
    </row>
    <row r="809" spans="1:25" ht="39.950000000000003" customHeight="1">
      <c r="A809">
        <v>805</v>
      </c>
      <c r="B809" t="s">
        <v>7425</v>
      </c>
      <c r="C809" t="s">
        <v>7426</v>
      </c>
      <c r="D809" t="s">
        <v>7427</v>
      </c>
      <c r="E809" t="s">
        <v>7428</v>
      </c>
      <c r="F809" t="s">
        <v>29</v>
      </c>
      <c r="G809" t="s">
        <v>7429</v>
      </c>
      <c r="H809" t="s">
        <v>31</v>
      </c>
      <c r="I809" t="s">
        <v>483</v>
      </c>
      <c r="J809" t="s">
        <v>7430</v>
      </c>
      <c r="K809" t="s">
        <v>7431</v>
      </c>
      <c r="L809" t="s">
        <v>5296</v>
      </c>
      <c r="M809" t="s">
        <v>105</v>
      </c>
      <c r="N809" t="s">
        <v>7432</v>
      </c>
      <c r="O809" t="s">
        <v>56</v>
      </c>
      <c r="P809" t="s">
        <v>39</v>
      </c>
      <c r="Q809" t="s">
        <v>74</v>
      </c>
      <c r="R809" t="s">
        <v>341</v>
      </c>
      <c r="S809" t="s">
        <v>497</v>
      </c>
      <c r="T809" t="s">
        <v>61</v>
      </c>
      <c r="U809" t="s">
        <v>43</v>
      </c>
      <c r="V809" t="s">
        <v>7433</v>
      </c>
      <c r="W809" t="s">
        <v>7434</v>
      </c>
      <c r="Y809" t="str">
        <f>HYPERLINK("https://recruiter.shine.com/resume/download/?resumeid=gAAAAABbk2UL-p-yLUrPoCxLvt6jReKG7OjJYgSSe934yzYLDqRJNeoZrMSCryOwq2oNdso7vxvlixeEcIdfi3TkbxGaNr7EpeWCiq8ED-3IERZdIz2zqReKU9xuX-liBv_Djn3SDq0SLZPn__4xTnMYNcaADMt0OA==")</f>
        <v>https://recruiter.shine.com/resume/download/?resumeid=gAAAAABbk2UL-p-yLUrPoCxLvt6jReKG7OjJYgSSe934yzYLDqRJNeoZrMSCryOwq2oNdso7vxvlixeEcIdfi3TkbxGaNr7EpeWCiq8ED-3IERZdIz2zqReKU9xuX-liBv_Djn3SDq0SLZPn__4xTnMYNcaADMt0OA==</v>
      </c>
    </row>
    <row r="810" spans="1:25" ht="39.950000000000003" customHeight="1">
      <c r="A810">
        <v>806</v>
      </c>
      <c r="B810" t="s">
        <v>7435</v>
      </c>
      <c r="C810" t="s">
        <v>7436</v>
      </c>
      <c r="D810" t="s">
        <v>7437</v>
      </c>
      <c r="E810" t="s">
        <v>7438</v>
      </c>
      <c r="F810" t="s">
        <v>29</v>
      </c>
      <c r="G810" t="s">
        <v>7439</v>
      </c>
      <c r="H810" t="s">
        <v>31</v>
      </c>
      <c r="I810" t="s">
        <v>836</v>
      </c>
      <c r="J810" t="s">
        <v>153</v>
      </c>
      <c r="K810" t="s">
        <v>7440</v>
      </c>
      <c r="L810" t="s">
        <v>120</v>
      </c>
      <c r="M810" t="s">
        <v>238</v>
      </c>
      <c r="N810" t="s">
        <v>7441</v>
      </c>
      <c r="O810" t="s">
        <v>224</v>
      </c>
      <c r="Q810" t="s">
        <v>90</v>
      </c>
      <c r="R810" t="s">
        <v>292</v>
      </c>
      <c r="S810" t="s">
        <v>7442</v>
      </c>
      <c r="T810" t="s">
        <v>110</v>
      </c>
      <c r="U810" t="s">
        <v>94</v>
      </c>
      <c r="V810" t="s">
        <v>7443</v>
      </c>
      <c r="W810" t="s">
        <v>7444</v>
      </c>
      <c r="Y810" t="str">
        <f>HYPERLINK("https://recruiter.shine.com/resume/download/?resumeid=gAAAAABbk2UNXj_-cL8EHlHy15alBOELxyjebILtBsQ0x9AvY3IQY0tbxhPIMAjqlvSo_BjTl--vqDQfpmqGCiFsP0cPh1fqrLqczDVg9rHzvQR7hXuKs83M0mnnnNW3BDri8PbJ4ugsXT07O-wC-yPoj2zN_e2MUQR2fpM9Nizz9tP-MNt2gNE=")</f>
        <v>https://recruiter.shine.com/resume/download/?resumeid=gAAAAABbk2UNXj_-cL8EHlHy15alBOELxyjebILtBsQ0x9AvY3IQY0tbxhPIMAjqlvSo_BjTl--vqDQfpmqGCiFsP0cPh1fqrLqczDVg9rHzvQR7hXuKs83M0mnnnNW3BDri8PbJ4ugsXT07O-wC-yPoj2zN_e2MUQR2fpM9Nizz9tP-MNt2gNE=</v>
      </c>
    </row>
    <row r="811" spans="1:25" ht="39.950000000000003" customHeight="1">
      <c r="A811">
        <v>807</v>
      </c>
      <c r="B811" t="s">
        <v>7445</v>
      </c>
      <c r="D811" t="s">
        <v>7446</v>
      </c>
      <c r="E811" t="s">
        <v>7447</v>
      </c>
      <c r="F811" t="s">
        <v>249</v>
      </c>
      <c r="G811" t="s">
        <v>7343</v>
      </c>
      <c r="H811" t="s">
        <v>31</v>
      </c>
      <c r="I811" t="s">
        <v>5086</v>
      </c>
      <c r="J811" t="s">
        <v>6645</v>
      </c>
      <c r="K811" t="s">
        <v>210</v>
      </c>
      <c r="L811" t="s">
        <v>88</v>
      </c>
      <c r="M811" t="s">
        <v>36</v>
      </c>
      <c r="N811" t="s">
        <v>7448</v>
      </c>
      <c r="O811" t="s">
        <v>1041</v>
      </c>
      <c r="Q811" t="s">
        <v>107</v>
      </c>
      <c r="R811" t="s">
        <v>341</v>
      </c>
      <c r="S811" t="s">
        <v>7449</v>
      </c>
      <c r="T811" t="s">
        <v>77</v>
      </c>
      <c r="U811" t="s">
        <v>43</v>
      </c>
      <c r="V811" t="s">
        <v>7450</v>
      </c>
      <c r="W811" t="s">
        <v>7451</v>
      </c>
      <c r="Y811" t="str">
        <f>HYPERLINK("https://recruiter.shine.com/resume/download/?resumeid=gAAAAABbk2UOF1dBIIY9xKqM_hPwSgia9RT8VkQDLB9Jov1KiFb3F7dL_xrgrEXkeMvOt4pV_wBh0u03YnJWamXfnC4pV8yQ2l6LQ2A660XTfbzCugLhpfCoLAMP49xNQ0IeSUbikjgiERrIv81akwmmXOIpZnOO7vN86pTbFo_fd1S4Nr74LR8=")</f>
        <v>https://recruiter.shine.com/resume/download/?resumeid=gAAAAABbk2UOF1dBIIY9xKqM_hPwSgia9RT8VkQDLB9Jov1KiFb3F7dL_xrgrEXkeMvOt4pV_wBh0u03YnJWamXfnC4pV8yQ2l6LQ2A660XTfbzCugLhpfCoLAMP49xNQ0IeSUbikjgiERrIv81akwmmXOIpZnOO7vN86pTbFo_fd1S4Nr74LR8=</v>
      </c>
    </row>
    <row r="812" spans="1:25" ht="39.950000000000003" customHeight="1">
      <c r="A812">
        <v>808</v>
      </c>
      <c r="B812" t="s">
        <v>7452</v>
      </c>
      <c r="C812" t="s">
        <v>7453</v>
      </c>
      <c r="D812" t="s">
        <v>7454</v>
      </c>
      <c r="E812" t="s">
        <v>7455</v>
      </c>
      <c r="F812" t="s">
        <v>249</v>
      </c>
      <c r="G812" t="s">
        <v>7456</v>
      </c>
      <c r="H812" t="s">
        <v>31</v>
      </c>
      <c r="I812" t="s">
        <v>362</v>
      </c>
      <c r="J812" t="s">
        <v>135</v>
      </c>
      <c r="L812" t="s">
        <v>363</v>
      </c>
      <c r="M812" t="s">
        <v>364</v>
      </c>
      <c r="Q812" t="s">
        <v>74</v>
      </c>
      <c r="R812" t="s">
        <v>341</v>
      </c>
      <c r="S812" t="s">
        <v>7457</v>
      </c>
      <c r="T812" t="s">
        <v>429</v>
      </c>
      <c r="U812" t="s">
        <v>43</v>
      </c>
      <c r="V812" t="s">
        <v>7458</v>
      </c>
      <c r="W812" t="s">
        <v>7459</v>
      </c>
      <c r="Y812" t="str">
        <f>HYPERLINK("https://recruiter.shine.com/resume/download/?resumeid=gAAAAABbk2UKODT_o8ysEg7EtI30GNvI_-QDUKp7HfO1Iv5PYuxA8BvZUpcoXn8OnKszsbRuPACOYCl5bXfMxf2dL_v7N9o-eX7zmVJBvOmroiWqlqZtq1zgPn_FbGpKExKw0boHXsJRLLr9IJw8cc1zyp--S7Xcfw==")</f>
        <v>https://recruiter.shine.com/resume/download/?resumeid=gAAAAABbk2UKODT_o8ysEg7EtI30GNvI_-QDUKp7HfO1Iv5PYuxA8BvZUpcoXn8OnKszsbRuPACOYCl5bXfMxf2dL_v7N9o-eX7zmVJBvOmroiWqlqZtq1zgPn_FbGpKExKw0boHXsJRLLr9IJw8cc1zyp--S7Xcfw==</v>
      </c>
    </row>
    <row r="813" spans="1:25" ht="39.950000000000003" customHeight="1">
      <c r="A813">
        <v>809</v>
      </c>
      <c r="B813" t="s">
        <v>7460</v>
      </c>
      <c r="D813" t="s">
        <v>7461</v>
      </c>
      <c r="E813" t="s">
        <v>7462</v>
      </c>
      <c r="F813" t="s">
        <v>29</v>
      </c>
      <c r="G813" t="s">
        <v>29</v>
      </c>
      <c r="H813" t="s">
        <v>31</v>
      </c>
      <c r="I813" t="s">
        <v>483</v>
      </c>
      <c r="J813" t="s">
        <v>484</v>
      </c>
      <c r="K813" t="s">
        <v>7463</v>
      </c>
      <c r="L813" t="s">
        <v>266</v>
      </c>
      <c r="M813" t="s">
        <v>105</v>
      </c>
      <c r="N813" t="s">
        <v>7464</v>
      </c>
      <c r="O813" t="s">
        <v>186</v>
      </c>
      <c r="Q813" t="s">
        <v>365</v>
      </c>
      <c r="R813" t="s">
        <v>41</v>
      </c>
      <c r="S813" t="s">
        <v>7465</v>
      </c>
      <c r="T813" t="s">
        <v>687</v>
      </c>
      <c r="U813" t="s">
        <v>43</v>
      </c>
      <c r="V813" t="s">
        <v>7466</v>
      </c>
      <c r="W813" t="s">
        <v>7467</v>
      </c>
      <c r="Y813" t="str">
        <f>HYPERLINK("https://recruiter.shine.com/resume/download/?resumeid=gAAAAABbk2UMuxn99IiUuaAgm8O4m4_aXqYIw35frmp3d6gnX7HA1Hnh-pF-U4eKWfWvWe49FjjNR9ViUu7Knx373EYqxIBoFED2AABbhhLtsF6-7GCr9CX2aA_ddugwUds47LTA4-CIIFvOUf6DA_XbXg86g3jKFucgNBgy1db_gDwjWFFvgLo=")</f>
        <v>https://recruiter.shine.com/resume/download/?resumeid=gAAAAABbk2UMuxn99IiUuaAgm8O4m4_aXqYIw35frmp3d6gnX7HA1Hnh-pF-U4eKWfWvWe49FjjNR9ViUu7Knx373EYqxIBoFED2AABbhhLtsF6-7GCr9CX2aA_ddugwUds47LTA4-CIIFvOUf6DA_XbXg86g3jKFucgNBgy1db_gDwjWFFvgLo=</v>
      </c>
    </row>
    <row r="814" spans="1:25" ht="39.950000000000003" customHeight="1">
      <c r="A814">
        <v>810</v>
      </c>
      <c r="B814" t="s">
        <v>7468</v>
      </c>
      <c r="D814" t="s">
        <v>7469</v>
      </c>
      <c r="E814" t="s">
        <v>7470</v>
      </c>
      <c r="F814" t="s">
        <v>29</v>
      </c>
      <c r="G814" t="s">
        <v>67</v>
      </c>
      <c r="H814" t="s">
        <v>31</v>
      </c>
      <c r="I814" t="s">
        <v>7471</v>
      </c>
      <c r="J814" t="s">
        <v>871</v>
      </c>
      <c r="K814" t="s">
        <v>7472</v>
      </c>
      <c r="L814" t="s">
        <v>88</v>
      </c>
      <c r="M814" t="s">
        <v>238</v>
      </c>
      <c r="N814" t="s">
        <v>239</v>
      </c>
      <c r="O814" t="s">
        <v>804</v>
      </c>
      <c r="Q814" t="s">
        <v>40</v>
      </c>
      <c r="R814" t="s">
        <v>2192</v>
      </c>
      <c r="S814" t="s">
        <v>7473</v>
      </c>
      <c r="T814" t="s">
        <v>773</v>
      </c>
      <c r="U814" t="s">
        <v>43</v>
      </c>
      <c r="V814" t="s">
        <v>7474</v>
      </c>
      <c r="W814" t="s">
        <v>7475</v>
      </c>
      <c r="Y814" t="str">
        <f>HYPERLINK("https://recruiter.shine.com/resume/download/?resumeid=gAAAAABbk2UNVdX7Nc9ekQbUi9DBWzmJHBNe7hMTw8T-dA-p7CZhBQ-pwGk5zAkJPaWn70rG4sTCxjLKR70uZwDsy_85wLGYLe0VyncCf86st4hLlSXdgy-eaWqSK7fuNytMkGVqFpSpaqOUxtmc-LfiJXHpMzLxrqdWN3wu61CCBEJs9UaHmp8=")</f>
        <v>https://recruiter.shine.com/resume/download/?resumeid=gAAAAABbk2UNVdX7Nc9ekQbUi9DBWzmJHBNe7hMTw8T-dA-p7CZhBQ-pwGk5zAkJPaWn70rG4sTCxjLKR70uZwDsy_85wLGYLe0VyncCf86st4hLlSXdgy-eaWqSK7fuNytMkGVqFpSpaqOUxtmc-LfiJXHpMzLxrqdWN3wu61CCBEJs9UaHmp8=</v>
      </c>
    </row>
    <row r="815" spans="1:25" ht="39.950000000000003" customHeight="1">
      <c r="A815">
        <v>811</v>
      </c>
      <c r="B815" t="s">
        <v>7476</v>
      </c>
      <c r="C815" t="s">
        <v>7477</v>
      </c>
      <c r="D815" t="s">
        <v>7478</v>
      </c>
      <c r="E815" t="s">
        <v>7479</v>
      </c>
      <c r="F815" t="s">
        <v>29</v>
      </c>
      <c r="G815" t="s">
        <v>29</v>
      </c>
      <c r="H815" t="s">
        <v>31</v>
      </c>
      <c r="I815" t="s">
        <v>117</v>
      </c>
      <c r="J815" t="s">
        <v>580</v>
      </c>
      <c r="K815" t="s">
        <v>7480</v>
      </c>
      <c r="L815" t="s">
        <v>266</v>
      </c>
      <c r="M815" t="s">
        <v>105</v>
      </c>
      <c r="N815" t="s">
        <v>7481</v>
      </c>
      <c r="O815" t="s">
        <v>186</v>
      </c>
      <c r="Q815" t="s">
        <v>158</v>
      </c>
      <c r="R815" t="s">
        <v>341</v>
      </c>
      <c r="S815" t="s">
        <v>7482</v>
      </c>
      <c r="T815" t="s">
        <v>415</v>
      </c>
      <c r="U815" t="s">
        <v>43</v>
      </c>
      <c r="V815" t="s">
        <v>7483</v>
      </c>
      <c r="W815" t="s">
        <v>7483</v>
      </c>
      <c r="Y815" t="str">
        <f>HYPERLINK("https://recruiter.shine.com/resume/download/?resumeid=gAAAAABbk2UKxviPKIf7Wh8WhgTyoJhW2SQ3Dpg41EZ5RH40VDjJbV07K1XsrFEbWaj_Xk7J0WAQAgfk1ntR45Ug58WB6xLDVms13lkleljJWIIS2b83PjSnW8AYuEenF0Qlhwldm1AtN8YRSvxu5snW_AdMD47q7Q==")</f>
        <v>https://recruiter.shine.com/resume/download/?resumeid=gAAAAABbk2UKxviPKIf7Wh8WhgTyoJhW2SQ3Dpg41EZ5RH40VDjJbV07K1XsrFEbWaj_Xk7J0WAQAgfk1ntR45Ug58WB6xLDVms13lkleljJWIIS2b83PjSnW8AYuEenF0Qlhwldm1AtN8YRSvxu5snW_AdMD47q7Q==</v>
      </c>
    </row>
    <row r="816" spans="1:25" ht="39.950000000000003" customHeight="1">
      <c r="A816">
        <v>812</v>
      </c>
      <c r="B816" t="s">
        <v>7484</v>
      </c>
      <c r="C816" t="s">
        <v>7485</v>
      </c>
      <c r="D816" t="s">
        <v>7486</v>
      </c>
      <c r="E816" t="s">
        <v>7487</v>
      </c>
      <c r="F816" t="s">
        <v>29</v>
      </c>
      <c r="G816" t="s">
        <v>100</v>
      </c>
      <c r="H816" t="s">
        <v>31</v>
      </c>
      <c r="I816" t="s">
        <v>2354</v>
      </c>
      <c r="J816" t="s">
        <v>7488</v>
      </c>
      <c r="K816" t="s">
        <v>7489</v>
      </c>
      <c r="L816" t="s">
        <v>338</v>
      </c>
      <c r="M816" t="s">
        <v>105</v>
      </c>
      <c r="N816" t="s">
        <v>7490</v>
      </c>
      <c r="O816" t="s">
        <v>38</v>
      </c>
      <c r="P816" t="s">
        <v>39</v>
      </c>
      <c r="Q816" t="s">
        <v>107</v>
      </c>
      <c r="R816" t="s">
        <v>341</v>
      </c>
      <c r="S816" t="s">
        <v>188</v>
      </c>
      <c r="T816" t="s">
        <v>2554</v>
      </c>
      <c r="U816" t="s">
        <v>43</v>
      </c>
      <c r="V816" t="s">
        <v>7491</v>
      </c>
      <c r="W816" t="s">
        <v>7492</v>
      </c>
      <c r="Y816" t="str">
        <f>HYPERLINK("https://recruiter.shine.com/resume/download/?resumeid=gAAAAABbk2UM6G7ZjtrquyWaGy7JcHNog50PISn_D491m9cdWDQLV9Loxa83NknhdfffzFAMhC_VxaTV4KHEV-ZkJXDYu4HZY8zmsdelcUMwKFlCLCJIhVgeDBAZHOtD-tvXPRdPdhGR_UFgX_fiEL15bihGEIhwDw==")</f>
        <v>https://recruiter.shine.com/resume/download/?resumeid=gAAAAABbk2UM6G7ZjtrquyWaGy7JcHNog50PISn_D491m9cdWDQLV9Loxa83NknhdfffzFAMhC_VxaTV4KHEV-ZkJXDYu4HZY8zmsdelcUMwKFlCLCJIhVgeDBAZHOtD-tvXPRdPdhGR_UFgX_fiEL15bihGEIhwDw==</v>
      </c>
    </row>
    <row r="817" spans="1:25" ht="39.950000000000003" customHeight="1">
      <c r="A817">
        <v>813</v>
      </c>
      <c r="B817" t="s">
        <v>7493</v>
      </c>
      <c r="C817" t="s">
        <v>7494</v>
      </c>
      <c r="D817" t="s">
        <v>7495</v>
      </c>
      <c r="E817" t="s">
        <v>7496</v>
      </c>
      <c r="F817" t="s">
        <v>29</v>
      </c>
      <c r="G817" t="s">
        <v>7497</v>
      </c>
      <c r="H817" t="s">
        <v>31</v>
      </c>
      <c r="I817" t="s">
        <v>604</v>
      </c>
      <c r="J817" t="s">
        <v>312</v>
      </c>
      <c r="K817" t="s">
        <v>518</v>
      </c>
      <c r="L817" t="s">
        <v>2635</v>
      </c>
      <c r="M817" t="s">
        <v>2636</v>
      </c>
      <c r="N817" t="s">
        <v>7498</v>
      </c>
      <c r="O817" t="s">
        <v>585</v>
      </c>
      <c r="Q817" t="s">
        <v>365</v>
      </c>
      <c r="R817" t="s">
        <v>2230</v>
      </c>
      <c r="S817" t="s">
        <v>7499</v>
      </c>
      <c r="T817" t="s">
        <v>227</v>
      </c>
      <c r="U817" t="s">
        <v>43</v>
      </c>
      <c r="V817" t="s">
        <v>7500</v>
      </c>
      <c r="W817" t="s">
        <v>7501</v>
      </c>
      <c r="Y817" t="str">
        <f>HYPERLINK("https://recruiter.shine.com/resume/download/?resumeid=gAAAAABbk2UO6nc6e6CU1LD2PNAdS9c62YXayWMr_u133S9VWYCPImW8iyM4OTXiuy27PCW5a6Lhi-czUa-fKTAHKjxNUAFDAhLupbV0O-1bQ1BFFL1Sg70YjOMS02PmVUqnkaV7Q9pGtdgUqfi_3j6SD0TRSZj1zw==")</f>
        <v>https://recruiter.shine.com/resume/download/?resumeid=gAAAAABbk2UO6nc6e6CU1LD2PNAdS9c62YXayWMr_u133S9VWYCPImW8iyM4OTXiuy27PCW5a6Lhi-czUa-fKTAHKjxNUAFDAhLupbV0O-1bQ1BFFL1Sg70YjOMS02PmVUqnkaV7Q9pGtdgUqfi_3j6SD0TRSZj1zw==</v>
      </c>
    </row>
    <row r="818" spans="1:25" ht="39.950000000000003" customHeight="1">
      <c r="A818">
        <v>814</v>
      </c>
      <c r="B818" t="s">
        <v>7502</v>
      </c>
      <c r="C818" t="s">
        <v>7503</v>
      </c>
      <c r="D818" t="s">
        <v>7504</v>
      </c>
      <c r="E818" t="s">
        <v>7505</v>
      </c>
      <c r="F818" t="s">
        <v>29</v>
      </c>
      <c r="G818" t="s">
        <v>1008</v>
      </c>
      <c r="H818" t="s">
        <v>31</v>
      </c>
      <c r="I818" t="s">
        <v>1019</v>
      </c>
      <c r="J818" t="s">
        <v>801</v>
      </c>
      <c r="K818" t="s">
        <v>7506</v>
      </c>
      <c r="L818" t="s">
        <v>596</v>
      </c>
      <c r="M818" t="s">
        <v>684</v>
      </c>
      <c r="N818" t="s">
        <v>7507</v>
      </c>
      <c r="O818" t="s">
        <v>56</v>
      </c>
      <c r="P818" t="s">
        <v>73</v>
      </c>
      <c r="Q818" t="s">
        <v>107</v>
      </c>
      <c r="R818" t="s">
        <v>108</v>
      </c>
      <c r="S818" t="s">
        <v>7508</v>
      </c>
      <c r="T818" t="s">
        <v>61</v>
      </c>
      <c r="U818" t="s">
        <v>43</v>
      </c>
      <c r="V818" t="s">
        <v>7509</v>
      </c>
      <c r="W818" t="s">
        <v>7510</v>
      </c>
      <c r="Y818" t="str">
        <f>HYPERLINK("https://recruiter.shine.com/resume/download/?resumeid=gAAAAABbk2UKbz0w_mcy-EMPxt-4SOp14_XtHKtHtKUWyLRgYy3N7Kli8wRQzsSxMuukEYJzrQfiWRhS9gCKtMPX9-AdsCIvVH7HzNDa8D81obaMKqjW2QBleal1E-nwUEC-zr96e1NEhiM0JHzT9HXhp_2bCLFPAw==")</f>
        <v>https://recruiter.shine.com/resume/download/?resumeid=gAAAAABbk2UKbz0w_mcy-EMPxt-4SOp14_XtHKtHtKUWyLRgYy3N7Kli8wRQzsSxMuukEYJzrQfiWRhS9gCKtMPX9-AdsCIvVH7HzNDa8D81obaMKqjW2QBleal1E-nwUEC-zr96e1NEhiM0JHzT9HXhp_2bCLFPAw==</v>
      </c>
    </row>
    <row r="819" spans="1:25" ht="39.950000000000003" customHeight="1">
      <c r="A819">
        <v>815</v>
      </c>
      <c r="B819" t="s">
        <v>7511</v>
      </c>
      <c r="C819" t="s">
        <v>7512</v>
      </c>
      <c r="D819" t="s">
        <v>7513</v>
      </c>
      <c r="E819" t="s">
        <v>7514</v>
      </c>
      <c r="F819" t="s">
        <v>858</v>
      </c>
      <c r="G819" t="s">
        <v>894</v>
      </c>
      <c r="H819" t="s">
        <v>31</v>
      </c>
      <c r="I819" t="s">
        <v>3339</v>
      </c>
      <c r="J819" t="s">
        <v>312</v>
      </c>
      <c r="K819" t="s">
        <v>7515</v>
      </c>
      <c r="L819" t="s">
        <v>301</v>
      </c>
      <c r="M819" t="s">
        <v>105</v>
      </c>
      <c r="N819" t="s">
        <v>7516</v>
      </c>
      <c r="O819" t="s">
        <v>56</v>
      </c>
      <c r="P819" t="s">
        <v>57</v>
      </c>
      <c r="Q819" t="s">
        <v>699</v>
      </c>
      <c r="R819" t="s">
        <v>59</v>
      </c>
      <c r="S819" t="s">
        <v>7517</v>
      </c>
      <c r="T819" t="s">
        <v>887</v>
      </c>
      <c r="U819" t="s">
        <v>43</v>
      </c>
      <c r="V819" t="s">
        <v>7518</v>
      </c>
      <c r="W819" t="s">
        <v>7518</v>
      </c>
      <c r="Y819" t="str">
        <f>HYPERLINK("https://recruiter.shine.com/resume/download/?resumeid=gAAAAABbk2UMBzkF5A1akclfcQ2ROHQxlB7YKaKMaK9RU7zAfE5hJ7VG45CSznr_y0W45XpTKF2HBWDJHrJ1eIV75cw37711l52Rf5JK6T07Ttk01Vapgn2Q7tla0ZO18EgTj7JQGmWEcEvRhy3k2MYg5danPGP0NCAQHcoyQpVSd6kDXtZA7As=")</f>
        <v>https://recruiter.shine.com/resume/download/?resumeid=gAAAAABbk2UMBzkF5A1akclfcQ2ROHQxlB7YKaKMaK9RU7zAfE5hJ7VG45CSznr_y0W45XpTKF2HBWDJHrJ1eIV75cw37711l52Rf5JK6T07Ttk01Vapgn2Q7tla0ZO18EgTj7JQGmWEcEvRhy3k2MYg5danPGP0NCAQHcoyQpVSd6kDXtZA7As=</v>
      </c>
    </row>
    <row r="820" spans="1:25" ht="39.950000000000003" customHeight="1">
      <c r="A820">
        <v>816</v>
      </c>
      <c r="B820" t="s">
        <v>7519</v>
      </c>
      <c r="C820" t="s">
        <v>7520</v>
      </c>
      <c r="D820" t="s">
        <v>7521</v>
      </c>
      <c r="E820" t="s">
        <v>7522</v>
      </c>
      <c r="F820" t="s">
        <v>858</v>
      </c>
      <c r="G820" t="s">
        <v>858</v>
      </c>
      <c r="H820" t="s">
        <v>234</v>
      </c>
      <c r="I820" t="s">
        <v>362</v>
      </c>
      <c r="J820" t="s">
        <v>135</v>
      </c>
      <c r="L820" t="s">
        <v>363</v>
      </c>
      <c r="M820" t="s">
        <v>364</v>
      </c>
      <c r="Q820" t="s">
        <v>412</v>
      </c>
      <c r="R820" t="s">
        <v>760</v>
      </c>
      <c r="S820" t="s">
        <v>7523</v>
      </c>
      <c r="T820" t="s">
        <v>257</v>
      </c>
      <c r="U820" t="s">
        <v>43</v>
      </c>
      <c r="V820" t="s">
        <v>7524</v>
      </c>
      <c r="W820" t="s">
        <v>7524</v>
      </c>
      <c r="Y820" t="str">
        <f>HYPERLINK("https://recruiter.shine.com/resume/download/?resumeid=gAAAAABbk2UNdD56sv_I6yHyZKLXdbz5dzLKftQMzlSMWAQNU7rfuv02HUT2tKicYXBySpmUCVZKrw9YGYCjVFh7qOyXmw6Z0tccMHA9Weh2mylijDOv1d2AFXsZ_SvCA1wI3fEn1WNTuFavwqYe1hAq8cjxjgYN6oEcNDyyav_yc_OMILQCD1Y=")</f>
        <v>https://recruiter.shine.com/resume/download/?resumeid=gAAAAABbk2UNdD56sv_I6yHyZKLXdbz5dzLKftQMzlSMWAQNU7rfuv02HUT2tKicYXBySpmUCVZKrw9YGYCjVFh7qOyXmw6Z0tccMHA9Weh2mylijDOv1d2AFXsZ_SvCA1wI3fEn1WNTuFavwqYe1hAq8cjxjgYN6oEcNDyyav_yc_OMILQCD1Y=</v>
      </c>
    </row>
    <row r="821" spans="1:25" ht="39.950000000000003" customHeight="1">
      <c r="A821">
        <v>817</v>
      </c>
      <c r="B821" t="s">
        <v>7525</v>
      </c>
      <c r="D821" t="s">
        <v>7526</v>
      </c>
      <c r="E821" t="s">
        <v>7527</v>
      </c>
      <c r="F821" t="s">
        <v>29</v>
      </c>
      <c r="G821" t="s">
        <v>67</v>
      </c>
      <c r="H821" t="s">
        <v>31</v>
      </c>
      <c r="I821" t="s">
        <v>68</v>
      </c>
      <c r="J821" t="s">
        <v>7528</v>
      </c>
      <c r="K821" t="s">
        <v>7529</v>
      </c>
      <c r="L821" t="s">
        <v>664</v>
      </c>
      <c r="M821" t="s">
        <v>36</v>
      </c>
      <c r="N821" t="s">
        <v>7530</v>
      </c>
      <c r="O821" t="s">
        <v>475</v>
      </c>
      <c r="Q821" t="s">
        <v>107</v>
      </c>
      <c r="R821" t="s">
        <v>559</v>
      </c>
      <c r="S821" t="s">
        <v>7531</v>
      </c>
      <c r="U821" t="s">
        <v>43</v>
      </c>
      <c r="V821" t="s">
        <v>7532</v>
      </c>
      <c r="W821" t="s">
        <v>7533</v>
      </c>
      <c r="Y821" t="str">
        <f>HYPERLINK("https://recruiter.shine.com/resume/download/?resumeid=gAAAAABbk2UKLI86At1kPPkh1qyho5cIkfwyeRHYuzj-WYAS_lpydoMS7apHDUYEK7dXRhylpZEmZLvSpSCAW0f-TUCGB3ChxAhy6frzcF994wrmIcntw-eZRCYEl9t11tjQMGgsrOf_W0o5lUudurQY5jz1OyRIEjpOcmAKgin302nH_5PlHt8=")</f>
        <v>https://recruiter.shine.com/resume/download/?resumeid=gAAAAABbk2UKLI86At1kPPkh1qyho5cIkfwyeRHYuzj-WYAS_lpydoMS7apHDUYEK7dXRhylpZEmZLvSpSCAW0f-TUCGB3ChxAhy6frzcF994wrmIcntw-eZRCYEl9t11tjQMGgsrOf_W0o5lUudurQY5jz1OyRIEjpOcmAKgin302nH_5PlHt8=</v>
      </c>
    </row>
    <row r="822" spans="1:25" ht="39.950000000000003" customHeight="1">
      <c r="A822">
        <v>818</v>
      </c>
      <c r="B822" t="s">
        <v>7534</v>
      </c>
      <c r="C822" t="s">
        <v>7535</v>
      </c>
      <c r="D822" t="s">
        <v>7536</v>
      </c>
      <c r="E822" t="s">
        <v>7537</v>
      </c>
      <c r="F822" t="s">
        <v>29</v>
      </c>
      <c r="G822" t="s">
        <v>29</v>
      </c>
      <c r="H822" t="s">
        <v>31</v>
      </c>
      <c r="I822" t="s">
        <v>2523</v>
      </c>
      <c r="J822" t="s">
        <v>251</v>
      </c>
      <c r="K822" t="s">
        <v>7538</v>
      </c>
      <c r="L822" t="s">
        <v>486</v>
      </c>
      <c r="M822" t="s">
        <v>121</v>
      </c>
      <c r="N822" t="s">
        <v>7539</v>
      </c>
      <c r="O822" t="s">
        <v>224</v>
      </c>
      <c r="P822" t="s">
        <v>771</v>
      </c>
      <c r="Q822" t="s">
        <v>123</v>
      </c>
      <c r="R822" t="s">
        <v>124</v>
      </c>
      <c r="S822" t="s">
        <v>188</v>
      </c>
      <c r="T822" t="s">
        <v>415</v>
      </c>
      <c r="U822" t="s">
        <v>43</v>
      </c>
      <c r="V822" t="s">
        <v>7540</v>
      </c>
      <c r="W822" t="s">
        <v>7541</v>
      </c>
      <c r="Y822" t="str">
        <f>HYPERLINK("https://recruiter.shine.com/resume/download/?resumeid=gAAAAABbk2UM0rXwHlQJI48ox0T8VJDSdtuO61Fjf9Qyl-6X8G7miqiqR6FviCwGs7X-26lE_qO-9ugWObFRg5B7_PksNBnTbq_xqW5TCEcsxNNON-geyVRcgZKZS4SBsIiK3uu8zgh14BbrwqHJIs5Fd9bYYcWHtba0yvFZV6ThhkuK81zldjU=")</f>
        <v>https://recruiter.shine.com/resume/download/?resumeid=gAAAAABbk2UM0rXwHlQJI48ox0T8VJDSdtuO61Fjf9Qyl-6X8G7miqiqR6FviCwGs7X-26lE_qO-9ugWObFRg5B7_PksNBnTbq_xqW5TCEcsxNNON-geyVRcgZKZS4SBsIiK3uu8zgh14BbrwqHJIs5Fd9bYYcWHtba0yvFZV6ThhkuK81zldjU=</v>
      </c>
    </row>
    <row r="823" spans="1:25" ht="39.950000000000003" customHeight="1">
      <c r="A823">
        <v>819</v>
      </c>
      <c r="B823" t="s">
        <v>7542</v>
      </c>
      <c r="C823" t="s">
        <v>7543</v>
      </c>
      <c r="D823" t="s">
        <v>7544</v>
      </c>
      <c r="E823" t="s">
        <v>7545</v>
      </c>
      <c r="F823" t="s">
        <v>29</v>
      </c>
      <c r="G823" t="s">
        <v>67</v>
      </c>
      <c r="H823" t="s">
        <v>31</v>
      </c>
      <c r="I823" t="s">
        <v>32</v>
      </c>
      <c r="J823" t="s">
        <v>801</v>
      </c>
      <c r="K823" t="s">
        <v>2645</v>
      </c>
      <c r="L823" t="s">
        <v>171</v>
      </c>
      <c r="M823" t="s">
        <v>222</v>
      </c>
      <c r="N823" t="s">
        <v>7546</v>
      </c>
      <c r="O823" t="s">
        <v>157</v>
      </c>
      <c r="Q823" t="s">
        <v>40</v>
      </c>
      <c r="R823" t="s">
        <v>2364</v>
      </c>
      <c r="S823" t="s">
        <v>7547</v>
      </c>
      <c r="T823" t="s">
        <v>7548</v>
      </c>
      <c r="U823" t="s">
        <v>43</v>
      </c>
      <c r="V823" t="s">
        <v>7549</v>
      </c>
      <c r="W823" t="s">
        <v>7550</v>
      </c>
      <c r="Y823" t="str">
        <f>HYPERLINK("https://recruiter.shine.com/resume/download/?resumeid=gAAAAABbk2UNenZOZnYustJQkuxZA-eexSRQCOEvmNGMa88lO2s6NYns455QCTbpJtFJWPhvLObQmAo7qy_d39-rnmvlh8kltv2P5VBxa4TKJjyXdeIhexH9247WHEhK2oe1EW1traiqxqRz-6tt35cpUA3VM3-fDw==")</f>
        <v>https://recruiter.shine.com/resume/download/?resumeid=gAAAAABbk2UNenZOZnYustJQkuxZA-eexSRQCOEvmNGMa88lO2s6NYns455QCTbpJtFJWPhvLObQmAo7qy_d39-rnmvlh8kltv2P5VBxa4TKJjyXdeIhexH9247WHEhK2oe1EW1traiqxqRz-6tt35cpUA3VM3-fDw==</v>
      </c>
    </row>
    <row r="824" spans="1:25" ht="39.950000000000003" customHeight="1">
      <c r="A824">
        <v>820</v>
      </c>
      <c r="B824" t="s">
        <v>7551</v>
      </c>
      <c r="C824" t="s">
        <v>7552</v>
      </c>
      <c r="D824" t="s">
        <v>7553</v>
      </c>
      <c r="E824" t="s">
        <v>7554</v>
      </c>
      <c r="F824" t="s">
        <v>29</v>
      </c>
      <c r="G824" t="s">
        <v>7555</v>
      </c>
      <c r="H824" t="s">
        <v>31</v>
      </c>
      <c r="I824" t="s">
        <v>714</v>
      </c>
      <c r="J824" t="s">
        <v>2883</v>
      </c>
      <c r="K824" t="s">
        <v>980</v>
      </c>
      <c r="L824" t="s">
        <v>266</v>
      </c>
      <c r="M824" t="s">
        <v>1083</v>
      </c>
      <c r="N824" t="s">
        <v>7556</v>
      </c>
      <c r="O824" t="s">
        <v>186</v>
      </c>
      <c r="P824" t="s">
        <v>57</v>
      </c>
      <c r="Q824" t="s">
        <v>107</v>
      </c>
      <c r="R824" t="s">
        <v>341</v>
      </c>
      <c r="S824" t="s">
        <v>1402</v>
      </c>
      <c r="T824" t="s">
        <v>1921</v>
      </c>
      <c r="U824" t="s">
        <v>43</v>
      </c>
      <c r="V824" t="s">
        <v>7557</v>
      </c>
      <c r="W824" t="s">
        <v>7557</v>
      </c>
      <c r="Y824" t="str">
        <f>HYPERLINK("https://recruiter.shine.com/resume/download/?resumeid=gAAAAABbk2ULXGkFIIzothTBr-SdCQSuxFhLUD3qPhAlmTI62J8ruH18J60vqvR_BDk6nsiCvinOvsiguS141fQHX3sVfYsM6XriEWG1qpwCV6FZn_T8juVTOYYhPGZUu1MShALxxT-Q60Q-mZQie1V3L_cVgrl9WQ==")</f>
        <v>https://recruiter.shine.com/resume/download/?resumeid=gAAAAABbk2ULXGkFIIzothTBr-SdCQSuxFhLUD3qPhAlmTI62J8ruH18J60vqvR_BDk6nsiCvinOvsiguS141fQHX3sVfYsM6XriEWG1qpwCV6FZn_T8juVTOYYhPGZUu1MShALxxT-Q60Q-mZQie1V3L_cVgrl9WQ==</v>
      </c>
    </row>
    <row r="825" spans="1:25" ht="39.950000000000003" customHeight="1">
      <c r="A825">
        <v>821</v>
      </c>
      <c r="B825" t="s">
        <v>7558</v>
      </c>
      <c r="C825" t="s">
        <v>7559</v>
      </c>
      <c r="D825" t="s">
        <v>7560</v>
      </c>
      <c r="E825" t="s">
        <v>7561</v>
      </c>
      <c r="F825" t="s">
        <v>29</v>
      </c>
      <c r="G825" t="s">
        <v>29</v>
      </c>
      <c r="H825" t="s">
        <v>31</v>
      </c>
      <c r="I825" t="s">
        <v>32</v>
      </c>
      <c r="J825" t="s">
        <v>197</v>
      </c>
      <c r="K825" t="s">
        <v>7562</v>
      </c>
      <c r="L825" t="s">
        <v>266</v>
      </c>
      <c r="M825" t="s">
        <v>105</v>
      </c>
      <c r="N825" t="s">
        <v>7563</v>
      </c>
      <c r="O825" t="s">
        <v>186</v>
      </c>
      <c r="P825" t="s">
        <v>57</v>
      </c>
      <c r="Q825" t="s">
        <v>158</v>
      </c>
      <c r="R825" t="s">
        <v>159</v>
      </c>
      <c r="S825" t="s">
        <v>7564</v>
      </c>
      <c r="T825" t="s">
        <v>270</v>
      </c>
      <c r="U825" t="s">
        <v>43</v>
      </c>
      <c r="V825" t="s">
        <v>7565</v>
      </c>
      <c r="W825" t="s">
        <v>7566</v>
      </c>
      <c r="Y825" t="str">
        <f>HYPERLINK("https://recruiter.shine.com/resume/download/?resumeid=gAAAAABbk2UMmHfaxRw625-LErrIUAqFslJVsRtt_fdErBSMeBKvjRJDiL-5h-t975W5j_SEI3MIh7tiS-U1GVDXgxCo4MlqOu8_O9L26mR7kHPZPaAgKToYR-JhZSRj9uxaRwaUmgSO2mAFEfrEMrHJErbm3zoQ5cLYcPRaLXciDT_7_ToxbvU=")</f>
        <v>https://recruiter.shine.com/resume/download/?resumeid=gAAAAABbk2UMmHfaxRw625-LErrIUAqFslJVsRtt_fdErBSMeBKvjRJDiL-5h-t975W5j_SEI3MIh7tiS-U1GVDXgxCo4MlqOu8_O9L26mR7kHPZPaAgKToYR-JhZSRj9uxaRwaUmgSO2mAFEfrEMrHJErbm3zoQ5cLYcPRaLXciDT_7_ToxbvU=</v>
      </c>
    </row>
    <row r="826" spans="1:25" ht="39.950000000000003" customHeight="1">
      <c r="A826">
        <v>822</v>
      </c>
      <c r="B826" t="s">
        <v>7567</v>
      </c>
      <c r="C826" t="s">
        <v>7568</v>
      </c>
      <c r="D826" t="s">
        <v>7569</v>
      </c>
      <c r="E826" t="s">
        <v>7570</v>
      </c>
      <c r="F826" t="s">
        <v>29</v>
      </c>
      <c r="G826" t="s">
        <v>67</v>
      </c>
      <c r="H826" t="s">
        <v>31</v>
      </c>
      <c r="I826" t="s">
        <v>1038</v>
      </c>
      <c r="J826" t="s">
        <v>2633</v>
      </c>
      <c r="K826" t="s">
        <v>595</v>
      </c>
      <c r="L826" t="s">
        <v>266</v>
      </c>
      <c r="M826" t="s">
        <v>105</v>
      </c>
      <c r="N826" t="s">
        <v>7571</v>
      </c>
      <c r="O826" t="s">
        <v>475</v>
      </c>
      <c r="P826" t="s">
        <v>73</v>
      </c>
      <c r="Q826" t="s">
        <v>90</v>
      </c>
      <c r="R826" t="s">
        <v>91</v>
      </c>
      <c r="S826" t="s">
        <v>188</v>
      </c>
      <c r="T826" t="s">
        <v>257</v>
      </c>
      <c r="U826" t="s">
        <v>94</v>
      </c>
      <c r="V826" t="s">
        <v>7572</v>
      </c>
      <c r="W826" t="s">
        <v>7573</v>
      </c>
      <c r="Y826" t="str">
        <f>HYPERLINK("https://recruiter.shine.com/resume/download/?resumeid=gAAAAABbk2UOVCougwOmfm6rhR8H-UllXZo2jcFaujJ4dFaabo0a6nIYxoH9jBkEC412KB3pgzAatw9gyuy-RasuUyPiknz1iYeS1sGI_wdUfUTXOjoqO3Ft_9EdrqavGozq7PZ6jwFLX1tdJ-vR7Xm9L0eUC4akkkH9EwDwlFy1YEeiYISbVVQ=")</f>
        <v>https://recruiter.shine.com/resume/download/?resumeid=gAAAAABbk2UOVCougwOmfm6rhR8H-UllXZo2jcFaujJ4dFaabo0a6nIYxoH9jBkEC412KB3pgzAatw9gyuy-RasuUyPiknz1iYeS1sGI_wdUfUTXOjoqO3Ft_9EdrqavGozq7PZ6jwFLX1tdJ-vR7Xm9L0eUC4akkkH9EwDwlFy1YEeiYISbVVQ=</v>
      </c>
    </row>
    <row r="827" spans="1:25" ht="39.950000000000003" customHeight="1">
      <c r="A827">
        <v>823</v>
      </c>
      <c r="B827" t="s">
        <v>7574</v>
      </c>
      <c r="C827" t="s">
        <v>7575</v>
      </c>
      <c r="D827" t="s">
        <v>7576</v>
      </c>
      <c r="E827" t="s">
        <v>7577</v>
      </c>
      <c r="F827" t="s">
        <v>29</v>
      </c>
      <c r="G827" t="s">
        <v>7578</v>
      </c>
      <c r="H827" t="s">
        <v>31</v>
      </c>
      <c r="I827" t="s">
        <v>32</v>
      </c>
      <c r="J827" t="s">
        <v>336</v>
      </c>
      <c r="K827" t="s">
        <v>7579</v>
      </c>
      <c r="L827" t="s">
        <v>301</v>
      </c>
      <c r="M827" t="s">
        <v>684</v>
      </c>
      <c r="N827" t="s">
        <v>1579</v>
      </c>
      <c r="O827" t="s">
        <v>56</v>
      </c>
      <c r="P827" t="s">
        <v>39</v>
      </c>
      <c r="Q827" t="s">
        <v>1880</v>
      </c>
      <c r="R827" t="s">
        <v>427</v>
      </c>
      <c r="S827" t="s">
        <v>7580</v>
      </c>
      <c r="T827" t="s">
        <v>144</v>
      </c>
      <c r="U827" t="s">
        <v>94</v>
      </c>
      <c r="V827" t="s">
        <v>7581</v>
      </c>
      <c r="W827" t="s">
        <v>7581</v>
      </c>
      <c r="Y827" t="str">
        <f>HYPERLINK("https://recruiter.shine.com/resume/download/?resumeid=gAAAAABbk2UKj3irCagpxWDgW2YohIc-Hp21SsKU8DACcOtmdfCzCE5C0q1utO1xgSHjTcuo9xDMFMtvX0FtkyatOCXvtVHVzRRnW92jTcIdHNB778cfpOLPUIy42I_dxdetU5anm28zpgCGkPkuDkkrPoe5LRWJ2A==")</f>
        <v>https://recruiter.shine.com/resume/download/?resumeid=gAAAAABbk2UKj3irCagpxWDgW2YohIc-Hp21SsKU8DACcOtmdfCzCE5C0q1utO1xgSHjTcuo9xDMFMtvX0FtkyatOCXvtVHVzRRnW92jTcIdHNB778cfpOLPUIy42I_dxdetU5anm28zpgCGkPkuDkkrPoe5LRWJ2A==</v>
      </c>
    </row>
    <row r="828" spans="1:25" ht="39.950000000000003" customHeight="1">
      <c r="A828">
        <v>824</v>
      </c>
      <c r="B828" t="s">
        <v>7582</v>
      </c>
      <c r="C828" t="s">
        <v>7583</v>
      </c>
      <c r="D828" t="s">
        <v>7584</v>
      </c>
      <c r="E828" t="s">
        <v>7585</v>
      </c>
      <c r="F828" t="s">
        <v>29</v>
      </c>
      <c r="G828" t="s">
        <v>29</v>
      </c>
      <c r="H828" t="s">
        <v>31</v>
      </c>
      <c r="I828" t="s">
        <v>5030</v>
      </c>
      <c r="J828" t="s">
        <v>3240</v>
      </c>
      <c r="K828" t="s">
        <v>7586</v>
      </c>
      <c r="L828" t="s">
        <v>120</v>
      </c>
      <c r="M828" t="s">
        <v>395</v>
      </c>
      <c r="N828" t="s">
        <v>7587</v>
      </c>
      <c r="O828" t="s">
        <v>585</v>
      </c>
      <c r="P828" t="s">
        <v>57</v>
      </c>
      <c r="Q828" t="s">
        <v>489</v>
      </c>
      <c r="R828" t="s">
        <v>490</v>
      </c>
      <c r="S828" t="s">
        <v>748</v>
      </c>
      <c r="T828" t="s">
        <v>441</v>
      </c>
      <c r="U828" t="s">
        <v>127</v>
      </c>
      <c r="V828" t="s">
        <v>7588</v>
      </c>
      <c r="W828" t="s">
        <v>7589</v>
      </c>
      <c r="Y828" t="str">
        <f>HYPERLINK("https://recruiter.shine.com/resume/download/?resumeid=gAAAAABbk2UMKbb6ufoFYXELaiHEUP9eKKtpUwJsbUf_81pDesUjW4TZfdPVQHzZvnWrWA8n20tRq8PtDfksKoILe-q6jlXjrH6GFSUyj3-cCTDMeTl2O-wweYSa6zBcRiGUA7Iox26N5MAy34xhJeSnZanls6qoKQ==")</f>
        <v>https://recruiter.shine.com/resume/download/?resumeid=gAAAAABbk2UMKbb6ufoFYXELaiHEUP9eKKtpUwJsbUf_81pDesUjW4TZfdPVQHzZvnWrWA8n20tRq8PtDfksKoILe-q6jlXjrH6GFSUyj3-cCTDMeTl2O-wweYSa6zBcRiGUA7Iox26N5MAy34xhJeSnZanls6qoKQ==</v>
      </c>
    </row>
    <row r="829" spans="1:25" ht="39.950000000000003" customHeight="1">
      <c r="A829">
        <v>825</v>
      </c>
      <c r="B829" t="s">
        <v>7590</v>
      </c>
      <c r="C829" t="s">
        <v>7591</v>
      </c>
      <c r="D829" t="s">
        <v>7592</v>
      </c>
      <c r="E829" t="s">
        <v>7593</v>
      </c>
      <c r="F829" t="s">
        <v>29</v>
      </c>
      <c r="G829" t="s">
        <v>67</v>
      </c>
      <c r="H829" t="s">
        <v>234</v>
      </c>
      <c r="I829" t="s">
        <v>825</v>
      </c>
      <c r="J829" t="s">
        <v>580</v>
      </c>
      <c r="K829" t="s">
        <v>7594</v>
      </c>
      <c r="L829" t="s">
        <v>1776</v>
      </c>
      <c r="M829" t="s">
        <v>1124</v>
      </c>
      <c r="N829" t="s">
        <v>7595</v>
      </c>
      <c r="O829" t="s">
        <v>475</v>
      </c>
      <c r="P829" t="s">
        <v>57</v>
      </c>
      <c r="Q829" t="s">
        <v>123</v>
      </c>
      <c r="R829" t="s">
        <v>124</v>
      </c>
      <c r="S829" t="s">
        <v>7596</v>
      </c>
      <c r="T829" t="s">
        <v>144</v>
      </c>
      <c r="U829" t="s">
        <v>43</v>
      </c>
      <c r="V829" t="s">
        <v>7597</v>
      </c>
      <c r="W829" t="s">
        <v>7597</v>
      </c>
      <c r="Y829" t="str">
        <f>HYPERLINK("https://recruiter.shine.com/resume/download/?resumeid=gAAAAABbk2UO2JD5BpQOBEukJiX-YnLZhAnprz9gXw0_n4R2Ga8SId8hdSs3QX07Wp0T2lCowxEreSmbfjbgmsULqgot1YJS6WpHlLFRTNOm_a3K5SZHntvfP69QhXd3_yxVDq4hho3awxcLbmhJR8u_jkEbsiiSZFpCm6xyF9cgIVxQlYJBD9A=")</f>
        <v>https://recruiter.shine.com/resume/download/?resumeid=gAAAAABbk2UO2JD5BpQOBEukJiX-YnLZhAnprz9gXw0_n4R2Ga8SId8hdSs3QX07Wp0T2lCowxEreSmbfjbgmsULqgot1YJS6WpHlLFRTNOm_a3K5SZHntvfP69QhXd3_yxVDq4hho3awxcLbmhJR8u_jkEbsiiSZFpCm6xyF9cgIVxQlYJBD9A=</v>
      </c>
    </row>
    <row r="830" spans="1:25" ht="39.950000000000003" customHeight="1">
      <c r="A830">
        <v>826</v>
      </c>
      <c r="B830" t="s">
        <v>7598</v>
      </c>
      <c r="C830" t="s">
        <v>7599</v>
      </c>
      <c r="D830" t="s">
        <v>7600</v>
      </c>
      <c r="E830" t="s">
        <v>7601</v>
      </c>
      <c r="F830" t="s">
        <v>29</v>
      </c>
      <c r="G830" t="s">
        <v>7602</v>
      </c>
      <c r="H830" t="s">
        <v>31</v>
      </c>
      <c r="I830" t="s">
        <v>2523</v>
      </c>
      <c r="J830" t="s">
        <v>3906</v>
      </c>
      <c r="K830" t="s">
        <v>7603</v>
      </c>
      <c r="L830" t="s">
        <v>596</v>
      </c>
      <c r="M830" t="s">
        <v>684</v>
      </c>
      <c r="N830" t="s">
        <v>7604</v>
      </c>
      <c r="O830" t="s">
        <v>1041</v>
      </c>
      <c r="P830" t="s">
        <v>140</v>
      </c>
      <c r="Q830" t="s">
        <v>74</v>
      </c>
      <c r="R830" t="s">
        <v>341</v>
      </c>
      <c r="S830" t="s">
        <v>7605</v>
      </c>
      <c r="T830" t="s">
        <v>429</v>
      </c>
      <c r="U830" t="s">
        <v>43</v>
      </c>
      <c r="V830" t="s">
        <v>7606</v>
      </c>
      <c r="W830" t="s">
        <v>7606</v>
      </c>
      <c r="Y830" t="str">
        <f>HYPERLINK("https://recruiter.shine.com/resume/download/?resumeid=gAAAAABbk2ULffrrccWPF-A8CNdbqDF7BHL72ujRGX4vqTnoUHabaYTqObdeTFFY3hpWMKQrywl_fogJwDJ_6LWUcZanPTfd3OKNCfsU-HGMb-cbjSkTApkHWA9EkEO4HYz9nBh2d4kIlcUTg438iXW36B0T8T6bWU6P-l7053FwOHXdstU8TjA=")</f>
        <v>https://recruiter.shine.com/resume/download/?resumeid=gAAAAABbk2ULffrrccWPF-A8CNdbqDF7BHL72ujRGX4vqTnoUHabaYTqObdeTFFY3hpWMKQrywl_fogJwDJ_6LWUcZanPTfd3OKNCfsU-HGMb-cbjSkTApkHWA9EkEO4HYz9nBh2d4kIlcUTg438iXW36B0T8T6bWU6P-l7053FwOHXdstU8TjA=</v>
      </c>
    </row>
    <row r="831" spans="1:25" ht="39.950000000000003" customHeight="1">
      <c r="A831">
        <v>827</v>
      </c>
      <c r="B831" t="s">
        <v>7607</v>
      </c>
      <c r="D831" t="s">
        <v>7608</v>
      </c>
      <c r="E831" t="s">
        <v>7609</v>
      </c>
      <c r="F831" t="s">
        <v>29</v>
      </c>
      <c r="G831" t="s">
        <v>29</v>
      </c>
      <c r="H831" t="s">
        <v>31</v>
      </c>
      <c r="I831" t="s">
        <v>2074</v>
      </c>
      <c r="J831" t="s">
        <v>7610</v>
      </c>
      <c r="K831" t="s">
        <v>7611</v>
      </c>
      <c r="L831" t="s">
        <v>6189</v>
      </c>
      <c r="M831" t="s">
        <v>121</v>
      </c>
      <c r="N831" t="s">
        <v>4745</v>
      </c>
      <c r="O831" t="s">
        <v>56</v>
      </c>
      <c r="Q831" t="s">
        <v>40</v>
      </c>
      <c r="R831" t="s">
        <v>2364</v>
      </c>
      <c r="S831" t="s">
        <v>7612</v>
      </c>
      <c r="T831" t="s">
        <v>257</v>
      </c>
      <c r="U831" t="s">
        <v>127</v>
      </c>
      <c r="V831" t="s">
        <v>7613</v>
      </c>
      <c r="W831" t="s">
        <v>7614</v>
      </c>
      <c r="Y831" t="str">
        <f>HYPERLINK("https://recruiter.shine.com/resume/download/?resumeid=gAAAAABbk2UNqqe5iU-HId2-23Vm7wjom4kmcvuWzmA06_yOw08gtcIIaHkwDTHQ6ccuOjjpin9pgVUDe9-e2YoATZPTRUyez8Rxy_5mIChDWaACHrDrHGurlxrGijdaaSSFX4QnVhA2lDzUXArxwWorUgwDnps5Y9oFCEgAwpUI4LTautXBtzU=")</f>
        <v>https://recruiter.shine.com/resume/download/?resumeid=gAAAAABbk2UNqqe5iU-HId2-23Vm7wjom4kmcvuWzmA06_yOw08gtcIIaHkwDTHQ6ccuOjjpin9pgVUDe9-e2YoATZPTRUyez8Rxy_5mIChDWaACHrDrHGurlxrGijdaaSSFX4QnVhA2lDzUXArxwWorUgwDnps5Y9oFCEgAwpUI4LTautXBtzU=</v>
      </c>
    </row>
    <row r="832" spans="1:25" ht="39.950000000000003" customHeight="1">
      <c r="A832">
        <v>828</v>
      </c>
      <c r="B832" t="s">
        <v>7615</v>
      </c>
      <c r="C832" t="s">
        <v>7616</v>
      </c>
      <c r="D832" t="s">
        <v>7617</v>
      </c>
      <c r="E832" t="s">
        <v>7618</v>
      </c>
      <c r="F832" t="s">
        <v>29</v>
      </c>
      <c r="G832" t="s">
        <v>7619</v>
      </c>
      <c r="H832" t="s">
        <v>31</v>
      </c>
      <c r="I832" t="s">
        <v>2688</v>
      </c>
      <c r="J832" t="s">
        <v>118</v>
      </c>
      <c r="K832" t="s">
        <v>595</v>
      </c>
      <c r="L832" t="s">
        <v>104</v>
      </c>
      <c r="M832" t="s">
        <v>222</v>
      </c>
      <c r="N832" t="s">
        <v>7620</v>
      </c>
      <c r="O832" t="s">
        <v>38</v>
      </c>
      <c r="P832" t="s">
        <v>57</v>
      </c>
      <c r="Q832" t="s">
        <v>107</v>
      </c>
      <c r="R832" t="s">
        <v>341</v>
      </c>
      <c r="S832" t="s">
        <v>7621</v>
      </c>
      <c r="T832" t="s">
        <v>429</v>
      </c>
      <c r="U832" t="s">
        <v>43</v>
      </c>
      <c r="V832" t="s">
        <v>7622</v>
      </c>
      <c r="W832" t="s">
        <v>7623</v>
      </c>
      <c r="Y832" t="str">
        <f>HYPERLINK("https://recruiter.shine.com/resume/download/?resumeid=gAAAAABbk2UO76j11Fnh18rOUnU8B0uJvbxPY26tnDf3d1lB0yW3_EWBO-7vSTa2LwT4fWTa62BiJwoBR4HBjdlBqmqrqMKWMfz2BVgva0F5DK03aLEpCZ4Pk9SqwOOGDU6shSPyjWZmX_UnKc6QR27yGRPCwYZrT10rZ7FznQ5jRXbm3ac7AnE=")</f>
        <v>https://recruiter.shine.com/resume/download/?resumeid=gAAAAABbk2UO76j11Fnh18rOUnU8B0uJvbxPY26tnDf3d1lB0yW3_EWBO-7vSTa2LwT4fWTa62BiJwoBR4HBjdlBqmqrqMKWMfz2BVgva0F5DK03aLEpCZ4Pk9SqwOOGDU6shSPyjWZmX_UnKc6QR27yGRPCwYZrT10rZ7FznQ5jRXbm3ac7AnE=</v>
      </c>
    </row>
    <row r="833" spans="1:25" ht="39.950000000000003" customHeight="1">
      <c r="A833">
        <v>829</v>
      </c>
      <c r="B833" t="s">
        <v>7624</v>
      </c>
      <c r="C833" t="s">
        <v>7625</v>
      </c>
      <c r="D833" t="s">
        <v>7626</v>
      </c>
      <c r="E833" t="s">
        <v>7627</v>
      </c>
      <c r="F833" t="s">
        <v>29</v>
      </c>
      <c r="G833" t="s">
        <v>67</v>
      </c>
      <c r="H833" t="s">
        <v>31</v>
      </c>
      <c r="I833" t="s">
        <v>85</v>
      </c>
      <c r="J833" t="s">
        <v>7628</v>
      </c>
      <c r="K833" t="s">
        <v>7629</v>
      </c>
      <c r="L833" t="s">
        <v>519</v>
      </c>
      <c r="M833" t="s">
        <v>36</v>
      </c>
      <c r="N833" t="s">
        <v>7630</v>
      </c>
      <c r="O833" t="s">
        <v>157</v>
      </c>
      <c r="P833" t="s">
        <v>39</v>
      </c>
      <c r="Q833" t="s">
        <v>107</v>
      </c>
      <c r="R833" t="s">
        <v>108</v>
      </c>
      <c r="S833" t="s">
        <v>202</v>
      </c>
      <c r="T833" t="s">
        <v>2554</v>
      </c>
      <c r="U833" t="s">
        <v>43</v>
      </c>
      <c r="V833" t="s">
        <v>7631</v>
      </c>
      <c r="W833" t="s">
        <v>7632</v>
      </c>
      <c r="Y833" t="str">
        <f>HYPERLINK("https://recruiter.shine.com/resume/download/?resumeid=gAAAAABbk2ULUmNqOXDmpon-zhfdDGAvXeyGNVYPUZ6X_YS83R9bq_wC9Qq2_0XRpl457Qq_CiuVgbdqTZqKwmXiSZTrIB81xQE0LKyaMcy0OszQXFWDh4LBmjy_GFAzwo2pSU4OBb0im2-4e4aleBoUfXe2ZgpQLMRTizr5yes074bjAP-hkYA=")</f>
        <v>https://recruiter.shine.com/resume/download/?resumeid=gAAAAABbk2ULUmNqOXDmpon-zhfdDGAvXeyGNVYPUZ6X_YS83R9bq_wC9Qq2_0XRpl457Qq_CiuVgbdqTZqKwmXiSZTrIB81xQE0LKyaMcy0OszQXFWDh4LBmjy_GFAzwo2pSU4OBb0im2-4e4aleBoUfXe2ZgpQLMRTizr5yes074bjAP-hkYA=</v>
      </c>
    </row>
    <row r="834" spans="1:25" ht="39.950000000000003" customHeight="1">
      <c r="A834">
        <v>830</v>
      </c>
      <c r="B834" t="s">
        <v>7633</v>
      </c>
      <c r="C834" t="s">
        <v>7634</v>
      </c>
      <c r="D834" t="s">
        <v>7635</v>
      </c>
      <c r="E834" t="s">
        <v>7636</v>
      </c>
      <c r="F834" t="s">
        <v>29</v>
      </c>
      <c r="G834" t="s">
        <v>2854</v>
      </c>
      <c r="H834" t="s">
        <v>234</v>
      </c>
      <c r="I834" t="s">
        <v>568</v>
      </c>
      <c r="J834" t="s">
        <v>4668</v>
      </c>
      <c r="K834" t="s">
        <v>7637</v>
      </c>
      <c r="L834" t="s">
        <v>266</v>
      </c>
      <c r="M834" t="s">
        <v>105</v>
      </c>
      <c r="N834" t="s">
        <v>7638</v>
      </c>
      <c r="O834" t="s">
        <v>157</v>
      </c>
      <c r="P834" t="s">
        <v>57</v>
      </c>
      <c r="Q834" t="s">
        <v>40</v>
      </c>
      <c r="R834" t="s">
        <v>760</v>
      </c>
      <c r="S834" t="s">
        <v>7639</v>
      </c>
      <c r="T834" t="s">
        <v>1921</v>
      </c>
      <c r="U834" t="s">
        <v>43</v>
      </c>
      <c r="V834" t="s">
        <v>7640</v>
      </c>
      <c r="W834" t="s">
        <v>7641</v>
      </c>
      <c r="Y834" t="str">
        <f>HYPERLINK("https://recruiter.shine.com/resume/download/?resumeid=gAAAAABbk2UMrOa8iVrJ0KxLxwYsL7AfJul5R8CME81W0JenfA9IGxRTMhC8PuE4yzR8K2Pl_KRHqmRtiU9iufKuU5EA506CgFrGaFP_I2lWz51HxYthpyrFR8PCSUpHhe-SIhUtHLhz4wMAsxn4Y5hLdgHkNqJUAVq7QadoeR5j3gumYQgybrk=")</f>
        <v>https://recruiter.shine.com/resume/download/?resumeid=gAAAAABbk2UMrOa8iVrJ0KxLxwYsL7AfJul5R8CME81W0JenfA9IGxRTMhC8PuE4yzR8K2Pl_KRHqmRtiU9iufKuU5EA506CgFrGaFP_I2lWz51HxYthpyrFR8PCSUpHhe-SIhUtHLhz4wMAsxn4Y5hLdgHkNqJUAVq7QadoeR5j3gumYQgybrk=</v>
      </c>
    </row>
    <row r="835" spans="1:25" ht="39.950000000000003" customHeight="1">
      <c r="A835">
        <v>831</v>
      </c>
      <c r="B835" t="s">
        <v>7642</v>
      </c>
      <c r="C835" t="s">
        <v>7643</v>
      </c>
      <c r="D835" t="s">
        <v>7644</v>
      </c>
      <c r="E835" t="s">
        <v>7645</v>
      </c>
      <c r="F835" t="s">
        <v>858</v>
      </c>
      <c r="G835" t="s">
        <v>7646</v>
      </c>
      <c r="H835" t="s">
        <v>31</v>
      </c>
      <c r="I835" t="s">
        <v>362</v>
      </c>
      <c r="J835" t="s">
        <v>135</v>
      </c>
      <c r="L835" t="s">
        <v>363</v>
      </c>
      <c r="M835" t="s">
        <v>364</v>
      </c>
      <c r="P835" t="s">
        <v>940</v>
      </c>
      <c r="Q835" t="s">
        <v>107</v>
      </c>
      <c r="R835" t="s">
        <v>341</v>
      </c>
      <c r="S835" t="s">
        <v>7647</v>
      </c>
      <c r="T835" t="s">
        <v>257</v>
      </c>
      <c r="U835" t="s">
        <v>43</v>
      </c>
      <c r="V835" t="s">
        <v>7648</v>
      </c>
      <c r="W835" t="s">
        <v>7648</v>
      </c>
      <c r="Y835" t="str">
        <f>HYPERLINK("https://recruiter.shine.com/resume/download/?resumeid=gAAAAABbk2UOplLsp_xFihur2mKABn1at8maBNspYySIMyNRl2kfs3tdQ_kCdmVsMoq-1Ko8YGiTOGlHjFcFEG_9ozZRYG8RNrhZxRBL4SUBJ0Xe9qYIriksqYxABLWfPA-CwKIELXL_3KW2gb-smv4cSne1MfrNuw==")</f>
        <v>https://recruiter.shine.com/resume/download/?resumeid=gAAAAABbk2UOplLsp_xFihur2mKABn1at8maBNspYySIMyNRl2kfs3tdQ_kCdmVsMoq-1Ko8YGiTOGlHjFcFEG_9ozZRYG8RNrhZxRBL4SUBJ0Xe9qYIriksqYxABLWfPA-CwKIELXL_3KW2gb-smv4cSne1MfrNuw==</v>
      </c>
    </row>
    <row r="836" spans="1:25" ht="39.950000000000003" customHeight="1">
      <c r="A836">
        <v>832</v>
      </c>
      <c r="B836" t="s">
        <v>7649</v>
      </c>
      <c r="C836" t="s">
        <v>7650</v>
      </c>
      <c r="D836" t="s">
        <v>7651</v>
      </c>
      <c r="E836" t="s">
        <v>7652</v>
      </c>
      <c r="F836" t="s">
        <v>29</v>
      </c>
      <c r="G836" t="s">
        <v>7653</v>
      </c>
      <c r="H836" t="s">
        <v>31</v>
      </c>
      <c r="I836" t="s">
        <v>85</v>
      </c>
      <c r="J836" t="s">
        <v>2844</v>
      </c>
      <c r="K836" t="s">
        <v>7654</v>
      </c>
      <c r="L836" t="s">
        <v>2690</v>
      </c>
      <c r="M836" t="s">
        <v>315</v>
      </c>
      <c r="N836" t="s">
        <v>7655</v>
      </c>
      <c r="O836" t="s">
        <v>475</v>
      </c>
      <c r="P836" t="s">
        <v>73</v>
      </c>
      <c r="Q836" t="s">
        <v>1880</v>
      </c>
      <c r="R836" t="s">
        <v>91</v>
      </c>
      <c r="S836" t="s">
        <v>7656</v>
      </c>
      <c r="T836" t="s">
        <v>144</v>
      </c>
      <c r="U836" t="s">
        <v>43</v>
      </c>
      <c r="V836" t="s">
        <v>7657</v>
      </c>
      <c r="W836" t="s">
        <v>7658</v>
      </c>
      <c r="Y836" t="str">
        <f>HYPERLINK("https://recruiter.shine.com/resume/download/?resumeid=gAAAAABbk2ULN11fMkHeMqvI1vVmFXV0X5n0sxXyo5hd1m9SVHL1H0zD7oMQgkjVdjljPQWGbxzmFKabPH3JRq8-9VWg4f2PC602Mv13WiImWYHVhXXQN9O626uT0kpXbguX5yRLCccCXhI9ygxMxDImPjeoZY3F9HWfJaScv5KNi0DjvXNsFWU=")</f>
        <v>https://recruiter.shine.com/resume/download/?resumeid=gAAAAABbk2ULN11fMkHeMqvI1vVmFXV0X5n0sxXyo5hd1m9SVHL1H0zD7oMQgkjVdjljPQWGbxzmFKabPH3JRq8-9VWg4f2PC602Mv13WiImWYHVhXXQN9O626uT0kpXbguX5yRLCccCXhI9ygxMxDImPjeoZY3F9HWfJaScv5KNi0DjvXNsFWU=</v>
      </c>
    </row>
    <row r="837" spans="1:25" ht="39.950000000000003" customHeight="1">
      <c r="A837">
        <v>833</v>
      </c>
      <c r="B837" t="s">
        <v>7659</v>
      </c>
      <c r="C837" t="s">
        <v>7660</v>
      </c>
      <c r="D837" t="s">
        <v>7661</v>
      </c>
      <c r="E837" t="s">
        <v>7662</v>
      </c>
      <c r="F837" t="s">
        <v>29</v>
      </c>
      <c r="G837" t="s">
        <v>529</v>
      </c>
      <c r="H837" t="s">
        <v>31</v>
      </c>
      <c r="I837" t="s">
        <v>7663</v>
      </c>
      <c r="J837" t="s">
        <v>1283</v>
      </c>
      <c r="K837" t="s">
        <v>7664</v>
      </c>
      <c r="L837" t="s">
        <v>1524</v>
      </c>
      <c r="M837" t="s">
        <v>238</v>
      </c>
      <c r="N837" t="s">
        <v>7665</v>
      </c>
      <c r="O837" t="s">
        <v>38</v>
      </c>
      <c r="P837" t="s">
        <v>140</v>
      </c>
      <c r="Q837" t="s">
        <v>123</v>
      </c>
      <c r="R837" t="s">
        <v>124</v>
      </c>
      <c r="S837" t="s">
        <v>7666</v>
      </c>
      <c r="T837" t="s">
        <v>175</v>
      </c>
      <c r="U837" t="s">
        <v>43</v>
      </c>
      <c r="V837" t="s">
        <v>7667</v>
      </c>
      <c r="W837" t="s">
        <v>7667</v>
      </c>
      <c r="Y837" t="str">
        <f>HYPERLINK("https://recruiter.shine.com/resume/download/?resumeid=gAAAAABbk2UMZQDwDOiRL3IqlLcCo93S4ZDyxIRdZbQtVtk-Apn8rr2i23iW1J9_NwO0ksoNk34jmzfVSeoYuBtxiZlnLUD-8fDfjajZOpoWEzFtAxDEl5N0KrHFcOkeQzMwRr-_6rn7FPDj_1UvgitOQyk4KJoVhA==")</f>
        <v>https://recruiter.shine.com/resume/download/?resumeid=gAAAAABbk2UMZQDwDOiRL3IqlLcCo93S4ZDyxIRdZbQtVtk-Apn8rr2i23iW1J9_NwO0ksoNk34jmzfVSeoYuBtxiZlnLUD-8fDfjajZOpoWEzFtAxDEl5N0KrHFcOkeQzMwRr-_6rn7FPDj_1UvgitOQyk4KJoVhA==</v>
      </c>
    </row>
    <row r="838" spans="1:25" ht="39.950000000000003" customHeight="1">
      <c r="A838">
        <v>834</v>
      </c>
      <c r="B838" t="s">
        <v>7668</v>
      </c>
      <c r="D838" t="s">
        <v>7669</v>
      </c>
      <c r="E838" t="s">
        <v>7670</v>
      </c>
      <c r="F838" t="s">
        <v>29</v>
      </c>
      <c r="G838" t="s">
        <v>67</v>
      </c>
      <c r="H838" t="s">
        <v>31</v>
      </c>
      <c r="I838" t="s">
        <v>362</v>
      </c>
      <c r="J838" t="s">
        <v>135</v>
      </c>
      <c r="L838" t="s">
        <v>363</v>
      </c>
      <c r="M838" t="s">
        <v>364</v>
      </c>
      <c r="Q838" t="s">
        <v>107</v>
      </c>
      <c r="R838" t="s">
        <v>341</v>
      </c>
      <c r="S838" t="s">
        <v>7671</v>
      </c>
      <c r="T838" t="s">
        <v>625</v>
      </c>
      <c r="U838" t="s">
        <v>43</v>
      </c>
      <c r="V838" t="s">
        <v>7672</v>
      </c>
      <c r="W838" t="s">
        <v>7673</v>
      </c>
      <c r="Y838" t="str">
        <f>HYPERLINK("https://recruiter.shine.com/resume/download/?resumeid=gAAAAABbk2UNVFFxiP-fiZLssbPu5t0B6Gv7iKvocRcljbnAQq1DweFgJUy8VVaXBptE9K81VmougOvRLY8xroL_6D_WdJTirY3b2FDDhh5R-shao64oAWEO9FWcbpp2Gzo3fSvVlHj1XpCIuS-yBrifZMwWs8vCtg==")</f>
        <v>https://recruiter.shine.com/resume/download/?resumeid=gAAAAABbk2UNVFFxiP-fiZLssbPu5t0B6Gv7iKvocRcljbnAQq1DweFgJUy8VVaXBptE9K81VmougOvRLY8xroL_6D_WdJTirY3b2FDDhh5R-shao64oAWEO9FWcbpp2Gzo3fSvVlHj1XpCIuS-yBrifZMwWs8vCtg==</v>
      </c>
    </row>
    <row r="839" spans="1:25" ht="39.950000000000003" customHeight="1">
      <c r="A839">
        <v>835</v>
      </c>
      <c r="B839" t="s">
        <v>7674</v>
      </c>
      <c r="C839" t="s">
        <v>7675</v>
      </c>
      <c r="D839" t="s">
        <v>7676</v>
      </c>
      <c r="E839" t="s">
        <v>7677</v>
      </c>
      <c r="F839" t="s">
        <v>249</v>
      </c>
      <c r="G839" t="s">
        <v>7678</v>
      </c>
      <c r="H839" t="s">
        <v>31</v>
      </c>
      <c r="I839" t="s">
        <v>7679</v>
      </c>
      <c r="J839" t="s">
        <v>2513</v>
      </c>
      <c r="K839" t="s">
        <v>7680</v>
      </c>
      <c r="L839" t="s">
        <v>794</v>
      </c>
      <c r="M839" t="s">
        <v>684</v>
      </c>
      <c r="N839" t="s">
        <v>7681</v>
      </c>
      <c r="O839" t="s">
        <v>186</v>
      </c>
      <c r="P839" t="s">
        <v>201</v>
      </c>
      <c r="Q839" t="s">
        <v>107</v>
      </c>
      <c r="R839" t="s">
        <v>2346</v>
      </c>
      <c r="S839" t="s">
        <v>7682</v>
      </c>
      <c r="T839" t="s">
        <v>77</v>
      </c>
      <c r="U839" t="s">
        <v>43</v>
      </c>
      <c r="V839" t="s">
        <v>7683</v>
      </c>
      <c r="W839" t="s">
        <v>7684</v>
      </c>
      <c r="Y839" t="str">
        <f>HYPERLINK("https://recruiter.shine.com/resume/download/?resumeid=gAAAAABbk2ULXdviaG2_hEzMVj_ie4EiCqX3Bc2LlYhoGgCL2GosnPbudfDv69p7kqoG8InZjds-N4sHNeUw6WF-GpLipOvP9l3IH2aGt3kc5MPmkm4a2EaghqrqzpQji2LNcqD8L687xQlpE_NZ_oPSlp72mWHOzg==")</f>
        <v>https://recruiter.shine.com/resume/download/?resumeid=gAAAAABbk2ULXdviaG2_hEzMVj_ie4EiCqX3Bc2LlYhoGgCL2GosnPbudfDv69p7kqoG8InZjds-N4sHNeUw6WF-GpLipOvP9l3IH2aGt3kc5MPmkm4a2EaghqrqzpQji2LNcqD8L687xQlpE_NZ_oPSlp72mWHOzg==</v>
      </c>
    </row>
    <row r="840" spans="1:25" ht="39.950000000000003" customHeight="1">
      <c r="A840">
        <v>836</v>
      </c>
      <c r="B840" t="s">
        <v>7685</v>
      </c>
      <c r="D840" t="s">
        <v>7686</v>
      </c>
      <c r="E840" t="s">
        <v>7687</v>
      </c>
      <c r="F840" t="s">
        <v>29</v>
      </c>
      <c r="G840" t="s">
        <v>29</v>
      </c>
      <c r="H840" t="s">
        <v>234</v>
      </c>
      <c r="I840" t="s">
        <v>362</v>
      </c>
      <c r="J840" t="s">
        <v>135</v>
      </c>
      <c r="L840" t="s">
        <v>363</v>
      </c>
      <c r="M840" t="s">
        <v>364</v>
      </c>
      <c r="Q840" t="s">
        <v>7688</v>
      </c>
      <c r="R840" t="s">
        <v>1892</v>
      </c>
      <c r="S840" t="s">
        <v>7689</v>
      </c>
      <c r="T840" t="s">
        <v>441</v>
      </c>
      <c r="U840" t="s">
        <v>43</v>
      </c>
      <c r="V840" t="s">
        <v>7690</v>
      </c>
      <c r="W840" t="s">
        <v>7691</v>
      </c>
      <c r="Y840" t="str">
        <f>HYPERLINK("https://recruiter.shine.com/resume/download/?resumeid=gAAAAABbk2UMjAU9mHl_FW0a7LObu4RyHsQWcTPf6kYBC_XZqGzwjWhx9ql4I6teldiMN4pTVQ6d85fFiARvttZIu2grqPnZCbKBq5JknagJ4yHtHSNFLehKI5995496OiRXyVhfjosvfgvVkDpxa42bjMdczpJNqkxEfkxNwFmcNlbKCIVGcgw=")</f>
        <v>https://recruiter.shine.com/resume/download/?resumeid=gAAAAABbk2UMjAU9mHl_FW0a7LObu4RyHsQWcTPf6kYBC_XZqGzwjWhx9ql4I6teldiMN4pTVQ6d85fFiARvttZIu2grqPnZCbKBq5JknagJ4yHtHSNFLehKI5995496OiRXyVhfjosvfgvVkDpxa42bjMdczpJNqkxEfkxNwFmcNlbKCIVGcgw=</v>
      </c>
    </row>
    <row r="841" spans="1:25" ht="39.950000000000003" customHeight="1">
      <c r="A841">
        <v>837</v>
      </c>
      <c r="B841" t="s">
        <v>7692</v>
      </c>
      <c r="C841" t="s">
        <v>7693</v>
      </c>
      <c r="D841" t="s">
        <v>7694</v>
      </c>
      <c r="E841" t="s">
        <v>7695</v>
      </c>
      <c r="F841" t="s">
        <v>29</v>
      </c>
      <c r="G841" t="s">
        <v>67</v>
      </c>
      <c r="H841" t="s">
        <v>31</v>
      </c>
      <c r="I841" t="s">
        <v>68</v>
      </c>
      <c r="J841" t="s">
        <v>531</v>
      </c>
      <c r="K841" t="s">
        <v>7696</v>
      </c>
      <c r="L841" t="s">
        <v>155</v>
      </c>
      <c r="M841" t="s">
        <v>463</v>
      </c>
      <c r="N841" t="s">
        <v>7697</v>
      </c>
      <c r="O841" t="s">
        <v>475</v>
      </c>
      <c r="P841" t="s">
        <v>771</v>
      </c>
      <c r="Q841" t="s">
        <v>41</v>
      </c>
      <c r="R841" t="s">
        <v>7698</v>
      </c>
      <c r="S841" t="s">
        <v>7699</v>
      </c>
      <c r="T841" t="s">
        <v>161</v>
      </c>
      <c r="U841" t="s">
        <v>43</v>
      </c>
      <c r="V841" t="s">
        <v>7700</v>
      </c>
      <c r="W841" t="s">
        <v>7701</v>
      </c>
      <c r="Y841" t="str">
        <f>HYPERLINK("https://recruiter.shine.com/resume/download/?resumeid=gAAAAABbk2UOlr3TGIHv_8fVnQMCLzVI29dHEoLGlYbBQq09armTC0dJRuGPD9Ep2iSVymCUHhEyO0MqHm7Y2R4auxwZqMgBnK9CSnJDUe_MSVYcWoLHr9tfEIRJy0gREZAqKR-NcQ1WB369eJJYsCQasfTT_AEf2Q==")</f>
        <v>https://recruiter.shine.com/resume/download/?resumeid=gAAAAABbk2UOlr3TGIHv_8fVnQMCLzVI29dHEoLGlYbBQq09armTC0dJRuGPD9Ep2iSVymCUHhEyO0MqHm7Y2R4auxwZqMgBnK9CSnJDUe_MSVYcWoLHr9tfEIRJy0gREZAqKR-NcQ1WB369eJJYsCQasfTT_AEf2Q==</v>
      </c>
    </row>
    <row r="842" spans="1:25" ht="39.950000000000003" customHeight="1">
      <c r="A842">
        <v>838</v>
      </c>
      <c r="B842" t="s">
        <v>7702</v>
      </c>
      <c r="D842" t="s">
        <v>7703</v>
      </c>
      <c r="E842" t="s">
        <v>7704</v>
      </c>
      <c r="F842" t="s">
        <v>29</v>
      </c>
      <c r="G842" t="s">
        <v>7705</v>
      </c>
      <c r="H842" t="s">
        <v>31</v>
      </c>
      <c r="I842" t="s">
        <v>825</v>
      </c>
      <c r="J842" t="s">
        <v>408</v>
      </c>
      <c r="K842" t="s">
        <v>7706</v>
      </c>
      <c r="L842" t="s">
        <v>199</v>
      </c>
      <c r="M842" t="s">
        <v>36</v>
      </c>
      <c r="N842" t="s">
        <v>7707</v>
      </c>
      <c r="O842" t="s">
        <v>1041</v>
      </c>
      <c r="P842" t="s">
        <v>57</v>
      </c>
      <c r="Q842" t="s">
        <v>107</v>
      </c>
      <c r="R842" t="s">
        <v>341</v>
      </c>
      <c r="S842" t="s">
        <v>7708</v>
      </c>
      <c r="T842" t="s">
        <v>61</v>
      </c>
      <c r="U842" t="s">
        <v>43</v>
      </c>
      <c r="V842" t="s">
        <v>7709</v>
      </c>
      <c r="W842" t="s">
        <v>7710</v>
      </c>
      <c r="Y842" t="str">
        <f>HYPERLINK("https://recruiter.shine.com/resume/download/?resumeid=gAAAAABbk2ULm_lnTE3tpv6fkrzKvaW63wxa_bCxb0AKm1f395ntCJtsAOdY8nvNrBivpVzNheIyX0Z6oI_jRQwOw_OJi1FcLCRGCGdMXL5_cJ4_yUgJs1CkDa24VIScOeJ6bhUltdgfm-zNz4tei-DaIzXDHJkE1aUhbANeHIfTVpUG3p55nUc=")</f>
        <v>https://recruiter.shine.com/resume/download/?resumeid=gAAAAABbk2ULm_lnTE3tpv6fkrzKvaW63wxa_bCxb0AKm1f395ntCJtsAOdY8nvNrBivpVzNheIyX0Z6oI_jRQwOw_OJi1FcLCRGCGdMXL5_cJ4_yUgJs1CkDa24VIScOeJ6bhUltdgfm-zNz4tei-DaIzXDHJkE1aUhbANeHIfTVpUG3p55nUc=</v>
      </c>
    </row>
    <row r="843" spans="1:25" ht="39.950000000000003" customHeight="1">
      <c r="A843">
        <v>839</v>
      </c>
      <c r="B843" t="s">
        <v>7711</v>
      </c>
      <c r="C843" t="s">
        <v>7712</v>
      </c>
      <c r="D843" t="s">
        <v>7713</v>
      </c>
      <c r="E843" t="s">
        <v>7714</v>
      </c>
      <c r="F843" t="s">
        <v>29</v>
      </c>
      <c r="G843" t="s">
        <v>29</v>
      </c>
      <c r="H843" t="s">
        <v>31</v>
      </c>
      <c r="I843" t="s">
        <v>208</v>
      </c>
      <c r="J843" t="s">
        <v>801</v>
      </c>
      <c r="K843" t="s">
        <v>6343</v>
      </c>
      <c r="L843" t="s">
        <v>2249</v>
      </c>
      <c r="M843" t="s">
        <v>172</v>
      </c>
      <c r="N843" t="s">
        <v>7715</v>
      </c>
      <c r="O843" t="s">
        <v>186</v>
      </c>
      <c r="P843" t="s">
        <v>940</v>
      </c>
      <c r="Q843" t="s">
        <v>158</v>
      </c>
      <c r="R843" t="s">
        <v>490</v>
      </c>
      <c r="S843" t="s">
        <v>7716</v>
      </c>
      <c r="T843" t="s">
        <v>1921</v>
      </c>
      <c r="U843" t="s">
        <v>43</v>
      </c>
      <c r="V843" t="s">
        <v>7717</v>
      </c>
      <c r="W843" t="s">
        <v>7718</v>
      </c>
      <c r="Y843" t="str">
        <f>HYPERLINK("https://recruiter.shine.com/resume/download/?resumeid=gAAAAABbk2UMfx6yGbyPp6gK3wKp8DLwO4Quw5ji_yNX1gulPZZBBVH4TSEac4M1msGIEMqml509flKlQFi7MSwQcopwgypwAHPiMFDDkTs6XDOG271ajDsPtUi-cjVnGsARG1U5MGtJlGYBljQrmSQfpsCxyjmmuA==")</f>
        <v>https://recruiter.shine.com/resume/download/?resumeid=gAAAAABbk2UMfx6yGbyPp6gK3wKp8DLwO4Quw5ji_yNX1gulPZZBBVH4TSEac4M1msGIEMqml509flKlQFi7MSwQcopwgypwAHPiMFDDkTs6XDOG271ajDsPtUi-cjVnGsARG1U5MGtJlGYBljQrmSQfpsCxyjmmuA==</v>
      </c>
    </row>
    <row r="844" spans="1:25" ht="39.950000000000003" customHeight="1">
      <c r="A844">
        <v>840</v>
      </c>
      <c r="B844" t="s">
        <v>7719</v>
      </c>
      <c r="D844" t="s">
        <v>7720</v>
      </c>
      <c r="E844" t="s">
        <v>7721</v>
      </c>
      <c r="F844" t="s">
        <v>249</v>
      </c>
      <c r="H844" t="s">
        <v>234</v>
      </c>
      <c r="I844" t="s">
        <v>1122</v>
      </c>
      <c r="J844" t="s">
        <v>2298</v>
      </c>
      <c r="K844" t="s">
        <v>7722</v>
      </c>
      <c r="L844" t="s">
        <v>486</v>
      </c>
      <c r="M844" t="s">
        <v>1755</v>
      </c>
      <c r="N844" t="s">
        <v>7723</v>
      </c>
      <c r="O844" t="s">
        <v>186</v>
      </c>
      <c r="P844" t="s">
        <v>940</v>
      </c>
      <c r="Q844" t="s">
        <v>123</v>
      </c>
      <c r="R844" t="s">
        <v>124</v>
      </c>
      <c r="S844" t="s">
        <v>188</v>
      </c>
      <c r="T844" t="s">
        <v>625</v>
      </c>
      <c r="U844" t="s">
        <v>127</v>
      </c>
      <c r="V844" t="s">
        <v>7724</v>
      </c>
      <c r="W844" t="s">
        <v>7725</v>
      </c>
      <c r="Y844" t="str">
        <f>HYPERLINK("https://recruiter.shine.com/resume/download/?resumeid=gAAAAABbk2UNAovZf_UZVQHYWZohXrY5tORNU3Zefb-1BkNnYQEN4r9Fmb7rd9C1MdqxJ2W_-1KAZGgYU3xfIL7EaW_azAWR8HMQ8_NLtbnKHNqXIK2pq4Fm-EH4J6L3J1t4fGSxQ2TJysuuFR7wxsJKvOXfL52XhVZpiB0gUPeo9T4vLniTeuo=")</f>
        <v>https://recruiter.shine.com/resume/download/?resumeid=gAAAAABbk2UNAovZf_UZVQHYWZohXrY5tORNU3Zefb-1BkNnYQEN4r9Fmb7rd9C1MdqxJ2W_-1KAZGgYU3xfIL7EaW_azAWR8HMQ8_NLtbnKHNqXIK2pq4Fm-EH4J6L3J1t4fGSxQ2TJysuuFR7wxsJKvOXfL52XhVZpiB0gUPeo9T4vLniTeuo=</v>
      </c>
    </row>
    <row r="845" spans="1:25" ht="39.950000000000003" customHeight="1">
      <c r="A845">
        <v>841</v>
      </c>
      <c r="B845" t="s">
        <v>7726</v>
      </c>
      <c r="C845" t="s">
        <v>1362</v>
      </c>
      <c r="D845" t="s">
        <v>7727</v>
      </c>
      <c r="E845" t="s">
        <v>7728</v>
      </c>
      <c r="F845" t="s">
        <v>29</v>
      </c>
      <c r="G845" t="s">
        <v>5704</v>
      </c>
      <c r="H845" t="s">
        <v>31</v>
      </c>
      <c r="I845" t="s">
        <v>7729</v>
      </c>
      <c r="J845" t="s">
        <v>312</v>
      </c>
      <c r="K845" t="s">
        <v>7730</v>
      </c>
      <c r="L845" t="s">
        <v>1390</v>
      </c>
      <c r="M845" t="s">
        <v>684</v>
      </c>
      <c r="N845" t="s">
        <v>7731</v>
      </c>
      <c r="O845" t="s">
        <v>157</v>
      </c>
      <c r="P845" t="s">
        <v>268</v>
      </c>
      <c r="Q845" t="s">
        <v>158</v>
      </c>
      <c r="R845" t="s">
        <v>864</v>
      </c>
      <c r="S845" t="s">
        <v>7732</v>
      </c>
      <c r="T845" t="s">
        <v>1921</v>
      </c>
      <c r="U845" t="s">
        <v>43</v>
      </c>
      <c r="V845" t="s">
        <v>7733</v>
      </c>
      <c r="W845" t="s">
        <v>7734</v>
      </c>
      <c r="Y845" t="str">
        <f>HYPERLINK("https://recruiter.shine.com/resume/download/?resumeid=gAAAAABbk2ULdhNIJMr7ANvA9Qqr7Q79gFBjOb-HHWGHg_9jgWNDep0Gy7Q5-Rq8q5saeWmzo1FW1nAmazAJhU3uO0NlNXMDTE24dxHjlKodmJjwZHwHaGMSuUECUvHjgCd3CNbfSqXXC093S2UpL8YVweoNO6d8drVw515YOjemusFJjQ_eK2A=")</f>
        <v>https://recruiter.shine.com/resume/download/?resumeid=gAAAAABbk2ULdhNIJMr7ANvA9Qqr7Q79gFBjOb-HHWGHg_9jgWNDep0Gy7Q5-Rq8q5saeWmzo1FW1nAmazAJhU3uO0NlNXMDTE24dxHjlKodmJjwZHwHaGMSuUECUvHjgCd3CNbfSqXXC093S2UpL8YVweoNO6d8drVw515YOjemusFJjQ_eK2A=</v>
      </c>
    </row>
    <row r="846" spans="1:25" ht="39.950000000000003" customHeight="1">
      <c r="A846">
        <v>842</v>
      </c>
      <c r="B846" t="s">
        <v>7735</v>
      </c>
      <c r="C846" t="s">
        <v>7736</v>
      </c>
      <c r="D846" t="s">
        <v>7737</v>
      </c>
      <c r="E846" t="s">
        <v>7738</v>
      </c>
      <c r="F846" t="s">
        <v>29</v>
      </c>
      <c r="G846" t="s">
        <v>2129</v>
      </c>
      <c r="H846" t="s">
        <v>31</v>
      </c>
      <c r="I846" t="s">
        <v>4780</v>
      </c>
      <c r="J846" t="s">
        <v>7739</v>
      </c>
      <c r="K846" t="s">
        <v>1167</v>
      </c>
      <c r="L846" t="s">
        <v>266</v>
      </c>
      <c r="M846" t="s">
        <v>105</v>
      </c>
      <c r="N846" t="s">
        <v>7740</v>
      </c>
      <c r="O846" t="s">
        <v>585</v>
      </c>
      <c r="P846" t="s">
        <v>73</v>
      </c>
      <c r="Q846" t="s">
        <v>783</v>
      </c>
      <c r="R846" t="s">
        <v>7741</v>
      </c>
      <c r="S846" t="s">
        <v>7742</v>
      </c>
      <c r="T846" t="s">
        <v>1921</v>
      </c>
      <c r="U846" t="s">
        <v>43</v>
      </c>
      <c r="V846" t="s">
        <v>7743</v>
      </c>
      <c r="W846" t="s">
        <v>7744</v>
      </c>
      <c r="Y846" t="str">
        <f>HYPERLINK("https://recruiter.shine.com/resume/download/?resumeid=gAAAAABbk2UMoWjhvptVeeZRZZRuF_OmCn_t-s_CPtRB1X_fBL_zd1B3De91s6uolDXYrXyVWb76c09IksVWdrEuKL_q_xZTt8hi0WeSuDvFdlpJsUTW6vPqL6Sd-CLaIMeuhBupJaVA")</f>
        <v>https://recruiter.shine.com/resume/download/?resumeid=gAAAAABbk2UMoWjhvptVeeZRZZRuF_OmCn_t-s_CPtRB1X_fBL_zd1B3De91s6uolDXYrXyVWb76c09IksVWdrEuKL_q_xZTt8hi0WeSuDvFdlpJsUTW6vPqL6Sd-CLaIMeuhBupJaVA</v>
      </c>
    </row>
    <row r="847" spans="1:25" ht="39.950000000000003" customHeight="1">
      <c r="A847">
        <v>843</v>
      </c>
      <c r="B847" t="s">
        <v>7745</v>
      </c>
      <c r="D847" t="s">
        <v>7746</v>
      </c>
      <c r="E847" t="s">
        <v>7747</v>
      </c>
      <c r="F847" t="s">
        <v>29</v>
      </c>
      <c r="H847" t="s">
        <v>234</v>
      </c>
      <c r="I847" t="s">
        <v>208</v>
      </c>
      <c r="J847" t="s">
        <v>153</v>
      </c>
      <c r="K847" t="s">
        <v>7748</v>
      </c>
      <c r="L847" t="s">
        <v>184</v>
      </c>
      <c r="M847" t="s">
        <v>238</v>
      </c>
      <c r="N847" t="s">
        <v>7749</v>
      </c>
      <c r="O847" t="s">
        <v>186</v>
      </c>
      <c r="Q847" t="s">
        <v>123</v>
      </c>
      <c r="R847" t="s">
        <v>124</v>
      </c>
      <c r="S847" t="s">
        <v>7750</v>
      </c>
      <c r="T847" t="s">
        <v>415</v>
      </c>
      <c r="U847" t="s">
        <v>127</v>
      </c>
      <c r="V847" t="s">
        <v>7751</v>
      </c>
      <c r="W847" t="s">
        <v>7752</v>
      </c>
      <c r="Y847" t="str">
        <f>HYPERLINK("https://recruiter.shine.com/resume/download/?resumeid=gAAAAABbk2UOt9zW_Uc6XlT9x4PmrGlnNnDqaE4EkNA6hUh2llM4OHm5cKPiHqOZ-VX_7Peo3sLultXq3tTS_N5ri-C_vnxs8JgHwTaMvfl4xbCV_RZEDDG1IXMcDgyXdVnqfcZrmcJMlmotSxNfrGmsQ0OcIas2ytG-yzlOnT7TLZeM__U-O4Q=")</f>
        <v>https://recruiter.shine.com/resume/download/?resumeid=gAAAAABbk2UOt9zW_Uc6XlT9x4PmrGlnNnDqaE4EkNA6hUh2llM4OHm5cKPiHqOZ-VX_7Peo3sLultXq3tTS_N5ri-C_vnxs8JgHwTaMvfl4xbCV_RZEDDG1IXMcDgyXdVnqfcZrmcJMlmotSxNfrGmsQ0OcIas2ytG-yzlOnT7TLZeM__U-O4Q=</v>
      </c>
    </row>
    <row r="848" spans="1:25" ht="39.950000000000003" customHeight="1">
      <c r="A848">
        <v>844</v>
      </c>
      <c r="B848" t="s">
        <v>7753</v>
      </c>
      <c r="C848" t="s">
        <v>7754</v>
      </c>
      <c r="D848" t="s">
        <v>7755</v>
      </c>
      <c r="E848" t="s">
        <v>7756</v>
      </c>
      <c r="F848" t="s">
        <v>249</v>
      </c>
      <c r="G848" t="s">
        <v>922</v>
      </c>
      <c r="H848" t="s">
        <v>31</v>
      </c>
      <c r="I848" t="s">
        <v>4780</v>
      </c>
      <c r="J848" t="s">
        <v>235</v>
      </c>
      <c r="K848" t="s">
        <v>7757</v>
      </c>
      <c r="L848" t="s">
        <v>3525</v>
      </c>
      <c r="M848" t="s">
        <v>1356</v>
      </c>
      <c r="N848" t="s">
        <v>7758</v>
      </c>
      <c r="O848" t="s">
        <v>475</v>
      </c>
      <c r="P848" t="s">
        <v>57</v>
      </c>
      <c r="Q848" t="s">
        <v>158</v>
      </c>
      <c r="R848" t="s">
        <v>490</v>
      </c>
      <c r="S848" t="s">
        <v>7759</v>
      </c>
      <c r="T848" t="s">
        <v>77</v>
      </c>
      <c r="U848" t="s">
        <v>43</v>
      </c>
      <c r="V848" t="s">
        <v>7760</v>
      </c>
      <c r="W848" t="s">
        <v>7761</v>
      </c>
      <c r="Y848" t="str">
        <f>HYPERLINK("https://recruiter.shine.com/resume/download/?resumeid=gAAAAABbk2ULlH40hISTMklMeuM8H-njRtUYasc4Z7tkxWUuJOGuMZYDMq8AbZb6DuYYtFlXRAL6lAc9StxU9zpZKBXtsQ9j6Ez9VVf8ajSkaqsMZMovHR4Nj6puRnyjkdGaS5AD563oP7f7ldbF0dBzXNB6Mwtzn_tapwMbY2jtHXPoHacDsnk=")</f>
        <v>https://recruiter.shine.com/resume/download/?resumeid=gAAAAABbk2ULlH40hISTMklMeuM8H-njRtUYasc4Z7tkxWUuJOGuMZYDMq8AbZb6DuYYtFlXRAL6lAc9StxU9zpZKBXtsQ9j6Ez9VVf8ajSkaqsMZMovHR4Nj6puRnyjkdGaS5AD563oP7f7ldbF0dBzXNB6Mwtzn_tapwMbY2jtHXPoHacDsnk=</v>
      </c>
    </row>
    <row r="849" spans="1:25" ht="39.950000000000003" customHeight="1">
      <c r="A849">
        <v>845</v>
      </c>
      <c r="B849" t="s">
        <v>7762</v>
      </c>
      <c r="C849" t="s">
        <v>7763</v>
      </c>
      <c r="D849" t="s">
        <v>7764</v>
      </c>
      <c r="E849" t="s">
        <v>7765</v>
      </c>
      <c r="F849" t="s">
        <v>29</v>
      </c>
      <c r="G849" t="s">
        <v>7766</v>
      </c>
      <c r="H849" t="s">
        <v>31</v>
      </c>
      <c r="I849" t="s">
        <v>1112</v>
      </c>
      <c r="J849" t="s">
        <v>299</v>
      </c>
      <c r="K849" t="s">
        <v>7767</v>
      </c>
      <c r="L849" t="s">
        <v>88</v>
      </c>
      <c r="M849" t="s">
        <v>238</v>
      </c>
      <c r="N849" t="s">
        <v>1967</v>
      </c>
      <c r="O849" t="s">
        <v>186</v>
      </c>
      <c r="P849" t="s">
        <v>201</v>
      </c>
      <c r="Q849" t="s">
        <v>123</v>
      </c>
      <c r="R849" t="s">
        <v>124</v>
      </c>
      <c r="S849" t="s">
        <v>188</v>
      </c>
      <c r="T849" t="s">
        <v>304</v>
      </c>
      <c r="U849" t="s">
        <v>43</v>
      </c>
      <c r="V849" t="s">
        <v>7768</v>
      </c>
      <c r="W849" t="s">
        <v>7769</v>
      </c>
      <c r="Y849" t="str">
        <f>HYPERLINK("https://recruiter.shine.com/resume/download/?resumeid=gAAAAABbk2UME9G8qgFXnz4_5koY-0RLQt7oWyfGn42GlBg9gY2g-tFAKl8zyIygYYvp12bNnJRNOCL_ewg_Ib9Uf1XfKwSI0VSH4b1AqX3bngaWlA4bTllmfupEeXxhDaQehoQktzgOnOhWbvtl42eLF0s-6xRbDhbdfilEKsvdc9AsbhTT4vk=")</f>
        <v>https://recruiter.shine.com/resume/download/?resumeid=gAAAAABbk2UME9G8qgFXnz4_5koY-0RLQt7oWyfGn42GlBg9gY2g-tFAKl8zyIygYYvp12bNnJRNOCL_ewg_Ib9Uf1XfKwSI0VSH4b1AqX3bngaWlA4bTllmfupEeXxhDaQehoQktzgOnOhWbvtl42eLF0s-6xRbDhbdfilEKsvdc9AsbhTT4vk=</v>
      </c>
    </row>
    <row r="850" spans="1:25" ht="39.950000000000003" customHeight="1">
      <c r="A850">
        <v>846</v>
      </c>
      <c r="B850" t="s">
        <v>7770</v>
      </c>
      <c r="D850" t="s">
        <v>7771</v>
      </c>
      <c r="E850" t="s">
        <v>7772</v>
      </c>
      <c r="F850" t="s">
        <v>29</v>
      </c>
      <c r="G850" t="s">
        <v>67</v>
      </c>
      <c r="H850" t="s">
        <v>234</v>
      </c>
      <c r="I850" t="s">
        <v>7773</v>
      </c>
      <c r="J850" t="s">
        <v>7774</v>
      </c>
      <c r="K850" t="s">
        <v>7775</v>
      </c>
      <c r="L850" t="s">
        <v>171</v>
      </c>
      <c r="M850" t="s">
        <v>121</v>
      </c>
      <c r="N850" t="s">
        <v>7776</v>
      </c>
      <c r="O850" t="s">
        <v>186</v>
      </c>
      <c r="P850" t="s">
        <v>771</v>
      </c>
      <c r="Q850" t="s">
        <v>699</v>
      </c>
      <c r="R850" t="s">
        <v>59</v>
      </c>
      <c r="S850" t="s">
        <v>7777</v>
      </c>
      <c r="T850" t="s">
        <v>175</v>
      </c>
      <c r="U850" t="s">
        <v>43</v>
      </c>
      <c r="V850" t="s">
        <v>7778</v>
      </c>
      <c r="W850" t="s">
        <v>7779</v>
      </c>
      <c r="Y850" t="str">
        <f>HYPERLINK("https://recruiter.shine.com/resume/download/?resumeid=gAAAAABbk2UOmcBsUex3xMh1qfH-j2WlQb0Q71j1nSRe2nP5p724ZK8IIFasBSGNBqLVF4fOqiIzzGgOySHd-GPaC2EQJ3dwC_-4cIt4dvTaiGaPHDxuOQt0fQ_DDlZyoid4_qcjfVHge-_trftCNOds6FjiE4RiKESqPaUvpbIa2SuPQJE20Tg=")</f>
        <v>https://recruiter.shine.com/resume/download/?resumeid=gAAAAABbk2UOmcBsUex3xMh1qfH-j2WlQb0Q71j1nSRe2nP5p724ZK8IIFasBSGNBqLVF4fOqiIzzGgOySHd-GPaC2EQJ3dwC_-4cIt4dvTaiGaPHDxuOQt0fQ_DDlZyoid4_qcjfVHge-_trftCNOds6FjiE4RiKESqPaUvpbIa2SuPQJE20Tg=</v>
      </c>
    </row>
    <row r="851" spans="1:25" ht="39.950000000000003" customHeight="1">
      <c r="A851">
        <v>847</v>
      </c>
      <c r="B851" t="s">
        <v>7780</v>
      </c>
      <c r="C851" t="s">
        <v>7781</v>
      </c>
      <c r="D851" t="s">
        <v>7782</v>
      </c>
      <c r="E851" t="s">
        <v>7783</v>
      </c>
      <c r="F851" t="s">
        <v>29</v>
      </c>
      <c r="G851" t="s">
        <v>7784</v>
      </c>
      <c r="H851" t="s">
        <v>31</v>
      </c>
      <c r="I851" t="s">
        <v>32</v>
      </c>
      <c r="J851" t="s">
        <v>4694</v>
      </c>
      <c r="K851" t="s">
        <v>7785</v>
      </c>
      <c r="L851" t="s">
        <v>120</v>
      </c>
      <c r="M851" t="s">
        <v>105</v>
      </c>
      <c r="N851" t="s">
        <v>7786</v>
      </c>
      <c r="O851" t="s">
        <v>585</v>
      </c>
      <c r="P851" t="s">
        <v>140</v>
      </c>
      <c r="Q851" t="s">
        <v>74</v>
      </c>
      <c r="R851" t="s">
        <v>75</v>
      </c>
      <c r="S851" t="s">
        <v>7787</v>
      </c>
      <c r="T851" t="s">
        <v>415</v>
      </c>
      <c r="U851" t="s">
        <v>127</v>
      </c>
      <c r="V851" t="s">
        <v>7788</v>
      </c>
      <c r="W851" t="s">
        <v>7789</v>
      </c>
      <c r="Y851" t="str">
        <f>HYPERLINK("https://recruiter.shine.com/resume/download/?resumeid=gAAAAABbk2UKhIdMLgszP5IGzXYPobqYLz6wIR9_CRWjDCjcrZaPQH_n21eEU6tzPeTFDS6ts45DDKClnb0H380tTLY0ZFLPXe6HWrR6Wv76GYHTJqLU5ODzSKZAvhXLnEau1F4n0FJMJ9J7X98HKpZp1PclAQ-3A0yLMgeGlZDamIs5t3vdQpc=")</f>
        <v>https://recruiter.shine.com/resume/download/?resumeid=gAAAAABbk2UKhIdMLgszP5IGzXYPobqYLz6wIR9_CRWjDCjcrZaPQH_n21eEU6tzPeTFDS6ts45DDKClnb0H380tTLY0ZFLPXe6HWrR6Wv76GYHTJqLU5ODzSKZAvhXLnEau1F4n0FJMJ9J7X98HKpZp1PclAQ-3A0yLMgeGlZDamIs5t3vdQpc=</v>
      </c>
    </row>
    <row r="852" spans="1:25" ht="39.950000000000003" customHeight="1">
      <c r="A852">
        <v>848</v>
      </c>
      <c r="B852" t="s">
        <v>7790</v>
      </c>
      <c r="C852" t="s">
        <v>7791</v>
      </c>
      <c r="D852" t="s">
        <v>7792</v>
      </c>
      <c r="E852" t="s">
        <v>7793</v>
      </c>
      <c r="F852" t="s">
        <v>29</v>
      </c>
      <c r="G852" t="s">
        <v>7794</v>
      </c>
      <c r="H852" t="s">
        <v>31</v>
      </c>
      <c r="I852" t="s">
        <v>7795</v>
      </c>
      <c r="J852" t="s">
        <v>278</v>
      </c>
      <c r="K852" t="s">
        <v>7796</v>
      </c>
      <c r="L852" t="s">
        <v>794</v>
      </c>
      <c r="M852" t="s">
        <v>684</v>
      </c>
      <c r="N852" t="s">
        <v>7797</v>
      </c>
      <c r="O852" t="s">
        <v>186</v>
      </c>
      <c r="P852" t="s">
        <v>57</v>
      </c>
      <c r="Q852" t="s">
        <v>107</v>
      </c>
      <c r="R852" t="s">
        <v>341</v>
      </c>
      <c r="S852" t="s">
        <v>7798</v>
      </c>
      <c r="T852" t="s">
        <v>415</v>
      </c>
      <c r="U852" t="s">
        <v>43</v>
      </c>
      <c r="V852" t="s">
        <v>7799</v>
      </c>
      <c r="W852" t="s">
        <v>7800</v>
      </c>
      <c r="Y852" t="str">
        <f>HYPERLINK("https://recruiter.shine.com/resume/download/?resumeid=gAAAAABbk2UMKp1ITxkvcRE9AA3H3g_zSH8eJzAKzaITornXatX6UeEaGZRmXlIUtU3Pd4UCWVQ-uM95242ishbu2kFnGVAJ4lWsHWch9OPn8wZgEkk49kgZEJ-npUXaaoAkNg6A9X2WKtTr03BmjvpQr0-zsnZ9_X6iAZ2R-80oD1ewJ3ZK0rA=")</f>
        <v>https://recruiter.shine.com/resume/download/?resumeid=gAAAAABbk2UMKp1ITxkvcRE9AA3H3g_zSH8eJzAKzaITornXatX6UeEaGZRmXlIUtU3Pd4UCWVQ-uM95242ishbu2kFnGVAJ4lWsHWch9OPn8wZgEkk49kgZEJ-npUXaaoAkNg6A9X2WKtTr03BmjvpQr0-zsnZ9_X6iAZ2R-80oD1ewJ3ZK0rA=</v>
      </c>
    </row>
    <row r="853" spans="1:25" ht="39.950000000000003" customHeight="1">
      <c r="A853">
        <v>849</v>
      </c>
      <c r="B853" t="s">
        <v>7801</v>
      </c>
      <c r="D853" t="s">
        <v>7802</v>
      </c>
      <c r="E853" t="s">
        <v>7803</v>
      </c>
      <c r="F853" t="s">
        <v>29</v>
      </c>
      <c r="G853" t="s">
        <v>67</v>
      </c>
      <c r="H853" t="s">
        <v>31</v>
      </c>
      <c r="I853" t="s">
        <v>1122</v>
      </c>
      <c r="J853" t="s">
        <v>2130</v>
      </c>
      <c r="K853" t="s">
        <v>4948</v>
      </c>
      <c r="L853" t="s">
        <v>184</v>
      </c>
      <c r="M853" t="s">
        <v>238</v>
      </c>
      <c r="N853" t="s">
        <v>3718</v>
      </c>
      <c r="O853" t="s">
        <v>56</v>
      </c>
      <c r="Q853" t="s">
        <v>107</v>
      </c>
      <c r="R853" t="s">
        <v>864</v>
      </c>
      <c r="S853" t="s">
        <v>7804</v>
      </c>
      <c r="T853" t="s">
        <v>227</v>
      </c>
      <c r="U853" t="s">
        <v>43</v>
      </c>
      <c r="V853" t="s">
        <v>7805</v>
      </c>
      <c r="W853" t="s">
        <v>7806</v>
      </c>
      <c r="Y853" t="str">
        <f>HYPERLINK("https://recruiter.shine.com/resume/download/?resumeid=gAAAAABbk2UNA3P6s-BSaWJxjhXW_KvMkdf6jbYpSHFbVmrjf-M3bgekZKftqRHR5ISS1sILh_j_MMHhp3TaUzFntpxmobGlbtZP8hHzY6o6tnDqfdBGCHw2PUNKPmjl2iwysPu3VI55gi4E5fm5LEaktE4BJeNT02FAloDM5Kh9WMEZj8NyCb4=")</f>
        <v>https://recruiter.shine.com/resume/download/?resumeid=gAAAAABbk2UNA3P6s-BSaWJxjhXW_KvMkdf6jbYpSHFbVmrjf-M3bgekZKftqRHR5ISS1sILh_j_MMHhp3TaUzFntpxmobGlbtZP8hHzY6o6tnDqfdBGCHw2PUNKPmjl2iwysPu3VI55gi4E5fm5LEaktE4BJeNT02FAloDM5Kh9WMEZj8NyCb4=</v>
      </c>
    </row>
    <row r="854" spans="1:25" ht="39.950000000000003" customHeight="1">
      <c r="A854">
        <v>850</v>
      </c>
      <c r="B854" t="s">
        <v>7807</v>
      </c>
      <c r="C854" t="s">
        <v>7808</v>
      </c>
      <c r="D854" t="s">
        <v>7809</v>
      </c>
      <c r="E854" t="s">
        <v>7810</v>
      </c>
      <c r="F854" t="s">
        <v>29</v>
      </c>
      <c r="G854" t="s">
        <v>7811</v>
      </c>
      <c r="H854" t="s">
        <v>31</v>
      </c>
      <c r="I854" t="s">
        <v>6705</v>
      </c>
      <c r="J854" t="s">
        <v>7812</v>
      </c>
      <c r="K854" t="s">
        <v>7813</v>
      </c>
      <c r="L854" t="s">
        <v>596</v>
      </c>
      <c r="M854" t="s">
        <v>36</v>
      </c>
      <c r="N854" t="s">
        <v>7814</v>
      </c>
      <c r="O854" t="s">
        <v>804</v>
      </c>
      <c r="P854" t="s">
        <v>57</v>
      </c>
      <c r="Q854" t="s">
        <v>107</v>
      </c>
      <c r="R854" t="s">
        <v>341</v>
      </c>
      <c r="S854" t="s">
        <v>7815</v>
      </c>
      <c r="T854" t="s">
        <v>227</v>
      </c>
      <c r="U854" t="s">
        <v>43</v>
      </c>
      <c r="V854" t="s">
        <v>7816</v>
      </c>
      <c r="W854" t="s">
        <v>7817</v>
      </c>
      <c r="Y854" t="str">
        <f>HYPERLINK("https://recruiter.shine.com/resume/download/?resumeid=gAAAAABbk2UK7hpzyjN1QLL255hesJQY8birUrtGnN60eCJ3P-z9kNwGgMlm4COr0jCXPCo5mqcQc24oE53qY5ForvGXaSvTMZjeLg7EamjQtRCWeZ48198E19pu8x55Zz2hyG4NYWLOJyo6U3nnW-TIo70_BzE_zvUQ3fGRh0N-J8R8oR8TrJg=")</f>
        <v>https://recruiter.shine.com/resume/download/?resumeid=gAAAAABbk2UK7hpzyjN1QLL255hesJQY8birUrtGnN60eCJ3P-z9kNwGgMlm4COr0jCXPCo5mqcQc24oE53qY5ForvGXaSvTMZjeLg7EamjQtRCWeZ48198E19pu8x55Zz2hyG4NYWLOJyo6U3nnW-TIo70_BzE_zvUQ3fGRh0N-J8R8oR8TrJg=</v>
      </c>
    </row>
    <row r="855" spans="1:25" ht="39.950000000000003" customHeight="1">
      <c r="A855">
        <v>851</v>
      </c>
      <c r="B855" t="s">
        <v>7818</v>
      </c>
      <c r="C855" t="s">
        <v>2908</v>
      </c>
      <c r="D855" t="s">
        <v>7819</v>
      </c>
      <c r="E855" t="s">
        <v>7820</v>
      </c>
      <c r="F855" t="s">
        <v>29</v>
      </c>
      <c r="G855" t="s">
        <v>29</v>
      </c>
      <c r="H855" t="s">
        <v>234</v>
      </c>
      <c r="I855" t="s">
        <v>4135</v>
      </c>
      <c r="J855" t="s">
        <v>506</v>
      </c>
      <c r="K855" t="s">
        <v>7821</v>
      </c>
      <c r="L855" t="s">
        <v>5208</v>
      </c>
      <c r="M855" t="s">
        <v>138</v>
      </c>
      <c r="N855" t="s">
        <v>7822</v>
      </c>
      <c r="O855" t="s">
        <v>38</v>
      </c>
      <c r="Q855" t="s">
        <v>90</v>
      </c>
      <c r="R855" t="s">
        <v>465</v>
      </c>
      <c r="S855" t="s">
        <v>7823</v>
      </c>
      <c r="T855" t="s">
        <v>625</v>
      </c>
      <c r="U855" t="s">
        <v>127</v>
      </c>
      <c r="V855" t="s">
        <v>7824</v>
      </c>
      <c r="W855" t="s">
        <v>7825</v>
      </c>
      <c r="Y855" t="str">
        <f>HYPERLINK("https://recruiter.shine.com/resume/download/?resumeid=gAAAAABbk2UMRQS55P4JfmEE-JXQ09GLNxz9NWEItftGfk2-5Af2oL8X4aepUPqm1JLNw6EihW38tSrBRbFAhd1mPrTriua11c5vrXB_niW3N4pwJd5lDSylP6MyFqDlzgEO0opZRDvQETHJX-GN3V488lxjbhTAlg==")</f>
        <v>https://recruiter.shine.com/resume/download/?resumeid=gAAAAABbk2UMRQS55P4JfmEE-JXQ09GLNxz9NWEItftGfk2-5Af2oL8X4aepUPqm1JLNw6EihW38tSrBRbFAhd1mPrTriua11c5vrXB_niW3N4pwJd5lDSylP6MyFqDlzgEO0opZRDvQETHJX-GN3V488lxjbhTAlg==</v>
      </c>
    </row>
    <row r="856" spans="1:25" ht="39.950000000000003" customHeight="1">
      <c r="A856">
        <v>852</v>
      </c>
      <c r="B856" t="s">
        <v>7826</v>
      </c>
      <c r="C856" t="s">
        <v>7827</v>
      </c>
      <c r="D856" t="s">
        <v>7828</v>
      </c>
      <c r="E856" t="s">
        <v>7829</v>
      </c>
      <c r="F856" t="s">
        <v>29</v>
      </c>
      <c r="G856" t="s">
        <v>67</v>
      </c>
      <c r="H856" t="s">
        <v>31</v>
      </c>
      <c r="I856" t="s">
        <v>505</v>
      </c>
      <c r="J856" t="s">
        <v>235</v>
      </c>
      <c r="K856" t="s">
        <v>7830</v>
      </c>
      <c r="L856" t="s">
        <v>266</v>
      </c>
      <c r="M856" t="s">
        <v>105</v>
      </c>
      <c r="N856" t="s">
        <v>7831</v>
      </c>
      <c r="O856" t="s">
        <v>224</v>
      </c>
      <c r="P856" t="s">
        <v>57</v>
      </c>
      <c r="Q856" t="s">
        <v>107</v>
      </c>
      <c r="R856" t="s">
        <v>159</v>
      </c>
      <c r="S856" t="s">
        <v>7832</v>
      </c>
      <c r="T856" t="s">
        <v>429</v>
      </c>
      <c r="U856" t="s">
        <v>43</v>
      </c>
      <c r="V856" t="s">
        <v>7833</v>
      </c>
      <c r="W856" t="s">
        <v>7833</v>
      </c>
      <c r="Y856" t="str">
        <f>HYPERLINK("https://recruiter.shine.com/resume/download/?resumeid=gAAAAABbk2UOHtBQomXo5b5lMB1NsV14nCgrv50_fDYLO6-emqQbYxxpi_ek7NJ9QPROyCU9AybRywW6p_-RvoDBPj-VwNGbyhIIpCLvhTPyFx5naVwEncRkASzLMNn6oTYvEBmGbH-fbT63vml65jU20-Px9a8wvOD5d8eNeSkMlOKq_7JBPbg=")</f>
        <v>https://recruiter.shine.com/resume/download/?resumeid=gAAAAABbk2UOHtBQomXo5b5lMB1NsV14nCgrv50_fDYLO6-emqQbYxxpi_ek7NJ9QPROyCU9AybRywW6p_-RvoDBPj-VwNGbyhIIpCLvhTPyFx5naVwEncRkASzLMNn6oTYvEBmGbH-fbT63vml65jU20-Px9a8wvOD5d8eNeSkMlOKq_7JBPbg=</v>
      </c>
    </row>
    <row r="857" spans="1:25" ht="39.950000000000003" customHeight="1">
      <c r="A857">
        <v>853</v>
      </c>
      <c r="B857" t="s">
        <v>7834</v>
      </c>
      <c r="C857" t="s">
        <v>7835</v>
      </c>
      <c r="D857" t="s">
        <v>7836</v>
      </c>
      <c r="E857" t="s">
        <v>7837</v>
      </c>
      <c r="F857" t="s">
        <v>29</v>
      </c>
      <c r="G857" t="s">
        <v>29</v>
      </c>
      <c r="H857" t="s">
        <v>31</v>
      </c>
      <c r="I857" t="s">
        <v>85</v>
      </c>
      <c r="J857" t="s">
        <v>935</v>
      </c>
      <c r="K857" t="s">
        <v>7838</v>
      </c>
      <c r="L857" t="s">
        <v>184</v>
      </c>
      <c r="M857" t="s">
        <v>473</v>
      </c>
      <c r="N857" t="s">
        <v>7839</v>
      </c>
      <c r="O857" t="s">
        <v>157</v>
      </c>
      <c r="Q857" t="s">
        <v>240</v>
      </c>
      <c r="R857" t="s">
        <v>241</v>
      </c>
      <c r="S857" t="s">
        <v>7840</v>
      </c>
      <c r="T857" t="s">
        <v>2817</v>
      </c>
      <c r="U857" t="s">
        <v>43</v>
      </c>
      <c r="V857" t="s">
        <v>7841</v>
      </c>
      <c r="W857" t="s">
        <v>7842</v>
      </c>
      <c r="Y857" t="str">
        <f>HYPERLINK("https://recruiter.shine.com/resume/download/?resumeid=gAAAAABbk2ULN2Nf-GWdRYo4-IOXId4wIB97iY9ySaGzy7KUcG4JGIQPZcIiRLOA-WFPc3LsWyHy6ETPgZi1TEEL4k3Eb5u7H89L_0_C0m4ctQHd2A35Uk4cA7oxCb4kU55TKN1O_njR7kkxVSyp7s6aakdUMz_55A==")</f>
        <v>https://recruiter.shine.com/resume/download/?resumeid=gAAAAABbk2ULN2Nf-GWdRYo4-IOXId4wIB97iY9ySaGzy7KUcG4JGIQPZcIiRLOA-WFPc3LsWyHy6ETPgZi1TEEL4k3Eb5u7H89L_0_C0m4ctQHd2A35Uk4cA7oxCb4kU55TKN1O_njR7kkxVSyp7s6aakdUMz_55A==</v>
      </c>
    </row>
    <row r="858" spans="1:25" ht="39.950000000000003" customHeight="1">
      <c r="A858">
        <v>854</v>
      </c>
      <c r="B858" t="s">
        <v>7843</v>
      </c>
      <c r="C858" t="s">
        <v>7844</v>
      </c>
      <c r="D858" t="s">
        <v>7845</v>
      </c>
      <c r="E858" t="s">
        <v>7846</v>
      </c>
      <c r="F858" t="s">
        <v>29</v>
      </c>
      <c r="G858" t="s">
        <v>7369</v>
      </c>
      <c r="H858" t="s">
        <v>31</v>
      </c>
      <c r="I858" t="s">
        <v>3016</v>
      </c>
      <c r="J858" t="s">
        <v>299</v>
      </c>
      <c r="K858" t="s">
        <v>7847</v>
      </c>
      <c r="L858" t="s">
        <v>199</v>
      </c>
      <c r="M858" t="s">
        <v>36</v>
      </c>
      <c r="N858" t="s">
        <v>7848</v>
      </c>
      <c r="O858" t="s">
        <v>56</v>
      </c>
      <c r="P858" t="s">
        <v>140</v>
      </c>
      <c r="Q858" t="s">
        <v>107</v>
      </c>
      <c r="R858" t="s">
        <v>864</v>
      </c>
      <c r="S858" t="s">
        <v>7849</v>
      </c>
      <c r="T858" t="s">
        <v>110</v>
      </c>
      <c r="U858" t="s">
        <v>43</v>
      </c>
      <c r="V858" t="s">
        <v>7850</v>
      </c>
      <c r="W858" t="s">
        <v>7850</v>
      </c>
      <c r="Y858" t="str">
        <f>HYPERLINK("https://recruiter.shine.com/resume/download/?resumeid=gAAAAABbk2UMC7fAmhvfpJenhfsbFpgjCkSOoaNxU6xyX3ENDdyrzUwR4YWycyLoFontxcVvBPXhSmtOyrCbFtwFB8a3tf_UiWYO8w5xSiu9Pm7Uoruy-Ha_GUZcVxIqPIJSGO82zHPB1hlYJBnmAfnjQ45yuvDCEmMsrGXnnegiAnnoDEDEgpk=")</f>
        <v>https://recruiter.shine.com/resume/download/?resumeid=gAAAAABbk2UMC7fAmhvfpJenhfsbFpgjCkSOoaNxU6xyX3ENDdyrzUwR4YWycyLoFontxcVvBPXhSmtOyrCbFtwFB8a3tf_UiWYO8w5xSiu9Pm7Uoruy-Ha_GUZcVxIqPIJSGO82zHPB1hlYJBnmAfnjQ45yuvDCEmMsrGXnnegiAnnoDEDEgpk=</v>
      </c>
    </row>
    <row r="859" spans="1:25" ht="39.950000000000003" customHeight="1">
      <c r="A859">
        <v>855</v>
      </c>
      <c r="B859" t="s">
        <v>7851</v>
      </c>
      <c r="D859" t="s">
        <v>7852</v>
      </c>
      <c r="E859" t="s">
        <v>7853</v>
      </c>
      <c r="F859" t="s">
        <v>29</v>
      </c>
      <c r="G859" t="s">
        <v>67</v>
      </c>
      <c r="H859" t="s">
        <v>31</v>
      </c>
      <c r="I859" t="s">
        <v>1072</v>
      </c>
      <c r="J859" t="s">
        <v>4059</v>
      </c>
      <c r="K859" t="s">
        <v>7854</v>
      </c>
      <c r="L859" t="s">
        <v>155</v>
      </c>
      <c r="M859" t="s">
        <v>105</v>
      </c>
      <c r="N859" t="s">
        <v>7855</v>
      </c>
      <c r="O859" t="s">
        <v>1041</v>
      </c>
      <c r="Q859" t="s">
        <v>783</v>
      </c>
      <c r="R859" t="s">
        <v>7856</v>
      </c>
      <c r="S859" t="s">
        <v>7857</v>
      </c>
      <c r="T859" t="s">
        <v>126</v>
      </c>
      <c r="U859" t="s">
        <v>43</v>
      </c>
      <c r="V859" t="s">
        <v>7858</v>
      </c>
      <c r="W859" t="s">
        <v>7859</v>
      </c>
      <c r="Y859" t="str">
        <f>HYPERLINK("https://recruiter.shine.com/resume/download/?resumeid=gAAAAABbk2UNHCOlbBUcVSzWkMceOri4viFedWiiXoE7EPshurunZTPtpLLFA3k9ZONnigBAoRxsrzuinRgSl-rXgCRQ0-f1CS3xtZDd-p2hIuRewvxYh5IEfsmR3PgLw5RBBiweFXQdFIfH0yW3CgiSVvzivwW6fA==")</f>
        <v>https://recruiter.shine.com/resume/download/?resumeid=gAAAAABbk2UNHCOlbBUcVSzWkMceOri4viFedWiiXoE7EPshurunZTPtpLLFA3k9ZONnigBAoRxsrzuinRgSl-rXgCRQ0-f1CS3xtZDd-p2hIuRewvxYh5IEfsmR3PgLw5RBBiweFXQdFIfH0yW3CgiSVvzivwW6fA==</v>
      </c>
    </row>
    <row r="860" spans="1:25" ht="39.950000000000003" customHeight="1">
      <c r="A860">
        <v>856</v>
      </c>
      <c r="B860" t="s">
        <v>7860</v>
      </c>
      <c r="C860" t="s">
        <v>3659</v>
      </c>
      <c r="D860" t="s">
        <v>7861</v>
      </c>
      <c r="E860" t="s">
        <v>7862</v>
      </c>
      <c r="F860" t="s">
        <v>29</v>
      </c>
      <c r="G860" t="s">
        <v>67</v>
      </c>
      <c r="H860" t="s">
        <v>31</v>
      </c>
      <c r="I860" t="s">
        <v>1038</v>
      </c>
      <c r="J860" t="s">
        <v>408</v>
      </c>
      <c r="K860" t="s">
        <v>7863</v>
      </c>
      <c r="L860" t="s">
        <v>664</v>
      </c>
      <c r="M860" t="s">
        <v>36</v>
      </c>
      <c r="N860" t="s">
        <v>7864</v>
      </c>
      <c r="O860" t="s">
        <v>1245</v>
      </c>
      <c r="P860" t="s">
        <v>57</v>
      </c>
      <c r="Q860" t="s">
        <v>107</v>
      </c>
      <c r="R860" t="s">
        <v>341</v>
      </c>
      <c r="S860" t="s">
        <v>7865</v>
      </c>
      <c r="T860" t="s">
        <v>429</v>
      </c>
      <c r="U860" t="s">
        <v>43</v>
      </c>
      <c r="V860" t="s">
        <v>7866</v>
      </c>
      <c r="W860" t="s">
        <v>7866</v>
      </c>
      <c r="Y860" t="str">
        <f>HYPERLINK("https://recruiter.shine.com/resume/download/?resumeid=gAAAAABbk2UL7a9MPODv4iRwUwdu3RLlwiA1vqDWskqRi5tFg55Orj9Tqg0oi0VYVlkJuJBUtdZfsXt10dedomRPfTa97_f5400LJ_7MTOPZUpm8wBZ9zl3gzGzMTxlCCYk4S5w9inK4Ka2tkvpjzAjI5n8gCzgs-w==")</f>
        <v>https://recruiter.shine.com/resume/download/?resumeid=gAAAAABbk2UL7a9MPODv4iRwUwdu3RLlwiA1vqDWskqRi5tFg55Orj9Tqg0oi0VYVlkJuJBUtdZfsXt10dedomRPfTa97_f5400LJ_7MTOPZUpm8wBZ9zl3gzGzMTxlCCYk4S5w9inK4Ka2tkvpjzAjI5n8gCzgs-w==</v>
      </c>
    </row>
    <row r="861" spans="1:25" ht="39.950000000000003" customHeight="1">
      <c r="A861">
        <v>857</v>
      </c>
      <c r="B861" t="s">
        <v>7867</v>
      </c>
      <c r="C861" t="s">
        <v>601</v>
      </c>
      <c r="D861" t="s">
        <v>7868</v>
      </c>
      <c r="E861" t="s">
        <v>7869</v>
      </c>
      <c r="F861" t="s">
        <v>29</v>
      </c>
      <c r="G861" t="s">
        <v>29</v>
      </c>
      <c r="H861" t="s">
        <v>31</v>
      </c>
      <c r="I861" t="s">
        <v>362</v>
      </c>
      <c r="J861" t="s">
        <v>135</v>
      </c>
      <c r="L861" t="s">
        <v>363</v>
      </c>
      <c r="M861" t="s">
        <v>364</v>
      </c>
      <c r="Q861" t="s">
        <v>90</v>
      </c>
      <c r="R861" t="s">
        <v>317</v>
      </c>
      <c r="S861" t="s">
        <v>7870</v>
      </c>
      <c r="T861" t="s">
        <v>625</v>
      </c>
      <c r="U861" t="s">
        <v>43</v>
      </c>
      <c r="V861" t="s">
        <v>7871</v>
      </c>
      <c r="W861" t="s">
        <v>7872</v>
      </c>
      <c r="Y861" t="str">
        <f>HYPERLINK("https://recruiter.shine.com/resume/download/?resumeid=gAAAAABbk2UMMyvFJ0jwgsxtfOJxkqAXYCujAp9qNEjs8R8MzNc6TNHDnzbsNdMnjXsUni--LjrVE8Yo1Huu8rjwXD6mpTDrHdE_BUhvFaqxgSK9qb_tDwTaHpPbTead3PohXQhK1RELRmD3tHSVlZ89DHhHRGQkuA==")</f>
        <v>https://recruiter.shine.com/resume/download/?resumeid=gAAAAABbk2UMMyvFJ0jwgsxtfOJxkqAXYCujAp9qNEjs8R8MzNc6TNHDnzbsNdMnjXsUni--LjrVE8Yo1Huu8rjwXD6mpTDrHdE_BUhvFaqxgSK9qb_tDwTaHpPbTead3PohXQhK1RELRmD3tHSVlZ89DHhHRGQkuA==</v>
      </c>
    </row>
    <row r="862" spans="1:25" ht="39.950000000000003" customHeight="1">
      <c r="A862">
        <v>858</v>
      </c>
      <c r="B862" t="s">
        <v>7873</v>
      </c>
      <c r="D862" t="s">
        <v>7874</v>
      </c>
      <c r="E862" t="s">
        <v>7875</v>
      </c>
      <c r="F862" t="s">
        <v>29</v>
      </c>
      <c r="G862" t="s">
        <v>67</v>
      </c>
      <c r="H862" t="s">
        <v>234</v>
      </c>
      <c r="I862" t="s">
        <v>2074</v>
      </c>
      <c r="J862" t="s">
        <v>153</v>
      </c>
      <c r="K862" t="s">
        <v>7876</v>
      </c>
      <c r="L862" t="s">
        <v>1889</v>
      </c>
      <c r="M862" t="s">
        <v>138</v>
      </c>
      <c r="N862" t="s">
        <v>7877</v>
      </c>
      <c r="O862" t="s">
        <v>56</v>
      </c>
      <c r="Q862" t="s">
        <v>7878</v>
      </c>
      <c r="R862" t="s">
        <v>6730</v>
      </c>
      <c r="S862" t="s">
        <v>7879</v>
      </c>
      <c r="T862" t="s">
        <v>561</v>
      </c>
      <c r="U862" t="s">
        <v>43</v>
      </c>
      <c r="V862" t="s">
        <v>7880</v>
      </c>
      <c r="W862" t="s">
        <v>7881</v>
      </c>
      <c r="Y862" t="str">
        <f>HYPERLINK("https://recruiter.shine.com/resume/download/?resumeid=gAAAAABbk2UNGN5n59pNYhc4cANUVAjR6U-jPknr2nYtLJ9zjv4Fm7J3E6sYvG3lcI5E9z4UEq3S9iGfNL3HOhq5IyllfSuQnmNJhruaY4ECmgyJwxLpHxh4_ByvYERVqrCHzeEUcKG68H4dCfh_XogpjAdDZoG7LA==")</f>
        <v>https://recruiter.shine.com/resume/download/?resumeid=gAAAAABbk2UNGN5n59pNYhc4cANUVAjR6U-jPknr2nYtLJ9zjv4Fm7J3E6sYvG3lcI5E9z4UEq3S9iGfNL3HOhq5IyllfSuQnmNJhruaY4ECmgyJwxLpHxh4_ByvYERVqrCHzeEUcKG68H4dCfh_XogpjAdDZoG7LA==</v>
      </c>
    </row>
    <row r="863" spans="1:25" ht="39.950000000000003" customHeight="1">
      <c r="A863">
        <v>859</v>
      </c>
      <c r="B863" t="s">
        <v>7882</v>
      </c>
      <c r="C863" t="s">
        <v>1717</v>
      </c>
      <c r="D863" t="s">
        <v>7883</v>
      </c>
      <c r="E863" t="s">
        <v>7884</v>
      </c>
      <c r="F863" t="s">
        <v>29</v>
      </c>
      <c r="G863" t="s">
        <v>29</v>
      </c>
      <c r="H863" t="s">
        <v>31</v>
      </c>
      <c r="I863" t="s">
        <v>7885</v>
      </c>
      <c r="J863" t="s">
        <v>1464</v>
      </c>
      <c r="K863" t="s">
        <v>7886</v>
      </c>
      <c r="L863" t="s">
        <v>794</v>
      </c>
      <c r="M863" t="s">
        <v>36</v>
      </c>
      <c r="N863" t="s">
        <v>7887</v>
      </c>
      <c r="O863" t="s">
        <v>804</v>
      </c>
      <c r="P863" t="s">
        <v>39</v>
      </c>
      <c r="Q863" t="s">
        <v>90</v>
      </c>
      <c r="R863" t="s">
        <v>317</v>
      </c>
      <c r="S863" t="s">
        <v>7888</v>
      </c>
      <c r="T863" t="s">
        <v>61</v>
      </c>
      <c r="U863" t="s">
        <v>127</v>
      </c>
      <c r="V863" t="s">
        <v>7889</v>
      </c>
      <c r="W863" t="s">
        <v>7889</v>
      </c>
      <c r="Y863" t="str">
        <f>HYPERLINK("https://recruiter.shine.com/resume/download/?resumeid=gAAAAABbk2UKf0UVBafRDDrKADz5FvjTc9vaRN504D_XtPdiERoW5lMhlbJEG4fKTnhUseE6zXWRFwGhJ9NIeHzFjqS11EX8XezseVNf0QTn9wmHhJD0gF9RttWq0YQqv_cdbRVr0pBoyo1ILseD20PJau3e5JUeoiICRh7Htcz246Q3a5Dfpe8=")</f>
        <v>https://recruiter.shine.com/resume/download/?resumeid=gAAAAABbk2UKf0UVBafRDDrKADz5FvjTc9vaRN504D_XtPdiERoW5lMhlbJEG4fKTnhUseE6zXWRFwGhJ9NIeHzFjqS11EX8XezseVNf0QTn9wmHhJD0gF9RttWq0YQqv_cdbRVr0pBoyo1ILseD20PJau3e5JUeoiICRh7Htcz246Q3a5Dfpe8=</v>
      </c>
    </row>
    <row r="864" spans="1:25" ht="39.950000000000003" customHeight="1">
      <c r="A864">
        <v>860</v>
      </c>
      <c r="B864" t="s">
        <v>7890</v>
      </c>
      <c r="D864" t="s">
        <v>7891</v>
      </c>
      <c r="E864" t="s">
        <v>7892</v>
      </c>
      <c r="F864" t="s">
        <v>29</v>
      </c>
      <c r="G864" t="s">
        <v>29</v>
      </c>
      <c r="H864" t="s">
        <v>31</v>
      </c>
      <c r="I864" t="s">
        <v>3981</v>
      </c>
      <c r="J864" t="s">
        <v>2701</v>
      </c>
      <c r="K864" t="s">
        <v>7893</v>
      </c>
      <c r="L864" t="s">
        <v>155</v>
      </c>
      <c r="M864" t="s">
        <v>105</v>
      </c>
      <c r="N864" t="s">
        <v>7894</v>
      </c>
      <c r="O864" t="s">
        <v>186</v>
      </c>
      <c r="P864" t="s">
        <v>57</v>
      </c>
      <c r="Q864" t="s">
        <v>158</v>
      </c>
      <c r="R864" t="s">
        <v>341</v>
      </c>
      <c r="S864" t="s">
        <v>7895</v>
      </c>
      <c r="T864" t="s">
        <v>1861</v>
      </c>
      <c r="U864" t="s">
        <v>43</v>
      </c>
      <c r="V864" t="s">
        <v>7896</v>
      </c>
      <c r="W864" t="s">
        <v>7897</v>
      </c>
      <c r="Y864" t="str">
        <f>HYPERLINK("https://recruiter.shine.com/resume/download/?resumeid=gAAAAABbk2UMlX7VIa9ZZvHDtgK52J8ies-Od7QLvto-msUI2qUfArXToaPnMcUny9_6iUuuO2OswQxxdL7HH04CSBS63lFTBBrZAkY2VX7vbpT0ivKUllIFBg9_yJSzYTm5t7obS7E_CNiYiE6-vcIz2-cAxk9sp_Ri3V44DPGQKMzt6vi8Um4=")</f>
        <v>https://recruiter.shine.com/resume/download/?resumeid=gAAAAABbk2UMlX7VIa9ZZvHDtgK52J8ies-Od7QLvto-msUI2qUfArXToaPnMcUny9_6iUuuO2OswQxxdL7HH04CSBS63lFTBBrZAkY2VX7vbpT0ivKUllIFBg9_yJSzYTm5t7obS7E_CNiYiE6-vcIz2-cAxk9sp_Ri3V44DPGQKMzt6vi8Um4=</v>
      </c>
    </row>
    <row r="865" spans="1:25" ht="39.950000000000003" customHeight="1">
      <c r="A865">
        <v>861</v>
      </c>
      <c r="B865" t="s">
        <v>7898</v>
      </c>
      <c r="C865" t="s">
        <v>7899</v>
      </c>
      <c r="D865" t="s">
        <v>7900</v>
      </c>
      <c r="E865" t="s">
        <v>7901</v>
      </c>
      <c r="F865" t="s">
        <v>29</v>
      </c>
      <c r="G865" t="s">
        <v>3425</v>
      </c>
      <c r="H865" t="s">
        <v>234</v>
      </c>
      <c r="I865" t="s">
        <v>825</v>
      </c>
      <c r="J865" t="s">
        <v>531</v>
      </c>
      <c r="K865" t="s">
        <v>7902</v>
      </c>
      <c r="L865" t="s">
        <v>3391</v>
      </c>
      <c r="M865" t="s">
        <v>1755</v>
      </c>
      <c r="N865" t="s">
        <v>7903</v>
      </c>
      <c r="O865" t="s">
        <v>1041</v>
      </c>
      <c r="P865" t="s">
        <v>940</v>
      </c>
      <c r="Q865" t="s">
        <v>41</v>
      </c>
      <c r="R865" t="s">
        <v>7904</v>
      </c>
      <c r="S865" t="s">
        <v>7905</v>
      </c>
      <c r="T865" t="s">
        <v>227</v>
      </c>
      <c r="U865" t="s">
        <v>43</v>
      </c>
      <c r="V865" t="s">
        <v>7906</v>
      </c>
      <c r="W865" t="s">
        <v>7907</v>
      </c>
      <c r="Y865" t="str">
        <f>HYPERLINK("https://recruiter.shine.com/resume/download/?resumeid=gAAAAABbk2UOMsB1tO5PlnUqMQ9HTgFW0iqbzbTuQj7fU6lg1vKvYryW4mzvASJjz36_u8s6mnWMkcbLIh0tD5b--zUGGickM1F6Jg3CiEKGDT9vb7dOb13hg8MAOrTi6vh2xfcS2Swv2psRN_dzQaJGCJMtlBfbrDchAl315LfHZ9Eph-2QfuE=")</f>
        <v>https://recruiter.shine.com/resume/download/?resumeid=gAAAAABbk2UOMsB1tO5PlnUqMQ9HTgFW0iqbzbTuQj7fU6lg1vKvYryW4mzvASJjz36_u8s6mnWMkcbLIh0tD5b--zUGGickM1F6Jg3CiEKGDT9vb7dOb13hg8MAOrTi6vh2xfcS2Swv2psRN_dzQaJGCJMtlBfbrDchAl315LfHZ9Eph-2QfuE=</v>
      </c>
    </row>
    <row r="866" spans="1:25" ht="39.950000000000003" customHeight="1">
      <c r="A866">
        <v>862</v>
      </c>
      <c r="B866" t="s">
        <v>7908</v>
      </c>
      <c r="C866" t="s">
        <v>5402</v>
      </c>
      <c r="D866" t="s">
        <v>7909</v>
      </c>
      <c r="E866" t="s">
        <v>7910</v>
      </c>
      <c r="F866" t="s">
        <v>29</v>
      </c>
      <c r="G866" t="s">
        <v>29</v>
      </c>
      <c r="H866" t="s">
        <v>31</v>
      </c>
      <c r="I866" t="s">
        <v>250</v>
      </c>
      <c r="J866" t="s">
        <v>1144</v>
      </c>
      <c r="K866" t="s">
        <v>7911</v>
      </c>
      <c r="L866" t="s">
        <v>184</v>
      </c>
      <c r="M866" t="s">
        <v>238</v>
      </c>
      <c r="N866" t="s">
        <v>7912</v>
      </c>
      <c r="O866" t="s">
        <v>186</v>
      </c>
      <c r="P866" t="s">
        <v>39</v>
      </c>
      <c r="Q866" t="s">
        <v>90</v>
      </c>
      <c r="R866" t="s">
        <v>292</v>
      </c>
      <c r="S866" t="s">
        <v>7913</v>
      </c>
      <c r="T866" t="s">
        <v>625</v>
      </c>
      <c r="U866" t="s">
        <v>43</v>
      </c>
      <c r="V866" t="s">
        <v>7914</v>
      </c>
      <c r="W866" t="s">
        <v>7915</v>
      </c>
      <c r="Y866" t="str">
        <f>HYPERLINK("https://recruiter.shine.com/resume/download/?resumeid=gAAAAABbk2UKUHZauM_RlPiqoJa3lD2KC4EOWbJKr-wktCB-wucy44DTir9dm3l0k5yddCRzl86oOd9n1ENoR6AtgWVpM6ziDuKcDtweLoYt9lCupO_CDm3oEU-sBgxwZBHOdsH8lh4YIKq2E7UbpF82STClLW7HUzC9wfld6NpxsecyLeMHGLA=")</f>
        <v>https://recruiter.shine.com/resume/download/?resumeid=gAAAAABbk2UKUHZauM_RlPiqoJa3lD2KC4EOWbJKr-wktCB-wucy44DTir9dm3l0k5yddCRzl86oOd9n1ENoR6AtgWVpM6ziDuKcDtweLoYt9lCupO_CDm3oEU-sBgxwZBHOdsH8lh4YIKq2E7UbpF82STClLW7HUzC9wfld6NpxsecyLeMHGLA=</v>
      </c>
    </row>
    <row r="867" spans="1:25" ht="39.950000000000003" customHeight="1">
      <c r="A867">
        <v>863</v>
      </c>
      <c r="B867" t="s">
        <v>7916</v>
      </c>
      <c r="C867" t="s">
        <v>7917</v>
      </c>
      <c r="D867" t="s">
        <v>7918</v>
      </c>
      <c r="E867" t="s">
        <v>7919</v>
      </c>
      <c r="F867" t="s">
        <v>29</v>
      </c>
      <c r="G867" t="s">
        <v>29</v>
      </c>
      <c r="H867" t="s">
        <v>31</v>
      </c>
      <c r="I867" t="s">
        <v>714</v>
      </c>
      <c r="J867" t="s">
        <v>580</v>
      </c>
      <c r="K867" t="s">
        <v>7920</v>
      </c>
      <c r="L867" t="s">
        <v>596</v>
      </c>
      <c r="M867" t="s">
        <v>36</v>
      </c>
      <c r="N867" t="s">
        <v>7921</v>
      </c>
      <c r="O867" t="s">
        <v>3052</v>
      </c>
      <c r="P867" t="s">
        <v>201</v>
      </c>
      <c r="Q867" t="s">
        <v>158</v>
      </c>
      <c r="R867" t="s">
        <v>559</v>
      </c>
      <c r="S867" t="s">
        <v>7922</v>
      </c>
      <c r="T867" t="s">
        <v>61</v>
      </c>
      <c r="U867" t="s">
        <v>43</v>
      </c>
      <c r="V867" t="s">
        <v>7923</v>
      </c>
      <c r="W867" t="s">
        <v>7924</v>
      </c>
      <c r="Y867" t="str">
        <f>HYPERLINK("https://recruiter.shine.com/resume/download/?resumeid=gAAAAABbk2UMkmlyZ8G3PmhCFyXbij2UWLGxW7pdzWANHr2TDZZdNQobGyd93WliB13JlbelzuTxY6kceS9g7fKokDHPZqGqC7sFjT45P4_rGIVRJ4KeaIA7zcy-n0Ko8iw_9gQQ4FharmGg2SIbXExQyO5bvaLSkwb0DcWB1u9KMztSgepnAC0=")</f>
        <v>https://recruiter.shine.com/resume/download/?resumeid=gAAAAABbk2UMkmlyZ8G3PmhCFyXbij2UWLGxW7pdzWANHr2TDZZdNQobGyd93WliB13JlbelzuTxY6kceS9g7fKokDHPZqGqC7sFjT45P4_rGIVRJ4KeaIA7zcy-n0Ko8iw_9gQQ4FharmGg2SIbXExQyO5bvaLSkwb0DcWB1u9KMztSgepnAC0=</v>
      </c>
    </row>
    <row r="868" spans="1:25" ht="39.950000000000003" customHeight="1">
      <c r="A868">
        <v>864</v>
      </c>
      <c r="B868" t="s">
        <v>7925</v>
      </c>
      <c r="C868" t="s">
        <v>7926</v>
      </c>
      <c r="D868" t="s">
        <v>7927</v>
      </c>
      <c r="E868" t="s">
        <v>7928</v>
      </c>
      <c r="F868" t="s">
        <v>29</v>
      </c>
      <c r="G868" t="s">
        <v>67</v>
      </c>
      <c r="H868" t="s">
        <v>234</v>
      </c>
      <c r="I868" t="s">
        <v>1038</v>
      </c>
      <c r="J868" t="s">
        <v>5799</v>
      </c>
      <c r="K868" t="s">
        <v>7929</v>
      </c>
      <c r="L868" t="s">
        <v>290</v>
      </c>
      <c r="M868" t="s">
        <v>238</v>
      </c>
      <c r="N868" t="s">
        <v>7930</v>
      </c>
      <c r="O868" t="s">
        <v>56</v>
      </c>
      <c r="P868" t="s">
        <v>39</v>
      </c>
      <c r="Q868" t="s">
        <v>489</v>
      </c>
      <c r="R868" t="s">
        <v>292</v>
      </c>
      <c r="S868" t="s">
        <v>7931</v>
      </c>
      <c r="T868" t="s">
        <v>415</v>
      </c>
      <c r="U868" t="s">
        <v>43</v>
      </c>
      <c r="V868" t="s">
        <v>7932</v>
      </c>
      <c r="W868" t="s">
        <v>7932</v>
      </c>
      <c r="Y868" t="str">
        <f>HYPERLINK("https://recruiter.shine.com/resume/download/?resumeid=gAAAAABbk2UOqJcJJosGxrci74ox6aWQ4-IYKs1Noq71PrJmCacOqKL2d8ciouOfdIw-Xw6bBwznkY0KSq7Dl1yzmxiDnRxdD1HzZPIDZ3PJqdKD0u1rgVwXh2YTKb1SF0DJmpKJ_WqHirSAk8dJQCw_YN2Icc7Rxg==")</f>
        <v>https://recruiter.shine.com/resume/download/?resumeid=gAAAAABbk2UOqJcJJosGxrci74ox6aWQ4-IYKs1Noq71PrJmCacOqKL2d8ciouOfdIw-Xw6bBwznkY0KSq7Dl1yzmxiDnRxdD1HzZPIDZ3PJqdKD0u1rgVwXh2YTKb1SF0DJmpKJ_WqHirSAk8dJQCw_YN2Icc7Rxg==</v>
      </c>
    </row>
    <row r="869" spans="1:25" ht="39.950000000000003" customHeight="1">
      <c r="A869">
        <v>865</v>
      </c>
      <c r="B869" t="s">
        <v>7933</v>
      </c>
      <c r="C869" t="s">
        <v>7934</v>
      </c>
      <c r="D869" t="s">
        <v>7935</v>
      </c>
      <c r="E869" t="s">
        <v>7936</v>
      </c>
      <c r="F869" t="s">
        <v>29</v>
      </c>
      <c r="G869" t="s">
        <v>7937</v>
      </c>
      <c r="H869" t="s">
        <v>31</v>
      </c>
      <c r="I869" t="s">
        <v>3365</v>
      </c>
      <c r="J869" t="s">
        <v>1294</v>
      </c>
      <c r="K869" t="s">
        <v>7938</v>
      </c>
      <c r="L869" t="s">
        <v>199</v>
      </c>
      <c r="M869" t="s">
        <v>105</v>
      </c>
      <c r="N869" t="s">
        <v>7939</v>
      </c>
      <c r="O869" t="s">
        <v>224</v>
      </c>
      <c r="P869" t="s">
        <v>57</v>
      </c>
      <c r="Q869" t="s">
        <v>90</v>
      </c>
      <c r="R869" t="s">
        <v>317</v>
      </c>
      <c r="S869" t="s">
        <v>7940</v>
      </c>
      <c r="T869" t="s">
        <v>415</v>
      </c>
      <c r="U869" t="s">
        <v>127</v>
      </c>
      <c r="V869" t="s">
        <v>7941</v>
      </c>
      <c r="W869" t="s">
        <v>7942</v>
      </c>
      <c r="Y869" t="str">
        <f>HYPERLINK("https://recruiter.shine.com/resume/download/?resumeid=gAAAAABbk2UKWHskuHaoo6VdEsYzzWEAR3UQCw8qPfyxdo5_z_GpzIaNlb66RWLwQXmjpRLSASSIqJ89-CqgqGcvfzltpb3sdPp5auUGD7Lc7p05wI0BYnRgcnLUhT3NTIIsBiBLa-eHVnrfvzWCrygxPITTv9tV0w==")</f>
        <v>https://recruiter.shine.com/resume/download/?resumeid=gAAAAABbk2UKWHskuHaoo6VdEsYzzWEAR3UQCw8qPfyxdo5_z_GpzIaNlb66RWLwQXmjpRLSASSIqJ89-CqgqGcvfzltpb3sdPp5auUGD7Lc7p05wI0BYnRgcnLUhT3NTIIsBiBLa-eHVnrfvzWCrygxPITTv9tV0w==</v>
      </c>
    </row>
    <row r="870" spans="1:25" ht="39.950000000000003" customHeight="1">
      <c r="A870">
        <v>866</v>
      </c>
      <c r="B870" t="s">
        <v>7943</v>
      </c>
      <c r="C870" t="s">
        <v>629</v>
      </c>
      <c r="D870" t="s">
        <v>7944</v>
      </c>
      <c r="E870" t="s">
        <v>7945</v>
      </c>
      <c r="F870" t="s">
        <v>29</v>
      </c>
      <c r="G870" t="s">
        <v>29</v>
      </c>
      <c r="H870" t="s">
        <v>31</v>
      </c>
      <c r="I870" t="s">
        <v>5113</v>
      </c>
      <c r="J870" t="s">
        <v>7051</v>
      </c>
      <c r="K870" t="s">
        <v>1167</v>
      </c>
      <c r="L870" t="s">
        <v>88</v>
      </c>
      <c r="M870" t="s">
        <v>105</v>
      </c>
      <c r="N870" t="s">
        <v>7946</v>
      </c>
      <c r="O870" t="s">
        <v>1245</v>
      </c>
      <c r="P870" t="s">
        <v>39</v>
      </c>
      <c r="Q870" t="s">
        <v>412</v>
      </c>
      <c r="R870" t="s">
        <v>41</v>
      </c>
      <c r="S870" t="s">
        <v>7947</v>
      </c>
      <c r="T870" t="s">
        <v>625</v>
      </c>
      <c r="U870" t="s">
        <v>127</v>
      </c>
      <c r="V870" t="s">
        <v>7948</v>
      </c>
      <c r="W870" t="s">
        <v>7949</v>
      </c>
      <c r="Y870" t="str">
        <f>HYPERLINK("https://recruiter.shine.com/resume/download/?resumeid=gAAAAABbk2UMS190-up1ifo4C9swiiVhRJ2T_brOfg_Y-V7nVXoYk3fgujStewOjwDRJTZQ6RD6Y_AVk3-bkidwpWtcr755CCCiR8BxC859Jxl1ekxyv9wyv_j4AG-foJOSWfBS2Mv7DcIoYl772awG_jhwXlzaCQ6BEkjrR8fvXRBGMEO2K_JU=")</f>
        <v>https://recruiter.shine.com/resume/download/?resumeid=gAAAAABbk2UMS190-up1ifo4C9swiiVhRJ2T_brOfg_Y-V7nVXoYk3fgujStewOjwDRJTZQ6RD6Y_AVk3-bkidwpWtcr755CCCiR8BxC859Jxl1ekxyv9wyv_j4AG-foJOSWfBS2Mv7DcIoYl772awG_jhwXlzaCQ6BEkjrR8fvXRBGMEO2K_JU=</v>
      </c>
    </row>
    <row r="871" spans="1:25" ht="39.950000000000003" customHeight="1">
      <c r="A871">
        <v>867</v>
      </c>
      <c r="B871" t="s">
        <v>7950</v>
      </c>
      <c r="D871" t="s">
        <v>7951</v>
      </c>
      <c r="E871" t="s">
        <v>7952</v>
      </c>
      <c r="F871" t="s">
        <v>29</v>
      </c>
      <c r="G871" t="s">
        <v>67</v>
      </c>
      <c r="H871" t="s">
        <v>234</v>
      </c>
      <c r="I871" t="s">
        <v>362</v>
      </c>
      <c r="J871" t="s">
        <v>135</v>
      </c>
      <c r="L871" t="s">
        <v>363</v>
      </c>
      <c r="M871" t="s">
        <v>364</v>
      </c>
      <c r="Q871" t="s">
        <v>158</v>
      </c>
      <c r="R871" t="s">
        <v>7953</v>
      </c>
      <c r="S871" t="s">
        <v>7954</v>
      </c>
      <c r="T871" t="s">
        <v>126</v>
      </c>
      <c r="U871" t="s">
        <v>127</v>
      </c>
      <c r="V871" t="s">
        <v>7955</v>
      </c>
      <c r="W871" t="s">
        <v>7956</v>
      </c>
      <c r="Y871" t="str">
        <f>HYPERLINK("https://recruiter.shine.com/resume/download/?resumeid=gAAAAABbk2UNeghLbl3M0zst3NJR-8JBhHnYpa4KNAis-CbwjX-yQ6crSAgtIwrUgzChQ7vdOXHe58OsZ5gxs2d1endI1JcacLKDTOInjvUdKM7hYT8DGfa_68LcODS54d2CCaCnq-BwF14qk1oYSUk_AePFC3THlba0qh7iUsnZb-Q217jDhos=")</f>
        <v>https://recruiter.shine.com/resume/download/?resumeid=gAAAAABbk2UNeghLbl3M0zst3NJR-8JBhHnYpa4KNAis-CbwjX-yQ6crSAgtIwrUgzChQ7vdOXHe58OsZ5gxs2d1endI1JcacLKDTOInjvUdKM7hYT8DGfa_68LcODS54d2CCaCnq-BwF14qk1oYSUk_AePFC3THlba0qh7iUsnZb-Q217jDhos=</v>
      </c>
    </row>
    <row r="872" spans="1:25" ht="39.950000000000003" customHeight="1">
      <c r="A872">
        <v>868</v>
      </c>
      <c r="B872" t="s">
        <v>7957</v>
      </c>
      <c r="C872" t="s">
        <v>7958</v>
      </c>
      <c r="D872" t="s">
        <v>7959</v>
      </c>
      <c r="E872" t="s">
        <v>7960</v>
      </c>
      <c r="F872" t="s">
        <v>29</v>
      </c>
      <c r="G872" t="s">
        <v>7961</v>
      </c>
      <c r="H872" t="s">
        <v>31</v>
      </c>
      <c r="I872" t="s">
        <v>2025</v>
      </c>
      <c r="J872" t="s">
        <v>517</v>
      </c>
      <c r="K872" t="s">
        <v>595</v>
      </c>
      <c r="L872" t="s">
        <v>184</v>
      </c>
      <c r="M872" t="s">
        <v>238</v>
      </c>
      <c r="N872" t="s">
        <v>7962</v>
      </c>
      <c r="O872" t="s">
        <v>585</v>
      </c>
      <c r="P872" t="s">
        <v>39</v>
      </c>
      <c r="Q872" t="s">
        <v>90</v>
      </c>
      <c r="R872" t="s">
        <v>292</v>
      </c>
      <c r="S872" t="s">
        <v>7963</v>
      </c>
      <c r="T872" t="s">
        <v>61</v>
      </c>
      <c r="U872" t="s">
        <v>43</v>
      </c>
      <c r="V872" t="s">
        <v>7964</v>
      </c>
      <c r="W872" t="s">
        <v>7965</v>
      </c>
      <c r="Y872" t="str">
        <f>HYPERLINK("https://recruiter.shine.com/resume/download/?resumeid=gAAAAABbk2UKwJIotp485uql1rvYR5xKdSUa46yGOwLfr1wBVkT1iNx1wajSGKAHQ7_Ao9YmCgN3JRlaIQgCvKZMBomdBJoJ0YKHGa95ctFHz3R8ZPiEsKEP7dlBOrJ17gHuFz4qrzhXiBa8QtMIidcLO458pqv8IoXEK_DoOf-Jil597NNNM48=")</f>
        <v>https://recruiter.shine.com/resume/download/?resumeid=gAAAAABbk2UKwJIotp485uql1rvYR5xKdSUa46yGOwLfr1wBVkT1iNx1wajSGKAHQ7_Ao9YmCgN3JRlaIQgCvKZMBomdBJoJ0YKHGa95ctFHz3R8ZPiEsKEP7dlBOrJ17gHuFz4qrzhXiBa8QtMIidcLO458pqv8IoXEK_DoOf-Jil597NNNM48=</v>
      </c>
    </row>
    <row r="873" spans="1:25" ht="39.950000000000003" customHeight="1">
      <c r="A873">
        <v>869</v>
      </c>
      <c r="B873" t="s">
        <v>7966</v>
      </c>
      <c r="C873" t="s">
        <v>7967</v>
      </c>
      <c r="D873" t="s">
        <v>7968</v>
      </c>
      <c r="E873" t="s">
        <v>7969</v>
      </c>
      <c r="F873" t="s">
        <v>29</v>
      </c>
      <c r="G873" t="s">
        <v>2129</v>
      </c>
      <c r="H873" t="s">
        <v>31</v>
      </c>
      <c r="I873" t="s">
        <v>7970</v>
      </c>
      <c r="J873" t="s">
        <v>1742</v>
      </c>
      <c r="K873" t="s">
        <v>1167</v>
      </c>
      <c r="L873" t="s">
        <v>664</v>
      </c>
      <c r="M873" t="s">
        <v>36</v>
      </c>
      <c r="N873" t="s">
        <v>7971</v>
      </c>
      <c r="O873" t="s">
        <v>186</v>
      </c>
      <c r="P873" t="s">
        <v>940</v>
      </c>
      <c r="Q873" t="s">
        <v>158</v>
      </c>
      <c r="R873" t="s">
        <v>225</v>
      </c>
      <c r="S873" t="s">
        <v>7972</v>
      </c>
      <c r="T873" t="s">
        <v>761</v>
      </c>
      <c r="U873" t="s">
        <v>43</v>
      </c>
      <c r="V873" t="s">
        <v>7973</v>
      </c>
      <c r="W873" t="s">
        <v>7974</v>
      </c>
      <c r="Y873" t="str">
        <f>HYPERLINK("https://recruiter.shine.com/resume/download/?resumeid=gAAAAABbk2UNzHIjDQkqkytJ9_VIbn5LTpu_NmDaTkFycE59WbkoYvaeNmo175GbitXaV-Kb8SrcO0ytfLTc6O-SMXItsqKgDw1cpDyJHfrWm8CrRNEAYb-5brfxTbb3pcT26YB7VRxn")</f>
        <v>https://recruiter.shine.com/resume/download/?resumeid=gAAAAABbk2UNzHIjDQkqkytJ9_VIbn5LTpu_NmDaTkFycE59WbkoYvaeNmo175GbitXaV-Kb8SrcO0ytfLTc6O-SMXItsqKgDw1cpDyJHfrWm8CrRNEAYb-5brfxTbb3pcT26YB7VRxn</v>
      </c>
    </row>
    <row r="874" spans="1:25" ht="39.950000000000003" customHeight="1">
      <c r="A874">
        <v>870</v>
      </c>
      <c r="B874" t="s">
        <v>7975</v>
      </c>
      <c r="D874" t="s">
        <v>7976</v>
      </c>
      <c r="E874" t="s">
        <v>7977</v>
      </c>
      <c r="F874" t="s">
        <v>29</v>
      </c>
      <c r="G874" t="s">
        <v>29</v>
      </c>
      <c r="H874" t="s">
        <v>31</v>
      </c>
      <c r="I874" t="s">
        <v>905</v>
      </c>
      <c r="J874" t="s">
        <v>861</v>
      </c>
      <c r="K874" t="s">
        <v>7978</v>
      </c>
      <c r="L874" t="s">
        <v>266</v>
      </c>
      <c r="M874" t="s">
        <v>105</v>
      </c>
      <c r="N874" t="s">
        <v>7979</v>
      </c>
      <c r="O874" t="s">
        <v>38</v>
      </c>
      <c r="P874" t="s">
        <v>57</v>
      </c>
      <c r="Q874" t="s">
        <v>107</v>
      </c>
      <c r="R874" t="s">
        <v>341</v>
      </c>
      <c r="S874" t="s">
        <v>7980</v>
      </c>
      <c r="T874" t="s">
        <v>429</v>
      </c>
      <c r="U874" t="s">
        <v>43</v>
      </c>
      <c r="V874" t="s">
        <v>7981</v>
      </c>
      <c r="W874" t="s">
        <v>7982</v>
      </c>
      <c r="Y874" t="str">
        <f>HYPERLINK("https://recruiter.shine.com/resume/download/?resumeid=gAAAAABbk2UOA46lKf2ooJdkuJD3EbsS-l-LdKHqheiZ9dbM5iPwrLAfPcjJqWGZAVdey3KAonoWWRp8BwTc0dUbp1mQm9YJkOkEdP6SqlxoBmddeRt3_wduMHewC20UQgTex1ONMjFVWgFTcUEunqyM1ZvVkMJAdjWnwWErXfs9c3Ai4kXpzhM=")</f>
        <v>https://recruiter.shine.com/resume/download/?resumeid=gAAAAABbk2UOA46lKf2ooJdkuJD3EbsS-l-LdKHqheiZ9dbM5iPwrLAfPcjJqWGZAVdey3KAonoWWRp8BwTc0dUbp1mQm9YJkOkEdP6SqlxoBmddeRt3_wduMHewC20UQgTex1ONMjFVWgFTcUEunqyM1ZvVkMJAdjWnwWErXfs9c3Ai4kXpzhM=</v>
      </c>
    </row>
    <row r="875" spans="1:25" ht="39.950000000000003" customHeight="1">
      <c r="A875">
        <v>871</v>
      </c>
      <c r="B875" t="s">
        <v>7983</v>
      </c>
      <c r="C875" t="s">
        <v>7984</v>
      </c>
      <c r="D875" t="s">
        <v>7985</v>
      </c>
      <c r="E875" t="s">
        <v>7986</v>
      </c>
      <c r="F875" t="s">
        <v>29</v>
      </c>
      <c r="G875" t="s">
        <v>406</v>
      </c>
      <c r="H875" t="s">
        <v>31</v>
      </c>
      <c r="I875" t="s">
        <v>7987</v>
      </c>
      <c r="J875" t="s">
        <v>7988</v>
      </c>
      <c r="K875" t="s">
        <v>7989</v>
      </c>
      <c r="L875" t="s">
        <v>606</v>
      </c>
      <c r="M875" t="s">
        <v>339</v>
      </c>
      <c r="N875" t="s">
        <v>7990</v>
      </c>
      <c r="O875" t="s">
        <v>56</v>
      </c>
      <c r="P875" t="s">
        <v>73</v>
      </c>
      <c r="Q875" t="s">
        <v>158</v>
      </c>
      <c r="R875" t="s">
        <v>559</v>
      </c>
      <c r="S875" t="s">
        <v>7991</v>
      </c>
      <c r="T875" t="s">
        <v>687</v>
      </c>
      <c r="U875" t="s">
        <v>43</v>
      </c>
      <c r="V875" t="s">
        <v>7992</v>
      </c>
      <c r="W875" t="s">
        <v>7993</v>
      </c>
      <c r="Y875" t="str">
        <f>HYPERLINK("https://recruiter.shine.com/resume/download/?resumeid=gAAAAABbk2UKbah6Sco1A7nXICTOTHtiNQWFn5FeApneudDbk0dZnf9-rgKzxji3pvl3S8nEHMpkfyGoLGOeqc3L2SkRTlNfPSzAp25j8d6wdgKCY7naiAOe4tNfU1PuIvHBDhbhMwe4uaJ2G-DiF7sa_4VUYQM95t19PE3pbX2n71Xc51cpHIo=")</f>
        <v>https://recruiter.shine.com/resume/download/?resumeid=gAAAAABbk2UKbah6Sco1A7nXICTOTHtiNQWFn5FeApneudDbk0dZnf9-rgKzxji3pvl3S8nEHMpkfyGoLGOeqc3L2SkRTlNfPSzAp25j8d6wdgKCY7naiAOe4tNfU1PuIvHBDhbhMwe4uaJ2G-DiF7sa_4VUYQM95t19PE3pbX2n71Xc51cpHIo=</v>
      </c>
    </row>
    <row r="876" spans="1:25" ht="39.950000000000003" customHeight="1">
      <c r="A876">
        <v>872</v>
      </c>
      <c r="B876" t="s">
        <v>7994</v>
      </c>
      <c r="D876" t="s">
        <v>7995</v>
      </c>
      <c r="E876" t="s">
        <v>7996</v>
      </c>
      <c r="F876" t="s">
        <v>7997</v>
      </c>
      <c r="G876" t="s">
        <v>7998</v>
      </c>
      <c r="H876" t="s">
        <v>31</v>
      </c>
      <c r="I876" t="s">
        <v>714</v>
      </c>
      <c r="J876" t="s">
        <v>336</v>
      </c>
      <c r="K876" t="s">
        <v>7999</v>
      </c>
      <c r="L876" t="s">
        <v>290</v>
      </c>
      <c r="M876" t="s">
        <v>238</v>
      </c>
      <c r="N876" t="s">
        <v>8000</v>
      </c>
      <c r="O876" t="s">
        <v>1041</v>
      </c>
      <c r="Q876" t="s">
        <v>240</v>
      </c>
      <c r="R876" t="s">
        <v>241</v>
      </c>
      <c r="S876" t="s">
        <v>8001</v>
      </c>
      <c r="T876" t="s">
        <v>161</v>
      </c>
      <c r="U876" t="s">
        <v>43</v>
      </c>
      <c r="V876" t="s">
        <v>8002</v>
      </c>
      <c r="W876" t="s">
        <v>8002</v>
      </c>
      <c r="Y876" t="str">
        <f>HYPERLINK("https://recruiter.shine.com/resume/download/?resumeid=gAAAAABbk2UNnRdFYt4yLGTSUvjJMQt7SH5Yf0a-pRLc4bbZyq5Dg282vHzZPAIOeX57q8tSNMEx60GR6WpwdgQQviYFm8YyVd8VD7CUfj326B3u7YZLBnj7IQ2nFwKh87Fm1s_5tWmnn1hPlod9ZNTJvJExprsTDCo_amh4wrNMIghtQ7zfpH0=")</f>
        <v>https://recruiter.shine.com/resume/download/?resumeid=gAAAAABbk2UNnRdFYt4yLGTSUvjJMQt7SH5Yf0a-pRLc4bbZyq5Dg282vHzZPAIOeX57q8tSNMEx60GR6WpwdgQQviYFm8YyVd8VD7CUfj326B3u7YZLBnj7IQ2nFwKh87Fm1s_5tWmnn1hPlod9ZNTJvJExprsTDCo_amh4wrNMIghtQ7zfpH0=</v>
      </c>
    </row>
    <row r="877" spans="1:25" ht="39.950000000000003" customHeight="1">
      <c r="A877">
        <v>873</v>
      </c>
      <c r="B877" t="s">
        <v>8003</v>
      </c>
      <c r="C877" t="s">
        <v>8004</v>
      </c>
      <c r="D877" t="s">
        <v>8005</v>
      </c>
      <c r="E877" t="s">
        <v>8006</v>
      </c>
      <c r="F877" t="s">
        <v>858</v>
      </c>
      <c r="G877" t="s">
        <v>6411</v>
      </c>
      <c r="H877" t="s">
        <v>31</v>
      </c>
      <c r="I877" t="s">
        <v>362</v>
      </c>
      <c r="J877" t="s">
        <v>135</v>
      </c>
      <c r="L877" t="s">
        <v>363</v>
      </c>
      <c r="M877" t="s">
        <v>364</v>
      </c>
      <c r="Q877" t="s">
        <v>365</v>
      </c>
      <c r="R877" t="s">
        <v>124</v>
      </c>
      <c r="S877" t="s">
        <v>188</v>
      </c>
      <c r="T877" t="s">
        <v>304</v>
      </c>
      <c r="U877" t="s">
        <v>127</v>
      </c>
      <c r="V877" t="s">
        <v>8007</v>
      </c>
      <c r="W877" t="s">
        <v>8008</v>
      </c>
      <c r="Y877" t="str">
        <f>HYPERLINK("https://recruiter.shine.com/resume/download/?resumeid=gAAAAABbk2UNOuJ2j1ZpxZR9wjKbgzZlO2rhicqVPPKHaCUeO_lmF2KPazfnsF12lJGzpus4JQSpvYZwFb6f0mGRKfcvAKuiofK0qRyzUxA3G9L2K7ER0ZVVSgK2PvzdwJiX52nPXfT9upuFHu2aPATSdJECh8chBJzwo6qQ2qQ15wkbEPwkByQ=")</f>
        <v>https://recruiter.shine.com/resume/download/?resumeid=gAAAAABbk2UNOuJ2j1ZpxZR9wjKbgzZlO2rhicqVPPKHaCUeO_lmF2KPazfnsF12lJGzpus4JQSpvYZwFb6f0mGRKfcvAKuiofK0qRyzUxA3G9L2K7ER0ZVVSgK2PvzdwJiX52nPXfT9upuFHu2aPATSdJECh8chBJzwo6qQ2qQ15wkbEPwkByQ=</v>
      </c>
    </row>
    <row r="878" spans="1:25" ht="39.950000000000003" customHeight="1">
      <c r="A878">
        <v>874</v>
      </c>
      <c r="B878" t="s">
        <v>8009</v>
      </c>
      <c r="C878" t="s">
        <v>8010</v>
      </c>
      <c r="D878" t="s">
        <v>8011</v>
      </c>
      <c r="E878" t="s">
        <v>8012</v>
      </c>
      <c r="F878" t="s">
        <v>29</v>
      </c>
      <c r="G878" t="s">
        <v>29</v>
      </c>
      <c r="H878" t="s">
        <v>234</v>
      </c>
      <c r="I878" t="s">
        <v>8013</v>
      </c>
      <c r="J878" t="s">
        <v>6039</v>
      </c>
      <c r="K878" t="s">
        <v>8014</v>
      </c>
      <c r="L878" t="s">
        <v>199</v>
      </c>
      <c r="M878" t="s">
        <v>54</v>
      </c>
      <c r="N878" t="s">
        <v>8015</v>
      </c>
      <c r="O878" t="s">
        <v>157</v>
      </c>
      <c r="P878" t="s">
        <v>57</v>
      </c>
      <c r="Q878" t="s">
        <v>58</v>
      </c>
      <c r="R878" t="s">
        <v>2335</v>
      </c>
      <c r="S878" t="s">
        <v>8016</v>
      </c>
      <c r="T878" t="s">
        <v>304</v>
      </c>
      <c r="U878" t="s">
        <v>43</v>
      </c>
      <c r="V878" t="s">
        <v>8017</v>
      </c>
      <c r="W878" t="s">
        <v>8018</v>
      </c>
      <c r="Y878" t="str">
        <f>HYPERLINK("https://recruiter.shine.com/resume/download/?resumeid=gAAAAABbk2UKh8aHd_jQ4-Ep-P_4AL2oqb3PCl7vB1sgajDl1aOii04NWVwxx0oF6nrTOPDQ0T3pIb1-5qAAOZR1_sbDo5A4litfmU1LDlxVQbU40iZz4kAxnCdavGZvLDHBRRVGMEXZ5Y8McDsU3jwueHjx-W7QrWVF1f3Pe24dQT-a6vbNpTs=")</f>
        <v>https://recruiter.shine.com/resume/download/?resumeid=gAAAAABbk2UKh8aHd_jQ4-Ep-P_4AL2oqb3PCl7vB1sgajDl1aOii04NWVwxx0oF6nrTOPDQ0T3pIb1-5qAAOZR1_sbDo5A4litfmU1LDlxVQbU40iZz4kAxnCdavGZvLDHBRRVGMEXZ5Y8McDsU3jwueHjx-W7QrWVF1f3Pe24dQT-a6vbNpTs=</v>
      </c>
    </row>
    <row r="879" spans="1:25" ht="39.950000000000003" customHeight="1">
      <c r="A879">
        <v>875</v>
      </c>
      <c r="B879" t="s">
        <v>8019</v>
      </c>
      <c r="C879" t="s">
        <v>8020</v>
      </c>
      <c r="D879" t="s">
        <v>8021</v>
      </c>
      <c r="E879" t="s">
        <v>8022</v>
      </c>
      <c r="F879" t="s">
        <v>29</v>
      </c>
      <c r="G879" t="s">
        <v>67</v>
      </c>
      <c r="H879" t="s">
        <v>31</v>
      </c>
      <c r="I879" t="s">
        <v>3180</v>
      </c>
      <c r="J879" t="s">
        <v>8023</v>
      </c>
      <c r="K879" t="s">
        <v>5031</v>
      </c>
      <c r="L879" t="s">
        <v>199</v>
      </c>
      <c r="M879" t="s">
        <v>884</v>
      </c>
      <c r="N879" t="s">
        <v>8024</v>
      </c>
      <c r="O879" t="s">
        <v>1392</v>
      </c>
      <c r="P879" t="s">
        <v>39</v>
      </c>
      <c r="Q879" t="s">
        <v>158</v>
      </c>
      <c r="R879" t="s">
        <v>2346</v>
      </c>
      <c r="S879" t="s">
        <v>1456</v>
      </c>
      <c r="T879" t="s">
        <v>587</v>
      </c>
      <c r="U879" t="s">
        <v>43</v>
      </c>
      <c r="V879" t="s">
        <v>8025</v>
      </c>
      <c r="W879" t="s">
        <v>8026</v>
      </c>
      <c r="Y879" t="str">
        <f>HYPERLINK("https://recruiter.shine.com/resume/download/?resumeid=gAAAAABbk2UNlL0OzQmFYwjdvGoL0jaaUJxI7bYJUnwEzLWraaOpHrCQNEM_CeVT9JEQ5DVwbipsANUY3WCrGGJhybZipoK1bb3aQoD-RUmYSAqai7MnUduqPz1jouHlxgZ0u9vBSKR6nkJLYwV9uDc6ZymDaoqDXrwQ3jyj-TKVgJGAptljGjo=")</f>
        <v>https://recruiter.shine.com/resume/download/?resumeid=gAAAAABbk2UNlL0OzQmFYwjdvGoL0jaaUJxI7bYJUnwEzLWraaOpHrCQNEM_CeVT9JEQ5DVwbipsANUY3WCrGGJhybZipoK1bb3aQoD-RUmYSAqai7MnUduqPz1jouHlxgZ0u9vBSKR6nkJLYwV9uDc6ZymDaoqDXrwQ3jyj-TKVgJGAptljGjo=</v>
      </c>
    </row>
    <row r="880" spans="1:25" ht="39.950000000000003" customHeight="1">
      <c r="A880">
        <v>876</v>
      </c>
      <c r="B880" t="s">
        <v>8027</v>
      </c>
      <c r="D880" t="s">
        <v>8028</v>
      </c>
      <c r="E880" t="s">
        <v>8029</v>
      </c>
      <c r="F880" t="s">
        <v>29</v>
      </c>
      <c r="G880" t="s">
        <v>67</v>
      </c>
      <c r="H880" t="s">
        <v>31</v>
      </c>
      <c r="I880" t="s">
        <v>422</v>
      </c>
      <c r="J880" t="s">
        <v>8030</v>
      </c>
      <c r="K880" t="s">
        <v>1167</v>
      </c>
      <c r="L880" t="s">
        <v>88</v>
      </c>
      <c r="M880" t="s">
        <v>487</v>
      </c>
      <c r="N880" t="s">
        <v>8031</v>
      </c>
      <c r="O880" t="s">
        <v>38</v>
      </c>
      <c r="Q880" t="s">
        <v>90</v>
      </c>
      <c r="R880" t="s">
        <v>292</v>
      </c>
      <c r="S880" t="s">
        <v>8032</v>
      </c>
      <c r="T880" t="s">
        <v>429</v>
      </c>
      <c r="U880" t="s">
        <v>43</v>
      </c>
      <c r="V880" t="s">
        <v>8033</v>
      </c>
      <c r="W880" t="s">
        <v>8033</v>
      </c>
      <c r="Y880" t="str">
        <f>HYPERLINK("https://recruiter.shine.com/resume/download/?resumeid=gAAAAABbk2UNnkwOvVg5QKImQ-18xDLzEPJvvObK0-wPmM1nrs1YSQWwLuKH85cAqqssjIsbVq_Tn6OgxstUNu0mqtYHQ3XYcmmSxTBCwIDHSMu_ILwww7AzCAiWJ3ItRG0RlgUICKgTymdzSX1QD8TucP_0vcUmCNOBWrnIU1fNCsoKsuZBgJo=")</f>
        <v>https://recruiter.shine.com/resume/download/?resumeid=gAAAAABbk2UNnkwOvVg5QKImQ-18xDLzEPJvvObK0-wPmM1nrs1YSQWwLuKH85cAqqssjIsbVq_Tn6OgxstUNu0mqtYHQ3XYcmmSxTBCwIDHSMu_ILwww7AzCAiWJ3ItRG0RlgUICKgTymdzSX1QD8TucP_0vcUmCNOBWrnIU1fNCsoKsuZBgJo=</v>
      </c>
    </row>
    <row r="881" spans="1:25" ht="39.950000000000003" customHeight="1">
      <c r="A881">
        <v>877</v>
      </c>
      <c r="B881" t="s">
        <v>8034</v>
      </c>
      <c r="C881" t="s">
        <v>1520</v>
      </c>
      <c r="D881" t="s">
        <v>8035</v>
      </c>
      <c r="E881" t="s">
        <v>8036</v>
      </c>
      <c r="F881" t="s">
        <v>29</v>
      </c>
      <c r="G881" t="s">
        <v>8037</v>
      </c>
      <c r="H881" t="s">
        <v>31</v>
      </c>
      <c r="I881" t="s">
        <v>825</v>
      </c>
      <c r="J881" t="s">
        <v>1742</v>
      </c>
      <c r="K881" t="s">
        <v>8038</v>
      </c>
      <c r="L881" t="s">
        <v>8039</v>
      </c>
      <c r="M881" t="s">
        <v>1124</v>
      </c>
      <c r="N881" t="s">
        <v>8040</v>
      </c>
      <c r="O881" t="s">
        <v>38</v>
      </c>
      <c r="P881" t="s">
        <v>57</v>
      </c>
      <c r="Q881" t="s">
        <v>40</v>
      </c>
      <c r="R881" t="s">
        <v>8041</v>
      </c>
      <c r="S881" t="s">
        <v>3963</v>
      </c>
      <c r="T881" t="s">
        <v>61</v>
      </c>
      <c r="U881" t="s">
        <v>127</v>
      </c>
      <c r="V881" t="s">
        <v>8042</v>
      </c>
      <c r="W881" t="s">
        <v>8043</v>
      </c>
      <c r="Y881" t="str">
        <f>HYPERLINK("https://recruiter.shine.com/resume/download/?resumeid=gAAAAABbk2ULL5xD_akEMIDEY3aPR4vqrsHa-NV10H2PDMXGzlWk6JL8QHkFPF2kh4ats3_T2898bY6SUElsSQrOzJZWkVbLBmAFn1VD9jGkShhNrcE9tHgYdiK_zTapkkfjnZnpgw45SrMwB2-y5J9gegqkDYDs218byl_ZYt-l2MEeufKYuss=")</f>
        <v>https://recruiter.shine.com/resume/download/?resumeid=gAAAAABbk2ULL5xD_akEMIDEY3aPR4vqrsHa-NV10H2PDMXGzlWk6JL8QHkFPF2kh4ats3_T2898bY6SUElsSQrOzJZWkVbLBmAFn1VD9jGkShhNrcE9tHgYdiK_zTapkkfjnZnpgw45SrMwB2-y5J9gegqkDYDs218byl_ZYt-l2MEeufKYuss=</v>
      </c>
    </row>
    <row r="882" spans="1:25" ht="39.950000000000003" customHeight="1">
      <c r="A882">
        <v>878</v>
      </c>
      <c r="B882" t="s">
        <v>8044</v>
      </c>
      <c r="C882" t="s">
        <v>8045</v>
      </c>
      <c r="D882" t="s">
        <v>8046</v>
      </c>
      <c r="E882" t="s">
        <v>8047</v>
      </c>
      <c r="F882" t="s">
        <v>29</v>
      </c>
      <c r="G882" t="s">
        <v>29</v>
      </c>
      <c r="H882" t="s">
        <v>31</v>
      </c>
      <c r="I882" t="s">
        <v>152</v>
      </c>
      <c r="J882" t="s">
        <v>8048</v>
      </c>
      <c r="K882" t="s">
        <v>8049</v>
      </c>
      <c r="L882" t="s">
        <v>8050</v>
      </c>
      <c r="M882" t="s">
        <v>2636</v>
      </c>
      <c r="N882" t="s">
        <v>8051</v>
      </c>
      <c r="O882" t="s">
        <v>572</v>
      </c>
      <c r="P882" t="s">
        <v>771</v>
      </c>
      <c r="Q882" t="s">
        <v>365</v>
      </c>
      <c r="R882" t="s">
        <v>41</v>
      </c>
      <c r="S882" t="s">
        <v>8052</v>
      </c>
      <c r="T882" t="s">
        <v>2358</v>
      </c>
      <c r="U882" t="s">
        <v>43</v>
      </c>
      <c r="V882" t="s">
        <v>8053</v>
      </c>
      <c r="W882" t="s">
        <v>8053</v>
      </c>
      <c r="Y882" t="str">
        <f>HYPERLINK("https://recruiter.shine.com/resume/download/?resumeid=gAAAAABbk2UMdNwhfrZgpJqA24FeRaiOSepz_4M-Gw4jWDREtz8KS3d2PckRDJOCX-FSY0Qz7XIjGjUFlGQSWG-A-zFdEIicz4vIRLNcbjRy7geCZvRKNwB6pJMg42Y52tdvYfeUXiYwP5yvT7Rs4Dif_9PDQx1XV9VfuJMRZ6_kJ6qCv_4UgDM=")</f>
        <v>https://recruiter.shine.com/resume/download/?resumeid=gAAAAABbk2UMdNwhfrZgpJqA24FeRaiOSepz_4M-Gw4jWDREtz8KS3d2PckRDJOCX-FSY0Qz7XIjGjUFlGQSWG-A-zFdEIicz4vIRLNcbjRy7geCZvRKNwB6pJMg42Y52tdvYfeUXiYwP5yvT7Rs4Dif_9PDQx1XV9VfuJMRZ6_kJ6qCv_4UgDM=</v>
      </c>
    </row>
    <row r="883" spans="1:25" ht="39.950000000000003" customHeight="1">
      <c r="A883">
        <v>879</v>
      </c>
      <c r="B883" t="s">
        <v>8054</v>
      </c>
      <c r="D883" t="s">
        <v>8055</v>
      </c>
      <c r="E883" t="s">
        <v>8056</v>
      </c>
      <c r="F883" t="s">
        <v>29</v>
      </c>
      <c r="G883" t="s">
        <v>8057</v>
      </c>
      <c r="H883" t="s">
        <v>234</v>
      </c>
      <c r="I883" t="s">
        <v>362</v>
      </c>
      <c r="J883" t="s">
        <v>135</v>
      </c>
      <c r="L883" t="s">
        <v>363</v>
      </c>
      <c r="M883" t="s">
        <v>364</v>
      </c>
      <c r="Q883" t="s">
        <v>107</v>
      </c>
      <c r="R883" t="s">
        <v>864</v>
      </c>
      <c r="S883" t="s">
        <v>8058</v>
      </c>
      <c r="T883" t="s">
        <v>625</v>
      </c>
      <c r="U883" t="s">
        <v>43</v>
      </c>
      <c r="V883" t="s">
        <v>8059</v>
      </c>
      <c r="W883" t="s">
        <v>8060</v>
      </c>
      <c r="Y883" t="str">
        <f>HYPERLINK("https://recruiter.shine.com/resume/download/?resumeid=gAAAAABbk2UOfzL6qKxc4v0rpiEHxr2FUINyh3ZtFqxpAHFfoh83kZeIXqwVTOqY_8bpbbZPfjhAOoiyCzRTuGB5YQIfo5C96rMZ03uPB6tByJcJZyR7Z4zSuWdtwh-nDEHesLEO0_aVmz89-ZfAaim1EElYuXrOlBTjNf0wtQ7RTyATKe5EvtE=")</f>
        <v>https://recruiter.shine.com/resume/download/?resumeid=gAAAAABbk2UOfzL6qKxc4v0rpiEHxr2FUINyh3ZtFqxpAHFfoh83kZeIXqwVTOqY_8bpbbZPfjhAOoiyCzRTuGB5YQIfo5C96rMZ03uPB6tByJcJZyR7Z4zSuWdtwh-nDEHesLEO0_aVmz89-ZfAaim1EElYuXrOlBTjNf0wtQ7RTyATKe5EvtE=</v>
      </c>
    </row>
    <row r="884" spans="1:25" ht="39.950000000000003" customHeight="1">
      <c r="A884">
        <v>880</v>
      </c>
      <c r="B884" t="s">
        <v>8061</v>
      </c>
      <c r="C884" t="s">
        <v>261</v>
      </c>
      <c r="D884" t="s">
        <v>8062</v>
      </c>
      <c r="E884" t="s">
        <v>8063</v>
      </c>
      <c r="F884" t="s">
        <v>29</v>
      </c>
      <c r="G884" t="s">
        <v>8064</v>
      </c>
      <c r="H884" t="s">
        <v>31</v>
      </c>
      <c r="I884" t="s">
        <v>8065</v>
      </c>
      <c r="J884" t="s">
        <v>1060</v>
      </c>
      <c r="K884" t="s">
        <v>8066</v>
      </c>
      <c r="L884" t="s">
        <v>4096</v>
      </c>
      <c r="M884" t="s">
        <v>1356</v>
      </c>
      <c r="N884" t="s">
        <v>8067</v>
      </c>
      <c r="O884" t="s">
        <v>186</v>
      </c>
      <c r="P884" t="s">
        <v>771</v>
      </c>
      <c r="Q884" t="s">
        <v>158</v>
      </c>
      <c r="R884" t="s">
        <v>490</v>
      </c>
      <c r="S884" t="s">
        <v>8068</v>
      </c>
      <c r="T884" t="s">
        <v>887</v>
      </c>
      <c r="U884" t="s">
        <v>94</v>
      </c>
      <c r="V884" t="s">
        <v>8069</v>
      </c>
      <c r="W884" t="s">
        <v>8070</v>
      </c>
      <c r="Y884" t="str">
        <f>HYPERLINK("https://recruiter.shine.com/resume/download/?resumeid=gAAAAABbk2ULkhI9e8McHaTBi58pNn6vJbD7Ohir7OP6JFlZmJuB9KqfaxldM808ovzC7XH-h5Y8J_EO2GfOZ8-gJA-5TMyejmXP71_sL_UOMALoDT38mrC_0FIZXTTAWyupKEpd9cByl1ZbFnC0REVJqN4f35BsIg==")</f>
        <v>https://recruiter.shine.com/resume/download/?resumeid=gAAAAABbk2ULkhI9e8McHaTBi58pNn6vJbD7Ohir7OP6JFlZmJuB9KqfaxldM808ovzC7XH-h5Y8J_EO2GfOZ8-gJA-5TMyejmXP71_sL_UOMALoDT38mrC_0FIZXTTAWyupKEpd9cByl1ZbFnC0REVJqN4f35BsIg==</v>
      </c>
    </row>
    <row r="885" spans="1:25" ht="39.950000000000003" customHeight="1">
      <c r="A885">
        <v>881</v>
      </c>
      <c r="B885" t="s">
        <v>8071</v>
      </c>
      <c r="D885" t="s">
        <v>8072</v>
      </c>
      <c r="E885" t="s">
        <v>8073</v>
      </c>
      <c r="F885" t="s">
        <v>29</v>
      </c>
      <c r="G885" t="s">
        <v>8074</v>
      </c>
      <c r="H885" t="s">
        <v>31</v>
      </c>
      <c r="I885" t="s">
        <v>32</v>
      </c>
      <c r="J885" t="s">
        <v>4377</v>
      </c>
      <c r="K885" t="s">
        <v>1609</v>
      </c>
      <c r="L885" t="s">
        <v>266</v>
      </c>
      <c r="M885" t="s">
        <v>684</v>
      </c>
      <c r="N885" t="s">
        <v>8075</v>
      </c>
      <c r="O885" t="s">
        <v>186</v>
      </c>
      <c r="P885" t="s">
        <v>57</v>
      </c>
      <c r="Q885" t="s">
        <v>107</v>
      </c>
      <c r="R885" t="s">
        <v>341</v>
      </c>
      <c r="S885" t="s">
        <v>8076</v>
      </c>
      <c r="T885" t="s">
        <v>851</v>
      </c>
      <c r="U885" t="s">
        <v>43</v>
      </c>
      <c r="V885" t="s">
        <v>8077</v>
      </c>
      <c r="W885" t="s">
        <v>8078</v>
      </c>
      <c r="Y885" t="str">
        <f>HYPERLINK("https://recruiter.shine.com/resume/download/?resumeid=gAAAAABbk2UMXoKncRzKj0sQwm2DOrvUCjF_KgbdcOpb1n9tnVkgBkkfsQexOEID7SFLzRfXKltYf-_iGOoYCXER5h2rQJUeGrO6GgPTvcAULU9nX5EEudwtnkNLMdVU-Iy2Lu31nJoSnlKAgZrl_cNmpqDE5gZlxA==")</f>
        <v>https://recruiter.shine.com/resume/download/?resumeid=gAAAAABbk2UMXoKncRzKj0sQwm2DOrvUCjF_KgbdcOpb1n9tnVkgBkkfsQexOEID7SFLzRfXKltYf-_iGOoYCXER5h2rQJUeGrO6GgPTvcAULU9nX5EEudwtnkNLMdVU-Iy2Lu31nJoSnlKAgZrl_cNmpqDE5gZlxA==</v>
      </c>
    </row>
    <row r="886" spans="1:25" ht="39.950000000000003" customHeight="1">
      <c r="A886">
        <v>882</v>
      </c>
      <c r="B886" t="s">
        <v>8079</v>
      </c>
      <c r="C886" t="s">
        <v>8080</v>
      </c>
      <c r="D886" t="s">
        <v>8081</v>
      </c>
      <c r="E886" t="s">
        <v>8082</v>
      </c>
      <c r="F886" t="s">
        <v>29</v>
      </c>
      <c r="G886" t="s">
        <v>67</v>
      </c>
      <c r="H886" t="s">
        <v>234</v>
      </c>
      <c r="I886" t="s">
        <v>1774</v>
      </c>
      <c r="J886" t="s">
        <v>251</v>
      </c>
      <c r="K886" t="s">
        <v>8083</v>
      </c>
      <c r="L886" t="s">
        <v>8084</v>
      </c>
      <c r="M886" t="s">
        <v>1039</v>
      </c>
      <c r="N886" t="s">
        <v>8085</v>
      </c>
      <c r="O886" t="s">
        <v>56</v>
      </c>
      <c r="Q886" t="s">
        <v>849</v>
      </c>
      <c r="R886" t="s">
        <v>536</v>
      </c>
      <c r="S886" t="s">
        <v>8086</v>
      </c>
      <c r="T886" t="s">
        <v>625</v>
      </c>
      <c r="U886" t="s">
        <v>43</v>
      </c>
      <c r="V886" t="s">
        <v>8087</v>
      </c>
      <c r="W886" t="s">
        <v>8088</v>
      </c>
      <c r="Y886" t="str">
        <f>HYPERLINK("https://recruiter.shine.com/resume/download/?resumeid=gAAAAABbk2UOB_4Nsr1mHnSVhHS8O_JYkY5iHlaPPWT_eg4eyvZWHZHS7WiQXuCgEjrNTrCThCPcn4d4zbctRLT5ALMCVDVcGt-PrGVMm1m2TeevRimz4ZlfDKHv4p3V7priL3sjYwUyJpZKZFrNQef0PKYc8tsRhKr8rGhTsKRm6OPG-uJozoA=")</f>
        <v>https://recruiter.shine.com/resume/download/?resumeid=gAAAAABbk2UOB_4Nsr1mHnSVhHS8O_JYkY5iHlaPPWT_eg4eyvZWHZHS7WiQXuCgEjrNTrCThCPcn4d4zbctRLT5ALMCVDVcGt-PrGVMm1m2TeevRimz4ZlfDKHv4p3V7priL3sjYwUyJpZKZFrNQef0PKYc8tsRhKr8rGhTsKRm6OPG-uJozoA=</v>
      </c>
    </row>
    <row r="887" spans="1:25" ht="39.950000000000003" customHeight="1">
      <c r="A887">
        <v>883</v>
      </c>
      <c r="B887" t="s">
        <v>8089</v>
      </c>
      <c r="D887" t="s">
        <v>8090</v>
      </c>
      <c r="E887" t="s">
        <v>8091</v>
      </c>
      <c r="F887" t="s">
        <v>29</v>
      </c>
      <c r="G887" t="s">
        <v>29</v>
      </c>
      <c r="H887" t="s">
        <v>31</v>
      </c>
      <c r="I887" t="s">
        <v>825</v>
      </c>
      <c r="J887" t="s">
        <v>33</v>
      </c>
      <c r="K887" t="s">
        <v>8092</v>
      </c>
      <c r="L887" t="s">
        <v>2766</v>
      </c>
      <c r="M887" t="s">
        <v>1356</v>
      </c>
      <c r="N887" t="s">
        <v>8093</v>
      </c>
      <c r="O887" t="s">
        <v>186</v>
      </c>
      <c r="P887" t="s">
        <v>39</v>
      </c>
      <c r="V887" t="s">
        <v>8094</v>
      </c>
      <c r="W887" t="s">
        <v>8094</v>
      </c>
      <c r="Y887" t="str">
        <f>HYPERLINK("https://recruiter.shine.com/resume/download/?resumeid=gAAAAABbk2ULjOV-Pkjzntt9YoZ9OUe0-RhCU_paNS5EqtFimTjbSwcJQxA3uVNbToRYFK8CV_kqCu7sE1CIvcT2fXwd02Aw_kJsSxF4jFy9rdzF-ONZYObRLs-bgEB7fcSPqcdE6sO-2LE8Ya6J8xbkI8XmB7iNHA==")</f>
        <v>https://recruiter.shine.com/resume/download/?resumeid=gAAAAABbk2ULjOV-Pkjzntt9YoZ9OUe0-RhCU_paNS5EqtFimTjbSwcJQxA3uVNbToRYFK8CV_kqCu7sE1CIvcT2fXwd02Aw_kJsSxF4jFy9rdzF-ONZYObRLs-bgEB7fcSPqcdE6sO-2LE8Ya6J8xbkI8XmB7iNHA==</v>
      </c>
    </row>
    <row r="888" spans="1:25" ht="39.950000000000003" customHeight="1">
      <c r="A888">
        <v>884</v>
      </c>
      <c r="B888" t="s">
        <v>8095</v>
      </c>
      <c r="C888" t="s">
        <v>8096</v>
      </c>
      <c r="D888" t="s">
        <v>8097</v>
      </c>
      <c r="E888" t="s">
        <v>8098</v>
      </c>
      <c r="F888" t="s">
        <v>29</v>
      </c>
      <c r="G888" t="s">
        <v>29</v>
      </c>
      <c r="H888" t="s">
        <v>31</v>
      </c>
      <c r="I888" t="s">
        <v>836</v>
      </c>
      <c r="J888" t="s">
        <v>312</v>
      </c>
      <c r="K888" t="s">
        <v>8099</v>
      </c>
      <c r="L888" t="s">
        <v>1524</v>
      </c>
      <c r="M888" t="s">
        <v>238</v>
      </c>
      <c r="N888" t="s">
        <v>8100</v>
      </c>
      <c r="O888" t="s">
        <v>56</v>
      </c>
      <c r="P888" t="s">
        <v>73</v>
      </c>
      <c r="Q888" t="s">
        <v>90</v>
      </c>
      <c r="R888" t="s">
        <v>292</v>
      </c>
      <c r="S888" t="s">
        <v>8101</v>
      </c>
      <c r="T888" t="s">
        <v>687</v>
      </c>
      <c r="U888" t="s">
        <v>127</v>
      </c>
      <c r="V888" t="s">
        <v>8102</v>
      </c>
      <c r="W888" t="s">
        <v>8103</v>
      </c>
      <c r="Y888" t="str">
        <f>HYPERLINK("https://recruiter.shine.com/resume/download/?resumeid=gAAAAABbk2UNCPH9kacAIgkTIiL-k5fCW0z8Nf1wwqJ5oDabrUbpH8BlvcgOv8Mic4p_M5PtUYflZ6p_Kxn9WhpqnVM27olLpu0tt2SuP13lNALSzhBy0q5-h2vL-uwnj7iukiCKijACOWH8aEaHA-XJnerjuM1JC4fpdqCxzVw0YLJnsFJCNo0=")</f>
        <v>https://recruiter.shine.com/resume/download/?resumeid=gAAAAABbk2UNCPH9kacAIgkTIiL-k5fCW0z8Nf1wwqJ5oDabrUbpH8BlvcgOv8Mic4p_M5PtUYflZ6p_Kxn9WhpqnVM27olLpu0tt2SuP13lNALSzhBy0q5-h2vL-uwnj7iukiCKijACOWH8aEaHA-XJnerjuM1JC4fpdqCxzVw0YLJnsFJCNo0=</v>
      </c>
    </row>
    <row r="889" spans="1:25" ht="39.950000000000003" customHeight="1">
      <c r="A889">
        <v>885</v>
      </c>
      <c r="B889" t="s">
        <v>8104</v>
      </c>
      <c r="D889" t="s">
        <v>8105</v>
      </c>
      <c r="E889" t="s">
        <v>8106</v>
      </c>
      <c r="F889" t="s">
        <v>29</v>
      </c>
      <c r="G889" t="s">
        <v>67</v>
      </c>
      <c r="H889" t="s">
        <v>234</v>
      </c>
      <c r="I889" t="s">
        <v>362</v>
      </c>
      <c r="J889" t="s">
        <v>135</v>
      </c>
      <c r="L889" t="s">
        <v>363</v>
      </c>
      <c r="M889" t="s">
        <v>364</v>
      </c>
      <c r="Q889" t="s">
        <v>107</v>
      </c>
      <c r="R889" t="s">
        <v>546</v>
      </c>
      <c r="S889" t="s">
        <v>8107</v>
      </c>
      <c r="T889" t="s">
        <v>625</v>
      </c>
      <c r="U889" t="s">
        <v>43</v>
      </c>
      <c r="V889" t="s">
        <v>8108</v>
      </c>
      <c r="W889" t="s">
        <v>8109</v>
      </c>
      <c r="Y889" t="str">
        <f>HYPERLINK("https://recruiter.shine.com/resume/download/?resumeid=gAAAAABbk2UN16o7J3ekfUycJy1yMcKVwf4HBmtR3LTFnjDqjndEtxuwTYypF7nWdUbea8JHFjWP1dZe2avL2L3r9VH4mSPIlhQxeXHFP3hUWCYwaKWdW0wODQ4Ri5Kv8YbdHZ-IHeCz2Yz6rGkVzpK4WNXVFaVNuA==")</f>
        <v>https://recruiter.shine.com/resume/download/?resumeid=gAAAAABbk2UN16o7J3ekfUycJy1yMcKVwf4HBmtR3LTFnjDqjndEtxuwTYypF7nWdUbea8JHFjWP1dZe2avL2L3r9VH4mSPIlhQxeXHFP3hUWCYwaKWdW0wODQ4Ri5Kv8YbdHZ-IHeCz2Yz6rGkVzpK4WNXVFaVNuA==</v>
      </c>
    </row>
    <row r="890" spans="1:25" ht="39.950000000000003" customHeight="1">
      <c r="A890">
        <v>886</v>
      </c>
      <c r="B890" t="s">
        <v>8110</v>
      </c>
      <c r="C890" t="s">
        <v>8111</v>
      </c>
      <c r="D890" t="s">
        <v>8112</v>
      </c>
      <c r="E890" t="s">
        <v>8113</v>
      </c>
      <c r="F890" t="s">
        <v>29</v>
      </c>
      <c r="G890" t="s">
        <v>30</v>
      </c>
      <c r="H890" t="s">
        <v>31</v>
      </c>
      <c r="I890" t="s">
        <v>1419</v>
      </c>
      <c r="J890" t="s">
        <v>3591</v>
      </c>
      <c r="K890" t="s">
        <v>8114</v>
      </c>
      <c r="L890" t="s">
        <v>2635</v>
      </c>
      <c r="M890" t="s">
        <v>2636</v>
      </c>
      <c r="N890" t="s">
        <v>8115</v>
      </c>
      <c r="O890" t="s">
        <v>186</v>
      </c>
      <c r="P890" t="s">
        <v>39</v>
      </c>
      <c r="Q890" t="s">
        <v>40</v>
      </c>
      <c r="R890" t="s">
        <v>2192</v>
      </c>
      <c r="S890" t="s">
        <v>8116</v>
      </c>
      <c r="T890" t="s">
        <v>687</v>
      </c>
      <c r="U890" t="s">
        <v>43</v>
      </c>
      <c r="V890" t="s">
        <v>8117</v>
      </c>
      <c r="W890" t="s">
        <v>8118</v>
      </c>
      <c r="Y890" t="str">
        <f>HYPERLINK("https://recruiter.shine.com/resume/download/?resumeid=gAAAAABbk2UL3SD5uN5PZ0sxE3n8MaQYgIa_AOF__Q0Q9k84fbKtcX2HG8sN_ARZiXHLOy5t2QIE9zbUSuz6Qq1EUL_LolRM_Iczcp4Y1J6klMq923pm6nR1osaw8Ms8eWePl60wpDh0V5OaLKnePDIjm5pnWNK-BUnBsI7GFAQPlzWcQwOal-g=")</f>
        <v>https://recruiter.shine.com/resume/download/?resumeid=gAAAAABbk2UL3SD5uN5PZ0sxE3n8MaQYgIa_AOF__Q0Q9k84fbKtcX2HG8sN_ARZiXHLOy5t2QIE9zbUSuz6Qq1EUL_LolRM_Iczcp4Y1J6klMq923pm6nR1osaw8Ms8eWePl60wpDh0V5OaLKnePDIjm5pnWNK-BUnBsI7GFAQPlzWcQwOal-g=</v>
      </c>
    </row>
    <row r="891" spans="1:25" ht="39.950000000000003" customHeight="1">
      <c r="A891">
        <v>887</v>
      </c>
      <c r="B891" t="s">
        <v>8119</v>
      </c>
      <c r="C891" t="s">
        <v>8120</v>
      </c>
      <c r="D891" t="s">
        <v>8121</v>
      </c>
      <c r="E891" t="s">
        <v>8122</v>
      </c>
      <c r="F891" t="s">
        <v>29</v>
      </c>
      <c r="G891" t="s">
        <v>2599</v>
      </c>
      <c r="H891" t="s">
        <v>31</v>
      </c>
      <c r="I891" t="s">
        <v>568</v>
      </c>
      <c r="J891" t="s">
        <v>251</v>
      </c>
      <c r="K891" t="s">
        <v>8123</v>
      </c>
      <c r="L891" t="s">
        <v>199</v>
      </c>
      <c r="M891" t="s">
        <v>1356</v>
      </c>
      <c r="N891" t="s">
        <v>8124</v>
      </c>
      <c r="O891" t="s">
        <v>56</v>
      </c>
      <c r="P891" t="s">
        <v>940</v>
      </c>
      <c r="Q891" t="s">
        <v>365</v>
      </c>
      <c r="R891" t="s">
        <v>124</v>
      </c>
      <c r="S891" t="s">
        <v>8125</v>
      </c>
      <c r="T891" t="s">
        <v>343</v>
      </c>
      <c r="U891" t="s">
        <v>43</v>
      </c>
      <c r="V891" t="s">
        <v>8126</v>
      </c>
      <c r="W891" t="s">
        <v>8127</v>
      </c>
      <c r="Y891" t="str">
        <f>HYPERLINK("https://recruiter.shine.com/resume/download/?resumeid=gAAAAABbk2UMI--BIVaKDMSY0wfgR7-nTnW5H0p3iLWvF8JqwO9o-Yw0FBc13hDuKgJWgup1vE1VADcua19JanHNFicJdgq4e7nx6-4hNEgrOtkGaKlbzPgLgYoUEhBI2P3lZTmmiVaZy3lULOoevAazvTg2xWnV6pj1DNsW6IXNntnklXs8hYM=")</f>
        <v>https://recruiter.shine.com/resume/download/?resumeid=gAAAAABbk2UMI--BIVaKDMSY0wfgR7-nTnW5H0p3iLWvF8JqwO9o-Yw0FBc13hDuKgJWgup1vE1VADcua19JanHNFicJdgq4e7nx6-4hNEgrOtkGaKlbzPgLgYoUEhBI2P3lZTmmiVaZy3lULOoevAazvTg2xWnV6pj1DNsW6IXNntnklXs8hYM=</v>
      </c>
    </row>
    <row r="892" spans="1:25" ht="39.950000000000003" customHeight="1">
      <c r="A892">
        <v>888</v>
      </c>
      <c r="B892" t="s">
        <v>8128</v>
      </c>
      <c r="D892" t="s">
        <v>8129</v>
      </c>
      <c r="E892" t="s">
        <v>8130</v>
      </c>
      <c r="F892" t="s">
        <v>29</v>
      </c>
      <c r="G892" t="s">
        <v>67</v>
      </c>
      <c r="H892" t="s">
        <v>31</v>
      </c>
      <c r="I892" t="s">
        <v>1155</v>
      </c>
      <c r="J892" t="s">
        <v>8131</v>
      </c>
      <c r="K892" t="s">
        <v>8132</v>
      </c>
      <c r="L892" t="s">
        <v>301</v>
      </c>
      <c r="M892" t="s">
        <v>684</v>
      </c>
      <c r="N892" t="s">
        <v>8133</v>
      </c>
      <c r="O892" t="s">
        <v>186</v>
      </c>
      <c r="Q892" t="s">
        <v>365</v>
      </c>
      <c r="R892" t="s">
        <v>8134</v>
      </c>
      <c r="S892" t="s">
        <v>8135</v>
      </c>
      <c r="T892" t="s">
        <v>2358</v>
      </c>
      <c r="U892" t="s">
        <v>127</v>
      </c>
      <c r="V892" t="s">
        <v>8136</v>
      </c>
      <c r="W892" t="s">
        <v>8136</v>
      </c>
      <c r="Y892" t="str">
        <f>HYPERLINK("https://recruiter.shine.com/resume/download/?resumeid=gAAAAABbk2UNdJRtn0dTVQUatgA_cswZNwjvT0odQRzdhGtGqsZWkyP3K3NpLjN16Nf8vKoKrvPAOdQdOn36TEIIP1--5-SKEYxKnJz8SEBrre4v4Z2ZlVNxl_N3yf1rWV_K8rBsYNC_RA22OSuD_vH2B-p8ma8aNA==")</f>
        <v>https://recruiter.shine.com/resume/download/?resumeid=gAAAAABbk2UNdJRtn0dTVQUatgA_cswZNwjvT0odQRzdhGtGqsZWkyP3K3NpLjN16Nf8vKoKrvPAOdQdOn36TEIIP1--5-SKEYxKnJz8SEBrre4v4Z2ZlVNxl_N3yf1rWV_K8rBsYNC_RA22OSuD_vH2B-p8ma8aNA==</v>
      </c>
    </row>
    <row r="893" spans="1:25" ht="39.950000000000003" customHeight="1">
      <c r="A893">
        <v>889</v>
      </c>
      <c r="B893" t="s">
        <v>8137</v>
      </c>
      <c r="D893" t="s">
        <v>8138</v>
      </c>
      <c r="E893" t="s">
        <v>8139</v>
      </c>
      <c r="F893" t="s">
        <v>29</v>
      </c>
      <c r="G893" t="s">
        <v>29</v>
      </c>
      <c r="H893" t="s">
        <v>234</v>
      </c>
      <c r="I893" t="s">
        <v>208</v>
      </c>
      <c r="J893" t="s">
        <v>4553</v>
      </c>
      <c r="K893" t="s">
        <v>8140</v>
      </c>
      <c r="L893" t="s">
        <v>338</v>
      </c>
      <c r="M893" t="s">
        <v>105</v>
      </c>
      <c r="N893" t="s">
        <v>8141</v>
      </c>
      <c r="O893" t="s">
        <v>224</v>
      </c>
      <c r="P893" t="s">
        <v>57</v>
      </c>
      <c r="Q893" t="s">
        <v>123</v>
      </c>
      <c r="R893" t="s">
        <v>124</v>
      </c>
      <c r="S893" t="s">
        <v>8142</v>
      </c>
      <c r="U893" t="s">
        <v>127</v>
      </c>
      <c r="V893" t="s">
        <v>8143</v>
      </c>
      <c r="W893" t="s">
        <v>8144</v>
      </c>
      <c r="Y893" t="str">
        <f>HYPERLINK("https://recruiter.shine.com/resume/download/?resumeid=gAAAAABbk2ULDBeKZVpul6wIYuqKSs5VqyQBAmYp54t1D5YGb-FMXkWrFBtuCIsKCPsf2ytflwnvb0FGioD9W5W_YnI5jCZb4hgXmXR4UgM2Sc84iDz4vX1nidhGpbbrqySX_S2DJgEQi0FgRBbxC9fko2BIHoXegg==")</f>
        <v>https://recruiter.shine.com/resume/download/?resumeid=gAAAAABbk2ULDBeKZVpul6wIYuqKSs5VqyQBAmYp54t1D5YGb-FMXkWrFBtuCIsKCPsf2ytflwnvb0FGioD9W5W_YnI5jCZb4hgXmXR4UgM2Sc84iDz4vX1nidhGpbbrqySX_S2DJgEQi0FgRBbxC9fko2BIHoXegg==</v>
      </c>
    </row>
    <row r="894" spans="1:25" ht="39.950000000000003" customHeight="1">
      <c r="A894">
        <v>890</v>
      </c>
      <c r="B894" t="s">
        <v>8145</v>
      </c>
      <c r="C894" t="s">
        <v>8146</v>
      </c>
      <c r="D894" t="s">
        <v>8147</v>
      </c>
      <c r="E894" t="s">
        <v>8148</v>
      </c>
      <c r="F894" t="s">
        <v>29</v>
      </c>
      <c r="G894" t="s">
        <v>29</v>
      </c>
      <c r="H894" t="s">
        <v>31</v>
      </c>
      <c r="I894" t="s">
        <v>8149</v>
      </c>
      <c r="J894" t="s">
        <v>7774</v>
      </c>
      <c r="K894" t="s">
        <v>8150</v>
      </c>
      <c r="L894" t="s">
        <v>120</v>
      </c>
      <c r="M894" t="s">
        <v>473</v>
      </c>
      <c r="N894" t="s">
        <v>8151</v>
      </c>
      <c r="O894" t="s">
        <v>585</v>
      </c>
      <c r="Q894" t="s">
        <v>412</v>
      </c>
      <c r="R894" t="s">
        <v>41</v>
      </c>
      <c r="S894" t="s">
        <v>8152</v>
      </c>
      <c r="T894" t="s">
        <v>175</v>
      </c>
      <c r="U894" t="s">
        <v>43</v>
      </c>
      <c r="V894" t="s">
        <v>8153</v>
      </c>
      <c r="W894" t="s">
        <v>8154</v>
      </c>
      <c r="Y894" t="str">
        <f>HYPERLINK("https://recruiter.shine.com/resume/download/?resumeid=gAAAAABbk2UMreBOm4rdC828bk3Vyjycf--2bkM5gLnw_cyXKuqB80XMdA4K_Slsb8XxtWBgnUC7_woRZb03NLXFI2vbcNKRqVNRa2CHKSzyPZ0Eyp4Uvm8a7ZSQjtZF0NILnSdgoZG7ljOWQHGdWAkCu79QW2RxWw==")</f>
        <v>https://recruiter.shine.com/resume/download/?resumeid=gAAAAABbk2UMreBOm4rdC828bk3Vyjycf--2bkM5gLnw_cyXKuqB80XMdA4K_Slsb8XxtWBgnUC7_woRZb03NLXFI2vbcNKRqVNRa2CHKSzyPZ0Eyp4Uvm8a7ZSQjtZF0NILnSdgoZG7ljOWQHGdWAkCu79QW2RxWw==</v>
      </c>
    </row>
    <row r="895" spans="1:25" ht="39.950000000000003" customHeight="1">
      <c r="A895">
        <v>891</v>
      </c>
      <c r="B895" t="s">
        <v>8155</v>
      </c>
      <c r="D895" t="s">
        <v>8156</v>
      </c>
      <c r="E895" t="s">
        <v>8157</v>
      </c>
      <c r="F895" t="s">
        <v>29</v>
      </c>
      <c r="G895" t="s">
        <v>8158</v>
      </c>
      <c r="H895" t="s">
        <v>31</v>
      </c>
      <c r="I895" t="s">
        <v>998</v>
      </c>
      <c r="J895" t="s">
        <v>3147</v>
      </c>
      <c r="K895" t="s">
        <v>8159</v>
      </c>
      <c r="L895" t="s">
        <v>450</v>
      </c>
      <c r="M895" t="s">
        <v>238</v>
      </c>
      <c r="N895" t="s">
        <v>8160</v>
      </c>
      <c r="O895" t="s">
        <v>38</v>
      </c>
      <c r="Q895" t="s">
        <v>90</v>
      </c>
      <c r="R895" t="s">
        <v>427</v>
      </c>
      <c r="S895" t="s">
        <v>8161</v>
      </c>
      <c r="T895" t="s">
        <v>429</v>
      </c>
      <c r="U895" t="s">
        <v>43</v>
      </c>
      <c r="V895" t="s">
        <v>8162</v>
      </c>
      <c r="W895" t="s">
        <v>8162</v>
      </c>
      <c r="Y895" t="str">
        <f>HYPERLINK("https://recruiter.shine.com/resume/download/?resumeid=gAAAAABbk2UOsdweF5ZThuRQJmDdrSKWSChEkjiVmLM0htHA1Z1uYhgNXWFpl-EvYDkFM_-b6vAtSrKvS4-1KxonQz6GdAw3zNwWhh8MR7JCgrVoZJbxINIV-3GJwEIoPgPnlWvi9IMst4bx0neBKLxO488D9y6dIJsi_wumfCw_x4wMaNn_KVk=")</f>
        <v>https://recruiter.shine.com/resume/download/?resumeid=gAAAAABbk2UOsdweF5ZThuRQJmDdrSKWSChEkjiVmLM0htHA1Z1uYhgNXWFpl-EvYDkFM_-b6vAtSrKvS4-1KxonQz6GdAw3zNwWhh8MR7JCgrVoZJbxINIV-3GJwEIoPgPnlWvi9IMst4bx0neBKLxO488D9y6dIJsi_wumfCw_x4wMaNn_KVk=</v>
      </c>
    </row>
    <row r="896" spans="1:25" ht="39.950000000000003" customHeight="1">
      <c r="A896">
        <v>892</v>
      </c>
      <c r="B896" t="s">
        <v>8163</v>
      </c>
      <c r="C896" t="s">
        <v>8164</v>
      </c>
      <c r="D896" t="s">
        <v>8165</v>
      </c>
      <c r="E896" t="s">
        <v>8166</v>
      </c>
      <c r="F896" t="s">
        <v>29</v>
      </c>
      <c r="G896" t="s">
        <v>2129</v>
      </c>
      <c r="H896" t="s">
        <v>31</v>
      </c>
      <c r="I896" t="s">
        <v>860</v>
      </c>
      <c r="J896" t="s">
        <v>86</v>
      </c>
      <c r="K896" t="s">
        <v>2148</v>
      </c>
      <c r="L896" t="s">
        <v>354</v>
      </c>
      <c r="M896" t="s">
        <v>54</v>
      </c>
      <c r="N896" t="s">
        <v>355</v>
      </c>
      <c r="O896" t="s">
        <v>38</v>
      </c>
      <c r="P896" t="s">
        <v>39</v>
      </c>
      <c r="Q896" t="s">
        <v>2149</v>
      </c>
      <c r="R896" t="s">
        <v>2150</v>
      </c>
      <c r="S896" t="s">
        <v>8167</v>
      </c>
      <c r="T896" t="s">
        <v>441</v>
      </c>
      <c r="U896" t="s">
        <v>43</v>
      </c>
      <c r="V896" t="s">
        <v>8168</v>
      </c>
      <c r="W896" t="s">
        <v>8169</v>
      </c>
      <c r="Y896" t="str">
        <f>HYPERLINK("https://recruiter.shine.com/resume/download/?resumeid=gAAAAABbk2UL5BftOdMocfri5ZtFkkyGBleadw7P5aQRdGBg0bhq62WZI3BOm7iykKb_ZY_ocv6AMvxxRMna9o4nLBdyXVD-z2G7737ENicDyG4wHyQwRbL0qgd75JrYCeLAZ0XYrNzpzXsOFJsdmOvd1wPXUlrxekQmPvIYc8bI9agAELSGCIk=")</f>
        <v>https://recruiter.shine.com/resume/download/?resumeid=gAAAAABbk2UL5BftOdMocfri5ZtFkkyGBleadw7P5aQRdGBg0bhq62WZI3BOm7iykKb_ZY_ocv6AMvxxRMna9o4nLBdyXVD-z2G7737ENicDyG4wHyQwRbL0qgd75JrYCeLAZ0XYrNzpzXsOFJsdmOvd1wPXUlrxekQmPvIYc8bI9agAELSGCIk=</v>
      </c>
    </row>
    <row r="897" spans="1:25" ht="39.950000000000003" customHeight="1">
      <c r="A897">
        <v>893</v>
      </c>
      <c r="B897" t="s">
        <v>8170</v>
      </c>
      <c r="D897" t="s">
        <v>8171</v>
      </c>
      <c r="E897" t="s">
        <v>8172</v>
      </c>
      <c r="F897" t="s">
        <v>29</v>
      </c>
      <c r="G897" t="s">
        <v>29</v>
      </c>
      <c r="H897" t="s">
        <v>234</v>
      </c>
      <c r="I897" t="s">
        <v>362</v>
      </c>
      <c r="J897" t="s">
        <v>135</v>
      </c>
      <c r="L897" t="s">
        <v>363</v>
      </c>
      <c r="M897" t="s">
        <v>364</v>
      </c>
      <c r="Q897" t="s">
        <v>123</v>
      </c>
      <c r="R897" t="s">
        <v>124</v>
      </c>
      <c r="S897" t="s">
        <v>188</v>
      </c>
      <c r="T897" t="s">
        <v>441</v>
      </c>
      <c r="U897" t="s">
        <v>43</v>
      </c>
      <c r="V897" t="s">
        <v>8173</v>
      </c>
      <c r="W897" t="s">
        <v>8174</v>
      </c>
      <c r="Y897" t="str">
        <f>HYPERLINK("https://recruiter.shine.com/resume/download/?resumeid=gAAAAABbk2UM8Cbh-Zr1mn95FFqoJZpbhQQ0m7FuzliWkZ-7-JHsX-Vg07GwBrf0aXk26A03NyIaklxM9_dhBwcw0oQJExx0L05d3CYwMer-iFg7E3r7eWT6xIC0P0zvalZufniHY26OQPNNCVGzVeOGTAiYcCLpJqowGALmYOa4VnJ27shiNAM=")</f>
        <v>https://recruiter.shine.com/resume/download/?resumeid=gAAAAABbk2UM8Cbh-Zr1mn95FFqoJZpbhQQ0m7FuzliWkZ-7-JHsX-Vg07GwBrf0aXk26A03NyIaklxM9_dhBwcw0oQJExx0L05d3CYwMer-iFg7E3r7eWT6xIC0P0zvalZufniHY26OQPNNCVGzVeOGTAiYcCLpJqowGALmYOa4VnJ27shiNAM=</v>
      </c>
    </row>
    <row r="898" spans="1:25" ht="39.950000000000003" customHeight="1">
      <c r="A898">
        <v>894</v>
      </c>
      <c r="B898" t="s">
        <v>8175</v>
      </c>
      <c r="D898" t="s">
        <v>8176</v>
      </c>
      <c r="E898" t="s">
        <v>8177</v>
      </c>
      <c r="F898" t="s">
        <v>29</v>
      </c>
      <c r="G898" t="s">
        <v>30</v>
      </c>
      <c r="H898" t="s">
        <v>234</v>
      </c>
      <c r="I898" t="s">
        <v>362</v>
      </c>
      <c r="J898" t="s">
        <v>135</v>
      </c>
      <c r="L898" t="s">
        <v>363</v>
      </c>
      <c r="M898" t="s">
        <v>364</v>
      </c>
      <c r="Q898" t="s">
        <v>90</v>
      </c>
      <c r="R898" t="s">
        <v>8178</v>
      </c>
      <c r="S898" t="s">
        <v>8179</v>
      </c>
      <c r="T898" t="s">
        <v>625</v>
      </c>
      <c r="U898" t="s">
        <v>127</v>
      </c>
      <c r="V898" t="s">
        <v>8180</v>
      </c>
      <c r="W898" t="s">
        <v>8180</v>
      </c>
      <c r="Y898" t="str">
        <f>HYPERLINK("https://recruiter.shine.com/resume/download/?resumeid=gAAAAABbk2UNI2xHMO1D58trqUXU9RuScYcbNNO4PvghrPfPOD5H5F9IE7KjTMjLD53HmUuUYTQqAk0dwgYOIuD8tC88iAaX7GMv1CUshngZlLjz4-CNiaFXs2sNhNXWkZqXx-sCf6ohJX-2VTCi9iG81VuPAvbLNS1B2K4f7pVbMIpCaQsSiyc=")</f>
        <v>https://recruiter.shine.com/resume/download/?resumeid=gAAAAABbk2UNI2xHMO1D58trqUXU9RuScYcbNNO4PvghrPfPOD5H5F9IE7KjTMjLD53HmUuUYTQqAk0dwgYOIuD8tC88iAaX7GMv1CUshngZlLjz4-CNiaFXs2sNhNXWkZqXx-sCf6ohJX-2VTCi9iG81VuPAvbLNS1B2K4f7pVbMIpCaQsSiyc=</v>
      </c>
    </row>
    <row r="899" spans="1:25" ht="39.950000000000003" customHeight="1">
      <c r="A899">
        <v>895</v>
      </c>
      <c r="B899" t="s">
        <v>8181</v>
      </c>
      <c r="C899" t="s">
        <v>8182</v>
      </c>
      <c r="D899" t="s">
        <v>8183</v>
      </c>
      <c r="E899" t="s">
        <v>8184</v>
      </c>
      <c r="F899" t="s">
        <v>29</v>
      </c>
      <c r="G899" t="s">
        <v>8185</v>
      </c>
      <c r="H899" t="s">
        <v>31</v>
      </c>
      <c r="I899" t="s">
        <v>568</v>
      </c>
      <c r="J899" t="s">
        <v>1081</v>
      </c>
      <c r="K899" t="s">
        <v>8186</v>
      </c>
      <c r="L899" t="s">
        <v>266</v>
      </c>
      <c r="M899" t="s">
        <v>36</v>
      </c>
      <c r="N899" t="s">
        <v>8187</v>
      </c>
      <c r="O899" t="s">
        <v>186</v>
      </c>
      <c r="P899" t="s">
        <v>268</v>
      </c>
      <c r="Q899" t="s">
        <v>74</v>
      </c>
      <c r="R899" t="s">
        <v>159</v>
      </c>
      <c r="S899" t="s">
        <v>8188</v>
      </c>
      <c r="T899" t="s">
        <v>304</v>
      </c>
      <c r="U899" t="s">
        <v>43</v>
      </c>
      <c r="V899" t="s">
        <v>8189</v>
      </c>
      <c r="W899" t="s">
        <v>8190</v>
      </c>
      <c r="Y899" t="str">
        <f>HYPERLINK("https://recruiter.shine.com/resume/download/?resumeid=gAAAAABbk2ULQmn-KcSIoJ-J1Tq0lH4HMkzZOgxWJmOj_APMKsCS5Rzvh9LQY06-hUkQW_76tSPNPnHhpW5hAUBXHWdC7AjJao8rHpijb98uV8D2EuANqGqo_g9X93jnJcZ4nUr8PaWqBSvvuSzIdKynMko6KdNXnAJeptQZ0qlb_2kmNi2yyJg=")</f>
        <v>https://recruiter.shine.com/resume/download/?resumeid=gAAAAABbk2ULQmn-KcSIoJ-J1Tq0lH4HMkzZOgxWJmOj_APMKsCS5Rzvh9LQY06-hUkQW_76tSPNPnHhpW5hAUBXHWdC7AjJao8rHpijb98uV8D2EuANqGqo_g9X93jnJcZ4nUr8PaWqBSvvuSzIdKynMko6KdNXnAJeptQZ0qlb_2kmNi2yyJg=</v>
      </c>
    </row>
    <row r="900" spans="1:25" ht="39.950000000000003" customHeight="1">
      <c r="A900">
        <v>896</v>
      </c>
      <c r="B900" t="s">
        <v>8191</v>
      </c>
      <c r="C900" t="s">
        <v>8192</v>
      </c>
      <c r="D900" t="s">
        <v>8193</v>
      </c>
      <c r="E900" t="s">
        <v>8194</v>
      </c>
      <c r="F900" t="s">
        <v>29</v>
      </c>
      <c r="G900" t="s">
        <v>29</v>
      </c>
      <c r="H900" t="s">
        <v>31</v>
      </c>
      <c r="I900" t="s">
        <v>1774</v>
      </c>
      <c r="J900" t="s">
        <v>408</v>
      </c>
      <c r="K900" t="s">
        <v>8195</v>
      </c>
      <c r="L900" t="s">
        <v>184</v>
      </c>
      <c r="M900" t="s">
        <v>36</v>
      </c>
      <c r="N900" t="s">
        <v>8196</v>
      </c>
      <c r="O900" t="s">
        <v>56</v>
      </c>
      <c r="P900" t="s">
        <v>5061</v>
      </c>
      <c r="Q900" t="s">
        <v>90</v>
      </c>
      <c r="R900" t="s">
        <v>292</v>
      </c>
      <c r="S900" t="s">
        <v>8197</v>
      </c>
      <c r="T900" t="s">
        <v>625</v>
      </c>
      <c r="U900" t="s">
        <v>43</v>
      </c>
      <c r="V900" t="s">
        <v>8198</v>
      </c>
      <c r="W900" t="s">
        <v>8199</v>
      </c>
      <c r="Y900" t="str">
        <f>HYPERLINK("https://recruiter.shine.com/resume/download/?resumeid=gAAAAABbk2UMSWDCDYdLOufUgHl4ECj-oqF4-SLl9cjL6w6Xps3AiM92cs5u9wEY5BLmt0zxT_sNQarK71Folkf9XJQF6LvP0K1WM40qssGhDJHMV377wOoP3CprJxQvXm35D73aR1hCxqNHV5V60GkfCj-GALwIIcZoaZomisPLNPPJl5MeFb4=")</f>
        <v>https://recruiter.shine.com/resume/download/?resumeid=gAAAAABbk2UMSWDCDYdLOufUgHl4ECj-oqF4-SLl9cjL6w6Xps3AiM92cs5u9wEY5BLmt0zxT_sNQarK71Folkf9XJQF6LvP0K1WM40qssGhDJHMV377wOoP3CprJxQvXm35D73aR1hCxqNHV5V60GkfCj-GALwIIcZoaZomisPLNPPJl5MeFb4=</v>
      </c>
    </row>
    <row r="901" spans="1:25" ht="39.950000000000003" customHeight="1">
      <c r="A901">
        <v>897</v>
      </c>
      <c r="B901" t="s">
        <v>8200</v>
      </c>
      <c r="C901" t="s">
        <v>8201</v>
      </c>
      <c r="D901" t="s">
        <v>8202</v>
      </c>
      <c r="E901" t="s">
        <v>8203</v>
      </c>
      <c r="F901" t="s">
        <v>29</v>
      </c>
      <c r="G901" t="s">
        <v>8204</v>
      </c>
      <c r="H901" t="s">
        <v>31</v>
      </c>
      <c r="I901" t="s">
        <v>4693</v>
      </c>
      <c r="J901" t="s">
        <v>3214</v>
      </c>
      <c r="K901" t="s">
        <v>8205</v>
      </c>
      <c r="L901" t="s">
        <v>5208</v>
      </c>
      <c r="M901" t="s">
        <v>138</v>
      </c>
      <c r="N901" t="s">
        <v>8206</v>
      </c>
      <c r="O901" t="s">
        <v>1245</v>
      </c>
      <c r="P901" t="s">
        <v>57</v>
      </c>
      <c r="Q901" t="s">
        <v>158</v>
      </c>
      <c r="R901" t="s">
        <v>8207</v>
      </c>
      <c r="S901" t="s">
        <v>8208</v>
      </c>
      <c r="T901" t="s">
        <v>227</v>
      </c>
      <c r="U901" t="s">
        <v>43</v>
      </c>
      <c r="V901" t="s">
        <v>8209</v>
      </c>
      <c r="W901" t="s">
        <v>8210</v>
      </c>
      <c r="Y901" t="str">
        <f>HYPERLINK("https://recruiter.shine.com/resume/download/?resumeid=gAAAAABbk2UO1cJGJ8uusYBucDDOdS5D-X-78SYwE69FK8iynZrZsV8gaw5n0baquczij3mNnLBAuu8QL8U86Hn32n3vZD1faTlhKW0os-5LjLMx51bGl6Pg4LDWSf0LSFKie0v-p7qr2Q7ekEAW551RG1JzjUKlQw==")</f>
        <v>https://recruiter.shine.com/resume/download/?resumeid=gAAAAABbk2UO1cJGJ8uusYBucDDOdS5D-X-78SYwE69FK8iynZrZsV8gaw5n0baquczij3mNnLBAuu8QL8U86Hn32n3vZD1faTlhKW0os-5LjLMx51bGl6Pg4LDWSf0LSFKie0v-p7qr2Q7ekEAW551RG1JzjUKlQw==</v>
      </c>
    </row>
    <row r="902" spans="1:25" ht="39.950000000000003" customHeight="1">
      <c r="A902">
        <v>898</v>
      </c>
      <c r="B902" t="s">
        <v>8211</v>
      </c>
      <c r="C902" t="s">
        <v>8212</v>
      </c>
      <c r="D902" t="s">
        <v>8213</v>
      </c>
      <c r="E902" t="s">
        <v>8214</v>
      </c>
      <c r="F902" t="s">
        <v>29</v>
      </c>
      <c r="G902" t="s">
        <v>2164</v>
      </c>
      <c r="H902" t="s">
        <v>31</v>
      </c>
      <c r="I902" t="s">
        <v>483</v>
      </c>
      <c r="J902" t="s">
        <v>51</v>
      </c>
      <c r="K902" t="s">
        <v>6987</v>
      </c>
      <c r="L902" t="s">
        <v>266</v>
      </c>
      <c r="M902" t="s">
        <v>339</v>
      </c>
      <c r="N902" t="s">
        <v>8215</v>
      </c>
      <c r="O902" t="s">
        <v>585</v>
      </c>
      <c r="P902" t="s">
        <v>57</v>
      </c>
      <c r="Q902" t="s">
        <v>107</v>
      </c>
      <c r="R902" t="s">
        <v>559</v>
      </c>
      <c r="S902" t="s">
        <v>2563</v>
      </c>
      <c r="T902" t="s">
        <v>304</v>
      </c>
      <c r="U902" t="s">
        <v>43</v>
      </c>
      <c r="V902" t="s">
        <v>8216</v>
      </c>
      <c r="W902" t="s">
        <v>8217</v>
      </c>
      <c r="Y902" t="str">
        <f>HYPERLINK("https://recruiter.shine.com/resume/download/?resumeid=gAAAAABbk2ULNSxAs90Hp-NWvQsY8OdG0matXGkW5kx95kbnPBbRh6Y8O9-6gbNCPFu2tzaYGKsLeaWhEvI75cNDl0Rl0FezgpC9WknJZ6a7WlzBBGe0l_vGfYnj4VfOfZGASl6hap0PZW-OTyg6qKpscAJpmMKFxg==")</f>
        <v>https://recruiter.shine.com/resume/download/?resumeid=gAAAAABbk2ULNSxAs90Hp-NWvQsY8OdG0matXGkW5kx95kbnPBbRh6Y8O9-6gbNCPFu2tzaYGKsLeaWhEvI75cNDl0Rl0FezgpC9WknJZ6a7WlzBBGe0l_vGfYnj4VfOfZGASl6hap0PZW-OTyg6qKpscAJpmMKFxg==</v>
      </c>
    </row>
    <row r="903" spans="1:25" ht="39.950000000000003" customHeight="1">
      <c r="A903">
        <v>899</v>
      </c>
      <c r="B903" t="s">
        <v>8218</v>
      </c>
      <c r="C903" t="s">
        <v>8219</v>
      </c>
      <c r="D903" t="s">
        <v>8220</v>
      </c>
      <c r="E903" t="s">
        <v>8221</v>
      </c>
      <c r="F903" t="s">
        <v>29</v>
      </c>
      <c r="G903" t="s">
        <v>8222</v>
      </c>
      <c r="H903" t="s">
        <v>31</v>
      </c>
      <c r="I903" t="s">
        <v>152</v>
      </c>
      <c r="J903" t="s">
        <v>3276</v>
      </c>
      <c r="K903" t="s">
        <v>1051</v>
      </c>
      <c r="L903" t="s">
        <v>664</v>
      </c>
      <c r="M903" t="s">
        <v>36</v>
      </c>
      <c r="N903" t="s">
        <v>8223</v>
      </c>
      <c r="O903" t="s">
        <v>585</v>
      </c>
      <c r="P903" t="s">
        <v>57</v>
      </c>
      <c r="Q903" t="s">
        <v>107</v>
      </c>
      <c r="R903" t="s">
        <v>341</v>
      </c>
      <c r="S903" t="s">
        <v>8224</v>
      </c>
      <c r="T903" t="s">
        <v>441</v>
      </c>
      <c r="U903" t="s">
        <v>43</v>
      </c>
      <c r="V903" t="s">
        <v>8225</v>
      </c>
      <c r="W903" t="s">
        <v>8226</v>
      </c>
      <c r="Y903" t="str">
        <f>HYPERLINK("https://recruiter.shine.com/resume/download/?resumeid=gAAAAABbk2UMoDYiIjc1PWCfSnvcSGvjmQwAV8z4_n6FOM8lUBqqs2dc-u6x3b4GC6BivsBBgCVxDPoeJTq0ZmPHuEfD995laX5outpnG5-hJ0o5eqAg1rW9V89bga_gV3m4wURz4yiIj_ndSmRIJPN97V8cACap7g==")</f>
        <v>https://recruiter.shine.com/resume/download/?resumeid=gAAAAABbk2UMoDYiIjc1PWCfSnvcSGvjmQwAV8z4_n6FOM8lUBqqs2dc-u6x3b4GC6BivsBBgCVxDPoeJTq0ZmPHuEfD995laX5outpnG5-hJ0o5eqAg1rW9V89bga_gV3m4wURz4yiIj_ndSmRIJPN97V8cACap7g==</v>
      </c>
    </row>
    <row r="904" spans="1:25" ht="39.950000000000003" customHeight="1">
      <c r="A904">
        <v>900</v>
      </c>
      <c r="B904" t="s">
        <v>8227</v>
      </c>
      <c r="D904" t="s">
        <v>8228</v>
      </c>
      <c r="E904" t="s">
        <v>8229</v>
      </c>
      <c r="F904" t="s">
        <v>29</v>
      </c>
      <c r="G904" t="s">
        <v>67</v>
      </c>
      <c r="H904" t="s">
        <v>31</v>
      </c>
      <c r="I904" t="s">
        <v>6705</v>
      </c>
      <c r="J904" t="s">
        <v>86</v>
      </c>
      <c r="K904" t="s">
        <v>8230</v>
      </c>
      <c r="L904" t="s">
        <v>1918</v>
      </c>
      <c r="M904" t="s">
        <v>1755</v>
      </c>
      <c r="N904" t="s">
        <v>8231</v>
      </c>
      <c r="O904" t="s">
        <v>56</v>
      </c>
      <c r="P904" t="s">
        <v>268</v>
      </c>
      <c r="Q904" t="s">
        <v>123</v>
      </c>
      <c r="R904" t="s">
        <v>124</v>
      </c>
      <c r="S904" t="s">
        <v>8232</v>
      </c>
      <c r="T904" t="s">
        <v>1921</v>
      </c>
      <c r="U904" t="s">
        <v>43</v>
      </c>
      <c r="V904" t="s">
        <v>8233</v>
      </c>
      <c r="W904" t="s">
        <v>8234</v>
      </c>
      <c r="Y904" t="str">
        <f>HYPERLINK("https://recruiter.shine.com/resume/download/?resumeid=gAAAAABbk2UNfEb6rjboPmB2UAzgtyg81TD_F97TKCKIcXyWBUChSn5AVgqFjo7IW1LlA394ESHeJQS0hDdtQzOr8xQ6agUd9KrdbyGRlHnLA9EB-RU3hm8FoA899nClWlg3b-pjt_LBSMWs50pdJXLAAGueaoO-6WNacpilScKbGp7lfVjVuFI=")</f>
        <v>https://recruiter.shine.com/resume/download/?resumeid=gAAAAABbk2UNfEb6rjboPmB2UAzgtyg81TD_F97TKCKIcXyWBUChSn5AVgqFjo7IW1LlA394ESHeJQS0hDdtQzOr8xQ6agUd9KrdbyGRlHnLA9EB-RU3hm8FoA899nClWlg3b-pjt_LBSMWs50pdJXLAAGueaoO-6WNacpilScKbGp7lfVjVuFI=</v>
      </c>
    </row>
    <row r="905" spans="1:25" ht="39.950000000000003" customHeight="1">
      <c r="A905">
        <v>901</v>
      </c>
      <c r="B905" t="s">
        <v>8235</v>
      </c>
      <c r="C905" t="s">
        <v>8236</v>
      </c>
      <c r="D905" t="s">
        <v>8237</v>
      </c>
      <c r="E905" t="s">
        <v>8238</v>
      </c>
      <c r="F905" t="s">
        <v>29</v>
      </c>
      <c r="G905" t="s">
        <v>29</v>
      </c>
      <c r="H905" t="s">
        <v>234</v>
      </c>
      <c r="I905" t="s">
        <v>1554</v>
      </c>
      <c r="J905" t="s">
        <v>169</v>
      </c>
      <c r="K905" t="s">
        <v>8239</v>
      </c>
      <c r="L905" t="s">
        <v>4096</v>
      </c>
      <c r="M905" t="s">
        <v>1356</v>
      </c>
      <c r="N905" t="s">
        <v>8240</v>
      </c>
      <c r="O905" t="s">
        <v>157</v>
      </c>
      <c r="Q905" t="s">
        <v>123</v>
      </c>
      <c r="R905" t="s">
        <v>124</v>
      </c>
      <c r="S905" t="s">
        <v>8241</v>
      </c>
      <c r="U905" t="s">
        <v>127</v>
      </c>
      <c r="V905" t="s">
        <v>8242</v>
      </c>
      <c r="W905" t="s">
        <v>8243</v>
      </c>
      <c r="Y905" t="str">
        <f>HYPERLINK("https://recruiter.shine.com/resume/download/?resumeid=gAAAAABbk2ULTWXZQyOPq1d_Gt7bT4DPhAClUbrdEvb04yTEIhG_tS1Au-gt6TJCT__tvO60TYt4qOtBiuHAvdLsFQPlyBLMpCJUxEqd__YB2F0BCPUOO7OWtRsfmxoGz3qHpxgwyY2KEZIpEHidHiapy-zCllLemfAupteyTCIQDfyaviQ0Tdk=")</f>
        <v>https://recruiter.shine.com/resume/download/?resumeid=gAAAAABbk2ULTWXZQyOPq1d_Gt7bT4DPhAClUbrdEvb04yTEIhG_tS1Au-gt6TJCT__tvO60TYt4qOtBiuHAvdLsFQPlyBLMpCJUxEqd__YB2F0BCPUOO7OWtRsfmxoGz3qHpxgwyY2KEZIpEHidHiapy-zCllLemfAupteyTCIQDfyaviQ0Tdk=</v>
      </c>
    </row>
    <row r="906" spans="1:25" ht="39.950000000000003" customHeight="1">
      <c r="A906">
        <v>902</v>
      </c>
      <c r="B906" t="s">
        <v>8244</v>
      </c>
      <c r="C906" t="s">
        <v>8245</v>
      </c>
      <c r="D906" t="s">
        <v>8246</v>
      </c>
      <c r="E906" t="s">
        <v>8247</v>
      </c>
      <c r="F906" t="s">
        <v>29</v>
      </c>
      <c r="G906" t="s">
        <v>30</v>
      </c>
      <c r="H906" t="s">
        <v>31</v>
      </c>
      <c r="I906" t="s">
        <v>2074</v>
      </c>
      <c r="J906" t="s">
        <v>3147</v>
      </c>
      <c r="K906" t="s">
        <v>8248</v>
      </c>
      <c r="L906" t="s">
        <v>155</v>
      </c>
      <c r="M906" t="s">
        <v>1335</v>
      </c>
      <c r="N906" t="s">
        <v>8249</v>
      </c>
      <c r="O906" t="s">
        <v>186</v>
      </c>
      <c r="P906" t="s">
        <v>57</v>
      </c>
      <c r="Q906" t="s">
        <v>90</v>
      </c>
      <c r="R906" t="s">
        <v>91</v>
      </c>
      <c r="S906" t="s">
        <v>3898</v>
      </c>
      <c r="T906" t="s">
        <v>429</v>
      </c>
      <c r="U906" t="s">
        <v>43</v>
      </c>
      <c r="V906" t="s">
        <v>8250</v>
      </c>
      <c r="W906" t="s">
        <v>8251</v>
      </c>
      <c r="Y906" t="str">
        <f>HYPERLINK("https://recruiter.shine.com/resume/download/?resumeid=gAAAAABbk2UNLQNyjBE5Xc7fL6OWQ5vde6lx-OXMBnNaTJdlkvcQ_1IgE1xGRT5T-w_sBtNVdn9NcFK2V3q3OQZITjaD3qjSSvzdAnDI3nQS1yAEfrl0SuYmR2J-2Y9J1ogoD8tSbPv_1fE8JTG1HcZzvcZW5rP2RgDBR6Lqgtn3ISNOA7A3jCM=")</f>
        <v>https://recruiter.shine.com/resume/download/?resumeid=gAAAAABbk2UNLQNyjBE5Xc7fL6OWQ5vde6lx-OXMBnNaTJdlkvcQ_1IgE1xGRT5T-w_sBtNVdn9NcFK2V3q3OQZITjaD3qjSSvzdAnDI3nQS1yAEfrl0SuYmR2J-2Y9J1ogoD8tSbPv_1fE8JTG1HcZzvcZW5rP2RgDBR6Lqgtn3ISNOA7A3jCM=</v>
      </c>
    </row>
    <row r="907" spans="1:25" ht="39.950000000000003" customHeight="1">
      <c r="A907">
        <v>903</v>
      </c>
      <c r="B907" t="s">
        <v>8252</v>
      </c>
      <c r="D907" t="s">
        <v>8253</v>
      </c>
      <c r="E907" t="s">
        <v>8254</v>
      </c>
      <c r="F907" t="s">
        <v>29</v>
      </c>
      <c r="G907" t="s">
        <v>67</v>
      </c>
      <c r="I907" t="s">
        <v>860</v>
      </c>
      <c r="J907" t="s">
        <v>251</v>
      </c>
      <c r="K907" t="s">
        <v>8255</v>
      </c>
      <c r="L907" t="s">
        <v>88</v>
      </c>
      <c r="M907" t="s">
        <v>463</v>
      </c>
      <c r="N907" t="s">
        <v>8256</v>
      </c>
      <c r="O907" t="s">
        <v>186</v>
      </c>
      <c r="Q907" t="s">
        <v>90</v>
      </c>
      <c r="R907" t="s">
        <v>91</v>
      </c>
      <c r="S907" t="s">
        <v>8257</v>
      </c>
      <c r="T907" t="s">
        <v>126</v>
      </c>
      <c r="U907" t="s">
        <v>127</v>
      </c>
      <c r="V907" t="s">
        <v>8258</v>
      </c>
      <c r="W907" t="s">
        <v>8258</v>
      </c>
      <c r="Y907" t="str">
        <f>HYPERLINK("https://recruiter.shine.com/resume/download/?resumeid=gAAAAABbk2UNAvcWClatVvtUORw-Efv_VlwD9kqwxPGjJRaN-elYEUguU_D8rTumEEuFYUwZdhzXhZPoWm8KsMCp0x6ecWPSyP4HIjlJAxXbD5PzE5Szp7ejFApqEBzeDIBYl61OqXE3xzcFvXnZGvnW4r1K9jPL-RUmIP9ggIedCFyqrx62E0Y=")</f>
        <v>https://recruiter.shine.com/resume/download/?resumeid=gAAAAABbk2UNAvcWClatVvtUORw-Efv_VlwD9kqwxPGjJRaN-elYEUguU_D8rTumEEuFYUwZdhzXhZPoWm8KsMCp0x6ecWPSyP4HIjlJAxXbD5PzE5Szp7ejFApqEBzeDIBYl61OqXE3xzcFvXnZGvnW4r1K9jPL-RUmIP9ggIedCFyqrx62E0Y=</v>
      </c>
    </row>
    <row r="908" spans="1:25" ht="39.950000000000003" customHeight="1">
      <c r="A908">
        <v>904</v>
      </c>
      <c r="B908" t="s">
        <v>8259</v>
      </c>
      <c r="C908" t="s">
        <v>8260</v>
      </c>
      <c r="D908" t="s">
        <v>8261</v>
      </c>
      <c r="E908" t="s">
        <v>8262</v>
      </c>
      <c r="F908" t="s">
        <v>29</v>
      </c>
      <c r="G908" t="s">
        <v>67</v>
      </c>
      <c r="H908" t="s">
        <v>234</v>
      </c>
      <c r="I908" t="s">
        <v>860</v>
      </c>
      <c r="J908" t="s">
        <v>51</v>
      </c>
      <c r="K908" t="s">
        <v>8263</v>
      </c>
      <c r="L908" t="s">
        <v>184</v>
      </c>
      <c r="M908" t="s">
        <v>238</v>
      </c>
      <c r="N908" t="s">
        <v>8264</v>
      </c>
      <c r="O908" t="s">
        <v>186</v>
      </c>
      <c r="P908" t="s">
        <v>201</v>
      </c>
      <c r="Q908" t="s">
        <v>783</v>
      </c>
      <c r="R908" t="s">
        <v>124</v>
      </c>
      <c r="S908" t="s">
        <v>188</v>
      </c>
      <c r="T908" t="s">
        <v>625</v>
      </c>
      <c r="U908" t="s">
        <v>127</v>
      </c>
      <c r="V908" t="s">
        <v>8265</v>
      </c>
      <c r="W908" t="s">
        <v>8265</v>
      </c>
      <c r="Y908" t="str">
        <f>HYPERLINK("https://recruiter.shine.com/resume/download/?resumeid=gAAAAABbk2ULU6wWK4hB41atfJpQkjgPMS-r0vaYvcK3tk3LXlzZbmpLx2tLlvzfZqk8bcgi9XDCdjaNTT0FMw1iM9boS1AFkcpd97K27PKtt1AjRUrDGnlvurQs24fi_1x_SFf4RObJWM_dZABg4bd51TD8LW0RV_FUe1zLN-___V3CqLaKtn0=")</f>
        <v>https://recruiter.shine.com/resume/download/?resumeid=gAAAAABbk2ULU6wWK4hB41atfJpQkjgPMS-r0vaYvcK3tk3LXlzZbmpLx2tLlvzfZqk8bcgi9XDCdjaNTT0FMw1iM9boS1AFkcpd97K27PKtt1AjRUrDGnlvurQs24fi_1x_SFf4RObJWM_dZABg4bd51TD8LW0RV_FUe1zLN-___V3CqLaKtn0=</v>
      </c>
    </row>
    <row r="909" spans="1:25" ht="39.950000000000003" customHeight="1">
      <c r="A909">
        <v>905</v>
      </c>
      <c r="B909" t="s">
        <v>8266</v>
      </c>
      <c r="C909" t="s">
        <v>8267</v>
      </c>
      <c r="D909" t="s">
        <v>8268</v>
      </c>
      <c r="E909" t="s">
        <v>8269</v>
      </c>
      <c r="F909" t="s">
        <v>858</v>
      </c>
      <c r="G909" t="s">
        <v>8270</v>
      </c>
      <c r="H909" t="s">
        <v>31</v>
      </c>
      <c r="I909" t="s">
        <v>6897</v>
      </c>
      <c r="J909" t="s">
        <v>935</v>
      </c>
      <c r="K909" t="s">
        <v>8271</v>
      </c>
      <c r="L909" t="s">
        <v>155</v>
      </c>
      <c r="M909" t="s">
        <v>105</v>
      </c>
      <c r="N909" t="s">
        <v>7556</v>
      </c>
      <c r="O909" t="s">
        <v>1245</v>
      </c>
      <c r="P909" t="s">
        <v>73</v>
      </c>
      <c r="Q909" t="s">
        <v>158</v>
      </c>
      <c r="R909" t="s">
        <v>341</v>
      </c>
      <c r="S909" t="s">
        <v>8272</v>
      </c>
      <c r="T909" t="s">
        <v>1842</v>
      </c>
      <c r="U909" t="s">
        <v>43</v>
      </c>
      <c r="V909" t="s">
        <v>8273</v>
      </c>
      <c r="W909" t="s">
        <v>8274</v>
      </c>
      <c r="Y909" t="str">
        <f>HYPERLINK("https://recruiter.shine.com/resume/download/?resumeid=gAAAAABbk2UNFWzNeXi5loZI4M3i00XFc98jCZKdcjvtKQhMQcnQMjjhQyaO8N4kJ51eVM_4pILzZttVaek9HAL6cjKbsL0_nTAO3FETPUPC4Eb-V5I_qgbZmfP6ymXawS9pAwRu7FBiQoC30158jwThoQaiVGVNvQ==")</f>
        <v>https://recruiter.shine.com/resume/download/?resumeid=gAAAAABbk2UNFWzNeXi5loZI4M3i00XFc98jCZKdcjvtKQhMQcnQMjjhQyaO8N4kJ51eVM_4pILzZttVaek9HAL6cjKbsL0_nTAO3FETPUPC4Eb-V5I_qgbZmfP6ymXawS9pAwRu7FBiQoC30158jwThoQaiVGVNvQ==</v>
      </c>
    </row>
    <row r="910" spans="1:25" ht="39.950000000000003" customHeight="1">
      <c r="A910">
        <v>906</v>
      </c>
      <c r="B910" t="s">
        <v>8275</v>
      </c>
      <c r="D910" t="s">
        <v>8276</v>
      </c>
      <c r="E910" t="s">
        <v>8277</v>
      </c>
      <c r="F910" t="s">
        <v>29</v>
      </c>
      <c r="G910" t="s">
        <v>29</v>
      </c>
      <c r="H910" t="s">
        <v>31</v>
      </c>
      <c r="I910" t="s">
        <v>5163</v>
      </c>
      <c r="J910" t="s">
        <v>801</v>
      </c>
      <c r="K910" t="s">
        <v>1910</v>
      </c>
      <c r="L910" t="s">
        <v>88</v>
      </c>
      <c r="M910" t="s">
        <v>473</v>
      </c>
      <c r="N910" t="s">
        <v>8278</v>
      </c>
      <c r="O910" t="s">
        <v>186</v>
      </c>
      <c r="P910" t="s">
        <v>140</v>
      </c>
      <c r="Q910" t="s">
        <v>123</v>
      </c>
      <c r="R910" t="s">
        <v>124</v>
      </c>
      <c r="S910" t="s">
        <v>8279</v>
      </c>
      <c r="T910" t="s">
        <v>687</v>
      </c>
      <c r="U910" t="s">
        <v>43</v>
      </c>
      <c r="V910" t="s">
        <v>8280</v>
      </c>
      <c r="W910" t="s">
        <v>8280</v>
      </c>
      <c r="Y910" t="str">
        <f>HYPERLINK("https://recruiter.shine.com/resume/download/?resumeid=gAAAAABbk2UN-NtITh5yeQmpdzXLd_Viwes63yOA-LLFWcbAZkUWV-Z4FScbjNEze52UFIrXc9G9kWlBz6JVQymlms8dyPUIQ9ucJLhU7tSA5297Tj8CAGh2ARRFtTM9qXSm9A47-pKISmShniooWJwklGblGHiYC87F5tVKOiBbSVRKYIcyR7w=")</f>
        <v>https://recruiter.shine.com/resume/download/?resumeid=gAAAAABbk2UN-NtITh5yeQmpdzXLd_Viwes63yOA-LLFWcbAZkUWV-Z4FScbjNEze52UFIrXc9G9kWlBz6JVQymlms8dyPUIQ9ucJLhU7tSA5297Tj8CAGh2ARRFtTM9qXSm9A47-pKISmShniooWJwklGblGHiYC87F5tVKOiBbSVRKYIcyR7w=</v>
      </c>
    </row>
    <row r="911" spans="1:25" ht="39.950000000000003" customHeight="1">
      <c r="A911">
        <v>907</v>
      </c>
      <c r="B911" t="s">
        <v>8281</v>
      </c>
      <c r="C911" t="s">
        <v>8282</v>
      </c>
      <c r="D911" t="s">
        <v>8283</v>
      </c>
      <c r="E911" t="s">
        <v>8284</v>
      </c>
      <c r="F911" t="s">
        <v>29</v>
      </c>
      <c r="G911" t="s">
        <v>30</v>
      </c>
      <c r="H911" t="s">
        <v>31</v>
      </c>
      <c r="I911" t="s">
        <v>662</v>
      </c>
      <c r="J911" t="s">
        <v>3906</v>
      </c>
      <c r="K911" t="s">
        <v>8285</v>
      </c>
      <c r="L911" t="s">
        <v>199</v>
      </c>
      <c r="M911" t="s">
        <v>54</v>
      </c>
      <c r="N911" t="s">
        <v>8286</v>
      </c>
      <c r="O911" t="s">
        <v>585</v>
      </c>
      <c r="P911" t="s">
        <v>39</v>
      </c>
      <c r="Q911" t="s">
        <v>107</v>
      </c>
      <c r="R911" t="s">
        <v>2346</v>
      </c>
      <c r="S911" t="s">
        <v>8287</v>
      </c>
      <c r="T911" t="s">
        <v>304</v>
      </c>
      <c r="U911" t="s">
        <v>43</v>
      </c>
      <c r="V911" t="s">
        <v>8288</v>
      </c>
      <c r="W911" t="s">
        <v>8289</v>
      </c>
      <c r="Y911" t="str">
        <f>HYPERLINK("https://recruiter.shine.com/resume/download/?resumeid=gAAAAABbk2UKLJyC3f6NNYvoH3W44-l0_ErbmV9p_KzIOsN2uTJxcF8gmbkmDkw7pwfIrm-SynSWRE1fj4S_zw-rGFbmmOJv7xwlhC9KVTGrLUL9r36IHfbewXIGiHnafjr0T98d2X2gmo9Zh3Z7wPYgmH5rS05X7g==")</f>
        <v>https://recruiter.shine.com/resume/download/?resumeid=gAAAAABbk2UKLJyC3f6NNYvoH3W44-l0_ErbmV9p_KzIOsN2uTJxcF8gmbkmDkw7pwfIrm-SynSWRE1fj4S_zw-rGFbmmOJv7xwlhC9KVTGrLUL9r36IHfbewXIGiHnafjr0T98d2X2gmo9Zh3Z7wPYgmH5rS05X7g==</v>
      </c>
    </row>
    <row r="912" spans="1:25" ht="39.950000000000003" customHeight="1">
      <c r="A912">
        <v>908</v>
      </c>
      <c r="B912" t="s">
        <v>8290</v>
      </c>
      <c r="C912" t="s">
        <v>8291</v>
      </c>
      <c r="D912" t="s">
        <v>8292</v>
      </c>
      <c r="E912" t="s">
        <v>8293</v>
      </c>
      <c r="F912" t="s">
        <v>249</v>
      </c>
      <c r="G912" t="s">
        <v>249</v>
      </c>
      <c r="H912" t="s">
        <v>234</v>
      </c>
      <c r="I912" t="s">
        <v>208</v>
      </c>
      <c r="J912" t="s">
        <v>3617</v>
      </c>
      <c r="K912" t="s">
        <v>8294</v>
      </c>
      <c r="L912" t="s">
        <v>8295</v>
      </c>
      <c r="M912" t="s">
        <v>463</v>
      </c>
      <c r="N912" t="s">
        <v>8296</v>
      </c>
      <c r="O912" t="s">
        <v>38</v>
      </c>
      <c r="P912" t="s">
        <v>57</v>
      </c>
      <c r="Q912" t="s">
        <v>90</v>
      </c>
      <c r="R912" t="s">
        <v>465</v>
      </c>
      <c r="S912" t="s">
        <v>3963</v>
      </c>
      <c r="T912" t="s">
        <v>441</v>
      </c>
      <c r="U912" t="s">
        <v>127</v>
      </c>
      <c r="V912" t="s">
        <v>8297</v>
      </c>
      <c r="W912" t="s">
        <v>8298</v>
      </c>
      <c r="Y912" t="str">
        <f>HYPERLINK("https://recruiter.shine.com/resume/download/?resumeid=gAAAAABbk2UMKhAba_4IE7NRHmA-9SUAIMxL_RVImrCdNZx2Z8WECF0_7LXX5gZxN9fRe_l4khBOMsZ5a68RvGgbp-enQJPeHeikZpQhN5X0qvfYKMQRQV3Q7STKGVrdxwJrqMliExqBVWmrwqK1y8AUIq1L3M4UmIOSgLpaeLljUC1eLOCezpQ=")</f>
        <v>https://recruiter.shine.com/resume/download/?resumeid=gAAAAABbk2UMKhAba_4IE7NRHmA-9SUAIMxL_RVImrCdNZx2Z8WECF0_7LXX5gZxN9fRe_l4khBOMsZ5a68RvGgbp-enQJPeHeikZpQhN5X0qvfYKMQRQV3Q7STKGVrdxwJrqMliExqBVWmrwqK1y8AUIq1L3M4UmIOSgLpaeLljUC1eLOCezpQ=</v>
      </c>
    </row>
    <row r="913" spans="1:25" ht="39.950000000000003" customHeight="1">
      <c r="A913">
        <v>909</v>
      </c>
      <c r="B913" t="s">
        <v>8299</v>
      </c>
      <c r="D913" t="s">
        <v>8300</v>
      </c>
      <c r="E913" t="s">
        <v>8301</v>
      </c>
      <c r="F913" t="s">
        <v>29</v>
      </c>
      <c r="G913" t="s">
        <v>67</v>
      </c>
      <c r="H913" t="s">
        <v>234</v>
      </c>
      <c r="I913" t="s">
        <v>362</v>
      </c>
      <c r="J913" t="s">
        <v>135</v>
      </c>
      <c r="L913" t="s">
        <v>363</v>
      </c>
      <c r="M913" t="s">
        <v>364</v>
      </c>
      <c r="Q913" t="s">
        <v>699</v>
      </c>
      <c r="R913" t="s">
        <v>8302</v>
      </c>
      <c r="S913" t="s">
        <v>8303</v>
      </c>
      <c r="T913" t="s">
        <v>126</v>
      </c>
      <c r="U913" t="s">
        <v>43</v>
      </c>
      <c r="V913" t="s">
        <v>8304</v>
      </c>
      <c r="W913" t="s">
        <v>8305</v>
      </c>
      <c r="Y913" t="str">
        <f>HYPERLINK("https://recruiter.shine.com/resume/download/?resumeid=gAAAAABbk2UNa-O7wwRtZnKFzXCnX_27IuNnuXxxuq6udAvM_sLcJMX-7f6ue0Zx80EJHkAtfgCp9FNQZXHMW8pE4okTvE-SC49GqW4qIpsaZrI2P83gvoOUoAX6YkBs_MXY30Bms5wmvku8VEyYoCaQlnfTsSS7grB7aEwLgQwcYoU3NxlN0a4=")</f>
        <v>https://recruiter.shine.com/resume/download/?resumeid=gAAAAABbk2UNa-O7wwRtZnKFzXCnX_27IuNnuXxxuq6udAvM_sLcJMX-7f6ue0Zx80EJHkAtfgCp9FNQZXHMW8pE4okTvE-SC49GqW4qIpsaZrI2P83gvoOUoAX6YkBs_MXY30Bms5wmvku8VEyYoCaQlnfTsSS7grB7aEwLgQwcYoU3NxlN0a4=</v>
      </c>
    </row>
    <row r="914" spans="1:25" ht="39.950000000000003" customHeight="1">
      <c r="A914">
        <v>910</v>
      </c>
      <c r="B914" t="s">
        <v>8306</v>
      </c>
      <c r="C914" t="s">
        <v>8307</v>
      </c>
      <c r="D914" t="s">
        <v>8308</v>
      </c>
      <c r="E914" t="s">
        <v>8309</v>
      </c>
      <c r="F914" t="s">
        <v>29</v>
      </c>
      <c r="G914" t="s">
        <v>30</v>
      </c>
      <c r="H914" t="s">
        <v>31</v>
      </c>
      <c r="I914" t="s">
        <v>483</v>
      </c>
      <c r="J914" t="s">
        <v>4591</v>
      </c>
      <c r="K914" t="s">
        <v>8310</v>
      </c>
      <c r="L914" t="s">
        <v>266</v>
      </c>
      <c r="M914" t="s">
        <v>684</v>
      </c>
      <c r="N914" t="s">
        <v>8311</v>
      </c>
      <c r="O914" t="s">
        <v>224</v>
      </c>
      <c r="P914" t="s">
        <v>57</v>
      </c>
      <c r="Q914" t="s">
        <v>107</v>
      </c>
      <c r="R914" t="s">
        <v>341</v>
      </c>
      <c r="S914" t="s">
        <v>8312</v>
      </c>
      <c r="T914" t="s">
        <v>304</v>
      </c>
      <c r="U914" t="s">
        <v>43</v>
      </c>
      <c r="V914" t="s">
        <v>8313</v>
      </c>
      <c r="W914" t="s">
        <v>8314</v>
      </c>
      <c r="Y914" t="str">
        <f>HYPERLINK("https://recruiter.shine.com/resume/download/?resumeid=gAAAAABbk2ULahrgLMwMkRnlpm5JkeIDtiEkliQ5jKpV-Jx05BJTDLa03It-djb5baqQR-JFcbWOtiJByniuwWHi9nRd4xIve1LTFfqNLKVUx38ar-Y0fnqxC987xIVfSRGIB9mim_qB9tmS3pSWPdtoyM0ApSFNabZfImnglxmB4Ww7SPrTDkU=")</f>
        <v>https://recruiter.shine.com/resume/download/?resumeid=gAAAAABbk2ULahrgLMwMkRnlpm5JkeIDtiEkliQ5jKpV-Jx05BJTDLa03It-djb5baqQR-JFcbWOtiJByniuwWHi9nRd4xIve1LTFfqNLKVUx38ar-Y0fnqxC987xIVfSRGIB9mim_qB9tmS3pSWPdtoyM0ApSFNabZfImnglxmB4Ww7SPrTDkU=</v>
      </c>
    </row>
    <row r="915" spans="1:25" ht="39.950000000000003" customHeight="1">
      <c r="A915">
        <v>911</v>
      </c>
      <c r="B915" t="s">
        <v>8315</v>
      </c>
      <c r="C915" t="s">
        <v>8316</v>
      </c>
      <c r="D915" t="s">
        <v>8317</v>
      </c>
      <c r="E915" t="s">
        <v>8318</v>
      </c>
      <c r="F915" t="s">
        <v>29</v>
      </c>
      <c r="G915" t="s">
        <v>8319</v>
      </c>
      <c r="H915" t="s">
        <v>31</v>
      </c>
      <c r="I915" t="s">
        <v>8320</v>
      </c>
      <c r="J915" t="s">
        <v>69</v>
      </c>
      <c r="K915" t="s">
        <v>8321</v>
      </c>
      <c r="L915" t="s">
        <v>266</v>
      </c>
      <c r="M915" t="s">
        <v>105</v>
      </c>
      <c r="N915" t="s">
        <v>2904</v>
      </c>
      <c r="O915" t="s">
        <v>804</v>
      </c>
      <c r="P915" t="s">
        <v>39</v>
      </c>
      <c r="Q915" t="s">
        <v>107</v>
      </c>
      <c r="R915" t="s">
        <v>159</v>
      </c>
      <c r="S915" t="s">
        <v>8322</v>
      </c>
      <c r="T915" t="s">
        <v>415</v>
      </c>
      <c r="U915" t="s">
        <v>43</v>
      </c>
      <c r="V915" t="s">
        <v>8323</v>
      </c>
      <c r="W915" t="s">
        <v>8324</v>
      </c>
      <c r="Y915" t="str">
        <f>HYPERLINK("https://recruiter.shine.com/resume/download/?resumeid=gAAAAABbk2UME0Balc3SQUzGijIhYAJYbUSXIZfZfaaZs43zkt_ZEGlV9-hurZRRfmwLRBSP_rAaqQDfYp0STSXGQ3MA4Efo8518SChD_am0T-BKR-nYav3TJ-5XH8_vHR8Z32TvDuntVPcWVpi5YFnkcmBOc_lX9A==")</f>
        <v>https://recruiter.shine.com/resume/download/?resumeid=gAAAAABbk2UME0Balc3SQUzGijIhYAJYbUSXIZfZfaaZs43zkt_ZEGlV9-hurZRRfmwLRBSP_rAaqQDfYp0STSXGQ3MA4Efo8518SChD_am0T-BKR-nYav3TJ-5XH8_vHR8Z32TvDuntVPcWVpi5YFnkcmBOc_lX9A==</v>
      </c>
    </row>
    <row r="916" spans="1:25" ht="39.950000000000003" customHeight="1">
      <c r="A916">
        <v>912</v>
      </c>
      <c r="B916" t="s">
        <v>8325</v>
      </c>
      <c r="C916" t="s">
        <v>8326</v>
      </c>
      <c r="D916" t="s">
        <v>8327</v>
      </c>
      <c r="E916" t="s">
        <v>8328</v>
      </c>
      <c r="F916" t="s">
        <v>29</v>
      </c>
      <c r="G916" t="s">
        <v>29</v>
      </c>
      <c r="H916" t="s">
        <v>31</v>
      </c>
      <c r="I916" t="s">
        <v>362</v>
      </c>
      <c r="J916" t="s">
        <v>135</v>
      </c>
      <c r="K916" t="s">
        <v>8329</v>
      </c>
      <c r="L916" t="s">
        <v>6189</v>
      </c>
      <c r="M916" t="s">
        <v>121</v>
      </c>
      <c r="N916" t="s">
        <v>8330</v>
      </c>
      <c r="O916" t="s">
        <v>848</v>
      </c>
      <c r="Q916" t="s">
        <v>123</v>
      </c>
      <c r="R916" t="s">
        <v>124</v>
      </c>
      <c r="S916" t="s">
        <v>188</v>
      </c>
      <c r="T916" t="s">
        <v>257</v>
      </c>
      <c r="U916" t="s">
        <v>43</v>
      </c>
      <c r="V916" t="s">
        <v>8331</v>
      </c>
      <c r="W916" t="s">
        <v>8331</v>
      </c>
      <c r="Y916" t="str">
        <f>HYPERLINK("https://recruiter.shine.com/resume/download/?resumeid=gAAAAABbk2UOZePPjx18HEJGbT7fAQohbZlnHNNdG7FaL0Ysp0qGaOlj7fy8dPgiWAoWVbx4ZP2gKsU5U-1fqlnCWLAvR2AF-9W2yT7ypljGYMITbXuXE0UZKECF6NHwxoMC93gipv2eb6ZZf3pIA3CdzFt90eVe1xFGm9ebIQ0TlKOpiCU0XNM=")</f>
        <v>https://recruiter.shine.com/resume/download/?resumeid=gAAAAABbk2UOZePPjx18HEJGbT7fAQohbZlnHNNdG7FaL0Ysp0qGaOlj7fy8dPgiWAoWVbx4ZP2gKsU5U-1fqlnCWLAvR2AF-9W2yT7ypljGYMITbXuXE0UZKECF6NHwxoMC93gipv2eb6ZZf3pIA3CdzFt90eVe1xFGm9ebIQ0TlKOpiCU0XNM=</v>
      </c>
    </row>
    <row r="917" spans="1:25" ht="39.950000000000003" customHeight="1">
      <c r="A917">
        <v>913</v>
      </c>
      <c r="B917" t="s">
        <v>8332</v>
      </c>
      <c r="C917" t="s">
        <v>8333</v>
      </c>
      <c r="D917" t="s">
        <v>8334</v>
      </c>
      <c r="E917" t="s">
        <v>8335</v>
      </c>
      <c r="F917" t="s">
        <v>29</v>
      </c>
      <c r="G917" t="s">
        <v>29</v>
      </c>
      <c r="H917" t="s">
        <v>234</v>
      </c>
      <c r="I917" t="s">
        <v>1419</v>
      </c>
      <c r="J917" t="s">
        <v>745</v>
      </c>
      <c r="K917" t="s">
        <v>8336</v>
      </c>
      <c r="L917" t="s">
        <v>155</v>
      </c>
      <c r="M917" t="s">
        <v>684</v>
      </c>
      <c r="N917" t="s">
        <v>8337</v>
      </c>
      <c r="O917" t="s">
        <v>157</v>
      </c>
      <c r="P917" t="s">
        <v>39</v>
      </c>
      <c r="Q917" t="s">
        <v>107</v>
      </c>
      <c r="R917" t="s">
        <v>108</v>
      </c>
      <c r="S917" t="s">
        <v>8338</v>
      </c>
      <c r="U917" t="s">
        <v>43</v>
      </c>
      <c r="V917" t="s">
        <v>8339</v>
      </c>
      <c r="W917" t="s">
        <v>8340</v>
      </c>
      <c r="Y917" t="str">
        <f>HYPERLINK("https://recruiter.shine.com/resume/download/?resumeid=gAAAAABbk2UKYCo3gSTePhLR9wjWpAqO-HgD_jJIppVnO_7B8LJDpDCUfYdoxD_hKjeA_sMKlD43D7N_DQms8l5VIhyksVPK9EkdXyooRs_0jFUDh4RViR45G5anmodc7GYUrCV4KCfcUeFnTbm1FCN9yjpLSzIMPg==")</f>
        <v>https://recruiter.shine.com/resume/download/?resumeid=gAAAAABbk2UKYCo3gSTePhLR9wjWpAqO-HgD_jJIppVnO_7B8LJDpDCUfYdoxD_hKjeA_sMKlD43D7N_DQms8l5VIhyksVPK9EkdXyooRs_0jFUDh4RViR45G5anmodc7GYUrCV4KCfcUeFnTbm1FCN9yjpLSzIMPg==</v>
      </c>
    </row>
    <row r="918" spans="1:25" ht="39.950000000000003" customHeight="1">
      <c r="A918">
        <v>914</v>
      </c>
      <c r="B918" t="s">
        <v>8341</v>
      </c>
      <c r="D918" t="s">
        <v>8342</v>
      </c>
      <c r="E918" t="s">
        <v>8343</v>
      </c>
      <c r="F918" t="s">
        <v>29</v>
      </c>
      <c r="G918" t="s">
        <v>29</v>
      </c>
      <c r="H918" t="s">
        <v>234</v>
      </c>
      <c r="I918" t="s">
        <v>2074</v>
      </c>
      <c r="J918" t="s">
        <v>705</v>
      </c>
      <c r="K918" t="s">
        <v>8344</v>
      </c>
      <c r="L918" t="s">
        <v>596</v>
      </c>
      <c r="M918" t="s">
        <v>105</v>
      </c>
      <c r="N918" t="s">
        <v>8345</v>
      </c>
      <c r="O918" t="s">
        <v>56</v>
      </c>
      <c r="Q918" t="s">
        <v>365</v>
      </c>
      <c r="R918" t="s">
        <v>476</v>
      </c>
      <c r="S918" t="s">
        <v>8346</v>
      </c>
      <c r="T918" t="s">
        <v>2358</v>
      </c>
      <c r="U918" t="s">
        <v>127</v>
      </c>
      <c r="V918" t="s">
        <v>8347</v>
      </c>
      <c r="W918" t="s">
        <v>8348</v>
      </c>
      <c r="Y918" t="str">
        <f>HYPERLINK("https://recruiter.shine.com/resume/download/?resumeid=gAAAAABbk2UMJotpLgcY01MfiSG3MWSG_mEwpsGf7oYPezG_a5Mnz7QxnTP8h0s11wmMLSV4Ja0IUYqQEfU9dCG7TFOJPsfvuPNae0w6r305gIGrZ9hHfFswZ-49OvtWiNH9H_HnhxG-70oUi-k90odwTxmHIqQHAC_h_k0NnZbDyAJj_-P8Bso=")</f>
        <v>https://recruiter.shine.com/resume/download/?resumeid=gAAAAABbk2UMJotpLgcY01MfiSG3MWSG_mEwpsGf7oYPezG_a5Mnz7QxnTP8h0s11wmMLSV4Ja0IUYqQEfU9dCG7TFOJPsfvuPNae0w6r305gIGrZ9hHfFswZ-49OvtWiNH9H_HnhxG-70oUi-k90odwTxmHIqQHAC_h_k0NnZbDyAJj_-P8Bso=</v>
      </c>
    </row>
    <row r="919" spans="1:25" ht="39.950000000000003" customHeight="1">
      <c r="A919">
        <v>915</v>
      </c>
      <c r="B919" t="s">
        <v>8349</v>
      </c>
      <c r="C919" t="s">
        <v>8350</v>
      </c>
      <c r="D919" t="s">
        <v>8351</v>
      </c>
      <c r="E919" t="s">
        <v>8352</v>
      </c>
      <c r="F919" t="s">
        <v>29</v>
      </c>
      <c r="G919" t="s">
        <v>67</v>
      </c>
      <c r="H919" t="s">
        <v>31</v>
      </c>
      <c r="I919" t="s">
        <v>8353</v>
      </c>
      <c r="J919" t="s">
        <v>153</v>
      </c>
      <c r="K919" t="s">
        <v>8354</v>
      </c>
      <c r="L919" t="s">
        <v>199</v>
      </c>
      <c r="M919" t="s">
        <v>54</v>
      </c>
      <c r="N919" t="s">
        <v>5032</v>
      </c>
      <c r="O919" t="s">
        <v>157</v>
      </c>
      <c r="P919" t="s">
        <v>39</v>
      </c>
      <c r="Q919" t="s">
        <v>158</v>
      </c>
      <c r="R919" t="s">
        <v>2346</v>
      </c>
      <c r="S919" t="s">
        <v>8355</v>
      </c>
      <c r="T919" t="s">
        <v>773</v>
      </c>
      <c r="U919" t="s">
        <v>43</v>
      </c>
      <c r="V919" t="s">
        <v>8356</v>
      </c>
      <c r="W919" t="s">
        <v>8357</v>
      </c>
      <c r="Y919" t="str">
        <f>HYPERLINK("https://recruiter.shine.com/resume/download/?resumeid=gAAAAABbk2UOkR6leFo5VKWd4JM9eOzGiYMVCSP-0PK8gK8hLOjOQQ3RUBUhhNe111OA8eGtv_x_pw1StS9CiTN1Z3HhBrSo6zaRixN6-_F-a2C0hhMPgbl2eJnAXnOA5ySWuRHZVFFNshdYZQ4SGowQfo1Wt28n1A==")</f>
        <v>https://recruiter.shine.com/resume/download/?resumeid=gAAAAABbk2UOkR6leFo5VKWd4JM9eOzGiYMVCSP-0PK8gK8hLOjOQQ3RUBUhhNe111OA8eGtv_x_pw1StS9CiTN1Z3HhBrSo6zaRixN6-_F-a2C0hhMPgbl2eJnAXnOA5ySWuRHZVFFNshdYZQ4SGowQfo1Wt28n1A==</v>
      </c>
    </row>
    <row r="920" spans="1:25" ht="39.950000000000003" customHeight="1">
      <c r="A920">
        <v>916</v>
      </c>
      <c r="B920" t="s">
        <v>8358</v>
      </c>
      <c r="C920" t="s">
        <v>8359</v>
      </c>
      <c r="D920" t="s">
        <v>8360</v>
      </c>
      <c r="E920" t="s">
        <v>8361</v>
      </c>
      <c r="F920" t="s">
        <v>29</v>
      </c>
      <c r="G920" t="s">
        <v>8362</v>
      </c>
      <c r="H920" t="s">
        <v>31</v>
      </c>
      <c r="I920" t="s">
        <v>1038</v>
      </c>
      <c r="J920" t="s">
        <v>871</v>
      </c>
      <c r="K920" t="s">
        <v>8363</v>
      </c>
      <c r="L920" t="s">
        <v>155</v>
      </c>
      <c r="M920" t="s">
        <v>105</v>
      </c>
      <c r="N920" t="s">
        <v>8364</v>
      </c>
      <c r="O920" t="s">
        <v>38</v>
      </c>
      <c r="Q920" t="s">
        <v>107</v>
      </c>
      <c r="R920" t="s">
        <v>341</v>
      </c>
      <c r="S920" t="s">
        <v>8365</v>
      </c>
      <c r="U920" t="s">
        <v>43</v>
      </c>
      <c r="V920" t="s">
        <v>8366</v>
      </c>
      <c r="W920" t="s">
        <v>8366</v>
      </c>
      <c r="Y920" t="str">
        <f>HYPERLINK("https://recruiter.shine.com/resume/download/?resumeid=gAAAAABbk2UKVlI3zbJcNwYNpJUNYKSwgHM6yarl5GTl2vLV84pD7ooJnHaC7aHEEB_ET48-OLsiT86_-XAyLPx36ZuD3HWaPe3OKHFcQx_06-mPpPiHeKTyo0OnXzSHNWFravEa3LTMnL0x9P8jOR3bCKIKMLubNA==")</f>
        <v>https://recruiter.shine.com/resume/download/?resumeid=gAAAAABbk2UKVlI3zbJcNwYNpJUNYKSwgHM6yarl5GTl2vLV84pD7ooJnHaC7aHEEB_ET48-OLsiT86_-XAyLPx36ZuD3HWaPe3OKHFcQx_06-mPpPiHeKTyo0OnXzSHNWFravEa3LTMnL0x9P8jOR3bCKIKMLubNA==</v>
      </c>
    </row>
    <row r="921" spans="1:25" ht="39.950000000000003" customHeight="1">
      <c r="A921">
        <v>917</v>
      </c>
      <c r="B921" t="s">
        <v>8367</v>
      </c>
      <c r="C921" t="s">
        <v>8368</v>
      </c>
      <c r="D921" t="s">
        <v>8369</v>
      </c>
      <c r="E921" t="s">
        <v>8370</v>
      </c>
      <c r="F921" t="s">
        <v>29</v>
      </c>
      <c r="G921" t="s">
        <v>29</v>
      </c>
      <c r="H921" t="s">
        <v>31</v>
      </c>
      <c r="I921" t="s">
        <v>196</v>
      </c>
      <c r="J921" t="s">
        <v>51</v>
      </c>
      <c r="K921" t="s">
        <v>8371</v>
      </c>
      <c r="L921" t="s">
        <v>266</v>
      </c>
      <c r="M921" t="s">
        <v>105</v>
      </c>
      <c r="N921" t="s">
        <v>8372</v>
      </c>
      <c r="O921" t="s">
        <v>186</v>
      </c>
      <c r="P921" t="s">
        <v>57</v>
      </c>
      <c r="Q921" t="s">
        <v>107</v>
      </c>
      <c r="R921" t="s">
        <v>159</v>
      </c>
      <c r="S921" t="s">
        <v>8373</v>
      </c>
      <c r="T921" t="s">
        <v>429</v>
      </c>
      <c r="U921" t="s">
        <v>43</v>
      </c>
      <c r="V921" t="s">
        <v>8374</v>
      </c>
      <c r="W921" t="s">
        <v>8375</v>
      </c>
      <c r="Y921" t="str">
        <f>HYPERLINK("https://recruiter.shine.com/resume/download/?resumeid=gAAAAABbk2UMEXYRaODEU98ahPbQtFo-NxflmeoDSiuikRtU9m7F46f3gtg3jxIeq2LjT4gjy8fvIndlDnMO6Ns5oy-RoiCtSjKdFxjkriTP3_kGaOSmwjZ5NkFQMfIaMtNyEhgpk-dOCRmTRdssbEnkh5jj7de-h_BD9HhJ-ueO_KMQQHtgkb0=")</f>
        <v>https://recruiter.shine.com/resume/download/?resumeid=gAAAAABbk2UMEXYRaODEU98ahPbQtFo-NxflmeoDSiuikRtU9m7F46f3gtg3jxIeq2LjT4gjy8fvIndlDnMO6Ns5oy-RoiCtSjKdFxjkriTP3_kGaOSmwjZ5NkFQMfIaMtNyEhgpk-dOCRmTRdssbEnkh5jj7de-h_BD9HhJ-ueO_KMQQHtgkb0=</v>
      </c>
    </row>
    <row r="922" spans="1:25" ht="39.950000000000003" customHeight="1">
      <c r="A922">
        <v>918</v>
      </c>
      <c r="B922" t="s">
        <v>8376</v>
      </c>
      <c r="C922" t="s">
        <v>8377</v>
      </c>
      <c r="D922" t="s">
        <v>8378</v>
      </c>
      <c r="E922" t="s">
        <v>8379</v>
      </c>
      <c r="F922" t="s">
        <v>249</v>
      </c>
      <c r="G922" t="s">
        <v>67</v>
      </c>
      <c r="H922" t="s">
        <v>31</v>
      </c>
      <c r="I922" t="s">
        <v>362</v>
      </c>
      <c r="J922" t="s">
        <v>135</v>
      </c>
      <c r="L922" t="s">
        <v>363</v>
      </c>
      <c r="M922" t="s">
        <v>364</v>
      </c>
      <c r="Q922" t="s">
        <v>158</v>
      </c>
      <c r="R922" t="s">
        <v>159</v>
      </c>
      <c r="S922" t="s">
        <v>8380</v>
      </c>
      <c r="T922" t="s">
        <v>625</v>
      </c>
      <c r="U922" t="s">
        <v>43</v>
      </c>
      <c r="V922" t="s">
        <v>8381</v>
      </c>
      <c r="W922" t="s">
        <v>8382</v>
      </c>
      <c r="Y922" t="str">
        <f>HYPERLINK("https://recruiter.shine.com/resume/download/?resumeid=gAAAAABbk2UOgmIpEgNvbVihZvjsONHlKLO62A7z6wcRFl8vFDL_5qnqlZ7FzAk2ZqAK27PTpNJfy8YFyZ98Wii2EQe1CDBwq2gXdk_-nyOvNlRuIX1LuqT-qkJIJu7y96eSN2EqB8JFGDRxWBmMmJzQQne37blAvoAENrrVPMODIx-j4kkDbcs=")</f>
        <v>https://recruiter.shine.com/resume/download/?resumeid=gAAAAABbk2UOgmIpEgNvbVihZvjsONHlKLO62A7z6wcRFl8vFDL_5qnqlZ7FzAk2ZqAK27PTpNJfy8YFyZ98Wii2EQe1CDBwq2gXdk_-nyOvNlRuIX1LuqT-qkJIJu7y96eSN2EqB8JFGDRxWBmMmJzQQne37blAvoAENrrVPMODIx-j4kkDbcs=</v>
      </c>
    </row>
    <row r="923" spans="1:25" ht="39.950000000000003" customHeight="1">
      <c r="A923">
        <v>919</v>
      </c>
      <c r="B923" t="s">
        <v>8383</v>
      </c>
      <c r="C923" t="s">
        <v>8384</v>
      </c>
      <c r="D923" t="s">
        <v>8385</v>
      </c>
      <c r="E923" t="s">
        <v>8386</v>
      </c>
      <c r="F923" t="s">
        <v>29</v>
      </c>
      <c r="G923" t="s">
        <v>29</v>
      </c>
      <c r="H923" t="s">
        <v>31</v>
      </c>
      <c r="I923" t="s">
        <v>8387</v>
      </c>
      <c r="J923" t="s">
        <v>8388</v>
      </c>
      <c r="K923" t="s">
        <v>8389</v>
      </c>
      <c r="L923" t="s">
        <v>290</v>
      </c>
      <c r="M923" t="s">
        <v>238</v>
      </c>
      <c r="N923" t="s">
        <v>8390</v>
      </c>
      <c r="O923" t="s">
        <v>585</v>
      </c>
      <c r="P923" t="s">
        <v>201</v>
      </c>
      <c r="Q923" t="s">
        <v>90</v>
      </c>
      <c r="R923" t="s">
        <v>292</v>
      </c>
      <c r="S923" t="s">
        <v>188</v>
      </c>
      <c r="T923" t="s">
        <v>1921</v>
      </c>
      <c r="U923" t="s">
        <v>43</v>
      </c>
      <c r="V923" t="s">
        <v>8391</v>
      </c>
      <c r="W923" t="s">
        <v>8392</v>
      </c>
      <c r="Y923" t="str">
        <f>HYPERLINK("https://recruiter.shine.com/resume/download/?resumeid=gAAAAABbk2ULTkW2aDSn9pj4fBPQ82aFj1c5KEFDKW-9j39WQGABnkGcbMVqNk0ZFZ_JQYCLFlh7Ayei8_qeKt9EX6qaslDxGMZX2ExBcAUEnwcp9tkauHjJsEREg4FPH3xkO0QCcSr5t9-B4ZYWFf87jL2dfXbseNavgQ966LIKYrpzVLPUlXo=")</f>
        <v>https://recruiter.shine.com/resume/download/?resumeid=gAAAAABbk2ULTkW2aDSn9pj4fBPQ82aFj1c5KEFDKW-9j39WQGABnkGcbMVqNk0ZFZ_JQYCLFlh7Ayei8_qeKt9EX6qaslDxGMZX2ExBcAUEnwcp9tkauHjJsEREg4FPH3xkO0QCcSr5t9-B4ZYWFf87jL2dfXbseNavgQ966LIKYrpzVLPUlXo=</v>
      </c>
    </row>
    <row r="924" spans="1:25" ht="39.950000000000003" customHeight="1">
      <c r="A924">
        <v>920</v>
      </c>
      <c r="B924" t="s">
        <v>8393</v>
      </c>
      <c r="D924" t="s">
        <v>8394</v>
      </c>
      <c r="E924" t="s">
        <v>8395</v>
      </c>
      <c r="F924" t="s">
        <v>29</v>
      </c>
      <c r="G924" t="s">
        <v>7497</v>
      </c>
      <c r="H924" t="s">
        <v>31</v>
      </c>
      <c r="I924" t="s">
        <v>3180</v>
      </c>
      <c r="J924" t="s">
        <v>336</v>
      </c>
      <c r="K924" t="s">
        <v>8396</v>
      </c>
      <c r="L924" t="s">
        <v>450</v>
      </c>
      <c r="M924" t="s">
        <v>238</v>
      </c>
      <c r="N924" t="s">
        <v>8397</v>
      </c>
      <c r="O924" t="s">
        <v>1245</v>
      </c>
      <c r="Q924" t="s">
        <v>90</v>
      </c>
      <c r="R924" t="s">
        <v>91</v>
      </c>
      <c r="S924" t="s">
        <v>8398</v>
      </c>
      <c r="T924" t="s">
        <v>2817</v>
      </c>
      <c r="U924" t="s">
        <v>43</v>
      </c>
      <c r="V924" t="s">
        <v>8399</v>
      </c>
      <c r="W924" t="s">
        <v>8400</v>
      </c>
      <c r="Y924" t="str">
        <f>HYPERLINK("https://recruiter.shine.com/resume/download/?resumeid=gAAAAABbk2UN_883MKmuC1gYFMSphuUHnWJfDEsNx3NAqNnoFsWuwqnecE4_m43rwTOoTj6jeHBjk-5CSXifl4fC-t2j4cBlckaFNquaGT4aO45Bz0aZlIaVDpqT0eDOyRR5LE70v3mQ5NuUteQyM5NkkZh6eS6FvQ==")</f>
        <v>https://recruiter.shine.com/resume/download/?resumeid=gAAAAABbk2UN_883MKmuC1gYFMSphuUHnWJfDEsNx3NAqNnoFsWuwqnecE4_m43rwTOoTj6jeHBjk-5CSXifl4fC-t2j4cBlckaFNquaGT4aO45Bz0aZlIaVDpqT0eDOyRR5LE70v3mQ5NuUteQyM5NkkZh6eS6FvQ==</v>
      </c>
    </row>
    <row r="925" spans="1:25" ht="39.950000000000003" customHeight="1">
      <c r="A925">
        <v>921</v>
      </c>
      <c r="B925" t="s">
        <v>8401</v>
      </c>
      <c r="D925" t="s">
        <v>8402</v>
      </c>
      <c r="E925" t="s">
        <v>8403</v>
      </c>
      <c r="F925" t="s">
        <v>29</v>
      </c>
      <c r="I925" t="s">
        <v>407</v>
      </c>
      <c r="J925" t="s">
        <v>3265</v>
      </c>
      <c r="K925" t="s">
        <v>8404</v>
      </c>
      <c r="L925" t="s">
        <v>462</v>
      </c>
      <c r="M925" t="s">
        <v>410</v>
      </c>
      <c r="N925" t="s">
        <v>8405</v>
      </c>
      <c r="O925" t="s">
        <v>224</v>
      </c>
      <c r="P925" t="s">
        <v>57</v>
      </c>
      <c r="Q925" t="s">
        <v>40</v>
      </c>
      <c r="R925" t="s">
        <v>476</v>
      </c>
      <c r="S925" t="s">
        <v>8406</v>
      </c>
      <c r="T925" t="s">
        <v>1746</v>
      </c>
      <c r="U925" t="s">
        <v>43</v>
      </c>
      <c r="V925" t="s">
        <v>8407</v>
      </c>
      <c r="W925" t="s">
        <v>8408</v>
      </c>
      <c r="Y925" t="str">
        <f>HYPERLINK("https://recruiter.shine.com/resume/download/?resumeid=gAAAAABbk2UOjeEUTqd5Pbor7AT_Yc_DV3kL01WN7kcRfMWSF-kOhECCRSU2rNv4Zo1w-bSDf7LIK5Zva92-E0lTyqU4Ff1J1rKO1-k3xA3Yle0rUYYWIPALEPE82O-UuAqvxqmYCeNZAmKtQmDRvjgUcZg8qUzQGw==")</f>
        <v>https://recruiter.shine.com/resume/download/?resumeid=gAAAAABbk2UOjeEUTqd5Pbor7AT_Yc_DV3kL01WN7kcRfMWSF-kOhECCRSU2rNv4Zo1w-bSDf7LIK5Zva92-E0lTyqU4Ff1J1rKO1-k3xA3Yle0rUYYWIPALEPE82O-UuAqvxqmYCeNZAmKtQmDRvjgUcZg8qUzQGw==</v>
      </c>
    </row>
    <row r="926" spans="1:25" ht="39.950000000000003" customHeight="1">
      <c r="A926">
        <v>922</v>
      </c>
      <c r="B926" t="s">
        <v>8409</v>
      </c>
      <c r="C926" t="s">
        <v>8410</v>
      </c>
      <c r="D926" t="s">
        <v>8411</v>
      </c>
      <c r="E926" t="s">
        <v>8412</v>
      </c>
      <c r="F926" t="s">
        <v>29</v>
      </c>
      <c r="G926" t="s">
        <v>8413</v>
      </c>
      <c r="H926" t="s">
        <v>31</v>
      </c>
      <c r="I926" t="s">
        <v>2317</v>
      </c>
      <c r="J926" t="s">
        <v>393</v>
      </c>
      <c r="K926" t="s">
        <v>8414</v>
      </c>
      <c r="L926" t="s">
        <v>266</v>
      </c>
      <c r="M926" t="s">
        <v>105</v>
      </c>
      <c r="N926" t="s">
        <v>8415</v>
      </c>
      <c r="O926" t="s">
        <v>56</v>
      </c>
      <c r="P926" t="s">
        <v>57</v>
      </c>
      <c r="Q926" t="s">
        <v>107</v>
      </c>
      <c r="R926" t="s">
        <v>159</v>
      </c>
      <c r="S926" t="s">
        <v>8416</v>
      </c>
      <c r="T926" t="s">
        <v>687</v>
      </c>
      <c r="U926" t="s">
        <v>43</v>
      </c>
      <c r="V926" t="s">
        <v>8417</v>
      </c>
      <c r="W926" t="s">
        <v>8418</v>
      </c>
      <c r="Y926" t="str">
        <f>HYPERLINK("https://recruiter.shine.com/resume/download/?resumeid=gAAAAABbk2UKbmCkkEcaIxtWvNFz3xc-4kChSDEPr-gUNkdEj8AdKuzUF74YabRr5TAWEZJiF1XyFBsR1ZgO8d2iUp0DhGo-zARV9OL25YdumzhYwaCjylKYYN1DKEbhjcsXunPiBKhmWrpkr4pRX3hgjj7j7K1V3bUow93zXGFS_nVauiQGYOk=")</f>
        <v>https://recruiter.shine.com/resume/download/?resumeid=gAAAAABbk2UKbmCkkEcaIxtWvNFz3xc-4kChSDEPr-gUNkdEj8AdKuzUF74YabRr5TAWEZJiF1XyFBsR1ZgO8d2iUp0DhGo-zARV9OL25YdumzhYwaCjylKYYN1DKEbhjcsXunPiBKhmWrpkr4pRX3hgjj7j7K1V3bUow93zXGFS_nVauiQGYOk=</v>
      </c>
    </row>
    <row r="927" spans="1:25" ht="39.950000000000003" customHeight="1">
      <c r="A927">
        <v>923</v>
      </c>
      <c r="B927" t="s">
        <v>8419</v>
      </c>
      <c r="D927" t="s">
        <v>8420</v>
      </c>
      <c r="E927" t="s">
        <v>8421</v>
      </c>
      <c r="F927" t="s">
        <v>29</v>
      </c>
      <c r="G927" t="s">
        <v>29</v>
      </c>
      <c r="I927" t="s">
        <v>196</v>
      </c>
      <c r="J927" t="s">
        <v>8422</v>
      </c>
      <c r="K927" t="s">
        <v>8423</v>
      </c>
      <c r="L927" t="s">
        <v>253</v>
      </c>
      <c r="M927" t="s">
        <v>717</v>
      </c>
      <c r="N927" t="s">
        <v>8424</v>
      </c>
      <c r="O927" t="s">
        <v>56</v>
      </c>
      <c r="P927" t="s">
        <v>57</v>
      </c>
      <c r="Q927" t="s">
        <v>123</v>
      </c>
      <c r="R927" t="s">
        <v>124</v>
      </c>
      <c r="S927" t="s">
        <v>8425</v>
      </c>
      <c r="T927" t="s">
        <v>110</v>
      </c>
      <c r="U927" t="s">
        <v>43</v>
      </c>
      <c r="V927" t="s">
        <v>8426</v>
      </c>
      <c r="W927" t="s">
        <v>8427</v>
      </c>
      <c r="Y927" t="str">
        <f>HYPERLINK("https://recruiter.shine.com/resume/download/?resumeid=gAAAAABbk2UMe1FdbegoNxRyS-SKr738QbhFu-VVZCiGb5ffVOG4OdrDGXxzv3rXaRVC26qXjzbuG9S_gc2HWx74hc0xmD3J_H1I_eWwopy-gpxSm7bgD6geFji1uJCv99hpK98-DY_F0Un3DibFhH-BvnjFlGvY0g==")</f>
        <v>https://recruiter.shine.com/resume/download/?resumeid=gAAAAABbk2UMe1FdbegoNxRyS-SKr738QbhFu-VVZCiGb5ffVOG4OdrDGXxzv3rXaRVC26qXjzbuG9S_gc2HWx74hc0xmD3J_H1I_eWwopy-gpxSm7bgD6geFji1uJCv99hpK98-DY_F0Un3DibFhH-BvnjFlGvY0g==</v>
      </c>
    </row>
    <row r="928" spans="1:25" ht="39.950000000000003" customHeight="1">
      <c r="A928">
        <v>924</v>
      </c>
      <c r="B928" t="s">
        <v>8428</v>
      </c>
      <c r="D928" t="s">
        <v>8429</v>
      </c>
      <c r="E928" t="s">
        <v>8430</v>
      </c>
      <c r="F928" t="s">
        <v>29</v>
      </c>
      <c r="G928" t="s">
        <v>6779</v>
      </c>
      <c r="H928" t="s">
        <v>31</v>
      </c>
      <c r="I928" t="s">
        <v>2343</v>
      </c>
      <c r="J928" t="s">
        <v>8431</v>
      </c>
      <c r="K928" t="s">
        <v>8432</v>
      </c>
      <c r="L928" t="s">
        <v>184</v>
      </c>
      <c r="M928" t="s">
        <v>36</v>
      </c>
      <c r="N928" t="s">
        <v>8433</v>
      </c>
      <c r="O928" t="s">
        <v>38</v>
      </c>
      <c r="P928" t="s">
        <v>57</v>
      </c>
      <c r="Q928" t="s">
        <v>90</v>
      </c>
      <c r="R928" t="s">
        <v>292</v>
      </c>
      <c r="S928" t="s">
        <v>8434</v>
      </c>
      <c r="T928" t="s">
        <v>304</v>
      </c>
      <c r="U928" t="s">
        <v>43</v>
      </c>
      <c r="V928" t="s">
        <v>8435</v>
      </c>
      <c r="W928" t="s">
        <v>8435</v>
      </c>
      <c r="Y928" t="str">
        <f>HYPERLINK("https://recruiter.shine.com/resume/download/?resumeid=gAAAAABbk2UOvRDV_4jtqNVo44haAtS-G4dEiWbsQ5iZNsRhpxzFuc9_ivEffoQg2y6FBxYtDIEfGQrkYYVKDUEZCG9JSGpTHzTjaBxKUtI7dbLz1aFDfeZPKAn8bNOmgarnIZZWuOYwgdlePYWEO4vw6nc4MsyfdEsR5wp4K4-Kzt2mqM2IE14=")</f>
        <v>https://recruiter.shine.com/resume/download/?resumeid=gAAAAABbk2UOvRDV_4jtqNVo44haAtS-G4dEiWbsQ5iZNsRhpxzFuc9_ivEffoQg2y6FBxYtDIEfGQrkYYVKDUEZCG9JSGpTHzTjaBxKUtI7dbLz1aFDfeZPKAn8bNOmgarnIZZWuOYwgdlePYWEO4vw6nc4MsyfdEsR5wp4K4-Kzt2mqM2IE14=</v>
      </c>
    </row>
    <row r="929" spans="1:25" ht="39.950000000000003" customHeight="1">
      <c r="A929">
        <v>925</v>
      </c>
      <c r="B929" t="s">
        <v>8436</v>
      </c>
      <c r="D929" t="s">
        <v>8437</v>
      </c>
      <c r="E929" t="s">
        <v>8438</v>
      </c>
      <c r="F929" t="s">
        <v>29</v>
      </c>
      <c r="G929" t="s">
        <v>8439</v>
      </c>
      <c r="H929" t="s">
        <v>31</v>
      </c>
      <c r="I929" t="s">
        <v>208</v>
      </c>
      <c r="J929" t="s">
        <v>781</v>
      </c>
      <c r="K929" t="s">
        <v>8440</v>
      </c>
      <c r="L929" t="s">
        <v>184</v>
      </c>
      <c r="M929" t="s">
        <v>473</v>
      </c>
      <c r="N929" t="s">
        <v>473</v>
      </c>
      <c r="O929" t="s">
        <v>186</v>
      </c>
      <c r="Q929" t="s">
        <v>240</v>
      </c>
      <c r="R929" t="s">
        <v>241</v>
      </c>
      <c r="S929" t="s">
        <v>242</v>
      </c>
      <c r="U929" t="s">
        <v>43</v>
      </c>
      <c r="V929" t="s">
        <v>8441</v>
      </c>
      <c r="W929" t="s">
        <v>8442</v>
      </c>
      <c r="Y929" t="str">
        <f>HYPERLINK("https://recruiter.shine.com/resume/download/?resumeid=gAAAAABbk2UKI3qUuFP6e3LiyLzoDrPaNQrZUmhiIHWOIUT8j10H4mL-46Z-4faB70KE2uPR1qSEgVMdJ4fc9NdNhrphS2G6erg-61KmEcLnZJ8VpD9r90dbIlI9zgDFARxaF8ImgozPcfIo8evffsRoHJbT9GtTtw==")</f>
        <v>https://recruiter.shine.com/resume/download/?resumeid=gAAAAABbk2UKI3qUuFP6e3LiyLzoDrPaNQrZUmhiIHWOIUT8j10H4mL-46Z-4faB70KE2uPR1qSEgVMdJ4fc9NdNhrphS2G6erg-61KmEcLnZJ8VpD9r90dbIlI9zgDFARxaF8ImgozPcfIo8evffsRoHJbT9GtTtw==</v>
      </c>
    </row>
    <row r="930" spans="1:25" ht="39.950000000000003" customHeight="1">
      <c r="A930">
        <v>926</v>
      </c>
      <c r="B930" t="s">
        <v>8443</v>
      </c>
      <c r="C930" t="s">
        <v>8444</v>
      </c>
      <c r="D930" t="s">
        <v>8445</v>
      </c>
      <c r="E930" t="s">
        <v>8446</v>
      </c>
      <c r="F930" t="s">
        <v>29</v>
      </c>
      <c r="G930" t="s">
        <v>1008</v>
      </c>
      <c r="H930" t="s">
        <v>31</v>
      </c>
      <c r="I930" t="s">
        <v>8447</v>
      </c>
      <c r="J930" t="s">
        <v>251</v>
      </c>
      <c r="K930" t="s">
        <v>8448</v>
      </c>
      <c r="L930" t="s">
        <v>266</v>
      </c>
      <c r="M930" t="s">
        <v>36</v>
      </c>
      <c r="N930" t="s">
        <v>8449</v>
      </c>
      <c r="O930" t="s">
        <v>186</v>
      </c>
      <c r="Q930" t="s">
        <v>107</v>
      </c>
      <c r="R930" t="s">
        <v>341</v>
      </c>
      <c r="S930" t="s">
        <v>8450</v>
      </c>
      <c r="T930" t="s">
        <v>429</v>
      </c>
      <c r="U930" t="s">
        <v>43</v>
      </c>
      <c r="V930" t="s">
        <v>8451</v>
      </c>
      <c r="W930" t="s">
        <v>8452</v>
      </c>
      <c r="Y930" t="str">
        <f>HYPERLINK("https://recruiter.shine.com/resume/download/?resumeid=gAAAAABbk2UMRVsE7NyHhgVBXlj9MVt56W-7sGBRO2IKNbGdvWI4t4DixtfuF00g8B6wvdJ26D2spr6y_Kv7HKsrDcV4KQIfX6mSBDqpaBEfR1rxzdN7iIH-tF1i7qSz2fHW5-LSYB2KZRU0Udt9jRWEHPnJ2enHK0c4BEySiamSi7aKawkXQK8=")</f>
        <v>https://recruiter.shine.com/resume/download/?resumeid=gAAAAABbk2UMRVsE7NyHhgVBXlj9MVt56W-7sGBRO2IKNbGdvWI4t4DixtfuF00g8B6wvdJ26D2spr6y_Kv7HKsrDcV4KQIfX6mSBDqpaBEfR1rxzdN7iIH-tF1i7qSz2fHW5-LSYB2KZRU0Udt9jRWEHPnJ2enHK0c4BEySiamSi7aKawkXQK8=</v>
      </c>
    </row>
    <row r="931" spans="1:25" ht="39.950000000000003" customHeight="1">
      <c r="A931">
        <v>927</v>
      </c>
      <c r="B931" t="s">
        <v>8453</v>
      </c>
      <c r="D931" t="s">
        <v>8454</v>
      </c>
      <c r="E931" t="s">
        <v>8455</v>
      </c>
      <c r="F931" t="s">
        <v>249</v>
      </c>
      <c r="G931" t="s">
        <v>7343</v>
      </c>
      <c r="H931" t="s">
        <v>31</v>
      </c>
      <c r="I931" t="s">
        <v>8353</v>
      </c>
      <c r="J931" t="s">
        <v>299</v>
      </c>
      <c r="K931" t="s">
        <v>8456</v>
      </c>
      <c r="L931" t="s">
        <v>1390</v>
      </c>
      <c r="M931" t="s">
        <v>105</v>
      </c>
      <c r="N931" t="s">
        <v>8457</v>
      </c>
      <c r="O931" t="s">
        <v>1041</v>
      </c>
      <c r="Q931" t="s">
        <v>158</v>
      </c>
      <c r="R931" t="s">
        <v>864</v>
      </c>
      <c r="S931" t="s">
        <v>8458</v>
      </c>
      <c r="T931" t="s">
        <v>887</v>
      </c>
      <c r="U931" t="s">
        <v>43</v>
      </c>
      <c r="V931" t="s">
        <v>8459</v>
      </c>
      <c r="W931" t="s">
        <v>8460</v>
      </c>
      <c r="Y931" t="str">
        <f>HYPERLINK("https://recruiter.shine.com/resume/download/?resumeid=gAAAAABbk2UNk5QajQVd0PbFN6alnbpQw7_imrf1L5wE4HlwK6CSFaq6-2q3ZLou-uqVDM0ykJYlituWQ3Umo6S5ohjq-Dm1E6XkmcYVjjqO4Nc6jX1hZFsG-HgUMk4IAxz0gUaSSbPOSkPpX6M1o8srOZAvRwfgmcBwF_7m7OXz6CmRG2Fr6-g=")</f>
        <v>https://recruiter.shine.com/resume/download/?resumeid=gAAAAABbk2UNk5QajQVd0PbFN6alnbpQw7_imrf1L5wE4HlwK6CSFaq6-2q3ZLou-uqVDM0ykJYlituWQ3Umo6S5ohjq-Dm1E6XkmcYVjjqO4Nc6jX1hZFsG-HgUMk4IAxz0gUaSSbPOSkPpX6M1o8srOZAvRwfgmcBwF_7m7OXz6CmRG2Fr6-g=</v>
      </c>
    </row>
    <row r="932" spans="1:25" ht="39.950000000000003" customHeight="1">
      <c r="A932">
        <v>928</v>
      </c>
      <c r="B932" t="s">
        <v>8461</v>
      </c>
      <c r="C932" t="s">
        <v>8462</v>
      </c>
      <c r="D932" t="s">
        <v>8463</v>
      </c>
      <c r="E932" t="s">
        <v>8464</v>
      </c>
      <c r="F932" t="s">
        <v>29</v>
      </c>
      <c r="G932" t="s">
        <v>1008</v>
      </c>
      <c r="H932" t="s">
        <v>31</v>
      </c>
      <c r="I932" t="s">
        <v>32</v>
      </c>
      <c r="J932" t="s">
        <v>4404</v>
      </c>
      <c r="K932" t="s">
        <v>8465</v>
      </c>
      <c r="L932" t="s">
        <v>1390</v>
      </c>
      <c r="M932" t="s">
        <v>1083</v>
      </c>
      <c r="N932" t="s">
        <v>8466</v>
      </c>
      <c r="O932" t="s">
        <v>38</v>
      </c>
      <c r="P932" t="s">
        <v>57</v>
      </c>
      <c r="Q932" t="s">
        <v>107</v>
      </c>
      <c r="R932" t="s">
        <v>341</v>
      </c>
      <c r="S932" t="s">
        <v>8467</v>
      </c>
      <c r="T932" t="s">
        <v>1200</v>
      </c>
      <c r="U932" t="s">
        <v>43</v>
      </c>
      <c r="V932" t="s">
        <v>8468</v>
      </c>
      <c r="W932" t="s">
        <v>8469</v>
      </c>
      <c r="Y932" t="str">
        <f>HYPERLINK("https://recruiter.shine.com/resume/download/?resumeid=gAAAAABbk2ULtLV33bUuehTM9f4A78FYlN9sy5H4OJbZZ--A_Q_feXpGPyJqjEBOJ28NSMKVyOuPnqVRNTfopOwZvlRlQRwYUpentkVu982XowGwOvR3ozwMT3Gz6KZhCc2xwiJy9FlceI1SblZzDbRC6SoEMuOlm7TM6YbD1PNtT1QxtYiCzwM=")</f>
        <v>https://recruiter.shine.com/resume/download/?resumeid=gAAAAABbk2ULtLV33bUuehTM9f4A78FYlN9sy5H4OJbZZ--A_Q_feXpGPyJqjEBOJ28NSMKVyOuPnqVRNTfopOwZvlRlQRwYUpentkVu982XowGwOvR3ozwMT3Gz6KZhCc2xwiJy9FlceI1SblZzDbRC6SoEMuOlm7TM6YbD1PNtT1QxtYiCzwM=</v>
      </c>
    </row>
    <row r="933" spans="1:25" ht="39.950000000000003" customHeight="1">
      <c r="A933">
        <v>929</v>
      </c>
      <c r="B933" t="s">
        <v>8470</v>
      </c>
      <c r="C933" t="s">
        <v>8471</v>
      </c>
      <c r="D933" t="s">
        <v>8472</v>
      </c>
      <c r="E933" t="s">
        <v>8473</v>
      </c>
      <c r="F933" t="s">
        <v>29</v>
      </c>
      <c r="G933" t="s">
        <v>29</v>
      </c>
      <c r="H933" t="s">
        <v>234</v>
      </c>
      <c r="I933" t="s">
        <v>208</v>
      </c>
      <c r="J933" t="s">
        <v>781</v>
      </c>
      <c r="K933" t="s">
        <v>8474</v>
      </c>
      <c r="L933" t="s">
        <v>8039</v>
      </c>
      <c r="M933" t="s">
        <v>1124</v>
      </c>
      <c r="N933" t="s">
        <v>8475</v>
      </c>
      <c r="O933" t="s">
        <v>186</v>
      </c>
      <c r="P933" t="s">
        <v>57</v>
      </c>
      <c r="Q933" t="s">
        <v>123</v>
      </c>
      <c r="R933" t="s">
        <v>124</v>
      </c>
      <c r="S933" t="s">
        <v>188</v>
      </c>
      <c r="T933" t="s">
        <v>161</v>
      </c>
      <c r="U933" t="s">
        <v>43</v>
      </c>
      <c r="V933" t="s">
        <v>8476</v>
      </c>
      <c r="W933" t="s">
        <v>8477</v>
      </c>
      <c r="Y933" t="str">
        <f>HYPERLINK("https://recruiter.shine.com/resume/download/?resumeid=gAAAAABbk2UMDrTViZWZDvE2v5v0l1vcM2LxM9EVVvApzR1rBwIHYKz75lHeRkO9C9m384v66kfvyhYRHFPuHAD2j2kEL8SjBG6SiqiEqwk5ggFTz19CBHQ203aFLJqPjfoQr6cAhdsZqAvSATkL_x1U-ffBWowPSSzVPzyyo4pWDuIBydf4k3Y=")</f>
        <v>https://recruiter.shine.com/resume/download/?resumeid=gAAAAABbk2UMDrTViZWZDvE2v5v0l1vcM2LxM9EVVvApzR1rBwIHYKz75lHeRkO9C9m384v66kfvyhYRHFPuHAD2j2kEL8SjBG6SiqiEqwk5ggFTz19CBHQ203aFLJqPjfoQr6cAhdsZqAvSATkL_x1U-ffBWowPSSzVPzyyo4pWDuIBydf4k3Y=</v>
      </c>
    </row>
    <row r="934" spans="1:25" ht="39.950000000000003" customHeight="1">
      <c r="A934">
        <v>930</v>
      </c>
      <c r="B934" t="s">
        <v>8478</v>
      </c>
      <c r="D934" t="s">
        <v>8479</v>
      </c>
      <c r="E934" t="s">
        <v>8480</v>
      </c>
      <c r="F934" t="s">
        <v>29</v>
      </c>
      <c r="G934" t="s">
        <v>67</v>
      </c>
      <c r="H934" t="s">
        <v>31</v>
      </c>
      <c r="I934" t="s">
        <v>8481</v>
      </c>
      <c r="J934" t="s">
        <v>1050</v>
      </c>
      <c r="K934" t="s">
        <v>8482</v>
      </c>
      <c r="L934" t="s">
        <v>266</v>
      </c>
      <c r="M934" t="s">
        <v>684</v>
      </c>
      <c r="N934" t="s">
        <v>8483</v>
      </c>
      <c r="O934" t="s">
        <v>186</v>
      </c>
      <c r="Q934" t="s">
        <v>158</v>
      </c>
      <c r="R934" t="s">
        <v>8484</v>
      </c>
      <c r="S934" t="s">
        <v>8485</v>
      </c>
      <c r="T934" t="s">
        <v>441</v>
      </c>
      <c r="U934" t="s">
        <v>43</v>
      </c>
      <c r="V934" t="s">
        <v>8486</v>
      </c>
      <c r="W934" t="s">
        <v>8487</v>
      </c>
      <c r="Y934" t="str">
        <f>HYPERLINK("https://recruiter.shine.com/resume/download/?resumeid=gAAAAABbk2UNmxpnRLncINtdj2sCjpHLUeI4d2v2I5BngNhyvsqHZy8x4bMUaFfoq0ZVUdQsB8TEcCKBG3UbN0AtLUtJjjar6ktYE8Utm2TP2O-uHslNxOjkGjpaerdQknnbXVCKIWKUvdGWWP2i36Kt-m40LVWxHXlZ8hHKUXms1lCsXigKFAk=")</f>
        <v>https://recruiter.shine.com/resume/download/?resumeid=gAAAAABbk2UNmxpnRLncINtdj2sCjpHLUeI4d2v2I5BngNhyvsqHZy8x4bMUaFfoq0ZVUdQsB8TEcCKBG3UbN0AtLUtJjjar6ktYE8Utm2TP2O-uHslNxOjkGjpaerdQknnbXVCKIWKUvdGWWP2i36Kt-m40LVWxHXlZ8hHKUXms1lCsXigKFAk=</v>
      </c>
    </row>
    <row r="935" spans="1:25" ht="39.950000000000003" customHeight="1">
      <c r="A935">
        <v>931</v>
      </c>
      <c r="B935" t="s">
        <v>8488</v>
      </c>
      <c r="D935" t="s">
        <v>8489</v>
      </c>
      <c r="E935" t="s">
        <v>8490</v>
      </c>
      <c r="F935" t="s">
        <v>29</v>
      </c>
      <c r="G935" t="s">
        <v>29</v>
      </c>
      <c r="H935" t="s">
        <v>234</v>
      </c>
      <c r="I935" t="s">
        <v>208</v>
      </c>
      <c r="J935" t="s">
        <v>3602</v>
      </c>
      <c r="K935" t="s">
        <v>8491</v>
      </c>
      <c r="L935" t="s">
        <v>88</v>
      </c>
      <c r="M935" t="s">
        <v>1124</v>
      </c>
      <c r="N935" t="s">
        <v>8492</v>
      </c>
      <c r="O935" t="s">
        <v>157</v>
      </c>
      <c r="P935" t="s">
        <v>39</v>
      </c>
      <c r="Q935" t="s">
        <v>123</v>
      </c>
      <c r="R935" t="s">
        <v>124</v>
      </c>
      <c r="S935" t="s">
        <v>188</v>
      </c>
      <c r="U935" t="s">
        <v>43</v>
      </c>
      <c r="V935" t="s">
        <v>8493</v>
      </c>
      <c r="W935" t="s">
        <v>8494</v>
      </c>
      <c r="Y935" t="str">
        <f>HYPERLINK("https://recruiter.shine.com/resume/download/?resumeid=gAAAAABbk2ULh9INWht6CuSZaomi-nqErmeiBOgqlzqlSuFkNa5Z0WPnE3EDuX40XZRx8npDHZVzO_FiN3uzad3S3k6yBaWC2-KhKHbDfeUoni8eiNQuFGbXieRskrfHY_xKBc3G5qnaM2zjfHEfhI9jx6BGc2D0t071Ae6vAUSvsgjmSQtnqWo=")</f>
        <v>https://recruiter.shine.com/resume/download/?resumeid=gAAAAABbk2ULh9INWht6CuSZaomi-nqErmeiBOgqlzqlSuFkNa5Z0WPnE3EDuX40XZRx8npDHZVzO_FiN3uzad3S3k6yBaWC2-KhKHbDfeUoni8eiNQuFGbXieRskrfHY_xKBc3G5qnaM2zjfHEfhI9jx6BGc2D0t071Ae6vAUSvsgjmSQtnqWo=</v>
      </c>
    </row>
    <row r="936" spans="1:25" ht="39.950000000000003" customHeight="1">
      <c r="A936">
        <v>932</v>
      </c>
      <c r="B936" t="s">
        <v>8495</v>
      </c>
      <c r="C936" t="s">
        <v>8496</v>
      </c>
      <c r="D936" t="s">
        <v>8497</v>
      </c>
      <c r="E936" t="s">
        <v>8498</v>
      </c>
      <c r="F936" t="s">
        <v>29</v>
      </c>
      <c r="G936" t="s">
        <v>29</v>
      </c>
      <c r="H936" t="s">
        <v>234</v>
      </c>
      <c r="I936" t="s">
        <v>4543</v>
      </c>
      <c r="J936" t="s">
        <v>135</v>
      </c>
      <c r="K936" t="s">
        <v>8499</v>
      </c>
      <c r="L936" t="s">
        <v>486</v>
      </c>
      <c r="M936" t="s">
        <v>238</v>
      </c>
      <c r="N936" t="s">
        <v>8500</v>
      </c>
      <c r="O936" t="s">
        <v>38</v>
      </c>
      <c r="P936" t="s">
        <v>201</v>
      </c>
      <c r="Q936" t="s">
        <v>123</v>
      </c>
      <c r="R936" t="s">
        <v>124</v>
      </c>
      <c r="S936" t="s">
        <v>8501</v>
      </c>
      <c r="T936" t="s">
        <v>429</v>
      </c>
      <c r="U936" t="s">
        <v>43</v>
      </c>
      <c r="V936" t="s">
        <v>8502</v>
      </c>
      <c r="W936" t="s">
        <v>8502</v>
      </c>
      <c r="Y936" t="str">
        <f>HYPERLINK("https://recruiter.shine.com/resume/download/?resumeid=gAAAAABbk2UNWO1_WzYo_bsNCtUUTJhyNhebnChboHF0jaJFDMO7ptS3hDjqsPLC99tJoHDcqx_m8_f1UCuot8zH4EnpSe7EB4KrNnx_MLCo9GuTF2eCHbars8mKGC7TX1PsET5Pdc4xJnIYjw7hM_btmtmEi0Tpoc2ouD1_0DZGRXBDkCFjoWE=")</f>
        <v>https://recruiter.shine.com/resume/download/?resumeid=gAAAAABbk2UNWO1_WzYo_bsNCtUUTJhyNhebnChboHF0jaJFDMO7ptS3hDjqsPLC99tJoHDcqx_m8_f1UCuot8zH4EnpSe7EB4KrNnx_MLCo9GuTF2eCHbars8mKGC7TX1PsET5Pdc4xJnIYjw7hM_btmtmEi0Tpoc2ouD1_0DZGRXBDkCFjoWE=</v>
      </c>
    </row>
    <row r="937" spans="1:25" ht="39.950000000000003" customHeight="1">
      <c r="A937">
        <v>933</v>
      </c>
      <c r="B937" t="s">
        <v>8503</v>
      </c>
      <c r="C937" t="s">
        <v>8504</v>
      </c>
      <c r="D937" t="s">
        <v>8505</v>
      </c>
      <c r="E937" t="s">
        <v>8506</v>
      </c>
      <c r="F937" t="s">
        <v>29</v>
      </c>
      <c r="G937" t="s">
        <v>67</v>
      </c>
      <c r="H937" t="s">
        <v>234</v>
      </c>
      <c r="I937" t="s">
        <v>362</v>
      </c>
      <c r="J937" t="s">
        <v>135</v>
      </c>
      <c r="L937" t="s">
        <v>363</v>
      </c>
      <c r="M937" t="s">
        <v>364</v>
      </c>
      <c r="P937" t="s">
        <v>73</v>
      </c>
      <c r="Q937" t="s">
        <v>107</v>
      </c>
      <c r="R937" t="s">
        <v>642</v>
      </c>
      <c r="S937" t="s">
        <v>8507</v>
      </c>
      <c r="T937" t="s">
        <v>257</v>
      </c>
      <c r="U937" t="s">
        <v>43</v>
      </c>
      <c r="V937" t="s">
        <v>8508</v>
      </c>
      <c r="W937" t="s">
        <v>8509</v>
      </c>
      <c r="Y937" t="str">
        <f>HYPERLINK("https://recruiter.shine.com/resume/download/?resumeid=gAAAAABbk2UON4VbqlqaIm3uygOQEDSiqBhVWhi4rCXn2747KYzwkWDIG5swrAsoFn6J7M3940T7VqApadGM3TkCF8ipyoouk_F-b-bHFKhKBfJ0nYKIO_oolKSmVWros8XluPbm7LgUZ1yUrXJwbdyaaaj-Ub7iXA==")</f>
        <v>https://recruiter.shine.com/resume/download/?resumeid=gAAAAABbk2UON4VbqlqaIm3uygOQEDSiqBhVWhi4rCXn2747KYzwkWDIG5swrAsoFn6J7M3940T7VqApadGM3TkCF8ipyoouk_F-b-bHFKhKBfJ0nYKIO_oolKSmVWros8XluPbm7LgUZ1yUrXJwbdyaaaj-Ub7iXA==</v>
      </c>
    </row>
    <row r="938" spans="1:25" ht="39.950000000000003" customHeight="1">
      <c r="A938">
        <v>934</v>
      </c>
      <c r="B938" t="s">
        <v>8510</v>
      </c>
      <c r="C938" t="s">
        <v>8511</v>
      </c>
      <c r="D938" t="s">
        <v>8512</v>
      </c>
      <c r="E938" t="s">
        <v>8513</v>
      </c>
      <c r="F938" t="s">
        <v>29</v>
      </c>
      <c r="G938" t="s">
        <v>8514</v>
      </c>
      <c r="H938" t="s">
        <v>31</v>
      </c>
      <c r="I938" t="s">
        <v>4947</v>
      </c>
      <c r="J938" t="s">
        <v>1144</v>
      </c>
      <c r="K938" t="s">
        <v>8515</v>
      </c>
      <c r="L938" t="s">
        <v>199</v>
      </c>
      <c r="M938" t="s">
        <v>54</v>
      </c>
      <c r="N938" t="s">
        <v>8516</v>
      </c>
      <c r="O938" t="s">
        <v>56</v>
      </c>
      <c r="P938" t="s">
        <v>39</v>
      </c>
      <c r="Q938" t="s">
        <v>107</v>
      </c>
      <c r="R938" t="s">
        <v>2346</v>
      </c>
      <c r="S938" t="s">
        <v>8517</v>
      </c>
      <c r="T938" t="s">
        <v>61</v>
      </c>
      <c r="U938" t="s">
        <v>43</v>
      </c>
      <c r="V938" t="s">
        <v>8518</v>
      </c>
      <c r="W938" t="s">
        <v>8518</v>
      </c>
      <c r="Y938" t="str">
        <f>HYPERLINK("https://recruiter.shine.com/resume/download/?resumeid=gAAAAABbk2ULJA5SbgFDo9kXzyg1P6agCwvMDfugzc79v5hgbJwMS1k8Zg-rgxdatYTEmKUqxKOc91iUi-NKVi_DSDoSw1A-RemgyiqOl5n-sjvp6MlNdZ6LEjyM03NNF2tVSRhrU6WXg2un4ZU0XuGh7zwTCg2wvfd1sgVekdZ4DuNfGXGoaTE=")</f>
        <v>https://recruiter.shine.com/resume/download/?resumeid=gAAAAABbk2ULJA5SbgFDo9kXzyg1P6agCwvMDfugzc79v5hgbJwMS1k8Zg-rgxdatYTEmKUqxKOc91iUi-NKVi_DSDoSw1A-RemgyiqOl5n-sjvp6MlNdZ6LEjyM03NNF2tVSRhrU6WXg2un4ZU0XuGh7zwTCg2wvfd1sgVekdZ4DuNfGXGoaTE=</v>
      </c>
    </row>
    <row r="939" spans="1:25" ht="39.950000000000003" customHeight="1">
      <c r="A939">
        <v>935</v>
      </c>
      <c r="B939" t="s">
        <v>8519</v>
      </c>
      <c r="C939" t="s">
        <v>8520</v>
      </c>
      <c r="D939" t="s">
        <v>8521</v>
      </c>
      <c r="E939" t="s">
        <v>8522</v>
      </c>
      <c r="F939" t="s">
        <v>29</v>
      </c>
      <c r="G939" t="s">
        <v>8523</v>
      </c>
      <c r="H939" t="s">
        <v>31</v>
      </c>
      <c r="I939" t="s">
        <v>4677</v>
      </c>
      <c r="J939" t="s">
        <v>2063</v>
      </c>
      <c r="K939" t="s">
        <v>198</v>
      </c>
      <c r="L939" t="s">
        <v>266</v>
      </c>
      <c r="M939" t="s">
        <v>105</v>
      </c>
      <c r="N939" t="s">
        <v>8524</v>
      </c>
      <c r="O939" t="s">
        <v>157</v>
      </c>
      <c r="P939" t="s">
        <v>140</v>
      </c>
      <c r="Q939" t="s">
        <v>107</v>
      </c>
      <c r="R939" t="s">
        <v>559</v>
      </c>
      <c r="S939" t="s">
        <v>8525</v>
      </c>
      <c r="T939" t="s">
        <v>304</v>
      </c>
      <c r="U939" t="s">
        <v>43</v>
      </c>
      <c r="V939" t="s">
        <v>8526</v>
      </c>
      <c r="W939" t="s">
        <v>8527</v>
      </c>
      <c r="Y939" t="str">
        <f>HYPERLINK("https://recruiter.shine.com/resume/download/?resumeid=gAAAAABbk2UNuC_1PIz3N587h_ZDk0_1icoyEE1YbLdcYJaRICFZQtvIZnhZr0r0nJyJPqGqRgh94ts7-POUT7lK8QweQAYdWWmTQTgJDO6KtgT9XUcqQffClYzH61CHfsbgnaTE30I3L2mHKOVpO0cauiE3KfNTPTjTRat2M6A5ah7JCC1kOUk=")</f>
        <v>https://recruiter.shine.com/resume/download/?resumeid=gAAAAABbk2UNuC_1PIz3N587h_ZDk0_1icoyEE1YbLdcYJaRICFZQtvIZnhZr0r0nJyJPqGqRgh94ts7-POUT7lK8QweQAYdWWmTQTgJDO6KtgT9XUcqQffClYzH61CHfsbgnaTE30I3L2mHKOVpO0cauiE3KfNTPTjTRat2M6A5ah7JCC1kOUk=</v>
      </c>
    </row>
    <row r="940" spans="1:25" ht="39.950000000000003" customHeight="1">
      <c r="A940">
        <v>936</v>
      </c>
      <c r="B940" t="s">
        <v>8528</v>
      </c>
      <c r="C940" t="s">
        <v>8529</v>
      </c>
      <c r="D940" t="s">
        <v>8530</v>
      </c>
      <c r="E940" t="s">
        <v>8531</v>
      </c>
      <c r="F940" t="s">
        <v>29</v>
      </c>
      <c r="G940" t="s">
        <v>67</v>
      </c>
      <c r="H940" t="s">
        <v>31</v>
      </c>
      <c r="I940" t="s">
        <v>1038</v>
      </c>
      <c r="J940" t="s">
        <v>153</v>
      </c>
      <c r="K940" t="s">
        <v>154</v>
      </c>
      <c r="L940" t="s">
        <v>266</v>
      </c>
      <c r="M940" t="s">
        <v>105</v>
      </c>
      <c r="N940" t="s">
        <v>8532</v>
      </c>
      <c r="O940" t="s">
        <v>475</v>
      </c>
      <c r="Q940" t="s">
        <v>107</v>
      </c>
      <c r="R940" t="s">
        <v>159</v>
      </c>
      <c r="S940" t="s">
        <v>8533</v>
      </c>
      <c r="T940" t="s">
        <v>415</v>
      </c>
      <c r="U940" t="s">
        <v>43</v>
      </c>
      <c r="V940" t="s">
        <v>8534</v>
      </c>
      <c r="W940" t="s">
        <v>8535</v>
      </c>
      <c r="Y940" t="str">
        <f>HYPERLINK("https://recruiter.shine.com/resume/download/?resumeid=gAAAAABbk2UOvxbm0C2Lozu5E-qB_Ik5YZ32WhwdTHlnS1F8VL_9cCIPrnlZny7RlP6dW1_uyPgdEOWQApP-K9fttQARL3eSQvcmBhuwQmEXl06l5mI54ylz3JLjy91Tu3jPEAvJ1Nr8Qptpkyy375LJy6MIPa_wog==")</f>
        <v>https://recruiter.shine.com/resume/download/?resumeid=gAAAAABbk2UOvxbm0C2Lozu5E-qB_Ik5YZ32WhwdTHlnS1F8VL_9cCIPrnlZny7RlP6dW1_uyPgdEOWQApP-K9fttQARL3eSQvcmBhuwQmEXl06l5mI54ylz3JLjy91Tu3jPEAvJ1Nr8Qptpkyy375LJy6MIPa_wog==</v>
      </c>
    </row>
    <row r="941" spans="1:25" ht="39.950000000000003" customHeight="1">
      <c r="A941">
        <v>937</v>
      </c>
      <c r="B941" t="s">
        <v>8536</v>
      </c>
      <c r="D941" t="s">
        <v>8537</v>
      </c>
      <c r="E941" t="s">
        <v>8538</v>
      </c>
      <c r="F941" t="s">
        <v>29</v>
      </c>
      <c r="G941" t="s">
        <v>29</v>
      </c>
      <c r="H941" t="s">
        <v>31</v>
      </c>
      <c r="I941" t="s">
        <v>1072</v>
      </c>
      <c r="J941" t="s">
        <v>7774</v>
      </c>
      <c r="K941" t="s">
        <v>8539</v>
      </c>
      <c r="L941" t="s">
        <v>4146</v>
      </c>
      <c r="M941" t="s">
        <v>1356</v>
      </c>
      <c r="N941" t="s">
        <v>8540</v>
      </c>
      <c r="O941" t="s">
        <v>224</v>
      </c>
      <c r="P941" t="s">
        <v>57</v>
      </c>
      <c r="Q941" t="s">
        <v>158</v>
      </c>
      <c r="R941" t="s">
        <v>142</v>
      </c>
      <c r="S941" t="s">
        <v>8541</v>
      </c>
      <c r="T941" t="s">
        <v>227</v>
      </c>
      <c r="U941" t="s">
        <v>43</v>
      </c>
      <c r="V941" t="s">
        <v>8542</v>
      </c>
      <c r="W941" t="s">
        <v>8543</v>
      </c>
      <c r="Y941" t="str">
        <f>HYPERLINK("https://recruiter.shine.com/resume/download/?resumeid=gAAAAABbk2UKDXuaXcFXA9QEZbyqEgvBJr-QplW0I2laFQvyEbPZFYlxxuRdxqEeAo9RlxWce_s4oIlzZp7rAo4Wc4YFrj2CA5STWM8JIDG8KRE0zzHMqsa3RnLGi4tVDXo1reLuNS4Ob24RbVr04z-jlGGmL3x_K4TBZgMtXZI8wk1IMuTg49M=")</f>
        <v>https://recruiter.shine.com/resume/download/?resumeid=gAAAAABbk2UKDXuaXcFXA9QEZbyqEgvBJr-QplW0I2laFQvyEbPZFYlxxuRdxqEeAo9RlxWce_s4oIlzZp7rAo4Wc4YFrj2CA5STWM8JIDG8KRE0zzHMqsa3RnLGi4tVDXo1reLuNS4Ob24RbVr04z-jlGGmL3x_K4TBZgMtXZI8wk1IMuTg49M=</v>
      </c>
    </row>
    <row r="942" spans="1:25" ht="39.950000000000003" customHeight="1">
      <c r="A942">
        <v>938</v>
      </c>
      <c r="B942" t="s">
        <v>8544</v>
      </c>
      <c r="D942" t="s">
        <v>8545</v>
      </c>
      <c r="E942" t="s">
        <v>8546</v>
      </c>
      <c r="F942" t="s">
        <v>29</v>
      </c>
      <c r="G942" t="s">
        <v>67</v>
      </c>
      <c r="H942" t="s">
        <v>234</v>
      </c>
      <c r="I942" t="s">
        <v>362</v>
      </c>
      <c r="J942" t="s">
        <v>135</v>
      </c>
      <c r="L942" t="s">
        <v>363</v>
      </c>
      <c r="M942" t="s">
        <v>364</v>
      </c>
      <c r="Q942" t="s">
        <v>699</v>
      </c>
      <c r="R942" t="s">
        <v>8547</v>
      </c>
      <c r="S942" t="s">
        <v>8548</v>
      </c>
      <c r="T942" t="s">
        <v>126</v>
      </c>
      <c r="U942" t="s">
        <v>43</v>
      </c>
      <c r="V942" t="s">
        <v>8549</v>
      </c>
      <c r="W942" t="s">
        <v>8550</v>
      </c>
      <c r="Y942" t="str">
        <f>HYPERLINK("https://recruiter.shine.com/resume/download/?resumeid=gAAAAABbk2UMBTsdvj6E8JCorgjRCHdFNCST2Rx3fBPWKEbiLiSZR1WVrHefEGUQ6V5PsPrzW9_CBS-fo2Jcv9od-_g8Caujto73DkllgQ4v_wWHgPg1Xwvu2xhnOB2rfgTOQiqKGqNSM8Ve_3sAb73NP--6F9DLiOUxITUdGfR649E81q7VMiY=")</f>
        <v>https://recruiter.shine.com/resume/download/?resumeid=gAAAAABbk2UMBTsdvj6E8JCorgjRCHdFNCST2Rx3fBPWKEbiLiSZR1WVrHefEGUQ6V5PsPrzW9_CBS-fo2Jcv9od-_g8Caujto73DkllgQ4v_wWHgPg1Xwvu2xhnOB2rfgTOQiqKGqNSM8Ve_3sAb73NP--6F9DLiOUxITUdGfR649E81q7VMiY=</v>
      </c>
    </row>
    <row r="943" spans="1:25" ht="39.950000000000003" customHeight="1">
      <c r="A943">
        <v>939</v>
      </c>
      <c r="B943" t="s">
        <v>8551</v>
      </c>
      <c r="D943" t="s">
        <v>8552</v>
      </c>
      <c r="E943" t="s">
        <v>8553</v>
      </c>
      <c r="F943" t="s">
        <v>858</v>
      </c>
      <c r="G943" t="s">
        <v>6411</v>
      </c>
      <c r="H943" t="s">
        <v>31</v>
      </c>
      <c r="I943" t="s">
        <v>2523</v>
      </c>
      <c r="J943" t="s">
        <v>251</v>
      </c>
      <c r="K943" t="s">
        <v>8554</v>
      </c>
      <c r="L943" t="s">
        <v>596</v>
      </c>
      <c r="M943" t="s">
        <v>238</v>
      </c>
      <c r="N943" t="s">
        <v>8555</v>
      </c>
      <c r="O943" t="s">
        <v>1041</v>
      </c>
      <c r="Q943" t="s">
        <v>107</v>
      </c>
      <c r="R943" t="s">
        <v>8556</v>
      </c>
      <c r="S943" t="s">
        <v>8557</v>
      </c>
      <c r="T943" t="s">
        <v>144</v>
      </c>
      <c r="U943" t="s">
        <v>43</v>
      </c>
      <c r="V943" t="s">
        <v>8558</v>
      </c>
      <c r="W943" t="s">
        <v>8558</v>
      </c>
      <c r="Y943" t="str">
        <f>HYPERLINK("https://recruiter.shine.com/resume/download/?resumeid=gAAAAABbk2UN5i-2c21dzE4-u7pTfoINohZEF3PZXxCcDWvtHt3dUi_LG-RiqZZapktTwzCIFlN4H5JKleUbo9KebAB-2ieGMbV5b2D7XGY80iYGBgVIv_TEt91YE-Fzfy2IPmkOdfaNTEQh7ASXrvnhN5VT7TDvuc_4FZ0O9s6oREqICy0O2Ew=")</f>
        <v>https://recruiter.shine.com/resume/download/?resumeid=gAAAAABbk2UN5i-2c21dzE4-u7pTfoINohZEF3PZXxCcDWvtHt3dUi_LG-RiqZZapktTwzCIFlN4H5JKleUbo9KebAB-2ieGMbV5b2D7XGY80iYGBgVIv_TEt91YE-Fzfy2IPmkOdfaNTEQh7ASXrvnhN5VT7TDvuc_4FZ0O9s6oREqICy0O2Ew=</v>
      </c>
    </row>
    <row r="944" spans="1:25" ht="39.950000000000003" customHeight="1">
      <c r="A944">
        <v>940</v>
      </c>
      <c r="B944" t="s">
        <v>8559</v>
      </c>
      <c r="D944" t="s">
        <v>8560</v>
      </c>
      <c r="E944" t="s">
        <v>8561</v>
      </c>
      <c r="F944" t="s">
        <v>29</v>
      </c>
      <c r="G944" t="s">
        <v>67</v>
      </c>
      <c r="H944" t="s">
        <v>31</v>
      </c>
      <c r="I944" t="s">
        <v>68</v>
      </c>
      <c r="J944" t="s">
        <v>2503</v>
      </c>
      <c r="K944" t="s">
        <v>8562</v>
      </c>
      <c r="L944" t="s">
        <v>266</v>
      </c>
      <c r="M944" t="s">
        <v>105</v>
      </c>
      <c r="N944" t="s">
        <v>8563</v>
      </c>
      <c r="O944" t="s">
        <v>224</v>
      </c>
      <c r="Q944" t="s">
        <v>107</v>
      </c>
      <c r="R944" t="s">
        <v>159</v>
      </c>
      <c r="S944" t="s">
        <v>188</v>
      </c>
      <c r="U944" t="s">
        <v>43</v>
      </c>
      <c r="V944" t="s">
        <v>8564</v>
      </c>
      <c r="W944" t="s">
        <v>8565</v>
      </c>
      <c r="Y944" t="str">
        <f>HYPERLINK("https://recruiter.shine.com/resume/download/?resumeid=gAAAAABbk2ULrdJxCCJYcfpEqJz9gwFXjmV7FHGQdLgj0vb0oFUnXnICd1Q6BPTn1RhSktHzvjQFgQfUAd9ds0Pg5PwJYMNFz7NbdU7AC64yzaqAZdDlzQ38BWoWpVbMUCuA8OhpTb9Gh1r2WhRsZRQ0CsIyA7Z_wpKwDKmv5YW1vKF8e6fje4A=")</f>
        <v>https://recruiter.shine.com/resume/download/?resumeid=gAAAAABbk2ULrdJxCCJYcfpEqJz9gwFXjmV7FHGQdLgj0vb0oFUnXnICd1Q6BPTn1RhSktHzvjQFgQfUAd9ds0Pg5PwJYMNFz7NbdU7AC64yzaqAZdDlzQ38BWoWpVbMUCuA8OhpTb9Gh1r2WhRsZRQ0CsIyA7Z_wpKwDKmv5YW1vKF8e6fje4A=</v>
      </c>
    </row>
    <row r="945" spans="1:25" ht="39.950000000000003" customHeight="1">
      <c r="A945">
        <v>941</v>
      </c>
      <c r="B945" t="s">
        <v>8566</v>
      </c>
      <c r="C945" t="s">
        <v>8567</v>
      </c>
      <c r="D945" t="s">
        <v>8568</v>
      </c>
      <c r="E945" t="s">
        <v>8569</v>
      </c>
      <c r="F945" t="s">
        <v>29</v>
      </c>
      <c r="G945" t="s">
        <v>29</v>
      </c>
      <c r="H945" t="s">
        <v>234</v>
      </c>
      <c r="I945" t="s">
        <v>860</v>
      </c>
      <c r="J945" t="s">
        <v>6879</v>
      </c>
      <c r="K945" t="s">
        <v>5216</v>
      </c>
      <c r="L945" t="s">
        <v>3801</v>
      </c>
      <c r="M945" t="s">
        <v>54</v>
      </c>
      <c r="N945" t="s">
        <v>8570</v>
      </c>
      <c r="O945" t="s">
        <v>186</v>
      </c>
      <c r="P945" t="s">
        <v>140</v>
      </c>
      <c r="Q945" t="s">
        <v>158</v>
      </c>
      <c r="R945" t="s">
        <v>124</v>
      </c>
      <c r="S945" t="s">
        <v>8571</v>
      </c>
      <c r="T945" t="s">
        <v>561</v>
      </c>
      <c r="U945" t="s">
        <v>43</v>
      </c>
      <c r="V945" t="s">
        <v>8572</v>
      </c>
      <c r="W945" t="s">
        <v>8573</v>
      </c>
      <c r="Y945" t="str">
        <f>HYPERLINK("https://recruiter.shine.com/resume/download/?resumeid=gAAAAABbk2UNcM4kaVyTxvk-HoyOZq8iJTOXi8gPoYEVEmJ_eEVxJ_K1NhRokpHpzG6jLw3Zq82fVwgfOsYgUDFvtCLkusxfKheodEDA_2nEcd4LbexUFefbmbIQ6yr3wIElKIIVLXZgyleR5h2CEoSfk6xdtUdtSkU07bWcolvyahO_CdSB0-4=")</f>
        <v>https://recruiter.shine.com/resume/download/?resumeid=gAAAAABbk2UNcM4kaVyTxvk-HoyOZq8iJTOXi8gPoYEVEmJ_eEVxJ_K1NhRokpHpzG6jLw3Zq82fVwgfOsYgUDFvtCLkusxfKheodEDA_2nEcd4LbexUFefbmbIQ6yr3wIElKIIVLXZgyleR5h2CEoSfk6xdtUdtSkU07bWcolvyahO_CdSB0-4=</v>
      </c>
    </row>
    <row r="946" spans="1:25" ht="39.950000000000003" customHeight="1">
      <c r="A946">
        <v>942</v>
      </c>
      <c r="B946" t="s">
        <v>8574</v>
      </c>
      <c r="C946" t="s">
        <v>8575</v>
      </c>
      <c r="D946" t="s">
        <v>8576</v>
      </c>
      <c r="E946" t="s">
        <v>8577</v>
      </c>
      <c r="F946" t="s">
        <v>29</v>
      </c>
      <c r="G946" t="s">
        <v>67</v>
      </c>
      <c r="H946" t="s">
        <v>31</v>
      </c>
      <c r="I946" t="s">
        <v>2074</v>
      </c>
      <c r="J946" t="s">
        <v>8578</v>
      </c>
      <c r="K946" t="s">
        <v>394</v>
      </c>
      <c r="L946" t="s">
        <v>266</v>
      </c>
      <c r="M946" t="s">
        <v>105</v>
      </c>
      <c r="N946" t="s">
        <v>8579</v>
      </c>
      <c r="O946" t="s">
        <v>56</v>
      </c>
      <c r="P946" t="s">
        <v>57</v>
      </c>
      <c r="Q946" t="s">
        <v>158</v>
      </c>
      <c r="R946" t="s">
        <v>159</v>
      </c>
      <c r="S946" t="s">
        <v>8580</v>
      </c>
      <c r="T946" t="s">
        <v>2358</v>
      </c>
      <c r="U946" t="s">
        <v>43</v>
      </c>
      <c r="V946" t="s">
        <v>8581</v>
      </c>
      <c r="W946" t="s">
        <v>8582</v>
      </c>
      <c r="Y946" t="str">
        <f>HYPERLINK("https://recruiter.shine.com/resume/download/?resumeid=gAAAAABbk2UNRxU9t2SiI5EQhjq3yuyQMRAMfTP5lOapmVoesx6kVC7TisnKfmgTNP5uwboc98PCi7Vgm_5THfzFtJraHOKxwyEhe3jq7kSiKFJ_Z7-2dYTJ9IKL_1hqg6ODuYfErm8gFIA_Og05waRn3Ag1-KOk5mbMtLytizooXDFeWS-BpX0=")</f>
        <v>https://recruiter.shine.com/resume/download/?resumeid=gAAAAABbk2UNRxU9t2SiI5EQhjq3yuyQMRAMfTP5lOapmVoesx6kVC7TisnKfmgTNP5uwboc98PCi7Vgm_5THfzFtJraHOKxwyEhe3jq7kSiKFJ_Z7-2dYTJ9IKL_1hqg6ODuYfErm8gFIA_Og05waRn3Ag1-KOk5mbMtLytizooXDFeWS-BpX0=</v>
      </c>
    </row>
    <row r="947" spans="1:25" ht="39.950000000000003" customHeight="1">
      <c r="A947">
        <v>943</v>
      </c>
      <c r="B947" t="s">
        <v>8583</v>
      </c>
      <c r="C947" t="s">
        <v>2659</v>
      </c>
      <c r="D947" t="s">
        <v>8584</v>
      </c>
      <c r="E947" t="s">
        <v>8585</v>
      </c>
      <c r="F947" t="s">
        <v>29</v>
      </c>
      <c r="G947" t="s">
        <v>8586</v>
      </c>
      <c r="H947" t="s">
        <v>31</v>
      </c>
      <c r="I947" t="s">
        <v>1419</v>
      </c>
      <c r="J947" t="s">
        <v>1742</v>
      </c>
      <c r="K947" t="s">
        <v>7270</v>
      </c>
      <c r="L947" t="s">
        <v>155</v>
      </c>
      <c r="M947" t="s">
        <v>105</v>
      </c>
      <c r="N947" t="s">
        <v>8587</v>
      </c>
      <c r="O947" t="s">
        <v>186</v>
      </c>
      <c r="P947" t="s">
        <v>57</v>
      </c>
      <c r="Q947" t="s">
        <v>107</v>
      </c>
      <c r="R947" t="s">
        <v>159</v>
      </c>
      <c r="S947" t="s">
        <v>8588</v>
      </c>
      <c r="T947" t="s">
        <v>61</v>
      </c>
      <c r="U947" t="s">
        <v>127</v>
      </c>
      <c r="V947" t="s">
        <v>8589</v>
      </c>
      <c r="W947" t="s">
        <v>8590</v>
      </c>
      <c r="Y947" t="str">
        <f>HYPERLINK("https://recruiter.shine.com/resume/download/?resumeid=gAAAAABbk2ULBDBPxa2-3CpCQLW03tXbcYyTi_zR-sb1fvZbERWwNPkMh8u3fo-cjw5q2HXoqEe_1aGW0CEdfTdzjG69gj0EYYt8-VCE1gL4zz3Wx669c8OUpR07Ma6twCsUMKd8nJnUSIo3LAE9UJ9js7AxD4Bbrg==")</f>
        <v>https://recruiter.shine.com/resume/download/?resumeid=gAAAAABbk2ULBDBPxa2-3CpCQLW03tXbcYyTi_zR-sb1fvZbERWwNPkMh8u3fo-cjw5q2HXoqEe_1aGW0CEdfTdzjG69gj0EYYt8-VCE1gL4zz3Wx669c8OUpR07Ma6twCsUMKd8nJnUSIo3LAE9UJ9js7AxD4Bbrg==</v>
      </c>
    </row>
    <row r="948" spans="1:25" ht="39.950000000000003" customHeight="1">
      <c r="A948">
        <v>944</v>
      </c>
      <c r="B948" t="s">
        <v>8591</v>
      </c>
      <c r="D948" t="s">
        <v>8592</v>
      </c>
      <c r="E948" t="s">
        <v>8593</v>
      </c>
      <c r="F948" t="s">
        <v>29</v>
      </c>
      <c r="G948" t="s">
        <v>8594</v>
      </c>
      <c r="I948" t="s">
        <v>998</v>
      </c>
      <c r="J948" t="s">
        <v>705</v>
      </c>
      <c r="K948" t="s">
        <v>8595</v>
      </c>
      <c r="L948" t="s">
        <v>266</v>
      </c>
      <c r="M948" t="s">
        <v>105</v>
      </c>
      <c r="N948" t="s">
        <v>1062</v>
      </c>
      <c r="O948" t="s">
        <v>186</v>
      </c>
      <c r="P948" t="s">
        <v>940</v>
      </c>
      <c r="Q948" t="s">
        <v>158</v>
      </c>
      <c r="R948" t="s">
        <v>159</v>
      </c>
      <c r="S948" t="s">
        <v>8596</v>
      </c>
      <c r="T948" t="s">
        <v>110</v>
      </c>
      <c r="U948" t="s">
        <v>43</v>
      </c>
      <c r="V948" t="s">
        <v>8597</v>
      </c>
      <c r="W948" t="s">
        <v>8598</v>
      </c>
      <c r="Y948" t="str">
        <f>HYPERLINK("https://recruiter.shine.com/resume/download/?resumeid=gAAAAABbk2UMGQb0lbdiRRuZIhzBVjwcKVZUqesHhqfFTJPIqIaODY82YEWbOpiMZ8JPEPN1b3a12wJ5ftIYcJN4MW4L_XAQUenZ6k16Umqmx1oE7f35-R61_r-pthqg_3yV8QH5tiHSAfVAclfyByrrjAuFkhE-aw==")</f>
        <v>https://recruiter.shine.com/resume/download/?resumeid=gAAAAABbk2UMGQb0lbdiRRuZIhzBVjwcKVZUqesHhqfFTJPIqIaODY82YEWbOpiMZ8JPEPN1b3a12wJ5ftIYcJN4MW4L_XAQUenZ6k16Umqmx1oE7f35-R61_r-pthqg_3yV8QH5tiHSAfVAclfyByrrjAuFkhE-aw==</v>
      </c>
    </row>
    <row r="949" spans="1:25" ht="39.950000000000003" customHeight="1">
      <c r="A949">
        <v>945</v>
      </c>
      <c r="B949" t="s">
        <v>8599</v>
      </c>
      <c r="D949" t="s">
        <v>8600</v>
      </c>
      <c r="E949" t="s">
        <v>8601</v>
      </c>
      <c r="F949" t="s">
        <v>29</v>
      </c>
      <c r="G949" t="s">
        <v>67</v>
      </c>
      <c r="H949" t="s">
        <v>234</v>
      </c>
      <c r="I949" t="s">
        <v>362</v>
      </c>
      <c r="J949" t="s">
        <v>135</v>
      </c>
      <c r="L949" t="s">
        <v>363</v>
      </c>
      <c r="M949" t="s">
        <v>364</v>
      </c>
      <c r="Q949" t="s">
        <v>107</v>
      </c>
      <c r="R949" t="s">
        <v>341</v>
      </c>
      <c r="S949" t="s">
        <v>8602</v>
      </c>
      <c r="T949" t="s">
        <v>625</v>
      </c>
      <c r="U949" t="s">
        <v>43</v>
      </c>
      <c r="V949" t="s">
        <v>8603</v>
      </c>
      <c r="W949" t="s">
        <v>8604</v>
      </c>
      <c r="Y949" t="str">
        <f>HYPERLINK("https://recruiter.shine.com/resume/download/?resumeid=gAAAAABbk2UO75a8R5WXdt_BeR_XfXDBE43x94qK0Z3DzcSGnRuHMFUImO23Juql-oZ4oAymftHQp1PuC3QwgHpzBcbQrXUZuS8no3HFBUx1y1sAXd92OfmV3yqjrMBDp_nQScjKmED-ZJpTHt85vX7hrYXFn9crot-yKc-QFTIes9wKkO4JtgI=")</f>
        <v>https://recruiter.shine.com/resume/download/?resumeid=gAAAAABbk2UO75a8R5WXdt_BeR_XfXDBE43x94qK0Z3DzcSGnRuHMFUImO23Juql-oZ4oAymftHQp1PuC3QwgHpzBcbQrXUZuS8no3HFBUx1y1sAXd92OfmV3yqjrMBDp_nQScjKmED-ZJpTHt85vX7hrYXFn9crot-yKc-QFTIes9wKkO4JtgI=</v>
      </c>
    </row>
    <row r="950" spans="1:25" ht="39.950000000000003" customHeight="1">
      <c r="A950">
        <v>946</v>
      </c>
      <c r="B950" t="s">
        <v>8605</v>
      </c>
      <c r="C950" t="s">
        <v>8606</v>
      </c>
      <c r="D950" t="s">
        <v>8607</v>
      </c>
      <c r="E950" t="s">
        <v>8608</v>
      </c>
      <c r="F950" t="s">
        <v>29</v>
      </c>
      <c r="G950" t="s">
        <v>30</v>
      </c>
      <c r="H950" t="s">
        <v>31</v>
      </c>
      <c r="I950" t="s">
        <v>3294</v>
      </c>
      <c r="J950" t="s">
        <v>6039</v>
      </c>
      <c r="K950" t="s">
        <v>8609</v>
      </c>
      <c r="L950" t="s">
        <v>354</v>
      </c>
      <c r="M950" t="s">
        <v>54</v>
      </c>
      <c r="N950" t="s">
        <v>8610</v>
      </c>
      <c r="O950" t="s">
        <v>186</v>
      </c>
      <c r="P950" t="s">
        <v>57</v>
      </c>
      <c r="Q950" t="s">
        <v>783</v>
      </c>
      <c r="R950" t="s">
        <v>8611</v>
      </c>
      <c r="S950" t="s">
        <v>8612</v>
      </c>
      <c r="T950" t="s">
        <v>257</v>
      </c>
      <c r="U950" t="s">
        <v>43</v>
      </c>
      <c r="V950" t="s">
        <v>8613</v>
      </c>
      <c r="W950" t="s">
        <v>8614</v>
      </c>
      <c r="Y950" t="str">
        <f>HYPERLINK("https://recruiter.shine.com/resume/download/?resumeid=gAAAAABbk2ULpFdkrWhraIf-tlIVS-g5YlSPYlYQNvTjLfW1DH7Itwiopfd6P3dTHAxnF7n-TmPDL0sbr5AHFQsvRslwYVkwzi_GR63Q930E5uyyeJC8ILXFExbgcVtelOIQnv_UeCh8eiin-3Ism4y1DJ095wXOBw==")</f>
        <v>https://recruiter.shine.com/resume/download/?resumeid=gAAAAABbk2ULpFdkrWhraIf-tlIVS-g5YlSPYlYQNvTjLfW1DH7Itwiopfd6P3dTHAxnF7n-TmPDL0sbr5AHFQsvRslwYVkwzi_GR63Q930E5uyyeJC8ILXFExbgcVtelOIQnv_UeCh8eiin-3Ism4y1DJ095wXOBw==</v>
      </c>
    </row>
    <row r="951" spans="1:25" ht="39.950000000000003" customHeight="1">
      <c r="A951">
        <v>947</v>
      </c>
      <c r="B951" t="s">
        <v>8615</v>
      </c>
      <c r="C951" t="s">
        <v>8616</v>
      </c>
      <c r="D951" t="s">
        <v>8617</v>
      </c>
      <c r="E951" t="s">
        <v>8618</v>
      </c>
      <c r="F951" t="s">
        <v>29</v>
      </c>
      <c r="G951" t="s">
        <v>8619</v>
      </c>
      <c r="H951" t="s">
        <v>31</v>
      </c>
      <c r="I951" t="s">
        <v>505</v>
      </c>
      <c r="J951" t="s">
        <v>705</v>
      </c>
      <c r="K951" t="s">
        <v>8620</v>
      </c>
      <c r="L951" t="s">
        <v>1255</v>
      </c>
      <c r="M951" t="s">
        <v>473</v>
      </c>
      <c r="N951" t="s">
        <v>8621</v>
      </c>
      <c r="O951" t="s">
        <v>186</v>
      </c>
      <c r="P951" t="s">
        <v>57</v>
      </c>
      <c r="Q951" t="s">
        <v>4157</v>
      </c>
      <c r="R951" t="s">
        <v>1255</v>
      </c>
      <c r="S951" t="s">
        <v>6245</v>
      </c>
      <c r="T951" t="s">
        <v>441</v>
      </c>
      <c r="U951" t="s">
        <v>43</v>
      </c>
      <c r="V951" t="s">
        <v>8622</v>
      </c>
      <c r="W951" t="s">
        <v>8622</v>
      </c>
      <c r="Y951" t="str">
        <f>HYPERLINK("https://recruiter.shine.com/resume/download/?resumeid=gAAAAABbk2UMhXtAHo76WczdoNOjALBCVew9qOKtkQlYyWQd3D7xhiFwOn1Ee5HPYRlYqnvl0qUDEp9UJCO7dsZC_vS2gq4ZUG66WX8znGCJH1LYMOIcVl9tbCdNE5SJsDXIb-wd7Wb5wfQNvC1qjRvhpDALny9b2w==")</f>
        <v>https://recruiter.shine.com/resume/download/?resumeid=gAAAAABbk2UMhXtAHo76WczdoNOjALBCVew9qOKtkQlYyWQd3D7xhiFwOn1Ee5HPYRlYqnvl0qUDEp9UJCO7dsZC_vS2gq4ZUG66WX8znGCJH1LYMOIcVl9tbCdNE5SJsDXIb-wd7Wb5wfQNvC1qjRvhpDALny9b2w==</v>
      </c>
    </row>
    <row r="952" spans="1:25" ht="39.950000000000003" customHeight="1">
      <c r="A952">
        <v>948</v>
      </c>
      <c r="B952" t="s">
        <v>8623</v>
      </c>
      <c r="C952" t="s">
        <v>8624</v>
      </c>
      <c r="D952" t="s">
        <v>8625</v>
      </c>
      <c r="E952" t="s">
        <v>8626</v>
      </c>
      <c r="F952" t="s">
        <v>29</v>
      </c>
      <c r="G952" t="s">
        <v>8627</v>
      </c>
      <c r="H952" t="s">
        <v>31</v>
      </c>
      <c r="I952" t="s">
        <v>32</v>
      </c>
      <c r="J952" t="s">
        <v>1060</v>
      </c>
      <c r="K952" t="s">
        <v>8628</v>
      </c>
      <c r="L952" t="s">
        <v>8629</v>
      </c>
      <c r="M952" t="s">
        <v>2835</v>
      </c>
      <c r="N952" t="s">
        <v>2229</v>
      </c>
      <c r="O952" t="s">
        <v>848</v>
      </c>
      <c r="P952" t="s">
        <v>73</v>
      </c>
      <c r="Q952" t="s">
        <v>40</v>
      </c>
      <c r="R952" t="s">
        <v>476</v>
      </c>
      <c r="S952" t="s">
        <v>2229</v>
      </c>
      <c r="T952" t="s">
        <v>77</v>
      </c>
      <c r="U952" t="s">
        <v>43</v>
      </c>
      <c r="V952" t="s">
        <v>8630</v>
      </c>
      <c r="W952" t="s">
        <v>8631</v>
      </c>
      <c r="Y952" t="str">
        <f>HYPERLINK("https://recruiter.shine.com/resume/download/?resumeid=gAAAAABbk2UNze1mnzSYgwgHSueckmAwkLBNalSQ-Z93IOe2RiWa1pqMxQdcMwR57QgRJOCmHVbiLWQnAeJC3NKcPYMPWic1sz351uUFgBtsrJxoGUgHjrvdj7D_S1rk2cIee5TrugaqLVG6mfxLzTChY5W_3YIP9A==")</f>
        <v>https://recruiter.shine.com/resume/download/?resumeid=gAAAAABbk2UNze1mnzSYgwgHSueckmAwkLBNalSQ-Z93IOe2RiWa1pqMxQdcMwR57QgRJOCmHVbiLWQnAeJC3NKcPYMPWic1sz351uUFgBtsrJxoGUgHjrvdj7D_S1rk2cIee5TrugaqLVG6mfxLzTChY5W_3YIP9A==</v>
      </c>
    </row>
    <row r="953" spans="1:25" ht="39.950000000000003" customHeight="1">
      <c r="A953">
        <v>949</v>
      </c>
      <c r="B953" t="s">
        <v>8632</v>
      </c>
      <c r="C953" t="s">
        <v>8633</v>
      </c>
      <c r="D953" t="s">
        <v>8634</v>
      </c>
      <c r="E953" t="s">
        <v>8635</v>
      </c>
      <c r="F953" t="s">
        <v>29</v>
      </c>
      <c r="G953" t="s">
        <v>8636</v>
      </c>
      <c r="H953" t="s">
        <v>31</v>
      </c>
      <c r="I953" t="s">
        <v>134</v>
      </c>
      <c r="J953" t="s">
        <v>312</v>
      </c>
      <c r="K953" t="s">
        <v>4259</v>
      </c>
      <c r="L953" t="s">
        <v>266</v>
      </c>
      <c r="M953" t="s">
        <v>105</v>
      </c>
      <c r="N953" t="s">
        <v>156</v>
      </c>
      <c r="O953" t="s">
        <v>1041</v>
      </c>
      <c r="P953" t="s">
        <v>39</v>
      </c>
      <c r="Q953" t="s">
        <v>158</v>
      </c>
      <c r="R953" t="s">
        <v>159</v>
      </c>
      <c r="S953" t="s">
        <v>8637</v>
      </c>
      <c r="T953" t="s">
        <v>304</v>
      </c>
      <c r="U953" t="s">
        <v>43</v>
      </c>
      <c r="V953" t="s">
        <v>8638</v>
      </c>
      <c r="W953" t="s">
        <v>8639</v>
      </c>
      <c r="Y953" t="str">
        <f>HYPERLINK("https://recruiter.shine.com/resume/download/?resumeid=gAAAAABbk2UL2fBvJ_fOXRqhQbWFLlEW3vg9NveRUZKCH-nZm8yU8kv2npvRlKRxHX8JYB-gFolnEsmYfPAQLckaXtBH-kRZrMO3mpXhdAZ7JG_yKzJ6Si-dzJ_kthmUh4sKh3eHI9N7mmXHCLXPg4sbKDXHqNUmzxqi3Q_Ip60Lz47q7_imub4=")</f>
        <v>https://recruiter.shine.com/resume/download/?resumeid=gAAAAABbk2UL2fBvJ_fOXRqhQbWFLlEW3vg9NveRUZKCH-nZm8yU8kv2npvRlKRxHX8JYB-gFolnEsmYfPAQLckaXtBH-kRZrMO3mpXhdAZ7JG_yKzJ6Si-dzJ_kthmUh4sKh3eHI9N7mmXHCLXPg4sbKDXHqNUmzxqi3Q_Ip60Lz47q7_imub4=</v>
      </c>
    </row>
    <row r="954" spans="1:25" ht="39.950000000000003" customHeight="1">
      <c r="A954">
        <v>950</v>
      </c>
      <c r="B954" t="s">
        <v>8640</v>
      </c>
      <c r="C954" t="s">
        <v>8641</v>
      </c>
      <c r="D954" t="s">
        <v>8642</v>
      </c>
      <c r="E954" t="s">
        <v>8643</v>
      </c>
      <c r="F954" t="s">
        <v>29</v>
      </c>
      <c r="G954" t="s">
        <v>8644</v>
      </c>
      <c r="H954" t="s">
        <v>31</v>
      </c>
      <c r="I954" t="s">
        <v>196</v>
      </c>
      <c r="J954" t="s">
        <v>408</v>
      </c>
      <c r="K954" t="s">
        <v>8645</v>
      </c>
      <c r="L954" t="s">
        <v>155</v>
      </c>
      <c r="M954" t="s">
        <v>105</v>
      </c>
      <c r="N954" t="s">
        <v>8646</v>
      </c>
      <c r="O954" t="s">
        <v>38</v>
      </c>
      <c r="P954" t="s">
        <v>57</v>
      </c>
      <c r="Q954" t="s">
        <v>107</v>
      </c>
      <c r="R954" t="s">
        <v>341</v>
      </c>
      <c r="S954" t="s">
        <v>8647</v>
      </c>
      <c r="T954" t="s">
        <v>429</v>
      </c>
      <c r="U954" t="s">
        <v>43</v>
      </c>
      <c r="V954" t="s">
        <v>8648</v>
      </c>
      <c r="W954" t="s">
        <v>8648</v>
      </c>
      <c r="Y954" t="str">
        <f>HYPERLINK("https://recruiter.shine.com/resume/download/?resumeid=gAAAAABbk2UNlitVfh3lg0FHjqDOziTwtbL8_joz94E5u34kTIGurhWY6HzCA3Lc83eIoOZzV34XqfvLxqeBsTmQCr6fiBWheGiYyo2A8jn620WS-p4N5SsFdheX2x_VClPWmL2_X5Dem2aCFiz3He0CWxAxTZ3AcyLpiX18dcdlamEGYANJX24=")</f>
        <v>https://recruiter.shine.com/resume/download/?resumeid=gAAAAABbk2UNlitVfh3lg0FHjqDOziTwtbL8_joz94E5u34kTIGurhWY6HzCA3Lc83eIoOZzV34XqfvLxqeBsTmQCr6fiBWheGiYyo2A8jn620WS-p4N5SsFdheX2x_VClPWmL2_X5Dem2aCFiz3He0CWxAxTZ3AcyLpiX18dcdlamEGYANJX24=</v>
      </c>
    </row>
    <row r="955" spans="1:25" ht="39.950000000000003" customHeight="1">
      <c r="A955">
        <v>951</v>
      </c>
      <c r="B955" t="s">
        <v>8649</v>
      </c>
      <c r="D955" t="s">
        <v>8650</v>
      </c>
      <c r="E955" t="s">
        <v>8651</v>
      </c>
      <c r="F955" t="s">
        <v>29</v>
      </c>
      <c r="G955" t="s">
        <v>67</v>
      </c>
      <c r="H955" t="s">
        <v>31</v>
      </c>
      <c r="I955" t="s">
        <v>32</v>
      </c>
      <c r="J955" t="s">
        <v>393</v>
      </c>
      <c r="K955" t="s">
        <v>8652</v>
      </c>
      <c r="L955" t="s">
        <v>266</v>
      </c>
      <c r="M955" t="s">
        <v>339</v>
      </c>
      <c r="N955" t="s">
        <v>8653</v>
      </c>
      <c r="O955" t="s">
        <v>848</v>
      </c>
      <c r="Q955" t="s">
        <v>107</v>
      </c>
      <c r="R955" t="s">
        <v>75</v>
      </c>
      <c r="S955" t="s">
        <v>8654</v>
      </c>
      <c r="T955" t="s">
        <v>1842</v>
      </c>
      <c r="U955" t="s">
        <v>43</v>
      </c>
      <c r="V955" t="s">
        <v>8655</v>
      </c>
      <c r="W955" t="s">
        <v>8656</v>
      </c>
      <c r="Y955" t="str">
        <f>HYPERLINK("https://recruiter.shine.com/resume/download/?resumeid=gAAAAABbk2UOHsJQ-RFmKJW5QziJiBiSXPFTkWXRcmkNPk53D_Q5w1qdewdmpewIzw4mggamaF6jabahgv-cva0KOsMwxJucqc-Q1HjMysxbIUo5wLwSR0UON3y2DO99XFlS95h4BP_MYgFniOTd8cEfvZ-zIWKTLQ==")</f>
        <v>https://recruiter.shine.com/resume/download/?resumeid=gAAAAABbk2UOHsJQ-RFmKJW5QziJiBiSXPFTkWXRcmkNPk53D_Q5w1qdewdmpewIzw4mggamaF6jabahgv-cva0KOsMwxJucqc-Q1HjMysxbIUo5wLwSR0UON3y2DO99XFlS95h4BP_MYgFniOTd8cEfvZ-zIWKTLQ==</v>
      </c>
    </row>
    <row r="956" spans="1:25" ht="39.950000000000003" customHeight="1">
      <c r="A956">
        <v>952</v>
      </c>
      <c r="B956" t="s">
        <v>8657</v>
      </c>
      <c r="D956" t="s">
        <v>8658</v>
      </c>
      <c r="E956" t="s">
        <v>8659</v>
      </c>
      <c r="F956" t="s">
        <v>29</v>
      </c>
      <c r="G956" t="s">
        <v>29</v>
      </c>
      <c r="H956" t="s">
        <v>234</v>
      </c>
      <c r="I956" t="s">
        <v>208</v>
      </c>
      <c r="J956" t="s">
        <v>312</v>
      </c>
      <c r="K956" t="s">
        <v>8660</v>
      </c>
      <c r="L956" t="s">
        <v>184</v>
      </c>
      <c r="M956" t="s">
        <v>238</v>
      </c>
      <c r="N956" t="s">
        <v>8661</v>
      </c>
      <c r="O956" t="s">
        <v>804</v>
      </c>
      <c r="P956" t="s">
        <v>73</v>
      </c>
      <c r="Q956" t="s">
        <v>412</v>
      </c>
      <c r="R956" t="s">
        <v>41</v>
      </c>
      <c r="S956" t="s">
        <v>188</v>
      </c>
      <c r="T956" t="s">
        <v>227</v>
      </c>
      <c r="U956" t="s">
        <v>43</v>
      </c>
      <c r="V956" t="s">
        <v>8662</v>
      </c>
      <c r="W956" t="s">
        <v>8663</v>
      </c>
      <c r="Y956" t="str">
        <f>HYPERLINK("https://recruiter.shine.com/resume/download/?resumeid=gAAAAABbk2ULP34tQyQNhyC-EQg9Rv5r-m6jZCZ6z5gIUvphZSo6SHfaiqvx4uOzwe8yA9-pfbQcWTRQPbsjMDqs-geBSsiSQFatGR_Y6qzvUF1aX-y78hww16Kwnh9-onzYzOtn3ef6VFvGlxh6sy2We_expoHTObT0GiOsv93AcT0J0xDyjhg=")</f>
        <v>https://recruiter.shine.com/resume/download/?resumeid=gAAAAABbk2ULP34tQyQNhyC-EQg9Rv5r-m6jZCZ6z5gIUvphZSo6SHfaiqvx4uOzwe8yA9-pfbQcWTRQPbsjMDqs-geBSsiSQFatGR_Y6qzvUF1aX-y78hww16Kwnh9-onzYzOtn3ef6VFvGlxh6sy2We_expoHTObT0GiOsv93AcT0J0xDyjhg=</v>
      </c>
    </row>
    <row r="957" spans="1:25" ht="39.950000000000003" customHeight="1">
      <c r="A957">
        <v>953</v>
      </c>
      <c r="B957" t="s">
        <v>8664</v>
      </c>
      <c r="D957" t="s">
        <v>8665</v>
      </c>
      <c r="E957" t="s">
        <v>8666</v>
      </c>
      <c r="F957" t="s">
        <v>29</v>
      </c>
      <c r="G957" t="s">
        <v>29</v>
      </c>
      <c r="H957" t="s">
        <v>31</v>
      </c>
      <c r="I957" t="s">
        <v>8667</v>
      </c>
      <c r="J957" t="s">
        <v>1850</v>
      </c>
      <c r="K957" t="s">
        <v>8668</v>
      </c>
      <c r="L957" t="s">
        <v>746</v>
      </c>
      <c r="M957" t="s">
        <v>1124</v>
      </c>
      <c r="N957" t="s">
        <v>8669</v>
      </c>
      <c r="O957" t="s">
        <v>1377</v>
      </c>
      <c r="Q957" t="s">
        <v>123</v>
      </c>
      <c r="R957" t="s">
        <v>124</v>
      </c>
      <c r="S957" t="s">
        <v>8670</v>
      </c>
      <c r="T957" t="s">
        <v>281</v>
      </c>
      <c r="U957" t="s">
        <v>43</v>
      </c>
      <c r="V957" t="s">
        <v>8671</v>
      </c>
      <c r="W957" t="s">
        <v>8672</v>
      </c>
      <c r="Y957" t="str">
        <f>HYPERLINK("https://recruiter.shine.com/resume/download/?resumeid=gAAAAABbk2UMjnvcP2y9za-NXH51RorO_DWjHeFKjEBNLVkBZ8prNDLSc0v99762oTPfGeoQJn8QumWVE8d7GWq0gesvRY9nUzSs7xJ7l0YorgrnN8RoFhTYkAOJ9GIv6qknDVKzIqrEQkArdmhEk37wmL4q7QmQ0Q==")</f>
        <v>https://recruiter.shine.com/resume/download/?resumeid=gAAAAABbk2UMjnvcP2y9za-NXH51RorO_DWjHeFKjEBNLVkBZ8prNDLSc0v99762oTPfGeoQJn8QumWVE8d7GWq0gesvRY9nUzSs7xJ7l0YorgrnN8RoFhTYkAOJ9GIv6qknDVKzIqrEQkArdmhEk37wmL4q7QmQ0Q==</v>
      </c>
    </row>
    <row r="958" spans="1:25" ht="39.950000000000003" customHeight="1">
      <c r="A958">
        <v>954</v>
      </c>
      <c r="B958" t="s">
        <v>8673</v>
      </c>
      <c r="D958" t="s">
        <v>8674</v>
      </c>
      <c r="E958" t="s">
        <v>8675</v>
      </c>
      <c r="F958" t="s">
        <v>29</v>
      </c>
      <c r="G958" t="s">
        <v>67</v>
      </c>
      <c r="H958" t="s">
        <v>31</v>
      </c>
      <c r="I958" t="s">
        <v>362</v>
      </c>
      <c r="J958" t="s">
        <v>135</v>
      </c>
      <c r="L958" t="s">
        <v>363</v>
      </c>
      <c r="M958" t="s">
        <v>364</v>
      </c>
      <c r="Q958" t="s">
        <v>365</v>
      </c>
      <c r="R958" t="s">
        <v>8676</v>
      </c>
      <c r="S958" t="s">
        <v>1467</v>
      </c>
      <c r="T958" t="s">
        <v>175</v>
      </c>
      <c r="U958" t="s">
        <v>43</v>
      </c>
      <c r="V958" t="s">
        <v>8677</v>
      </c>
      <c r="W958" t="s">
        <v>8678</v>
      </c>
      <c r="Y958" t="str">
        <f>HYPERLINK("https://recruiter.shine.com/resume/download/?resumeid=gAAAAABbk2UNa7rBaKXQtRZ06S3ztfdw8xHx1GimqLQNCFWkOpCLyi6X81Tsz7ERuwVdwkW6j73KDpikjhNegIKK2gWoxMOuxYG0EmbnL9cMQIUaf-6xn_FbPYQREfbEXw2kVF-Jp8C7Rln4qrqQOkiQ64c2pSGw0sSkaAFdtgdMQYZyfCBF_0s=")</f>
        <v>https://recruiter.shine.com/resume/download/?resumeid=gAAAAABbk2UNa7rBaKXQtRZ06S3ztfdw8xHx1GimqLQNCFWkOpCLyi6X81Tsz7ERuwVdwkW6j73KDpikjhNegIKK2gWoxMOuxYG0EmbnL9cMQIUaf-6xn_FbPYQREfbEXw2kVF-Jp8C7Rln4qrqQOkiQ64c2pSGw0sSkaAFdtgdMQYZyfCBF_0s=</v>
      </c>
    </row>
    <row r="959" spans="1:25" ht="39.950000000000003" customHeight="1">
      <c r="A959">
        <v>955</v>
      </c>
      <c r="B959" t="s">
        <v>8679</v>
      </c>
      <c r="C959" t="s">
        <v>8680</v>
      </c>
      <c r="D959" t="s">
        <v>8681</v>
      </c>
      <c r="E959" t="s">
        <v>8682</v>
      </c>
      <c r="F959" t="s">
        <v>29</v>
      </c>
      <c r="G959" t="s">
        <v>5535</v>
      </c>
      <c r="H959" t="s">
        <v>31</v>
      </c>
      <c r="I959" t="s">
        <v>85</v>
      </c>
      <c r="J959" t="s">
        <v>871</v>
      </c>
      <c r="K959" t="s">
        <v>8683</v>
      </c>
      <c r="L959" t="s">
        <v>184</v>
      </c>
      <c r="M959" t="s">
        <v>36</v>
      </c>
      <c r="N959" t="s">
        <v>8684</v>
      </c>
      <c r="O959" t="s">
        <v>3583</v>
      </c>
      <c r="P959" t="s">
        <v>268</v>
      </c>
      <c r="Q959" t="s">
        <v>90</v>
      </c>
      <c r="R959" t="s">
        <v>292</v>
      </c>
      <c r="S959" t="s">
        <v>3490</v>
      </c>
      <c r="T959" t="s">
        <v>415</v>
      </c>
      <c r="U959" t="s">
        <v>94</v>
      </c>
      <c r="V959" t="s">
        <v>8685</v>
      </c>
      <c r="W959" t="s">
        <v>8686</v>
      </c>
      <c r="Y959" t="str">
        <f>HYPERLINK("https://recruiter.shine.com/resume/download/?resumeid=gAAAAABbk2UKPnnMC-tyDgYeinpSSK8V5NHEDfZcTVK_KtGr0JTo4mi-BYtrdsUkjMdnFfbSVAnvpYBBMGBhhlXufPhzRHDyj1tDXtA7Yvv9MoeuvEuDgZASR0vb8p81lVfyx5JGgrt_Ml8aEdphlEd4rcqKsgTn6iMKZv7qwXHkH80Yh04t9CU=")</f>
        <v>https://recruiter.shine.com/resume/download/?resumeid=gAAAAABbk2UKPnnMC-tyDgYeinpSSK8V5NHEDfZcTVK_KtGr0JTo4mi-BYtrdsUkjMdnFfbSVAnvpYBBMGBhhlXufPhzRHDyj1tDXtA7Yvv9MoeuvEuDgZASR0vb8p81lVfyx5JGgrt_Ml8aEdphlEd4rcqKsgTn6iMKZv7qwXHkH80Yh04t9CU=</v>
      </c>
    </row>
    <row r="960" spans="1:25" ht="39.950000000000003" customHeight="1">
      <c r="A960">
        <v>956</v>
      </c>
      <c r="B960" t="s">
        <v>8687</v>
      </c>
      <c r="C960" t="s">
        <v>8688</v>
      </c>
      <c r="D960" t="s">
        <v>8689</v>
      </c>
      <c r="E960" t="s">
        <v>8690</v>
      </c>
      <c r="F960" t="s">
        <v>29</v>
      </c>
      <c r="G960" t="s">
        <v>29</v>
      </c>
      <c r="H960" t="s">
        <v>234</v>
      </c>
      <c r="I960" t="s">
        <v>362</v>
      </c>
      <c r="J960" t="s">
        <v>135</v>
      </c>
      <c r="L960" t="s">
        <v>363</v>
      </c>
      <c r="M960" t="s">
        <v>364</v>
      </c>
      <c r="P960" t="s">
        <v>201</v>
      </c>
      <c r="Q960" t="s">
        <v>40</v>
      </c>
      <c r="R960" t="s">
        <v>41</v>
      </c>
      <c r="S960" t="s">
        <v>8691</v>
      </c>
      <c r="T960" t="s">
        <v>429</v>
      </c>
      <c r="U960" t="s">
        <v>43</v>
      </c>
      <c r="V960" t="s">
        <v>8692</v>
      </c>
      <c r="W960" t="s">
        <v>8693</v>
      </c>
      <c r="Y960" t="str">
        <f>HYPERLINK("https://recruiter.shine.com/resume/download/?resumeid=gAAAAABbk2UMeVi_i5-_XSSIC0KKpwIqNR-BaIzo12QnBhpiScLlfum4Shkb1dAC5amCCpgzRCeD6tY7p2gVXC7hDw0rAK8UzP0VfszEBCS3xxeNa9sV9etMraF373YCTmWMaDasX7PyNcyY05IsSGH08RiS51QW7-gg9ZrAIWacQ0M3WSLvSEE=")</f>
        <v>https://recruiter.shine.com/resume/download/?resumeid=gAAAAABbk2UMeVi_i5-_XSSIC0KKpwIqNR-BaIzo12QnBhpiScLlfum4Shkb1dAC5amCCpgzRCeD6tY7p2gVXC7hDw0rAK8UzP0VfszEBCS3xxeNa9sV9etMraF373YCTmWMaDasX7PyNcyY05IsSGH08RiS51QW7-gg9ZrAIWacQ0M3WSLvSEE=</v>
      </c>
    </row>
    <row r="961" spans="1:25" ht="39.950000000000003" customHeight="1">
      <c r="A961">
        <v>957</v>
      </c>
      <c r="B961" t="s">
        <v>8694</v>
      </c>
      <c r="D961" t="s">
        <v>8695</v>
      </c>
      <c r="E961" t="s">
        <v>8696</v>
      </c>
      <c r="F961" t="s">
        <v>858</v>
      </c>
      <c r="G961" t="s">
        <v>6411</v>
      </c>
      <c r="H961" t="s">
        <v>31</v>
      </c>
      <c r="I961" t="s">
        <v>335</v>
      </c>
      <c r="J961" t="s">
        <v>7152</v>
      </c>
      <c r="K961" t="s">
        <v>8697</v>
      </c>
      <c r="L961" t="s">
        <v>266</v>
      </c>
      <c r="M961" t="s">
        <v>684</v>
      </c>
      <c r="N961" t="s">
        <v>8698</v>
      </c>
      <c r="O961" t="s">
        <v>186</v>
      </c>
      <c r="Q961" t="s">
        <v>365</v>
      </c>
      <c r="R961" t="s">
        <v>1920</v>
      </c>
      <c r="S961" t="s">
        <v>8699</v>
      </c>
      <c r="T961" t="s">
        <v>281</v>
      </c>
      <c r="U961" t="s">
        <v>43</v>
      </c>
      <c r="V961" t="s">
        <v>8700</v>
      </c>
      <c r="W961" t="s">
        <v>8701</v>
      </c>
      <c r="Y961" t="str">
        <f>HYPERLINK("https://recruiter.shine.com/resume/download/?resumeid=gAAAAABbk2UOjS6x2tSGPolA6YR3ioF8AKJ2W5OZNqPFMDTouo9qhywxB7Wvu0-DPYKlU8fA5Cwo1Ve1BL2SV5cFQC96eqN61pRdN6z4vkf3BjVoQctlyCl4mvgqwDKXMeuuYUw9qdybotIvbs1_8bb4p4GrAs8sbA==")</f>
        <v>https://recruiter.shine.com/resume/download/?resumeid=gAAAAABbk2UOjS6x2tSGPolA6YR3ioF8AKJ2W5OZNqPFMDTouo9qhywxB7Wvu0-DPYKlU8fA5Cwo1Ve1BL2SV5cFQC96eqN61pRdN6z4vkf3BjVoQctlyCl4mvgqwDKXMeuuYUw9qdybotIvbs1_8bb4p4GrAs8sbA==</v>
      </c>
    </row>
    <row r="962" spans="1:25" ht="39.950000000000003" customHeight="1">
      <c r="A962">
        <v>958</v>
      </c>
      <c r="B962" t="s">
        <v>8702</v>
      </c>
      <c r="C962" t="s">
        <v>8703</v>
      </c>
      <c r="D962" t="s">
        <v>8704</v>
      </c>
      <c r="E962" t="s">
        <v>8705</v>
      </c>
      <c r="F962" t="s">
        <v>29</v>
      </c>
      <c r="G962" t="s">
        <v>8706</v>
      </c>
      <c r="H962" t="s">
        <v>31</v>
      </c>
      <c r="I962" t="s">
        <v>958</v>
      </c>
      <c r="J962" t="s">
        <v>6879</v>
      </c>
      <c r="K962" t="s">
        <v>5007</v>
      </c>
      <c r="L962" t="s">
        <v>266</v>
      </c>
      <c r="M962" t="s">
        <v>105</v>
      </c>
      <c r="N962" t="s">
        <v>1391</v>
      </c>
      <c r="O962" t="s">
        <v>56</v>
      </c>
      <c r="P962" t="s">
        <v>57</v>
      </c>
      <c r="Q962" t="s">
        <v>74</v>
      </c>
      <c r="R962" t="s">
        <v>159</v>
      </c>
      <c r="S962" t="s">
        <v>8707</v>
      </c>
      <c r="T962" t="s">
        <v>429</v>
      </c>
      <c r="U962" t="s">
        <v>43</v>
      </c>
      <c r="V962" t="s">
        <v>8708</v>
      </c>
      <c r="W962" t="s">
        <v>8709</v>
      </c>
      <c r="Y962" t="str">
        <f>HYPERLINK("https://recruiter.shine.com/resume/download/?resumeid=gAAAAABbk2ULQw7hEgWw2-I_UKJU4ayrQujmxYTKJkW-1o19qqfoOEasicVqLbrAzOuf-AtjCkOtgRD56uUPjMk6o7KoGiXvJp73IHBuliXobWMrtsETzosHg1Zv1xeMuva6UVK78D3_v81y6uHrqbIyW7ucvZNHuQ==")</f>
        <v>https://recruiter.shine.com/resume/download/?resumeid=gAAAAABbk2ULQw7hEgWw2-I_UKJU4ayrQujmxYTKJkW-1o19qqfoOEasicVqLbrAzOuf-AtjCkOtgRD56uUPjMk6o7KoGiXvJp73IHBuliXobWMrtsETzosHg1Zv1xeMuva6UVK78D3_v81y6uHrqbIyW7ucvZNHuQ==</v>
      </c>
    </row>
    <row r="963" spans="1:25" ht="39.950000000000003" customHeight="1">
      <c r="A963">
        <v>959</v>
      </c>
      <c r="B963" t="s">
        <v>8710</v>
      </c>
      <c r="C963" t="s">
        <v>8711</v>
      </c>
      <c r="D963" t="s">
        <v>8712</v>
      </c>
      <c r="E963" t="s">
        <v>8713</v>
      </c>
      <c r="F963" t="s">
        <v>29</v>
      </c>
      <c r="G963" t="s">
        <v>29</v>
      </c>
      <c r="H963" t="s">
        <v>31</v>
      </c>
      <c r="I963" t="s">
        <v>152</v>
      </c>
      <c r="J963" t="s">
        <v>2701</v>
      </c>
      <c r="K963" t="s">
        <v>2422</v>
      </c>
      <c r="L963" t="s">
        <v>746</v>
      </c>
      <c r="M963" t="s">
        <v>1356</v>
      </c>
      <c r="N963" t="s">
        <v>8714</v>
      </c>
      <c r="O963" t="s">
        <v>585</v>
      </c>
      <c r="P963" t="s">
        <v>268</v>
      </c>
      <c r="Q963" t="s">
        <v>1545</v>
      </c>
      <c r="R963" t="s">
        <v>142</v>
      </c>
      <c r="S963" t="s">
        <v>8715</v>
      </c>
      <c r="T963" t="s">
        <v>227</v>
      </c>
      <c r="U963" t="s">
        <v>43</v>
      </c>
      <c r="V963" t="s">
        <v>8716</v>
      </c>
      <c r="W963" t="s">
        <v>8717</v>
      </c>
      <c r="Y963" t="str">
        <f>HYPERLINK("https://recruiter.shine.com/resume/download/?resumeid=gAAAAABbk2UMVcswurFh48oZxhbkAr0Jwzo2LhglKbB3D4dm6Cift4ry-VEtCVbari3t7NyO2zZX5hYh8mET-2bV00GOzdZSLOLZ2VQLVafaO5ItM-fxZ9ocufYT8NDsWXy1L6uEBpkli6GQqs1bOoYeXUAHTpf3lA==")</f>
        <v>https://recruiter.shine.com/resume/download/?resumeid=gAAAAABbk2UMVcswurFh48oZxhbkAr0Jwzo2LhglKbB3D4dm6Cift4ry-VEtCVbari3t7NyO2zZX5hYh8mET-2bV00GOzdZSLOLZ2VQLVafaO5ItM-fxZ9ocufYT8NDsWXy1L6uEBpkli6GQqs1bOoYeXUAHTpf3lA==</v>
      </c>
    </row>
    <row r="964" spans="1:25" ht="39.950000000000003" customHeight="1">
      <c r="A964">
        <v>960</v>
      </c>
      <c r="B964" t="s">
        <v>8718</v>
      </c>
      <c r="C964" t="s">
        <v>8719</v>
      </c>
      <c r="D964" t="s">
        <v>8720</v>
      </c>
      <c r="E964" t="s">
        <v>8721</v>
      </c>
      <c r="F964" t="s">
        <v>29</v>
      </c>
      <c r="G964" t="s">
        <v>67</v>
      </c>
      <c r="H964" t="s">
        <v>31</v>
      </c>
      <c r="I964" t="s">
        <v>5489</v>
      </c>
      <c r="J964" t="s">
        <v>3214</v>
      </c>
      <c r="K964" t="s">
        <v>8722</v>
      </c>
      <c r="L964" t="s">
        <v>1776</v>
      </c>
      <c r="M964" t="s">
        <v>1124</v>
      </c>
      <c r="N964" t="s">
        <v>8723</v>
      </c>
      <c r="O964" t="s">
        <v>56</v>
      </c>
      <c r="P964" t="s">
        <v>57</v>
      </c>
      <c r="Q964" t="s">
        <v>40</v>
      </c>
      <c r="R964" t="s">
        <v>2192</v>
      </c>
      <c r="S964" t="s">
        <v>951</v>
      </c>
      <c r="T964" t="s">
        <v>144</v>
      </c>
      <c r="U964" t="s">
        <v>43</v>
      </c>
      <c r="V964" t="s">
        <v>8724</v>
      </c>
      <c r="W964" t="s">
        <v>8725</v>
      </c>
      <c r="Y964" t="str">
        <f>HYPERLINK("https://recruiter.shine.com/resume/download/?resumeid=gAAAAABbk2UODL8PcpuTGUNnREjbiabHEU4BP_7H-g_h-ORygmBQ0nyhZYWXXYgMxFUf6U5J62Ny5ju0LsWdG8cjJx_yIrKDTNxcOBH5K2NNuUO4GTDzkU5VWSe1f7Xrg7VEfQFivKNv7RMoihohHi2Jrzvg9uXCOQ==")</f>
        <v>https://recruiter.shine.com/resume/download/?resumeid=gAAAAABbk2UODL8PcpuTGUNnREjbiabHEU4BP_7H-g_h-ORygmBQ0nyhZYWXXYgMxFUf6U5J62Ny5ju0LsWdG8cjJx_yIrKDTNxcOBH5K2NNuUO4GTDzkU5VWSe1f7Xrg7VEfQFivKNv7RMoihohHi2Jrzvg9uXCOQ==</v>
      </c>
    </row>
    <row r="965" spans="1:25" ht="39.950000000000003" customHeight="1">
      <c r="A965">
        <v>961</v>
      </c>
      <c r="B965" t="s">
        <v>8726</v>
      </c>
      <c r="C965" t="s">
        <v>8727</v>
      </c>
      <c r="D965" t="s">
        <v>8728</v>
      </c>
      <c r="E965" t="s">
        <v>8729</v>
      </c>
      <c r="F965" t="s">
        <v>29</v>
      </c>
      <c r="G965" t="s">
        <v>29</v>
      </c>
      <c r="H965" t="s">
        <v>31</v>
      </c>
      <c r="I965" t="s">
        <v>1122</v>
      </c>
      <c r="J965" t="s">
        <v>715</v>
      </c>
      <c r="K965" t="s">
        <v>8014</v>
      </c>
      <c r="L965" t="s">
        <v>290</v>
      </c>
      <c r="M965" t="s">
        <v>238</v>
      </c>
      <c r="N965" t="s">
        <v>8730</v>
      </c>
      <c r="O965" t="s">
        <v>56</v>
      </c>
      <c r="Q965" t="s">
        <v>240</v>
      </c>
      <c r="R965" t="s">
        <v>241</v>
      </c>
      <c r="S965" t="s">
        <v>242</v>
      </c>
      <c r="T965" t="s">
        <v>429</v>
      </c>
      <c r="U965" t="s">
        <v>43</v>
      </c>
      <c r="V965" t="s">
        <v>8731</v>
      </c>
      <c r="W965" t="s">
        <v>8732</v>
      </c>
      <c r="Y965" t="str">
        <f>HYPERLINK("https://recruiter.shine.com/resume/download/?resumeid=gAAAAABbk2UL4rCfUs9i71bzX-fEC04p80or7i-xqvWFkkdZyQfdZ5xpT1XKRESMxlX6VZGOKQ8syQ3gGkawHtE2sNijBIAPOOGcVAvhsI30FOaOhMVgHNZdXdvhBllORbKL82iiw0MgL_4lMOktqj-7FgULxem9Le2pGk4-6kFJgfha5B0CSCM=")</f>
        <v>https://recruiter.shine.com/resume/download/?resumeid=gAAAAABbk2UL4rCfUs9i71bzX-fEC04p80or7i-xqvWFkkdZyQfdZ5xpT1XKRESMxlX6VZGOKQ8syQ3gGkawHtE2sNijBIAPOOGcVAvhsI30FOaOhMVgHNZdXdvhBllORbKL82iiw0MgL_4lMOktqj-7FgULxem9Le2pGk4-6kFJgfha5B0CSCM=</v>
      </c>
    </row>
    <row r="966" spans="1:25" ht="39.950000000000003" customHeight="1">
      <c r="A966">
        <v>962</v>
      </c>
      <c r="B966" t="s">
        <v>8733</v>
      </c>
      <c r="C966" t="s">
        <v>8734</v>
      </c>
      <c r="D966" t="s">
        <v>8735</v>
      </c>
      <c r="E966" t="s">
        <v>8736</v>
      </c>
      <c r="F966" t="s">
        <v>29</v>
      </c>
      <c r="G966" t="s">
        <v>8737</v>
      </c>
      <c r="H966" t="s">
        <v>31</v>
      </c>
      <c r="I966" t="s">
        <v>85</v>
      </c>
      <c r="J966" t="s">
        <v>251</v>
      </c>
      <c r="K966" t="s">
        <v>8738</v>
      </c>
      <c r="L966" t="s">
        <v>199</v>
      </c>
      <c r="M966" t="s">
        <v>36</v>
      </c>
      <c r="N966" t="s">
        <v>8739</v>
      </c>
      <c r="O966" t="s">
        <v>56</v>
      </c>
      <c r="P966" t="s">
        <v>57</v>
      </c>
      <c r="Q966" t="s">
        <v>365</v>
      </c>
      <c r="R966" t="s">
        <v>41</v>
      </c>
      <c r="S966" t="s">
        <v>8740</v>
      </c>
      <c r="T966" t="s">
        <v>93</v>
      </c>
      <c r="U966" t="s">
        <v>43</v>
      </c>
      <c r="V966" t="s">
        <v>8741</v>
      </c>
      <c r="W966" t="s">
        <v>8742</v>
      </c>
      <c r="Y966" t="str">
        <f>HYPERLINK("https://recruiter.shine.com/resume/download/?resumeid=gAAAAABbk2UMPKCzRBzUVdgAXJ0jNpxzDfP5T11i_YVpTjUDjR9M95PdmtQaZmtN5zgxh4dHPSmTLlg4J2-Dgmvk0n9C0j6I77n5_xF1bz1Vd2Jxvfy25QCgLTft0zRPE7-rqTi0ATuy_PM7BDKwYQ8uZgh0WRD1M_9Pw9Y-TQvwNkg32g0KVgA=")</f>
        <v>https://recruiter.shine.com/resume/download/?resumeid=gAAAAABbk2UMPKCzRBzUVdgAXJ0jNpxzDfP5T11i_YVpTjUDjR9M95PdmtQaZmtN5zgxh4dHPSmTLlg4J2-Dgmvk0n9C0j6I77n5_xF1bz1Vd2Jxvfy25QCgLTft0zRPE7-rqTi0ATuy_PM7BDKwYQ8uZgh0WRD1M_9Pw9Y-TQvwNkg32g0KVgA=</v>
      </c>
    </row>
    <row r="967" spans="1:25" ht="39.950000000000003" customHeight="1">
      <c r="A967">
        <v>963</v>
      </c>
      <c r="B967" t="s">
        <v>8743</v>
      </c>
      <c r="C967" t="s">
        <v>3797</v>
      </c>
      <c r="D967" t="s">
        <v>8744</v>
      </c>
      <c r="E967" t="s">
        <v>8745</v>
      </c>
      <c r="F967" t="s">
        <v>29</v>
      </c>
      <c r="G967" t="s">
        <v>67</v>
      </c>
      <c r="H967" t="s">
        <v>31</v>
      </c>
      <c r="I967" t="s">
        <v>3981</v>
      </c>
      <c r="J967" t="s">
        <v>3602</v>
      </c>
      <c r="K967" t="s">
        <v>8746</v>
      </c>
      <c r="L967" t="s">
        <v>596</v>
      </c>
      <c r="M967" t="s">
        <v>105</v>
      </c>
      <c r="N967" t="s">
        <v>2229</v>
      </c>
      <c r="O967" t="s">
        <v>1422</v>
      </c>
      <c r="P967" t="s">
        <v>140</v>
      </c>
      <c r="Q967" t="s">
        <v>699</v>
      </c>
      <c r="R967" t="s">
        <v>8747</v>
      </c>
      <c r="S967" t="s">
        <v>5199</v>
      </c>
      <c r="T967" t="s">
        <v>687</v>
      </c>
      <c r="U967" t="s">
        <v>43</v>
      </c>
      <c r="V967" t="s">
        <v>8748</v>
      </c>
      <c r="W967" t="s">
        <v>8748</v>
      </c>
      <c r="Y967" t="str">
        <f>HYPERLINK("https://recruiter.shine.com/resume/download/?resumeid=gAAAAABbk2UOgHU9vnX-zOhVFsFC5LtwX6C8KXaqrlcUYkDO9OnhMhiQMxsatLjMEPwjsUKgiqdweQO5PrCGdHBAsiZ89pvjgIvfSKTFFVCyRdBzGpm42lXRgWhogOrYYk_JpfftZqRvrO5zDJZ5SBCd1VixBcKvYA==")</f>
        <v>https://recruiter.shine.com/resume/download/?resumeid=gAAAAABbk2UOgHU9vnX-zOhVFsFC5LtwX6C8KXaqrlcUYkDO9OnhMhiQMxsatLjMEPwjsUKgiqdweQO5PrCGdHBAsiZ89pvjgIvfSKTFFVCyRdBzGpm42lXRgWhogOrYYk_JpfftZqRvrO5zDJZ5SBCd1VixBcKvYA==</v>
      </c>
    </row>
    <row r="968" spans="1:25" ht="39.950000000000003" customHeight="1">
      <c r="A968">
        <v>964</v>
      </c>
      <c r="B968" t="s">
        <v>8749</v>
      </c>
      <c r="C968" t="s">
        <v>8750</v>
      </c>
      <c r="D968" t="s">
        <v>8751</v>
      </c>
      <c r="E968" t="s">
        <v>8752</v>
      </c>
      <c r="F968" t="s">
        <v>29</v>
      </c>
      <c r="G968" t="s">
        <v>8753</v>
      </c>
      <c r="H968" t="s">
        <v>31</v>
      </c>
      <c r="I968" t="s">
        <v>6449</v>
      </c>
      <c r="J968" t="s">
        <v>745</v>
      </c>
      <c r="K968" t="s">
        <v>8754</v>
      </c>
      <c r="L968" t="s">
        <v>254</v>
      </c>
      <c r="M968" t="s">
        <v>105</v>
      </c>
      <c r="N968" t="s">
        <v>8755</v>
      </c>
      <c r="O968" t="s">
        <v>186</v>
      </c>
      <c r="Q968" t="s">
        <v>74</v>
      </c>
      <c r="R968" t="s">
        <v>384</v>
      </c>
      <c r="S968" t="s">
        <v>8756</v>
      </c>
      <c r="T968" t="s">
        <v>304</v>
      </c>
      <c r="U968" t="s">
        <v>43</v>
      </c>
      <c r="V968" t="s">
        <v>8757</v>
      </c>
      <c r="W968" t="s">
        <v>8758</v>
      </c>
      <c r="Y968" t="str">
        <f>HYPERLINK("https://recruiter.shine.com/resume/download/?resumeid=gAAAAABbk2ULXQi-FzfVo5zXZrgU0H4p32U5z6dWQryAaKLKY-jM0S_gZZrm9hJwt6W_DZIdM9WvS1-KNjGHaAk1XJYAjmBaJiNvoZ9_mN2ehV5P9w6oBKgELAPLuqtdjeOEfBLhK6qRbu-qrXwEbJer23mdI9Ufcg==")</f>
        <v>https://recruiter.shine.com/resume/download/?resumeid=gAAAAABbk2ULXQi-FzfVo5zXZrgU0H4p32U5z6dWQryAaKLKY-jM0S_gZZrm9hJwt6W_DZIdM9WvS1-KNjGHaAk1XJYAjmBaJiNvoZ9_mN2ehV5P9w6oBKgELAPLuqtdjeOEfBLhK6qRbu-qrXwEbJer23mdI9Ufcg==</v>
      </c>
    </row>
    <row r="969" spans="1:25" ht="39.950000000000003" customHeight="1">
      <c r="A969">
        <v>965</v>
      </c>
      <c r="B969" t="s">
        <v>8759</v>
      </c>
      <c r="C969" t="s">
        <v>5064</v>
      </c>
      <c r="D969" t="s">
        <v>8760</v>
      </c>
      <c r="E969" t="s">
        <v>8761</v>
      </c>
      <c r="F969" t="s">
        <v>858</v>
      </c>
      <c r="G969" t="s">
        <v>2854</v>
      </c>
      <c r="H969" t="s">
        <v>31</v>
      </c>
      <c r="I969" t="s">
        <v>5113</v>
      </c>
      <c r="J969" t="s">
        <v>278</v>
      </c>
      <c r="K969" t="s">
        <v>8762</v>
      </c>
      <c r="L969" t="s">
        <v>266</v>
      </c>
      <c r="M969" t="s">
        <v>684</v>
      </c>
      <c r="N969" t="s">
        <v>8763</v>
      </c>
      <c r="O969" t="s">
        <v>1245</v>
      </c>
      <c r="P969" t="s">
        <v>73</v>
      </c>
      <c r="Q969" t="s">
        <v>107</v>
      </c>
      <c r="R969" t="s">
        <v>159</v>
      </c>
      <c r="S969" t="s">
        <v>8764</v>
      </c>
      <c r="T969" t="s">
        <v>687</v>
      </c>
      <c r="U969" t="s">
        <v>43</v>
      </c>
      <c r="V969" t="s">
        <v>8765</v>
      </c>
      <c r="W969" t="s">
        <v>8766</v>
      </c>
      <c r="Y969" t="str">
        <f>HYPERLINK("https://recruiter.shine.com/resume/download/?resumeid=gAAAAABbk2UMtnot42tScQ-YGgry6rEpF8GzM5TjKPN4WwtcbBTe85mEhL0RMY1jj-1paLTwixXcbqGLX6VJdSMjVX3ruprf70bYBqZO1mgNWQolWDBm8yJO_ZgUxayPrd9cqFuZtcV4LJXcyAXAG23quIQ5Ow8_Z4ct4d7MWsKD4HktCH_ac1Y=")</f>
        <v>https://recruiter.shine.com/resume/download/?resumeid=gAAAAABbk2UMtnot42tScQ-YGgry6rEpF8GzM5TjKPN4WwtcbBTe85mEhL0RMY1jj-1paLTwixXcbqGLX6VJdSMjVX3ruprf70bYBqZO1mgNWQolWDBm8yJO_ZgUxayPrd9cqFuZtcV4LJXcyAXAG23quIQ5Ow8_Z4ct4d7MWsKD4HktCH_ac1Y=</v>
      </c>
    </row>
    <row r="970" spans="1:25" ht="39.950000000000003" customHeight="1">
      <c r="A970">
        <v>966</v>
      </c>
      <c r="B970" t="s">
        <v>8767</v>
      </c>
      <c r="D970" t="s">
        <v>8768</v>
      </c>
      <c r="E970" t="s">
        <v>8769</v>
      </c>
      <c r="F970" t="s">
        <v>29</v>
      </c>
      <c r="G970" t="s">
        <v>67</v>
      </c>
      <c r="H970" t="s">
        <v>31</v>
      </c>
      <c r="I970" t="s">
        <v>8770</v>
      </c>
      <c r="J970" t="s">
        <v>8771</v>
      </c>
      <c r="K970" t="s">
        <v>8772</v>
      </c>
      <c r="L970" t="s">
        <v>199</v>
      </c>
      <c r="M970" t="s">
        <v>36</v>
      </c>
      <c r="N970" t="s">
        <v>8773</v>
      </c>
      <c r="O970" t="s">
        <v>186</v>
      </c>
      <c r="P970" t="s">
        <v>57</v>
      </c>
      <c r="Q970" t="s">
        <v>158</v>
      </c>
      <c r="R970" t="s">
        <v>341</v>
      </c>
      <c r="S970" t="s">
        <v>8774</v>
      </c>
      <c r="T970" t="s">
        <v>93</v>
      </c>
      <c r="U970" t="s">
        <v>43</v>
      </c>
      <c r="V970" t="s">
        <v>8775</v>
      </c>
      <c r="W970" t="s">
        <v>8776</v>
      </c>
      <c r="Y970" t="str">
        <f>HYPERLINK("https://recruiter.shine.com/resume/download/?resumeid=gAAAAABbk2UOk-Exv11wPndA4W5f_rck9C48MHrmJLwCInrN7BwfxI632-MFJm7vX5Y0U6RvJW4w9IGAZ0PVSZ1-2EMsHfcNRIGfF8RG03XbFTpzPF5FdkBJDLJhpb7h6H_eoLOfRdbMs5axXz2P5N5d5d1I4VVmiiiyj-ZOUWADzfOARuDnZzw=")</f>
        <v>https://recruiter.shine.com/resume/download/?resumeid=gAAAAABbk2UOk-Exv11wPndA4W5f_rck9C48MHrmJLwCInrN7BwfxI632-MFJm7vX5Y0U6RvJW4w9IGAZ0PVSZ1-2EMsHfcNRIGfF8RG03XbFTpzPF5FdkBJDLJhpb7h6H_eoLOfRdbMs5axXz2P5N5d5d1I4VVmiiiyj-ZOUWADzfOARuDnZzw=</v>
      </c>
    </row>
    <row r="971" spans="1:25" ht="39.950000000000003" customHeight="1">
      <c r="A971">
        <v>967</v>
      </c>
      <c r="B971" t="s">
        <v>8777</v>
      </c>
      <c r="D971" t="s">
        <v>8778</v>
      </c>
      <c r="E971" t="s">
        <v>8779</v>
      </c>
      <c r="F971" t="s">
        <v>29</v>
      </c>
      <c r="G971" t="s">
        <v>29</v>
      </c>
      <c r="H971" t="s">
        <v>234</v>
      </c>
      <c r="I971" t="s">
        <v>3671</v>
      </c>
      <c r="J971" t="s">
        <v>4422</v>
      </c>
      <c r="K971" t="s">
        <v>8780</v>
      </c>
      <c r="L971" t="s">
        <v>2249</v>
      </c>
      <c r="M971" t="s">
        <v>121</v>
      </c>
      <c r="N971" t="s">
        <v>8781</v>
      </c>
      <c r="O971" t="s">
        <v>186</v>
      </c>
      <c r="P971" t="s">
        <v>940</v>
      </c>
      <c r="Q971" t="s">
        <v>412</v>
      </c>
      <c r="R971" t="s">
        <v>413</v>
      </c>
      <c r="S971" t="s">
        <v>8782</v>
      </c>
      <c r="T971" t="s">
        <v>161</v>
      </c>
      <c r="U971" t="s">
        <v>43</v>
      </c>
      <c r="V971" t="s">
        <v>8783</v>
      </c>
      <c r="W971" t="s">
        <v>8784</v>
      </c>
      <c r="Y971" t="str">
        <f>HYPERLINK("https://recruiter.shine.com/resume/download/?resumeid=gAAAAABbk2UKnC6tQaXc23C9R9DPM3HnidDy8uWzn75ZdwTh1FE_mTK4deaZJLgNAHT1-7HneA-E_r1CycW3956gpxF3pNrqFUo9s9WQpx70vuCBduowBzXvTbs-NIC_q7giUbzJ1NiuUBvWgyci5ct69-961wDtrlB5euRPsydF9jYQuqMj_to=")</f>
        <v>https://recruiter.shine.com/resume/download/?resumeid=gAAAAABbk2UKnC6tQaXc23C9R9DPM3HnidDy8uWzn75ZdwTh1FE_mTK4deaZJLgNAHT1-7HneA-E_r1CycW3956gpxF3pNrqFUo9s9WQpx70vuCBduowBzXvTbs-NIC_q7giUbzJ1NiuUBvWgyci5ct69-961wDtrlB5euRPsydF9jYQuqMj_to=</v>
      </c>
    </row>
    <row r="972" spans="1:25" ht="39.950000000000003" customHeight="1">
      <c r="A972">
        <v>968</v>
      </c>
      <c r="B972" t="s">
        <v>8785</v>
      </c>
      <c r="C972" t="s">
        <v>8786</v>
      </c>
      <c r="D972" t="s">
        <v>8787</v>
      </c>
      <c r="E972" t="s">
        <v>8788</v>
      </c>
      <c r="F972" t="s">
        <v>29</v>
      </c>
      <c r="G972" t="s">
        <v>29</v>
      </c>
      <c r="H972" t="s">
        <v>31</v>
      </c>
      <c r="I972" t="s">
        <v>134</v>
      </c>
      <c r="J972" t="s">
        <v>8789</v>
      </c>
      <c r="K972" t="s">
        <v>8790</v>
      </c>
      <c r="L972" t="s">
        <v>290</v>
      </c>
      <c r="M972" t="s">
        <v>238</v>
      </c>
      <c r="N972" t="s">
        <v>8791</v>
      </c>
      <c r="O972" t="s">
        <v>56</v>
      </c>
      <c r="P972" t="s">
        <v>57</v>
      </c>
      <c r="Q972" t="s">
        <v>90</v>
      </c>
      <c r="R972" t="s">
        <v>292</v>
      </c>
      <c r="S972" t="s">
        <v>8792</v>
      </c>
      <c r="T972" t="s">
        <v>257</v>
      </c>
      <c r="U972" t="s">
        <v>94</v>
      </c>
      <c r="V972" t="s">
        <v>8793</v>
      </c>
      <c r="W972" t="s">
        <v>8794</v>
      </c>
      <c r="Y972" t="str">
        <f>HYPERLINK("https://recruiter.shine.com/resume/download/?resumeid=gAAAAABbk2UMrrsMJOvSjc-oWhAGzLL0Ga6ZTiiTc4o9wPr2TgSeZiHch-Yh7Mm3bBWwAyNIHFSV3QcD7G-cHIehrFZyPg-9ZO0aNhUgXUTBCFGvuILhxS5SdgyrgCSDbJn-qz9qEG1-nSo-h_ORrBClm_QDs_IJyxIxVQLSuwdQOfs0qROl0PI=")</f>
        <v>https://recruiter.shine.com/resume/download/?resumeid=gAAAAABbk2UMrrsMJOvSjc-oWhAGzLL0Ga6ZTiiTc4o9wPr2TgSeZiHch-Yh7Mm3bBWwAyNIHFSV3QcD7G-cHIehrFZyPg-9ZO0aNhUgXUTBCFGvuILhxS5SdgyrgCSDbJn-qz9qEG1-nSo-h_ORrBClm_QDs_IJyxIxVQLSuwdQOfs0qROl0PI=</v>
      </c>
    </row>
    <row r="973" spans="1:25" ht="39.950000000000003" customHeight="1">
      <c r="A973">
        <v>969</v>
      </c>
      <c r="B973" t="s">
        <v>8795</v>
      </c>
      <c r="D973" t="s">
        <v>8796</v>
      </c>
      <c r="E973" t="s">
        <v>8797</v>
      </c>
      <c r="F973" t="s">
        <v>29</v>
      </c>
      <c r="G973" t="s">
        <v>67</v>
      </c>
      <c r="H973" t="s">
        <v>31</v>
      </c>
      <c r="I973" t="s">
        <v>362</v>
      </c>
      <c r="J973" t="s">
        <v>135</v>
      </c>
      <c r="L973" t="s">
        <v>363</v>
      </c>
      <c r="M973" t="s">
        <v>364</v>
      </c>
      <c r="Q973" t="s">
        <v>107</v>
      </c>
      <c r="R973" t="s">
        <v>159</v>
      </c>
      <c r="S973" t="s">
        <v>8798</v>
      </c>
      <c r="T973" t="s">
        <v>126</v>
      </c>
      <c r="U973" t="s">
        <v>43</v>
      </c>
      <c r="V973" t="s">
        <v>8799</v>
      </c>
      <c r="W973" t="s">
        <v>8799</v>
      </c>
      <c r="Y973" t="str">
        <f>HYPERLINK("https://recruiter.shine.com/resume/download/?resumeid=gAAAAABbk2UO4dc2AkJD4_fNGan3pIAMcGGWI1juGUN5V93g4J0dzdpmlovwgW-RTb4IBz9cfay_BVswpwsr8fZKRRRqljxLjFxwFm78qRWU45u5Ykc2zRGmgFzD7zNdml36L2AjfnM02RH1vhIQol5rU1TNJXJYyA==")</f>
        <v>https://recruiter.shine.com/resume/download/?resumeid=gAAAAABbk2UO4dc2AkJD4_fNGan3pIAMcGGWI1juGUN5V93g4J0dzdpmlovwgW-RTb4IBz9cfay_BVswpwsr8fZKRRRqljxLjFxwFm78qRWU45u5Ykc2zRGmgFzD7zNdml36L2AjfnM02RH1vhIQol5rU1TNJXJYyA==</v>
      </c>
    </row>
    <row r="974" spans="1:25" ht="39.950000000000003" customHeight="1">
      <c r="A974">
        <v>970</v>
      </c>
      <c r="B974" t="s">
        <v>8800</v>
      </c>
      <c r="C974" t="s">
        <v>8801</v>
      </c>
      <c r="D974" t="s">
        <v>8802</v>
      </c>
      <c r="E974" t="s">
        <v>8803</v>
      </c>
      <c r="F974" t="s">
        <v>29</v>
      </c>
      <c r="G974" t="s">
        <v>30</v>
      </c>
      <c r="H974" t="s">
        <v>234</v>
      </c>
      <c r="I974" t="s">
        <v>362</v>
      </c>
      <c r="J974" t="s">
        <v>135</v>
      </c>
      <c r="L974" t="s">
        <v>363</v>
      </c>
      <c r="M974" t="s">
        <v>364</v>
      </c>
      <c r="Q974" t="s">
        <v>123</v>
      </c>
      <c r="R974" t="s">
        <v>124</v>
      </c>
      <c r="S974" t="s">
        <v>8804</v>
      </c>
      <c r="U974" t="s">
        <v>43</v>
      </c>
      <c r="V974" t="s">
        <v>8805</v>
      </c>
      <c r="W974" t="s">
        <v>8806</v>
      </c>
      <c r="Y974" t="str">
        <f>HYPERLINK("https://recruiter.shine.com/resume/download/?resumeid=gAAAAABbk2UKWBQyh7e4xl0OcrlPpcfZEunF7XW4KcOqWzrfyED-5tSk0KkYqOr8TBjpFc2ocHTsJS9v3teVqP0efMeCSHhrVSHf-buq7y_A149msR0cd43dFnxoBxP9DvvXli7fZM9qNrmddZe2FRDTOQmlQ_ujlOGWSL0TpyHG8MMJ5UxlfB8=")</f>
        <v>https://recruiter.shine.com/resume/download/?resumeid=gAAAAABbk2UKWBQyh7e4xl0OcrlPpcfZEunF7XW4KcOqWzrfyED-5tSk0KkYqOr8TBjpFc2ocHTsJS9v3teVqP0efMeCSHhrVSHf-buq7y_A149msR0cd43dFnxoBxP9DvvXli7fZM9qNrmddZe2FRDTOQmlQ_ujlOGWSL0TpyHG8MMJ5UxlfB8=</v>
      </c>
    </row>
    <row r="975" spans="1:25" ht="39.950000000000003" customHeight="1">
      <c r="A975">
        <v>971</v>
      </c>
      <c r="B975" t="s">
        <v>8807</v>
      </c>
      <c r="C975" t="s">
        <v>8808</v>
      </c>
      <c r="D975" t="s">
        <v>8809</v>
      </c>
      <c r="E975" t="s">
        <v>8810</v>
      </c>
      <c r="F975" t="s">
        <v>29</v>
      </c>
      <c r="G975" t="s">
        <v>29</v>
      </c>
      <c r="H975" t="s">
        <v>234</v>
      </c>
      <c r="I975" t="s">
        <v>998</v>
      </c>
      <c r="J975" t="s">
        <v>51</v>
      </c>
      <c r="K975" t="s">
        <v>8263</v>
      </c>
      <c r="L975" t="s">
        <v>486</v>
      </c>
      <c r="M975" t="s">
        <v>238</v>
      </c>
      <c r="N975" t="s">
        <v>8811</v>
      </c>
      <c r="O975" t="s">
        <v>224</v>
      </c>
      <c r="P975" t="s">
        <v>39</v>
      </c>
      <c r="Q975" t="s">
        <v>489</v>
      </c>
      <c r="R975" t="s">
        <v>490</v>
      </c>
      <c r="S975" t="s">
        <v>188</v>
      </c>
      <c r="T975" t="s">
        <v>441</v>
      </c>
      <c r="U975" t="s">
        <v>43</v>
      </c>
      <c r="V975" t="s">
        <v>8812</v>
      </c>
      <c r="W975" t="s">
        <v>8813</v>
      </c>
      <c r="Y975" t="str">
        <f>HYPERLINK("https://recruiter.shine.com/resume/download/?resumeid=gAAAAABbk2UMLCN-gWXthRD03KItTttgxMly1T-ObPUKPl3YFgZfTFJPXMWBvl9ox5K9w5jVZeIc9qoQ-g1VX9i_hyHL4sQ60-kOuTp8rWhzHA6Yumg3R57Dk6hGEfwc95SD2UVZOcJLSmrsBseZD4QK3MZPLral-rgafcLYGxkiRBJtsBJFy70=")</f>
        <v>https://recruiter.shine.com/resume/download/?resumeid=gAAAAABbk2UMLCN-gWXthRD03KItTttgxMly1T-ObPUKPl3YFgZfTFJPXMWBvl9ox5K9w5jVZeIc9qoQ-g1VX9i_hyHL4sQ60-kOuTp8rWhzHA6Yumg3R57Dk6hGEfwc95SD2UVZOcJLSmrsBseZD4QK3MZPLral-rgafcLYGxkiRBJtsBJFy70=</v>
      </c>
    </row>
    <row r="976" spans="1:25" ht="39.950000000000003" customHeight="1">
      <c r="A976">
        <v>972</v>
      </c>
      <c r="B976" t="s">
        <v>8814</v>
      </c>
      <c r="C976" t="s">
        <v>8815</v>
      </c>
      <c r="D976" t="s">
        <v>8816</v>
      </c>
      <c r="E976" t="s">
        <v>8817</v>
      </c>
      <c r="F976" t="s">
        <v>29</v>
      </c>
      <c r="G976" t="s">
        <v>2854</v>
      </c>
      <c r="H976" t="s">
        <v>31</v>
      </c>
      <c r="I976" t="s">
        <v>1344</v>
      </c>
      <c r="J976" t="s">
        <v>408</v>
      </c>
      <c r="K976" t="s">
        <v>8818</v>
      </c>
      <c r="L976" t="s">
        <v>155</v>
      </c>
      <c r="M976" t="s">
        <v>105</v>
      </c>
      <c r="N976" t="s">
        <v>8819</v>
      </c>
      <c r="O976" t="s">
        <v>186</v>
      </c>
      <c r="P976" t="s">
        <v>57</v>
      </c>
      <c r="Q976" t="s">
        <v>365</v>
      </c>
      <c r="R976" t="s">
        <v>476</v>
      </c>
      <c r="S976" t="s">
        <v>8820</v>
      </c>
      <c r="T976" t="s">
        <v>2817</v>
      </c>
      <c r="U976" t="s">
        <v>43</v>
      </c>
      <c r="V976" t="s">
        <v>8821</v>
      </c>
      <c r="W976" t="s">
        <v>8822</v>
      </c>
      <c r="Y976" t="str">
        <f>HYPERLINK("https://recruiter.shine.com/resume/download/?resumeid=gAAAAABbk2UOobzC_jgNVD1OH0BNm91mgFtFf4LsbnM1hXt0SahCOIEpe2zT2BQLPjJ31VEbPKnqK4XDLDiX5IzXNZdcTB1llK9CGvxam5s7v8ft5J0r6k0HfxKQvFsKcIizjuW9IO9_HjRSiE2vlPermpYNe7qbPTC4aSb0bgpE04OZUPtCXRY=")</f>
        <v>https://recruiter.shine.com/resume/download/?resumeid=gAAAAABbk2UOobzC_jgNVD1OH0BNm91mgFtFf4LsbnM1hXt0SahCOIEpe2zT2BQLPjJ31VEbPKnqK4XDLDiX5IzXNZdcTB1llK9CGvxam5s7v8ft5J0r6k0HfxKQvFsKcIizjuW9IO9_HjRSiE2vlPermpYNe7qbPTC4aSb0bgpE04OZUPtCXRY=</v>
      </c>
    </row>
    <row r="977" spans="1:25" ht="39.950000000000003" customHeight="1">
      <c r="A977">
        <v>973</v>
      </c>
      <c r="B977" t="s">
        <v>8823</v>
      </c>
      <c r="C977" t="s">
        <v>8824</v>
      </c>
      <c r="D977" t="s">
        <v>8825</v>
      </c>
      <c r="E977" t="s">
        <v>8826</v>
      </c>
      <c r="F977" t="s">
        <v>29</v>
      </c>
      <c r="G977" t="s">
        <v>8827</v>
      </c>
      <c r="H977" t="s">
        <v>234</v>
      </c>
      <c r="I977" t="s">
        <v>152</v>
      </c>
      <c r="J977" t="s">
        <v>8828</v>
      </c>
      <c r="K977" t="s">
        <v>1167</v>
      </c>
      <c r="L977" t="s">
        <v>171</v>
      </c>
      <c r="M977" t="s">
        <v>487</v>
      </c>
      <c r="N977" t="s">
        <v>8829</v>
      </c>
      <c r="O977" t="s">
        <v>56</v>
      </c>
      <c r="P977" t="s">
        <v>140</v>
      </c>
      <c r="Q977" t="s">
        <v>90</v>
      </c>
      <c r="R977" t="s">
        <v>91</v>
      </c>
      <c r="S977" t="s">
        <v>8830</v>
      </c>
      <c r="T977" t="s">
        <v>687</v>
      </c>
      <c r="U977" t="s">
        <v>43</v>
      </c>
      <c r="V977" t="s">
        <v>8831</v>
      </c>
      <c r="W977" t="s">
        <v>8832</v>
      </c>
      <c r="Y977" t="str">
        <f>HYPERLINK("https://recruiter.shine.com/resume/download/?resumeid=gAAAAABbk2UL2RXu0iruTB28F62bEOzXfrQwIL7OFbipemFx50GaOa-x0i_Dbua7IrEX-Cr185AGfT-uXEvKKU_aYOkn0rWE4-Yd57RG3gemXoTa4Cbva-1tZE1sKcicr6fr-n6kpE3LBmRHgxDsm8yi4cuJe1MmIA==")</f>
        <v>https://recruiter.shine.com/resume/download/?resumeid=gAAAAABbk2UL2RXu0iruTB28F62bEOzXfrQwIL7OFbipemFx50GaOa-x0i_Dbua7IrEX-Cr185AGfT-uXEvKKU_aYOkn0rWE4-Yd57RG3gemXoTa4Cbva-1tZE1sKcicr6fr-n6kpE3LBmRHgxDsm8yi4cuJe1MmIA==</v>
      </c>
    </row>
    <row r="978" spans="1:25" ht="39.950000000000003" customHeight="1">
      <c r="A978">
        <v>974</v>
      </c>
      <c r="B978" t="s">
        <v>8833</v>
      </c>
      <c r="D978" t="s">
        <v>8834</v>
      </c>
      <c r="E978" t="s">
        <v>8835</v>
      </c>
      <c r="F978" t="s">
        <v>29</v>
      </c>
      <c r="G978" t="s">
        <v>29</v>
      </c>
      <c r="H978" t="s">
        <v>31</v>
      </c>
      <c r="I978" t="s">
        <v>2729</v>
      </c>
      <c r="J978" t="s">
        <v>51</v>
      </c>
      <c r="K978" t="s">
        <v>8836</v>
      </c>
      <c r="L978" t="s">
        <v>199</v>
      </c>
      <c r="M978" t="s">
        <v>36</v>
      </c>
      <c r="N978" t="s">
        <v>8837</v>
      </c>
      <c r="O978" t="s">
        <v>186</v>
      </c>
      <c r="P978" t="s">
        <v>771</v>
      </c>
      <c r="Q978" t="s">
        <v>107</v>
      </c>
      <c r="R978" t="s">
        <v>341</v>
      </c>
      <c r="S978" t="s">
        <v>188</v>
      </c>
      <c r="T978" t="s">
        <v>773</v>
      </c>
      <c r="U978" t="s">
        <v>43</v>
      </c>
      <c r="V978" t="s">
        <v>8838</v>
      </c>
      <c r="W978" t="s">
        <v>8839</v>
      </c>
      <c r="Y978" t="str">
        <f>HYPERLINK("https://recruiter.shine.com/resume/download/?resumeid=gAAAAABbk2UMlAJlrRyTE2ay3tix5dEpnyrS5j_1JF1XmroEqAeNS-T5lmjOENGfYzCGKFuqW4WtkZ1s8jAFWzn6HhPrHoesn2sGBGdqzz1-lxAkKX387TvwartPRuPENTc0BAIMVDiM1ErMpoKGkLZ2AiFQ8946kA==")</f>
        <v>https://recruiter.shine.com/resume/download/?resumeid=gAAAAABbk2UMlAJlrRyTE2ay3tix5dEpnyrS5j_1JF1XmroEqAeNS-T5lmjOENGfYzCGKFuqW4WtkZ1s8jAFWzn6HhPrHoesn2sGBGdqzz1-lxAkKX387TvwartPRuPENTc0BAIMVDiM1ErMpoKGkLZ2AiFQ8946kA==</v>
      </c>
    </row>
    <row r="979" spans="1:25" ht="39.950000000000003" customHeight="1">
      <c r="A979">
        <v>975</v>
      </c>
      <c r="B979" t="s">
        <v>8840</v>
      </c>
      <c r="D979" t="s">
        <v>8841</v>
      </c>
      <c r="E979" t="s">
        <v>8842</v>
      </c>
      <c r="F979" t="s">
        <v>29</v>
      </c>
      <c r="G979" t="s">
        <v>67</v>
      </c>
      <c r="H979" t="s">
        <v>31</v>
      </c>
      <c r="I979" t="s">
        <v>8843</v>
      </c>
      <c r="J979" t="s">
        <v>278</v>
      </c>
      <c r="K979" t="s">
        <v>8844</v>
      </c>
      <c r="L979" t="s">
        <v>1390</v>
      </c>
      <c r="M979" t="s">
        <v>105</v>
      </c>
      <c r="N979" t="s">
        <v>2229</v>
      </c>
      <c r="O979" t="s">
        <v>5360</v>
      </c>
      <c r="P979" t="s">
        <v>57</v>
      </c>
      <c r="Q979" t="s">
        <v>107</v>
      </c>
      <c r="R979" t="s">
        <v>864</v>
      </c>
      <c r="S979" t="s">
        <v>8845</v>
      </c>
      <c r="T979" t="s">
        <v>126</v>
      </c>
      <c r="U979" t="s">
        <v>127</v>
      </c>
      <c r="V979" t="s">
        <v>8846</v>
      </c>
      <c r="W979" t="s">
        <v>8847</v>
      </c>
      <c r="Y979" t="str">
        <f>HYPERLINK("https://recruiter.shine.com/resume/download/?resumeid=gAAAAABbk2UO2cdRsdE39nK9e_bW57KuIQMhFH86Oxv69Q6isTZsAUa0K9xGuO5Z4o2_DlL0humVsotHW3GJBvBqMXgu7cpA8f5zeO3jmktSucg0c97HJW6O8FNVTOhMO_N_igWvQoDnGlclrxvVzh2mehlsJPOoKodhc4YcK0cW0DUQlKMNWkI=")</f>
        <v>https://recruiter.shine.com/resume/download/?resumeid=gAAAAABbk2UO2cdRsdE39nK9e_bW57KuIQMhFH86Oxv69Q6isTZsAUa0K9xGuO5Z4o2_DlL0humVsotHW3GJBvBqMXgu7cpA8f5zeO3jmktSucg0c97HJW6O8FNVTOhMO_N_igWvQoDnGlclrxvVzh2mehlsJPOoKodhc4YcK0cW0DUQlKMNWkI=</v>
      </c>
    </row>
    <row r="980" spans="1:25" ht="39.950000000000003" customHeight="1">
      <c r="A980">
        <v>976</v>
      </c>
      <c r="B980" t="s">
        <v>8848</v>
      </c>
      <c r="D980" t="s">
        <v>8849</v>
      </c>
      <c r="E980" t="s">
        <v>8850</v>
      </c>
      <c r="F980" t="s">
        <v>29</v>
      </c>
      <c r="G980" t="s">
        <v>29</v>
      </c>
      <c r="H980" t="s">
        <v>31</v>
      </c>
      <c r="I980" t="s">
        <v>714</v>
      </c>
      <c r="J980" t="s">
        <v>169</v>
      </c>
      <c r="K980" t="s">
        <v>4860</v>
      </c>
      <c r="L980" t="s">
        <v>88</v>
      </c>
      <c r="M980" t="s">
        <v>315</v>
      </c>
      <c r="N980" t="s">
        <v>8851</v>
      </c>
      <c r="O980" t="s">
        <v>157</v>
      </c>
      <c r="Q980" t="s">
        <v>107</v>
      </c>
      <c r="R980" t="s">
        <v>341</v>
      </c>
      <c r="S980" t="s">
        <v>8852</v>
      </c>
      <c r="U980" t="s">
        <v>43</v>
      </c>
      <c r="V980" t="s">
        <v>8853</v>
      </c>
      <c r="W980" t="s">
        <v>8854</v>
      </c>
      <c r="Y980" t="str">
        <f>HYPERLINK("https://recruiter.shine.com/resume/download/?resumeid=gAAAAABbk2UL-0B9YBZAFoVcNokzVAMGB7Py5EOIpmiacLOFlDm_3P2dAtdleIC5ktmBEFZiDFhZwFV9BEVy8UEzs2Q32OSgVy6M4qLOvP2waOMxCy1nOQKDhCF18rGLfIQera_6tWR-MLp1JrAIyY3FKX0duN_PCvluwGPfuFm1tv7-O1BNUy0=")</f>
        <v>https://recruiter.shine.com/resume/download/?resumeid=gAAAAABbk2UL-0B9YBZAFoVcNokzVAMGB7Py5EOIpmiacLOFlDm_3P2dAtdleIC5ktmBEFZiDFhZwFV9BEVy8UEzs2Q32OSgVy6M4qLOvP2waOMxCy1nOQKDhCF18rGLfIQera_6tWR-MLp1JrAIyY3FKX0duN_PCvluwGPfuFm1tv7-O1BNUy0=</v>
      </c>
    </row>
    <row r="981" spans="1:25" ht="39.950000000000003" customHeight="1">
      <c r="A981">
        <v>977</v>
      </c>
      <c r="B981" t="s">
        <v>8855</v>
      </c>
      <c r="C981" t="s">
        <v>8856</v>
      </c>
      <c r="D981" t="s">
        <v>8857</v>
      </c>
      <c r="E981" t="s">
        <v>8858</v>
      </c>
      <c r="F981" t="s">
        <v>29</v>
      </c>
      <c r="G981" t="s">
        <v>29</v>
      </c>
      <c r="H981" t="s">
        <v>31</v>
      </c>
      <c r="I981" t="s">
        <v>1038</v>
      </c>
      <c r="J981" t="s">
        <v>235</v>
      </c>
      <c r="K981" t="s">
        <v>8859</v>
      </c>
      <c r="L981" t="s">
        <v>88</v>
      </c>
      <c r="M981" t="s">
        <v>36</v>
      </c>
      <c r="N981" t="s">
        <v>8860</v>
      </c>
      <c r="O981" t="s">
        <v>56</v>
      </c>
      <c r="P981" t="s">
        <v>73</v>
      </c>
      <c r="Q981" t="s">
        <v>90</v>
      </c>
      <c r="R981" t="s">
        <v>91</v>
      </c>
      <c r="S981" t="s">
        <v>8861</v>
      </c>
      <c r="T981" t="s">
        <v>415</v>
      </c>
      <c r="U981" t="s">
        <v>43</v>
      </c>
      <c r="V981" t="s">
        <v>8862</v>
      </c>
      <c r="W981" t="s">
        <v>8863</v>
      </c>
      <c r="Y981" t="str">
        <f>HYPERLINK("https://recruiter.shine.com/resume/download/?resumeid=gAAAAABbk2UMxORuhC8CnqQ08wrx2eX5q_St_BMOF4on8OtUex95Ykessb0gNCetO7bw_v4Um_WbSbeR61xNjRqS6TwhTAp-3kX-VW0GJkSDM8CV8gZwk-skBQY9T-nIXaQBBIq05zL0y7Hp6qKJ4alxSm2r4gTn7mHlt5NW8D4RBCLkQtq51-4=")</f>
        <v>https://recruiter.shine.com/resume/download/?resumeid=gAAAAABbk2UMxORuhC8CnqQ08wrx2eX5q_St_BMOF4on8OtUex95Ykessb0gNCetO7bw_v4Um_WbSbeR61xNjRqS6TwhTAp-3kX-VW0GJkSDM8CV8gZwk-skBQY9T-nIXaQBBIq05zL0y7Hp6qKJ4alxSm2r4gTn7mHlt5NW8D4RBCLkQtq51-4=</v>
      </c>
    </row>
    <row r="982" spans="1:25" ht="39.950000000000003" customHeight="1">
      <c r="A982">
        <v>978</v>
      </c>
      <c r="B982" t="s">
        <v>8864</v>
      </c>
      <c r="C982" t="s">
        <v>8865</v>
      </c>
      <c r="D982" t="s">
        <v>8866</v>
      </c>
      <c r="E982" t="s">
        <v>8867</v>
      </c>
      <c r="F982" t="s">
        <v>29</v>
      </c>
      <c r="G982" t="s">
        <v>8868</v>
      </c>
      <c r="H982" t="s">
        <v>31</v>
      </c>
      <c r="I982" t="s">
        <v>362</v>
      </c>
      <c r="J982" t="s">
        <v>135</v>
      </c>
      <c r="L982" t="s">
        <v>363</v>
      </c>
      <c r="M982" t="s">
        <v>364</v>
      </c>
      <c r="Q982" t="s">
        <v>783</v>
      </c>
      <c r="R982" t="s">
        <v>341</v>
      </c>
      <c r="S982" t="s">
        <v>8869</v>
      </c>
      <c r="T982" t="s">
        <v>126</v>
      </c>
      <c r="U982" t="s">
        <v>43</v>
      </c>
      <c r="V982" t="s">
        <v>8870</v>
      </c>
      <c r="W982" t="s">
        <v>8871</v>
      </c>
      <c r="Y982" t="str">
        <f>HYPERLINK("https://recruiter.shine.com/resume/download/?resumeid=gAAAAABbk2UNemNWn-_zaUPjm_YUlAIvUnV2M9joL86WhwxOqVAS8fshqy5KNRh3Ixy22py0BtTuTKI_mxBJhSmbxzE15u8yQ6erekL898qcGvB6BV5OGLNE6VoJNPHA3MEIPGRdDUxpajPHwAtav--Rk5knciKJl_6zGVhgbQK7KMLN_lS9_UY=")</f>
        <v>https://recruiter.shine.com/resume/download/?resumeid=gAAAAABbk2UNemNWn-_zaUPjm_YUlAIvUnV2M9joL86WhwxOqVAS8fshqy5KNRh3Ixy22py0BtTuTKI_mxBJhSmbxzE15u8yQ6erekL898qcGvB6BV5OGLNE6VoJNPHA3MEIPGRdDUxpajPHwAtav--Rk5knciKJl_6zGVhgbQK7KMLN_lS9_UY=</v>
      </c>
    </row>
    <row r="983" spans="1:25" ht="39.950000000000003" customHeight="1">
      <c r="A983">
        <v>979</v>
      </c>
      <c r="B983" t="s">
        <v>8872</v>
      </c>
      <c r="C983" t="s">
        <v>8873</v>
      </c>
      <c r="D983" t="s">
        <v>8874</v>
      </c>
      <c r="E983" t="s">
        <v>8875</v>
      </c>
      <c r="F983" t="s">
        <v>29</v>
      </c>
      <c r="G983" t="s">
        <v>8876</v>
      </c>
      <c r="H983" t="s">
        <v>31</v>
      </c>
      <c r="I983" t="s">
        <v>4780</v>
      </c>
      <c r="J983" t="s">
        <v>393</v>
      </c>
      <c r="K983" t="s">
        <v>8877</v>
      </c>
      <c r="L983" t="s">
        <v>88</v>
      </c>
      <c r="M983" t="s">
        <v>684</v>
      </c>
      <c r="N983" t="s">
        <v>2211</v>
      </c>
      <c r="O983" t="s">
        <v>157</v>
      </c>
      <c r="P983" t="s">
        <v>39</v>
      </c>
      <c r="Q983" t="s">
        <v>90</v>
      </c>
      <c r="R983" t="s">
        <v>91</v>
      </c>
      <c r="S983" t="s">
        <v>8878</v>
      </c>
      <c r="T983" t="s">
        <v>161</v>
      </c>
      <c r="U983" t="s">
        <v>43</v>
      </c>
      <c r="V983" t="s">
        <v>8879</v>
      </c>
      <c r="W983" t="s">
        <v>8880</v>
      </c>
      <c r="Y983" t="str">
        <f>HYPERLINK("https://recruiter.shine.com/resume/download/?resumeid=gAAAAABbk2ULxT5wJ8438IG_4TRjfwyAO3eOb8MviFzZVinWw6U4Anyg2qzDFaUdvwAuafxn_EnTgVwzN6Az5n3w-HukM2j5eomz0miDKAF0F36fBshv3nYcuEBu7-vL2WcLDdyBdEA23tnfhpYGuhtvm_Ltqg5GUa3VWm3vFeN_N4zBgX4c0O4=")</f>
        <v>https://recruiter.shine.com/resume/download/?resumeid=gAAAAABbk2ULxT5wJ8438IG_4TRjfwyAO3eOb8MviFzZVinWw6U4Anyg2qzDFaUdvwAuafxn_EnTgVwzN6Az5n3w-HukM2j5eomz0miDKAF0F36fBshv3nYcuEBu7-vL2WcLDdyBdEA23tnfhpYGuhtvm_Ltqg5GUa3VWm3vFeN_N4zBgX4c0O4=</v>
      </c>
    </row>
    <row r="984" spans="1:25" ht="39.950000000000003" customHeight="1">
      <c r="A984">
        <v>980</v>
      </c>
      <c r="B984" t="s">
        <v>8881</v>
      </c>
      <c r="C984" t="s">
        <v>8882</v>
      </c>
      <c r="D984" t="s">
        <v>8883</v>
      </c>
      <c r="E984" t="s">
        <v>8884</v>
      </c>
      <c r="F984" t="s">
        <v>29</v>
      </c>
      <c r="G984" t="s">
        <v>29</v>
      </c>
      <c r="H984" t="s">
        <v>31</v>
      </c>
      <c r="I984" t="s">
        <v>152</v>
      </c>
      <c r="J984" t="s">
        <v>220</v>
      </c>
      <c r="K984" t="s">
        <v>518</v>
      </c>
      <c r="L984" t="s">
        <v>266</v>
      </c>
      <c r="M984" t="s">
        <v>105</v>
      </c>
      <c r="N984" t="s">
        <v>8885</v>
      </c>
      <c r="O984" t="s">
        <v>157</v>
      </c>
      <c r="P984" t="s">
        <v>57</v>
      </c>
      <c r="Q984" t="s">
        <v>107</v>
      </c>
      <c r="R984" t="s">
        <v>341</v>
      </c>
      <c r="S984" t="s">
        <v>8886</v>
      </c>
      <c r="T984" t="s">
        <v>773</v>
      </c>
      <c r="U984" t="s">
        <v>43</v>
      </c>
      <c r="V984" t="s">
        <v>8887</v>
      </c>
      <c r="W984" t="s">
        <v>8888</v>
      </c>
      <c r="Y984" t="str">
        <f>HYPERLINK("https://recruiter.shine.com/resume/download/?resumeid=gAAAAABbk2UNQJqn-xza1akw1g1NmZBZw5pDK_rloQgiy1uYeJtMqbaGR5wvt8-KDN3fTt2CmS4ydNr0MmQsARCA6gQQbofPUEkmL648FzmjyMfpY6kd5d45jKkSz2ymZ7M_xf8d4Lw-sjn_VYr92HlAwxmsEILwMw==")</f>
        <v>https://recruiter.shine.com/resume/download/?resumeid=gAAAAABbk2UNQJqn-xza1akw1g1NmZBZw5pDK_rloQgiy1uYeJtMqbaGR5wvt8-KDN3fTt2CmS4ydNr0MmQsARCA6gQQbofPUEkmL648FzmjyMfpY6kd5d45jKkSz2ymZ7M_xf8d4Lw-sjn_VYr92HlAwxmsEILwMw==</v>
      </c>
    </row>
    <row r="985" spans="1:25" ht="39.950000000000003" customHeight="1">
      <c r="A985">
        <v>981</v>
      </c>
      <c r="B985" t="s">
        <v>8889</v>
      </c>
      <c r="D985" t="s">
        <v>8890</v>
      </c>
      <c r="E985" t="s">
        <v>8891</v>
      </c>
      <c r="F985" t="s">
        <v>29</v>
      </c>
      <c r="G985" t="s">
        <v>67</v>
      </c>
      <c r="H985" t="s">
        <v>234</v>
      </c>
      <c r="I985" t="s">
        <v>1709</v>
      </c>
      <c r="J985" t="s">
        <v>745</v>
      </c>
      <c r="K985" t="s">
        <v>3062</v>
      </c>
      <c r="L985" t="s">
        <v>199</v>
      </c>
      <c r="M985" t="s">
        <v>2718</v>
      </c>
      <c r="N985" t="s">
        <v>8892</v>
      </c>
      <c r="O985" t="s">
        <v>572</v>
      </c>
      <c r="Q985" t="s">
        <v>123</v>
      </c>
      <c r="R985" t="s">
        <v>124</v>
      </c>
      <c r="S985" t="s">
        <v>8893</v>
      </c>
      <c r="T985" t="s">
        <v>1137</v>
      </c>
      <c r="U985" t="s">
        <v>127</v>
      </c>
      <c r="V985" t="s">
        <v>8894</v>
      </c>
      <c r="W985" t="s">
        <v>8894</v>
      </c>
      <c r="Y985" t="str">
        <f>HYPERLINK("https://recruiter.shine.com/resume/download/?resumeid=gAAAAABbk2UNks3cEMcMnPPsRZn21w9owVE8jHSfYFI8r6qn74HikzFK2kZZyt3HY9g9_2TGNbpH1tEVYo-9d1R7SMgYie8ygeoySnvFMLNmkCprE-cd_QprUT1um94fjWgks116k12Wg2y5G0F1ww1LUC5R6n8P5AsUlBZ4PeSpp9KvFF8hP5Q=")</f>
        <v>https://recruiter.shine.com/resume/download/?resumeid=gAAAAABbk2UNks3cEMcMnPPsRZn21w9owVE8jHSfYFI8r6qn74HikzFK2kZZyt3HY9g9_2TGNbpH1tEVYo-9d1R7SMgYie8ygeoySnvFMLNmkCprE-cd_QprUT1um94fjWgks116k12Wg2y5G0F1ww1LUC5R6n8P5AsUlBZ4PeSpp9KvFF8hP5Q=</v>
      </c>
    </row>
    <row r="986" spans="1:25" ht="39.950000000000003" customHeight="1">
      <c r="A986">
        <v>982</v>
      </c>
      <c r="B986" t="s">
        <v>8895</v>
      </c>
      <c r="C986" t="s">
        <v>8896</v>
      </c>
      <c r="D986" t="s">
        <v>8897</v>
      </c>
      <c r="E986" t="s">
        <v>8898</v>
      </c>
      <c r="F986" t="s">
        <v>29</v>
      </c>
      <c r="G986" t="s">
        <v>29</v>
      </c>
      <c r="H986" t="s">
        <v>31</v>
      </c>
      <c r="I986" t="s">
        <v>362</v>
      </c>
      <c r="J986" t="s">
        <v>135</v>
      </c>
      <c r="L986" t="s">
        <v>363</v>
      </c>
      <c r="M986" t="s">
        <v>364</v>
      </c>
      <c r="Q986" t="s">
        <v>90</v>
      </c>
      <c r="R986" t="s">
        <v>292</v>
      </c>
      <c r="S986" t="s">
        <v>8899</v>
      </c>
      <c r="T986" t="s">
        <v>61</v>
      </c>
      <c r="U986" t="s">
        <v>43</v>
      </c>
      <c r="V986" t="s">
        <v>8900</v>
      </c>
      <c r="W986" t="s">
        <v>8900</v>
      </c>
      <c r="Y986" t="str">
        <f>HYPERLINK("https://recruiter.shine.com/resume/download/?resumeid=gAAAAABbk2ULVXSW3woZirhdHeC2LNuQvYouNwnvDvUwP7VF1ZsPcMJ41jfO83jMRlRm33G_HquCNaRgzpLk6yPw4xvUn50rfipUqsCbb6hikKa7sjO7CP9WGHo7u9Dz9Z3A3yCJ9rosQm2z0FqoSP9LVzn1MAU-v3pNdZeFZSbiCzY_t0AWL1Q=")</f>
        <v>https://recruiter.shine.com/resume/download/?resumeid=gAAAAABbk2ULVXSW3woZirhdHeC2LNuQvYouNwnvDvUwP7VF1ZsPcMJ41jfO83jMRlRm33G_HquCNaRgzpLk6yPw4xvUn50rfipUqsCbb6hikKa7sjO7CP9WGHo7u9Dz9Z3A3yCJ9rosQm2z0FqoSP9LVzn1MAU-v3pNdZeFZSbiCzY_t0AWL1Q=</v>
      </c>
    </row>
    <row r="987" spans="1:25" ht="39.950000000000003" customHeight="1">
      <c r="A987">
        <v>983</v>
      </c>
      <c r="B987" t="s">
        <v>8901</v>
      </c>
      <c r="C987" t="s">
        <v>8902</v>
      </c>
      <c r="D987" t="s">
        <v>8903</v>
      </c>
      <c r="E987" t="s">
        <v>8904</v>
      </c>
      <c r="F987" t="s">
        <v>249</v>
      </c>
      <c r="G987" t="s">
        <v>8905</v>
      </c>
      <c r="H987" t="s">
        <v>31</v>
      </c>
      <c r="I987" t="s">
        <v>6326</v>
      </c>
      <c r="J987" t="s">
        <v>299</v>
      </c>
      <c r="K987" t="s">
        <v>8906</v>
      </c>
      <c r="L987" t="s">
        <v>266</v>
      </c>
      <c r="M987" t="s">
        <v>105</v>
      </c>
      <c r="N987" t="s">
        <v>8907</v>
      </c>
      <c r="O987" t="s">
        <v>186</v>
      </c>
      <c r="P987" t="s">
        <v>940</v>
      </c>
      <c r="Q987" t="s">
        <v>365</v>
      </c>
      <c r="R987" t="s">
        <v>124</v>
      </c>
      <c r="S987" t="s">
        <v>8908</v>
      </c>
      <c r="T987" t="s">
        <v>227</v>
      </c>
      <c r="U987" t="s">
        <v>43</v>
      </c>
      <c r="V987" t="s">
        <v>8909</v>
      </c>
      <c r="W987" t="s">
        <v>8909</v>
      </c>
      <c r="Y987" t="str">
        <f>HYPERLINK("https://recruiter.shine.com/resume/download/?resumeid=gAAAAABbk2UMATCL8Hvqf-YahXxXEFQyqSAjfjelD9CcDXw8pSYIpIuidOQRL6-DLRpwSM5uzG1y6K1u6cb1NGM1kuTxqv6DnLLjmrQQHJwUnIQr-w0QTq5zs6UoDmX0Fo21QyS6LjDGEfK7hZ57yJYSRFj9UDjP8w==")</f>
        <v>https://recruiter.shine.com/resume/download/?resumeid=gAAAAABbk2UMATCL8Hvqf-YahXxXEFQyqSAjfjelD9CcDXw8pSYIpIuidOQRL6-DLRpwSM5uzG1y6K1u6cb1NGM1kuTxqv6DnLLjmrQQHJwUnIQr-w0QTq5zs6UoDmX0Fo21QyS6LjDGEfK7hZ57yJYSRFj9UDjP8w==</v>
      </c>
    </row>
    <row r="988" spans="1:25" ht="39.950000000000003" customHeight="1">
      <c r="A988">
        <v>984</v>
      </c>
      <c r="B988" t="s">
        <v>8910</v>
      </c>
      <c r="D988" t="s">
        <v>8911</v>
      </c>
      <c r="E988" t="s">
        <v>8912</v>
      </c>
      <c r="F988" t="s">
        <v>29</v>
      </c>
      <c r="G988" t="s">
        <v>67</v>
      </c>
      <c r="H988" t="s">
        <v>234</v>
      </c>
      <c r="I988" t="s">
        <v>860</v>
      </c>
      <c r="J988" t="s">
        <v>506</v>
      </c>
      <c r="K988" t="s">
        <v>4581</v>
      </c>
      <c r="L988" t="s">
        <v>266</v>
      </c>
      <c r="M988" t="s">
        <v>105</v>
      </c>
      <c r="N988" t="s">
        <v>8913</v>
      </c>
      <c r="O988" t="s">
        <v>157</v>
      </c>
      <c r="Q988" t="s">
        <v>107</v>
      </c>
      <c r="R988" t="s">
        <v>559</v>
      </c>
      <c r="S988" t="s">
        <v>8914</v>
      </c>
      <c r="T988" t="s">
        <v>110</v>
      </c>
      <c r="U988" t="s">
        <v>127</v>
      </c>
      <c r="V988" t="s">
        <v>8915</v>
      </c>
      <c r="W988" t="s">
        <v>8916</v>
      </c>
      <c r="Y988" t="str">
        <f>HYPERLINK("https://recruiter.shine.com/resume/download/?resumeid=gAAAAABbk2UNIHN4puQgfRA18a5UFZU622h6QfwSj-30W5M37ik3xtlQNbDCJFvzr7w2FXl0pLU9lWjlshtgQqthj6mcMNyYKWoO9PV5q3udZVNbDizR_HrfWyS-tTocPNmnk5b-q-ubugjjPPoIJ1VNr2zvpQ0PZw==")</f>
        <v>https://recruiter.shine.com/resume/download/?resumeid=gAAAAABbk2UNIHN4puQgfRA18a5UFZU622h6QfwSj-30W5M37ik3xtlQNbDCJFvzr7w2FXl0pLU9lWjlshtgQqthj6mcMNyYKWoO9PV5q3udZVNbDizR_HrfWyS-tTocPNmnk5b-q-ubugjjPPoIJ1VNr2zvpQ0PZw==</v>
      </c>
    </row>
    <row r="989" spans="1:25" ht="39.950000000000003" customHeight="1">
      <c r="A989">
        <v>985</v>
      </c>
      <c r="B989" t="s">
        <v>8917</v>
      </c>
      <c r="C989" t="s">
        <v>8918</v>
      </c>
      <c r="D989" t="s">
        <v>8919</v>
      </c>
      <c r="E989" t="s">
        <v>8920</v>
      </c>
      <c r="F989" t="s">
        <v>29</v>
      </c>
      <c r="G989" t="s">
        <v>67</v>
      </c>
      <c r="H989" t="s">
        <v>234</v>
      </c>
      <c r="I989" t="s">
        <v>568</v>
      </c>
      <c r="J989" t="s">
        <v>781</v>
      </c>
      <c r="K989" t="s">
        <v>8921</v>
      </c>
      <c r="L989" t="s">
        <v>199</v>
      </c>
      <c r="M989" t="s">
        <v>36</v>
      </c>
      <c r="N989" t="s">
        <v>8922</v>
      </c>
      <c r="O989" t="s">
        <v>3583</v>
      </c>
      <c r="P989" t="s">
        <v>57</v>
      </c>
      <c r="Q989" t="s">
        <v>90</v>
      </c>
      <c r="R989" t="s">
        <v>427</v>
      </c>
      <c r="S989" t="s">
        <v>8923</v>
      </c>
      <c r="T989" t="s">
        <v>61</v>
      </c>
      <c r="U989" t="s">
        <v>94</v>
      </c>
      <c r="V989" t="s">
        <v>8924</v>
      </c>
      <c r="W989" t="s">
        <v>8924</v>
      </c>
      <c r="Y989" t="str">
        <f>HYPERLINK("https://recruiter.shine.com/resume/download/?resumeid=gAAAAABbk2UL50nrwUKRvHPJ4jPaoH-PudsK3oAGzD_J6svC9qPQfFEQFrWJ2TRBpFPhCP09q8EWKxBwSbVOqYu2EN58DObhbtm46uVj_6lMrRxXeT1sGMAqXh20bIZ5XUYBnoenuf1aVGxhtGsga6roy-Kwzyb5UCtd_WwBzdS082jbxHxUC1s=")</f>
        <v>https://recruiter.shine.com/resume/download/?resumeid=gAAAAABbk2UL50nrwUKRvHPJ4jPaoH-PudsK3oAGzD_J6svC9qPQfFEQFrWJ2TRBpFPhCP09q8EWKxBwSbVOqYu2EN58DObhbtm46uVj_6lMrRxXeT1sGMAqXh20bIZ5XUYBnoenuf1aVGxhtGsga6roy-Kwzyb5UCtd_WwBzdS082jbxHxUC1s=</v>
      </c>
    </row>
    <row r="990" spans="1:25" ht="39.950000000000003" customHeight="1">
      <c r="A990">
        <v>986</v>
      </c>
      <c r="B990" t="s">
        <v>8925</v>
      </c>
      <c r="D990" t="s">
        <v>8926</v>
      </c>
      <c r="E990" t="s">
        <v>8927</v>
      </c>
      <c r="F990" t="s">
        <v>29</v>
      </c>
      <c r="G990" t="s">
        <v>8928</v>
      </c>
      <c r="H990" t="s">
        <v>31</v>
      </c>
      <c r="I990" t="s">
        <v>714</v>
      </c>
      <c r="J990" t="s">
        <v>8929</v>
      </c>
      <c r="K990" t="s">
        <v>154</v>
      </c>
      <c r="L990" t="s">
        <v>1390</v>
      </c>
      <c r="M990" t="s">
        <v>105</v>
      </c>
      <c r="N990" t="s">
        <v>8930</v>
      </c>
      <c r="O990" t="s">
        <v>38</v>
      </c>
      <c r="P990" t="s">
        <v>57</v>
      </c>
      <c r="Q990" t="s">
        <v>158</v>
      </c>
      <c r="R990" t="s">
        <v>341</v>
      </c>
      <c r="S990" t="s">
        <v>8931</v>
      </c>
      <c r="T990" t="s">
        <v>110</v>
      </c>
      <c r="U990" t="s">
        <v>43</v>
      </c>
      <c r="V990" t="s">
        <v>8932</v>
      </c>
      <c r="W990" t="s">
        <v>8933</v>
      </c>
      <c r="Y990" t="str">
        <f>HYPERLINK("https://recruiter.shine.com/resume/download/?resumeid=gAAAAABbk2UMLRhR-89katmGpShhb5TzzZnX8LiR952l6tpN6uExzbFgDMptibSmhIB0tS7oj3LlaG1F6bHvcqPyiRQbfQky2TSlv7ARldj_GHYFbLDmQeFlJ_yyU2n2ujiRMtsZ6OhyilX5wzh7qL4Cr434eVz33Q==")</f>
        <v>https://recruiter.shine.com/resume/download/?resumeid=gAAAAABbk2UMLRhR-89katmGpShhb5TzzZnX8LiR952l6tpN6uExzbFgDMptibSmhIB0tS7oj3LlaG1F6bHvcqPyiRQbfQky2TSlv7ARldj_GHYFbLDmQeFlJ_yyU2n2ujiRMtsZ6OhyilX5wzh7qL4Cr434eVz33Q==</v>
      </c>
    </row>
    <row r="991" spans="1:25" ht="39.950000000000003" customHeight="1">
      <c r="A991">
        <v>987</v>
      </c>
      <c r="B991" t="s">
        <v>8934</v>
      </c>
      <c r="D991" t="s">
        <v>8935</v>
      </c>
      <c r="E991" t="s">
        <v>8936</v>
      </c>
      <c r="F991" t="s">
        <v>29</v>
      </c>
      <c r="G991" t="s">
        <v>67</v>
      </c>
      <c r="H991" t="s">
        <v>31</v>
      </c>
      <c r="I991" t="s">
        <v>1208</v>
      </c>
      <c r="J991" t="s">
        <v>7774</v>
      </c>
      <c r="K991" t="s">
        <v>8937</v>
      </c>
      <c r="L991" t="s">
        <v>266</v>
      </c>
      <c r="M991" t="s">
        <v>105</v>
      </c>
      <c r="N991" t="s">
        <v>8938</v>
      </c>
      <c r="O991" t="s">
        <v>1245</v>
      </c>
      <c r="Q991" t="s">
        <v>158</v>
      </c>
      <c r="R991" t="s">
        <v>559</v>
      </c>
      <c r="S991" t="s">
        <v>8939</v>
      </c>
      <c r="T991" t="s">
        <v>625</v>
      </c>
      <c r="U991" t="s">
        <v>43</v>
      </c>
      <c r="V991" t="s">
        <v>8940</v>
      </c>
      <c r="W991" t="s">
        <v>8941</v>
      </c>
      <c r="Y991" t="str">
        <f>HYPERLINK("https://recruiter.shine.com/resume/download/?resumeid=gAAAAABbk2UOHgJU174SO70ZiI2WUaWwO6-9OXSvGuCy1-M-1YY42RBjMYw_vSxpgC9w1W0aGK3QC7JNs0lW0kj2JxMif9FokKRgiU7bEuy0UooV9u0z2BzrNwR3rOHBBS-7QOgzR2SuVEUBf2SuNZcnxInVFmtRdQ==")</f>
        <v>https://recruiter.shine.com/resume/download/?resumeid=gAAAAABbk2UOHgJU174SO70ZiI2WUaWwO6-9OXSvGuCy1-M-1YY42RBjMYw_vSxpgC9w1W0aGK3QC7JNs0lW0kj2JxMif9FokKRgiU7bEuy0UooV9u0z2BzrNwR3rOHBBS-7QOgzR2SuVEUBf2SuNZcnxInVFmtRdQ==</v>
      </c>
    </row>
    <row r="992" spans="1:25" ht="39.950000000000003" customHeight="1">
      <c r="A992">
        <v>988</v>
      </c>
      <c r="B992" t="s">
        <v>8942</v>
      </c>
      <c r="C992" t="s">
        <v>8943</v>
      </c>
      <c r="D992" t="s">
        <v>8944</v>
      </c>
      <c r="E992" t="s">
        <v>8945</v>
      </c>
      <c r="F992" t="s">
        <v>29</v>
      </c>
      <c r="G992" t="s">
        <v>67</v>
      </c>
      <c r="H992" t="s">
        <v>31</v>
      </c>
      <c r="I992" t="s">
        <v>8946</v>
      </c>
      <c r="J992" t="s">
        <v>2844</v>
      </c>
      <c r="K992" t="s">
        <v>1167</v>
      </c>
      <c r="L992" t="s">
        <v>338</v>
      </c>
      <c r="M992" t="s">
        <v>684</v>
      </c>
      <c r="N992" t="s">
        <v>156</v>
      </c>
      <c r="O992" t="s">
        <v>1245</v>
      </c>
      <c r="P992" t="s">
        <v>73</v>
      </c>
      <c r="Q992" t="s">
        <v>107</v>
      </c>
      <c r="R992" t="s">
        <v>341</v>
      </c>
      <c r="S992" t="s">
        <v>8947</v>
      </c>
      <c r="T992" t="s">
        <v>144</v>
      </c>
      <c r="U992" t="s">
        <v>43</v>
      </c>
      <c r="V992" t="s">
        <v>8948</v>
      </c>
      <c r="W992" t="s">
        <v>8949</v>
      </c>
      <c r="Y992" t="str">
        <f>HYPERLINK("https://recruiter.shine.com/resume/download/?resumeid=gAAAAABbk2UK-iD26F_cOsxVLRkH98CAmltM1WiOHxoVn-Cpq1PvTZ71IjzozgGowQSMshhpJTePxSQN34mQvPWNZJ9AmfbwZtBiXCPfVIC4HCXIuxb3HGvMf1TckWmyyPdM8PQa_fqE5KDnCoEOhkhegZKRbgtaxA==")</f>
        <v>https://recruiter.shine.com/resume/download/?resumeid=gAAAAABbk2UK-iD26F_cOsxVLRkH98CAmltM1WiOHxoVn-Cpq1PvTZ71IjzozgGowQSMshhpJTePxSQN34mQvPWNZJ9AmfbwZtBiXCPfVIC4HCXIuxb3HGvMf1TckWmyyPdM8PQa_fqE5KDnCoEOhkhegZKRbgtaxA==</v>
      </c>
    </row>
    <row r="993" spans="1:25" ht="39.950000000000003" customHeight="1">
      <c r="A993">
        <v>989</v>
      </c>
      <c r="B993" t="s">
        <v>8950</v>
      </c>
      <c r="C993" t="s">
        <v>8951</v>
      </c>
      <c r="D993" t="s">
        <v>8952</v>
      </c>
      <c r="E993" t="s">
        <v>8953</v>
      </c>
      <c r="F993" t="s">
        <v>29</v>
      </c>
      <c r="G993" t="s">
        <v>29</v>
      </c>
      <c r="H993" t="s">
        <v>234</v>
      </c>
      <c r="I993" t="s">
        <v>2354</v>
      </c>
      <c r="J993" t="s">
        <v>8954</v>
      </c>
      <c r="K993" t="s">
        <v>8955</v>
      </c>
      <c r="L993" t="s">
        <v>88</v>
      </c>
      <c r="M993" t="s">
        <v>238</v>
      </c>
      <c r="N993" t="s">
        <v>8956</v>
      </c>
      <c r="O993" t="s">
        <v>56</v>
      </c>
      <c r="P993" t="s">
        <v>73</v>
      </c>
      <c r="Q993" t="s">
        <v>90</v>
      </c>
      <c r="R993" t="s">
        <v>91</v>
      </c>
      <c r="S993" t="s">
        <v>8957</v>
      </c>
      <c r="T993" t="s">
        <v>161</v>
      </c>
      <c r="U993" t="s">
        <v>43</v>
      </c>
      <c r="V993" t="s">
        <v>8958</v>
      </c>
      <c r="W993" t="s">
        <v>8958</v>
      </c>
      <c r="Y993" t="str">
        <f>HYPERLINK("https://recruiter.shine.com/resume/download/?resumeid=gAAAAABbk2UNllCom5ePMh56Ed7UZeDdEuunJTjWkvd3PFOpS2lWeXNc5KTbrRSeb7Q1c-92K5eoF8nqyw5WUUeysVDUAH4nNwZZkMCpW177mTRMZ-57OWnXdqkRQsSqie2yk0FAs-3UBSpg_d2GrqJzsAwqpRJChw==")</f>
        <v>https://recruiter.shine.com/resume/download/?resumeid=gAAAAABbk2UNllCom5ePMh56Ed7UZeDdEuunJTjWkvd3PFOpS2lWeXNc5KTbrRSeb7Q1c-92K5eoF8nqyw5WUUeysVDUAH4nNwZZkMCpW177mTRMZ-57OWnXdqkRQsSqie2yk0FAs-3UBSpg_d2GrqJzsAwqpRJChw==</v>
      </c>
    </row>
    <row r="994" spans="1:25" ht="39.950000000000003" customHeight="1">
      <c r="A994">
        <v>990</v>
      </c>
      <c r="B994" t="s">
        <v>8959</v>
      </c>
      <c r="C994" t="s">
        <v>8960</v>
      </c>
      <c r="D994" t="s">
        <v>8961</v>
      </c>
      <c r="E994" t="s">
        <v>8962</v>
      </c>
      <c r="F994" t="s">
        <v>29</v>
      </c>
      <c r="G994" t="s">
        <v>67</v>
      </c>
      <c r="H994" t="s">
        <v>31</v>
      </c>
      <c r="I994" t="s">
        <v>5763</v>
      </c>
      <c r="J994" t="s">
        <v>336</v>
      </c>
      <c r="K994" t="s">
        <v>8963</v>
      </c>
      <c r="L994" t="s">
        <v>450</v>
      </c>
      <c r="M994" t="s">
        <v>36</v>
      </c>
      <c r="N994" t="s">
        <v>8964</v>
      </c>
      <c r="O994" t="s">
        <v>1041</v>
      </c>
      <c r="P994" t="s">
        <v>73</v>
      </c>
      <c r="Q994" t="s">
        <v>783</v>
      </c>
      <c r="R994" t="s">
        <v>490</v>
      </c>
      <c r="S994" t="s">
        <v>8965</v>
      </c>
      <c r="T994" t="s">
        <v>1921</v>
      </c>
      <c r="U994" t="s">
        <v>94</v>
      </c>
      <c r="V994" t="s">
        <v>8966</v>
      </c>
      <c r="W994" t="s">
        <v>8966</v>
      </c>
      <c r="Y994" t="str">
        <f>HYPERLINK("https://recruiter.shine.com/resume/download/?resumeid=gAAAAABbk2UNsrObuLGENaw2KgXPF6wDOAwveiKFCld-sWvFCiTm4hygvV3feYZcrXFjk3RII-fgLXlIcSQRzdFn_gIGJrsuccdiN_OwO07Ah5Vs5-JwGU1xvfhbe1Xevmsf1K7Jxh9pRXPsTd5bXK9dbC6nsIbB5Legz15VP9uMARvVrO_lHa8=")</f>
        <v>https://recruiter.shine.com/resume/download/?resumeid=gAAAAABbk2UNsrObuLGENaw2KgXPF6wDOAwveiKFCld-sWvFCiTm4hygvV3feYZcrXFjk3RII-fgLXlIcSQRzdFn_gIGJrsuccdiN_OwO07Ah5Vs5-JwGU1xvfhbe1Xevmsf1K7Jxh9pRXPsTd5bXK9dbC6nsIbB5Legz15VP9uMARvVrO_lHa8=</v>
      </c>
    </row>
    <row r="995" spans="1:25" ht="39.950000000000003" customHeight="1">
      <c r="A995">
        <v>991</v>
      </c>
      <c r="B995" t="s">
        <v>8967</v>
      </c>
      <c r="D995" t="s">
        <v>8968</v>
      </c>
      <c r="E995" t="s">
        <v>8969</v>
      </c>
      <c r="F995" t="s">
        <v>29</v>
      </c>
      <c r="G995" t="s">
        <v>29</v>
      </c>
      <c r="H995" t="s">
        <v>31</v>
      </c>
      <c r="I995" t="s">
        <v>68</v>
      </c>
      <c r="J995" t="s">
        <v>7988</v>
      </c>
      <c r="K995" t="s">
        <v>8970</v>
      </c>
      <c r="L995" t="s">
        <v>3566</v>
      </c>
      <c r="M995" t="s">
        <v>121</v>
      </c>
      <c r="N995" t="s">
        <v>520</v>
      </c>
      <c r="O995" t="s">
        <v>157</v>
      </c>
      <c r="P995" t="s">
        <v>940</v>
      </c>
      <c r="Q995" t="s">
        <v>90</v>
      </c>
      <c r="R995" t="s">
        <v>427</v>
      </c>
      <c r="S995" t="s">
        <v>8971</v>
      </c>
      <c r="T995" t="s">
        <v>2554</v>
      </c>
      <c r="U995" t="s">
        <v>127</v>
      </c>
      <c r="V995" t="s">
        <v>8972</v>
      </c>
      <c r="W995" t="s">
        <v>8972</v>
      </c>
      <c r="Y995" t="str">
        <f>HYPERLINK("https://recruiter.shine.com/resume/download/?resumeid=gAAAAABbk2UL1kggKHt6DvJDlZBoVKnk8pUIXppMDw3HiRhgzpE-3IntkCHd3T-QSX1H-lZAgaS0mnQsVx70S4O_sGyEL_q4Pq_Mp7eQ68sm3OX0aNq4kM19q4TaqugJ3w3TDvQKfZyYNkbyv7tzopdxh1HtM-Ow-Q==")</f>
        <v>https://recruiter.shine.com/resume/download/?resumeid=gAAAAABbk2UL1kggKHt6DvJDlZBoVKnk8pUIXppMDw3HiRhgzpE-3IntkCHd3T-QSX1H-lZAgaS0mnQsVx70S4O_sGyEL_q4Pq_Mp7eQ68sm3OX0aNq4kM19q4TaqugJ3w3TDvQKfZyYNkbyv7tzopdxh1HtM-Ow-Q==</v>
      </c>
    </row>
    <row r="996" spans="1:25" ht="39.950000000000003" customHeight="1">
      <c r="A996">
        <v>992</v>
      </c>
      <c r="B996" t="s">
        <v>8973</v>
      </c>
      <c r="C996" t="s">
        <v>8974</v>
      </c>
      <c r="D996" t="s">
        <v>8975</v>
      </c>
      <c r="E996" t="s">
        <v>8976</v>
      </c>
      <c r="F996" t="s">
        <v>249</v>
      </c>
      <c r="G996" t="s">
        <v>249</v>
      </c>
      <c r="H996" t="s">
        <v>31</v>
      </c>
      <c r="I996" t="s">
        <v>32</v>
      </c>
      <c r="J996" t="s">
        <v>8977</v>
      </c>
      <c r="K996" t="s">
        <v>8978</v>
      </c>
      <c r="L996" t="s">
        <v>155</v>
      </c>
      <c r="M996" t="s">
        <v>105</v>
      </c>
      <c r="N996" t="s">
        <v>4815</v>
      </c>
      <c r="O996" t="s">
        <v>475</v>
      </c>
      <c r="P996" t="s">
        <v>57</v>
      </c>
      <c r="Q996" t="s">
        <v>158</v>
      </c>
      <c r="R996" t="s">
        <v>341</v>
      </c>
      <c r="S996" t="s">
        <v>8979</v>
      </c>
      <c r="T996" t="s">
        <v>1861</v>
      </c>
      <c r="U996" t="s">
        <v>43</v>
      </c>
      <c r="V996" t="s">
        <v>8980</v>
      </c>
      <c r="W996" t="s">
        <v>8980</v>
      </c>
      <c r="Y996" t="str">
        <f>HYPERLINK("https://recruiter.shine.com/resume/download/?resumeid=gAAAAABbk2UM4JmymeYaY2E8t3gCLOcwlck0xJ0U0eKJfQkfibPhyZIXWvdKsTAuLSj2V__nrEx7i6swdwy0nxXsAO6qBeTssRuRK49HPUtGtGXPpzBg6M-pTGR1Symy7XCmSrE8b8nDRY48AgJ7lbp-ZsSnGIHyEMyzoCCJzv1Kt7AC_mAQLHQ=")</f>
        <v>https://recruiter.shine.com/resume/download/?resumeid=gAAAAABbk2UM4JmymeYaY2E8t3gCLOcwlck0xJ0U0eKJfQkfibPhyZIXWvdKsTAuLSj2V__nrEx7i6swdwy0nxXsAO6qBeTssRuRK49HPUtGtGXPpzBg6M-pTGR1Symy7XCmSrE8b8nDRY48AgJ7lbp-ZsSnGIHyEMyzoCCJzv1Kt7AC_mAQLHQ=</v>
      </c>
    </row>
    <row r="997" spans="1:25" ht="39.950000000000003" customHeight="1">
      <c r="A997">
        <v>993</v>
      </c>
      <c r="B997" t="s">
        <v>8981</v>
      </c>
      <c r="D997" t="s">
        <v>8982</v>
      </c>
      <c r="E997" t="s">
        <v>8983</v>
      </c>
      <c r="F997" t="s">
        <v>29</v>
      </c>
      <c r="G997" t="s">
        <v>67</v>
      </c>
      <c r="H997" t="s">
        <v>31</v>
      </c>
      <c r="I997" t="s">
        <v>362</v>
      </c>
      <c r="J997" t="s">
        <v>135</v>
      </c>
      <c r="L997" t="s">
        <v>363</v>
      </c>
      <c r="M997" t="s">
        <v>364</v>
      </c>
      <c r="P997" t="s">
        <v>140</v>
      </c>
      <c r="Q997" t="s">
        <v>699</v>
      </c>
      <c r="R997" t="s">
        <v>546</v>
      </c>
      <c r="S997" t="s">
        <v>8984</v>
      </c>
      <c r="T997" t="s">
        <v>126</v>
      </c>
      <c r="U997" t="s">
        <v>43</v>
      </c>
      <c r="V997" t="s">
        <v>8985</v>
      </c>
      <c r="W997" t="s">
        <v>8986</v>
      </c>
      <c r="Y997" t="str">
        <f>HYPERLINK("https://recruiter.shine.com/resume/download/?resumeid=gAAAAABbk2UO3XxqlgSbsFDssXYZrnIq26WTI1CR3rnuJkR35NPLDOpEZfpNrJuGFFgsD69Kcx0xSb9QWM5YOFfNysGKfX8H4CErMuaddsuo5_rqAta5eyOjgK91F3hJ0EhA36q62oRCo6_182-hGhYXvFHn87k_WpPgCeRCFIHSPbHV6n7gqYc=")</f>
        <v>https://recruiter.shine.com/resume/download/?resumeid=gAAAAABbk2UO3XxqlgSbsFDssXYZrnIq26WTI1CR3rnuJkR35NPLDOpEZfpNrJuGFFgsD69Kcx0xSb9QWM5YOFfNysGKfX8H4CErMuaddsuo5_rqAta5eyOjgK91F3hJ0EhA36q62oRCo6_182-hGhYXvFHn87k_WpPgCeRCFIHSPbHV6n7gqYc=</v>
      </c>
    </row>
    <row r="998" spans="1:25" ht="39.950000000000003" customHeight="1">
      <c r="A998">
        <v>994</v>
      </c>
      <c r="B998" t="s">
        <v>8987</v>
      </c>
      <c r="C998" t="s">
        <v>8988</v>
      </c>
      <c r="D998" t="s">
        <v>8989</v>
      </c>
      <c r="E998" t="s">
        <v>8990</v>
      </c>
      <c r="F998" t="s">
        <v>29</v>
      </c>
      <c r="G998" t="s">
        <v>29</v>
      </c>
      <c r="H998" t="s">
        <v>31</v>
      </c>
      <c r="I998" t="s">
        <v>8387</v>
      </c>
      <c r="J998" t="s">
        <v>781</v>
      </c>
      <c r="K998" t="s">
        <v>8991</v>
      </c>
      <c r="L998" t="s">
        <v>88</v>
      </c>
      <c r="M998" t="s">
        <v>938</v>
      </c>
      <c r="N998" t="s">
        <v>8992</v>
      </c>
      <c r="O998" t="s">
        <v>475</v>
      </c>
      <c r="P998" t="s">
        <v>39</v>
      </c>
      <c r="Q998" t="s">
        <v>58</v>
      </c>
      <c r="R998" t="s">
        <v>41</v>
      </c>
      <c r="S998" t="s">
        <v>8993</v>
      </c>
      <c r="T998" t="s">
        <v>625</v>
      </c>
      <c r="U998" t="s">
        <v>94</v>
      </c>
      <c r="V998" t="s">
        <v>8994</v>
      </c>
      <c r="W998" t="s">
        <v>8995</v>
      </c>
      <c r="Y998" t="str">
        <f>HYPERLINK("https://recruiter.shine.com/resume/download/?resumeid=gAAAAABbk2ULpqamBrxZWI9E5y85LHN6QrjrQs7Jso2vRneGCyKPG5ifsjmgzt8O114yMYBUqo8DvC0AIBkgZUEEQKNGKmqJ1e0FyuA3asjMENSY-ESbKGYf54p941OV-BMRCwmu_hoJL_9fFi9DpwYQO1W79q9ffA==")</f>
        <v>https://recruiter.shine.com/resume/download/?resumeid=gAAAAABbk2ULpqamBrxZWI9E5y85LHN6QrjrQs7Jso2vRneGCyKPG5ifsjmgzt8O114yMYBUqo8DvC0AIBkgZUEEQKNGKmqJ1e0FyuA3asjMENSY-ESbKGYf54p941OV-BMRCwmu_hoJL_9fFi9DpwYQO1W79q9ffA==</v>
      </c>
    </row>
    <row r="999" spans="1:25" ht="39.950000000000003" customHeight="1">
      <c r="A999">
        <v>995</v>
      </c>
      <c r="B999" t="s">
        <v>8996</v>
      </c>
      <c r="C999" t="s">
        <v>8997</v>
      </c>
      <c r="D999" t="s">
        <v>8998</v>
      </c>
      <c r="E999" t="s">
        <v>8999</v>
      </c>
      <c r="F999" t="s">
        <v>29</v>
      </c>
      <c r="G999" t="s">
        <v>29</v>
      </c>
      <c r="H999" t="s">
        <v>31</v>
      </c>
      <c r="I999" t="s">
        <v>152</v>
      </c>
      <c r="J999" t="s">
        <v>2421</v>
      </c>
      <c r="K999" t="s">
        <v>183</v>
      </c>
      <c r="L999" t="s">
        <v>184</v>
      </c>
      <c r="M999" t="s">
        <v>463</v>
      </c>
      <c r="N999" t="s">
        <v>9000</v>
      </c>
      <c r="O999" t="s">
        <v>56</v>
      </c>
      <c r="P999" t="s">
        <v>57</v>
      </c>
      <c r="Q999" t="s">
        <v>90</v>
      </c>
      <c r="R999" t="s">
        <v>292</v>
      </c>
      <c r="S999" t="s">
        <v>9001</v>
      </c>
      <c r="T999" t="s">
        <v>625</v>
      </c>
      <c r="U999" t="s">
        <v>94</v>
      </c>
      <c r="V999" t="s">
        <v>9002</v>
      </c>
      <c r="W999" t="s">
        <v>9003</v>
      </c>
      <c r="Y999" t="str">
        <f>HYPERLINK("https://recruiter.shine.com/resume/download/?resumeid=gAAAAABbk2UNZD7hdP3k4smmnBsTaIibVoqXs8GY2Trmb3qPhSL8mAi4B1qZ_3z5LmqSTGDBP97o3dBtu4d9ojQu-OJuE01GjbNn3BgAgNGmA_jIuUSkjTlgat0MzGGr3vhjKrZOHLGn-mWxhheElFDu8PmDRzNeQsio71WcFOnaihtvl_OSzyU=")</f>
        <v>https://recruiter.shine.com/resume/download/?resumeid=gAAAAABbk2UNZD7hdP3k4smmnBsTaIibVoqXs8GY2Trmb3qPhSL8mAi4B1qZ_3z5LmqSTGDBP97o3dBtu4d9ojQu-OJuE01GjbNn3BgAgNGmA_jIuUSkjTlgat0MzGGr3vhjKrZOHLGn-mWxhheElFDu8PmDRzNeQsio71WcFOnaihtvl_OSzyU=</v>
      </c>
    </row>
    <row r="1000" spans="1:25" ht="39.950000000000003" customHeight="1">
      <c r="A1000">
        <v>996</v>
      </c>
      <c r="B1000" t="s">
        <v>9004</v>
      </c>
      <c r="D1000" t="s">
        <v>9005</v>
      </c>
      <c r="E1000" t="s">
        <v>9006</v>
      </c>
      <c r="F1000" t="s">
        <v>29</v>
      </c>
      <c r="G1000" t="s">
        <v>67</v>
      </c>
      <c r="H1000" t="s">
        <v>31</v>
      </c>
      <c r="I1000" t="s">
        <v>152</v>
      </c>
      <c r="J1000" t="s">
        <v>745</v>
      </c>
      <c r="K1000" t="s">
        <v>9007</v>
      </c>
      <c r="L1000" t="s">
        <v>88</v>
      </c>
      <c r="M1000" t="s">
        <v>105</v>
      </c>
      <c r="N1000" t="s">
        <v>9008</v>
      </c>
      <c r="O1000" t="s">
        <v>56</v>
      </c>
      <c r="P1000" t="s">
        <v>73</v>
      </c>
      <c r="Q1000" t="s">
        <v>107</v>
      </c>
      <c r="R1000" t="s">
        <v>864</v>
      </c>
      <c r="S1000" t="s">
        <v>9009</v>
      </c>
      <c r="T1000" t="s">
        <v>161</v>
      </c>
      <c r="U1000" t="s">
        <v>43</v>
      </c>
      <c r="V1000" t="s">
        <v>9010</v>
      </c>
      <c r="W1000" t="s">
        <v>9011</v>
      </c>
      <c r="Y1000" t="str">
        <f>HYPERLINK("https://recruiter.shine.com/resume/download/?resumeid=gAAAAABbk2UOs4R-eQ7UIHgqVCATCXEw28_NpmAKNrdNJfr_f44wdHbYiavJvJgH0dHF7C_3XbFXwSlt3sRbWD1H46-OuOI7GEb1WKC98vngNFJcucSxqHTc8McqA_OBVWO13Fwsng7qQqKk0NC8cJ_zl1e7QsWSS9ct7BTuuJG25l0R-UzsaHk=")</f>
        <v>https://recruiter.shine.com/resume/download/?resumeid=gAAAAABbk2UOs4R-eQ7UIHgqVCATCXEw28_NpmAKNrdNJfr_f44wdHbYiavJvJgH0dHF7C_3XbFXwSlt3sRbWD1H46-OuOI7GEb1WKC98vngNFJcucSxqHTc8McqA_OBVWO13Fwsng7qQqKk0NC8cJ_zl1e7QsWSS9ct7BTuuJG25l0R-UzsaHk=</v>
      </c>
    </row>
    <row r="1001" spans="1:25" ht="39.950000000000003" customHeight="1">
      <c r="A1001">
        <v>997</v>
      </c>
      <c r="B1001" t="s">
        <v>9012</v>
      </c>
      <c r="C1001" t="s">
        <v>9013</v>
      </c>
      <c r="D1001" t="s">
        <v>9014</v>
      </c>
      <c r="E1001" t="s">
        <v>9015</v>
      </c>
      <c r="F1001" t="s">
        <v>29</v>
      </c>
      <c r="G1001" t="s">
        <v>9016</v>
      </c>
      <c r="H1001" t="s">
        <v>31</v>
      </c>
      <c r="I1001" t="s">
        <v>1265</v>
      </c>
      <c r="J1001" t="s">
        <v>1804</v>
      </c>
      <c r="K1001" t="s">
        <v>9017</v>
      </c>
      <c r="L1001" t="s">
        <v>2534</v>
      </c>
      <c r="M1001" t="s">
        <v>339</v>
      </c>
      <c r="N1001" t="s">
        <v>9018</v>
      </c>
      <c r="O1001" t="s">
        <v>56</v>
      </c>
      <c r="P1001" t="s">
        <v>201</v>
      </c>
      <c r="Q1001" t="s">
        <v>123</v>
      </c>
      <c r="R1001" t="s">
        <v>124</v>
      </c>
      <c r="S1001" t="s">
        <v>886</v>
      </c>
      <c r="T1001" t="s">
        <v>761</v>
      </c>
      <c r="U1001" t="s">
        <v>43</v>
      </c>
      <c r="V1001" t="s">
        <v>9019</v>
      </c>
      <c r="W1001" t="s">
        <v>9020</v>
      </c>
      <c r="Y1001" t="str">
        <f>HYPERLINK("https://recruiter.shine.com/resume/download/?resumeid=gAAAAABbk2UKZgGAOL67sJJgswjp-8y9pnjj5D_0EY0Q9dwQiRMQAKT_cNAhqTZG9psttWzRSDsH95t5nj9aMkbFT_RxAQTlc3mxsu_ux-vNO-WKENOAU7orVI0f_ivZsctbSyIKS0e8CjKTcvgNUAigKDN8u5IjLQ==")</f>
        <v>https://recruiter.shine.com/resume/download/?resumeid=gAAAAABbk2UKZgGAOL67sJJgswjp-8y9pnjj5D_0EY0Q9dwQiRMQAKT_cNAhqTZG9psttWzRSDsH95t5nj9aMkbFT_RxAQTlc3mxsu_ux-vNO-WKENOAU7orVI0f_ivZsctbSyIKS0e8CjKTcvgNUAigKDN8u5IjLQ==</v>
      </c>
    </row>
    <row r="1002" spans="1:25" ht="39.950000000000003" customHeight="1">
      <c r="A1002">
        <v>998</v>
      </c>
      <c r="B1002" t="s">
        <v>9021</v>
      </c>
      <c r="C1002" t="s">
        <v>9022</v>
      </c>
      <c r="D1002" t="s">
        <v>9023</v>
      </c>
      <c r="E1002" t="s">
        <v>9024</v>
      </c>
      <c r="F1002" t="s">
        <v>29</v>
      </c>
      <c r="G1002" t="s">
        <v>9025</v>
      </c>
      <c r="H1002" t="s">
        <v>31</v>
      </c>
      <c r="I1002" t="s">
        <v>5815</v>
      </c>
      <c r="J1002" t="s">
        <v>517</v>
      </c>
      <c r="K1002" t="s">
        <v>9026</v>
      </c>
      <c r="L1002" t="s">
        <v>338</v>
      </c>
      <c r="M1002" t="s">
        <v>36</v>
      </c>
      <c r="N1002" t="s">
        <v>9027</v>
      </c>
      <c r="O1002" t="s">
        <v>38</v>
      </c>
      <c r="P1002" t="s">
        <v>57</v>
      </c>
      <c r="Q1002" t="s">
        <v>107</v>
      </c>
      <c r="R1002" t="s">
        <v>341</v>
      </c>
      <c r="S1002" t="s">
        <v>9028</v>
      </c>
      <c r="T1002" t="s">
        <v>304</v>
      </c>
      <c r="U1002" t="s">
        <v>43</v>
      </c>
      <c r="V1002" t="s">
        <v>9029</v>
      </c>
      <c r="W1002" t="s">
        <v>9030</v>
      </c>
      <c r="Y1002" t="str">
        <f>HYPERLINK("https://recruiter.shine.com/resume/download/?resumeid=gAAAAABbk2UMX490PIkCBm4x9Zx3stOp9Cs9aGc9XhkizOdaLc_Og_zGjf--ZxIA7hpgj5Dd-uC67EWoEm6jhy9xsZo2f-oMlHfBPjXFI44dFD1Ns9u8LzUUPExF9XD-hrA_6k1y7mXMJ40hQbdHTvT-4gGkz0gJHSutCNVFXB4DNqRAqhcmd0A=")</f>
        <v>https://recruiter.shine.com/resume/download/?resumeid=gAAAAABbk2UMX490PIkCBm4x9Zx3stOp9Cs9aGc9XhkizOdaLc_Og_zGjf--ZxIA7hpgj5Dd-uC67EWoEm6jhy9xsZo2f-oMlHfBPjXFI44dFD1Ns9u8LzUUPExF9XD-hrA_6k1y7mXMJ40hQbdHTvT-4gGkz0gJHSutCNVFXB4DNqRAqhcmd0A=</v>
      </c>
    </row>
    <row r="1003" spans="1:25" ht="39.950000000000003" customHeight="1">
      <c r="A1003">
        <v>999</v>
      </c>
      <c r="B1003" t="s">
        <v>9031</v>
      </c>
      <c r="D1003" t="s">
        <v>9032</v>
      </c>
      <c r="E1003" t="s">
        <v>9033</v>
      </c>
      <c r="F1003" t="s">
        <v>29</v>
      </c>
      <c r="G1003" t="s">
        <v>67</v>
      </c>
      <c r="H1003" t="s">
        <v>234</v>
      </c>
      <c r="I1003" t="s">
        <v>68</v>
      </c>
      <c r="J1003" t="s">
        <v>408</v>
      </c>
      <c r="K1003" t="s">
        <v>9034</v>
      </c>
      <c r="L1003" t="s">
        <v>1524</v>
      </c>
      <c r="M1003" t="s">
        <v>222</v>
      </c>
      <c r="N1003" t="s">
        <v>9035</v>
      </c>
      <c r="O1003" t="s">
        <v>186</v>
      </c>
      <c r="Q1003" t="s">
        <v>158</v>
      </c>
      <c r="R1003" t="s">
        <v>225</v>
      </c>
      <c r="S1003" t="s">
        <v>9036</v>
      </c>
      <c r="T1003" t="s">
        <v>77</v>
      </c>
      <c r="U1003" t="s">
        <v>127</v>
      </c>
      <c r="V1003" t="s">
        <v>9037</v>
      </c>
      <c r="W1003" t="s">
        <v>9038</v>
      </c>
      <c r="Y1003" t="str">
        <f>HYPERLINK("https://recruiter.shine.com/resume/download/?resumeid=gAAAAABbk2UOPt65THZpfBOmEwH4bsdYp1E7C5Mhbx0tOgfSXhJKv5KYG6-pN41B6ELyW3yqMXYeHHhbY6PFNh1pYZM-xZ4gY8rv7baXZH742G9NlVjTnXv307yka2Is4cIxF5wTJ_LONVjsrGEb57o4NFOR2SbEgVc4QKNXKTFvMAxZUspYNvo=")</f>
        <v>https://recruiter.shine.com/resume/download/?resumeid=gAAAAABbk2UOPt65THZpfBOmEwH4bsdYp1E7C5Mhbx0tOgfSXhJKv5KYG6-pN41B6ELyW3yqMXYeHHhbY6PFNh1pYZM-xZ4gY8rv7baXZH742G9NlVjTnXv307yka2Is4cIxF5wTJ_LONVjsrGEb57o4NFOR2SbEgVc4QKNXKTFvMAxZUspYNvo=</v>
      </c>
    </row>
    <row r="1004" spans="1:25" ht="39.950000000000003" customHeight="1">
      <c r="A1004">
        <v>1000</v>
      </c>
      <c r="B1004" t="s">
        <v>9039</v>
      </c>
      <c r="C1004" t="s">
        <v>9040</v>
      </c>
      <c r="D1004" t="s">
        <v>9041</v>
      </c>
      <c r="E1004" t="s">
        <v>9042</v>
      </c>
      <c r="F1004" t="s">
        <v>29</v>
      </c>
      <c r="G1004" t="s">
        <v>9043</v>
      </c>
      <c r="H1004" t="s">
        <v>31</v>
      </c>
      <c r="I1004" t="s">
        <v>8065</v>
      </c>
      <c r="J1004" t="s">
        <v>580</v>
      </c>
      <c r="K1004" t="s">
        <v>9044</v>
      </c>
      <c r="L1004" t="s">
        <v>338</v>
      </c>
      <c r="M1004" t="s">
        <v>105</v>
      </c>
      <c r="N1004" t="s">
        <v>9045</v>
      </c>
      <c r="O1004" t="s">
        <v>1041</v>
      </c>
      <c r="P1004" t="s">
        <v>57</v>
      </c>
      <c r="Q1004" t="s">
        <v>123</v>
      </c>
      <c r="R1004" t="s">
        <v>124</v>
      </c>
      <c r="S1004" t="s">
        <v>2201</v>
      </c>
      <c r="U1004" t="s">
        <v>43</v>
      </c>
      <c r="V1004" t="s">
        <v>9046</v>
      </c>
      <c r="W1004" t="s">
        <v>9047</v>
      </c>
      <c r="Y1004" t="str">
        <f>HYPERLINK("https://recruiter.shine.com/resume/download/?resumeid=gAAAAABbk2ULN5XqfXPSb_vEeIBvoIpmWLTbhGE9E9zPrrz1TA6qA6UYS4OkPaWOowd_zuMklLAu35OkN7HEzPXIpV3wh2j0ZiJIgBCKUVhM-MDloi5t-B94_dwHUmH87fkXI6mseEa62Z2Nm5lFwDY6k0mWc4rK7Q==")</f>
        <v>https://recruiter.shine.com/resume/download/?resumeid=gAAAAABbk2ULN5XqfXPSb_vEeIBvoIpmWLTbhGE9E9zPrrz1TA6qA6UYS4OkPaWOowd_zuMklLAu35OkN7HEzPXIpV3wh2j0ZiJIgBCKUVhM-MDloi5t-B94_dwHUmH87fkXI6mseEa62Z2Nm5lFwDY6k0mWc4rK7Q==</v>
      </c>
    </row>
    <row r="1005" spans="1:25" ht="39.950000000000003" customHeight="1">
      <c r="A1005">
        <v>1001</v>
      </c>
      <c r="B1005" t="s">
        <v>9048</v>
      </c>
      <c r="D1005" t="s">
        <v>9049</v>
      </c>
      <c r="E1005" t="s">
        <v>9050</v>
      </c>
      <c r="F1005" t="s">
        <v>29</v>
      </c>
      <c r="G1005" t="s">
        <v>30</v>
      </c>
      <c r="H1005" t="s">
        <v>31</v>
      </c>
      <c r="I1005" t="s">
        <v>1265</v>
      </c>
      <c r="J1005" t="s">
        <v>871</v>
      </c>
      <c r="K1005" t="s">
        <v>9051</v>
      </c>
      <c r="L1005" t="s">
        <v>88</v>
      </c>
      <c r="M1005" t="s">
        <v>339</v>
      </c>
      <c r="N1005" t="s">
        <v>9052</v>
      </c>
      <c r="O1005" t="s">
        <v>38</v>
      </c>
      <c r="Q1005" t="s">
        <v>74</v>
      </c>
      <c r="R1005" t="s">
        <v>559</v>
      </c>
      <c r="S1005" t="s">
        <v>202</v>
      </c>
      <c r="T1005" t="s">
        <v>874</v>
      </c>
      <c r="U1005" t="s">
        <v>43</v>
      </c>
      <c r="V1005" t="s">
        <v>9053</v>
      </c>
      <c r="W1005" t="s">
        <v>9054</v>
      </c>
      <c r="Y1005" t="str">
        <f>HYPERLINK("https://recruiter.shine.com/resume/download/?resumeid=gAAAAABbk2UMCw_-VHcapbxVafIIr5z47PGdlpw4dcl9evtlMQS0ngZCnARdm5c-uSxb91x1Lfn9uBDlTKuBqIqfuzCk3djknWWpZyCCnUBzh-MDjXQ-uwzd67aNd7pg2m0aIbJ908gRmDbXLg-vWSvy6OggoiimSA==")</f>
        <v>https://recruiter.shine.com/resume/download/?resumeid=gAAAAABbk2UMCw_-VHcapbxVafIIr5z47PGdlpw4dcl9evtlMQS0ngZCnARdm5c-uSxb91x1Lfn9uBDlTKuBqIqfuzCk3djknWWpZyCCnUBzh-MDjXQ-uwzd67aNd7pg2m0aIbJ908gRmDbXLg-vWSvy6OggoiimSA==</v>
      </c>
    </row>
    <row r="1006" spans="1:25" ht="39.950000000000003" customHeight="1">
      <c r="A1006">
        <v>1002</v>
      </c>
      <c r="B1006" t="s">
        <v>9055</v>
      </c>
      <c r="D1006" t="s">
        <v>9056</v>
      </c>
      <c r="E1006" t="s">
        <v>9057</v>
      </c>
      <c r="F1006" t="s">
        <v>29</v>
      </c>
      <c r="G1006" t="s">
        <v>67</v>
      </c>
      <c r="I1006" t="s">
        <v>362</v>
      </c>
      <c r="J1006" t="s">
        <v>801</v>
      </c>
      <c r="L1006" t="s">
        <v>363</v>
      </c>
      <c r="M1006" t="s">
        <v>364</v>
      </c>
      <c r="Q1006" t="s">
        <v>90</v>
      </c>
      <c r="R1006" t="s">
        <v>91</v>
      </c>
      <c r="S1006" t="s">
        <v>2609</v>
      </c>
      <c r="T1006" t="s">
        <v>625</v>
      </c>
      <c r="U1006" t="s">
        <v>43</v>
      </c>
      <c r="V1006" t="s">
        <v>9058</v>
      </c>
      <c r="W1006" t="s">
        <v>9059</v>
      </c>
      <c r="Y1006" t="str">
        <f>HYPERLINK("https://recruiter.shine.com/resume/download/?resumeid=gAAAAABbk2UN_VzWUWLiCb3gnDhZwVr7zjTs14jD-YBEJFq5dKZYxXw5Dk78Xzr9gMwhXUwgbjSRLzK2ZmdB0-5-9PINmDBMdwFcn43Jt0CXInhTP1zZAhDJy-1IqnQHOr1WaQPRCRGOs9MTYQk4nrmBtH59n2e_TA==")</f>
        <v>https://recruiter.shine.com/resume/download/?resumeid=gAAAAABbk2UN_VzWUWLiCb3gnDhZwVr7zjTs14jD-YBEJFq5dKZYxXw5Dk78Xzr9gMwhXUwgbjSRLzK2ZmdB0-5-9PINmDBMdwFcn43Jt0CXInhTP1zZAhDJy-1IqnQHOr1WaQPRCRGOs9MTYQk4nrmBtH59n2e_TA==</v>
      </c>
    </row>
    <row r="1007" spans="1:25" ht="39.950000000000003" customHeight="1">
      <c r="A1007">
        <v>1003</v>
      </c>
      <c r="B1007" t="s">
        <v>9060</v>
      </c>
      <c r="C1007" t="s">
        <v>9061</v>
      </c>
      <c r="D1007" t="s">
        <v>9062</v>
      </c>
      <c r="E1007" t="s">
        <v>9063</v>
      </c>
      <c r="F1007" t="s">
        <v>29</v>
      </c>
      <c r="G1007" t="s">
        <v>29</v>
      </c>
      <c r="H1007" t="s">
        <v>31</v>
      </c>
      <c r="I1007" t="s">
        <v>1774</v>
      </c>
      <c r="J1007" t="s">
        <v>102</v>
      </c>
      <c r="K1007" t="s">
        <v>3223</v>
      </c>
      <c r="L1007" t="s">
        <v>6189</v>
      </c>
      <c r="M1007" t="s">
        <v>121</v>
      </c>
      <c r="N1007" t="s">
        <v>9064</v>
      </c>
      <c r="O1007" t="s">
        <v>186</v>
      </c>
      <c r="P1007" t="s">
        <v>771</v>
      </c>
      <c r="Q1007" t="s">
        <v>783</v>
      </c>
      <c r="R1007" t="s">
        <v>9065</v>
      </c>
      <c r="S1007" t="s">
        <v>9066</v>
      </c>
      <c r="T1007" t="s">
        <v>625</v>
      </c>
      <c r="U1007" t="s">
        <v>43</v>
      </c>
      <c r="V1007" t="s">
        <v>9067</v>
      </c>
      <c r="W1007" t="s">
        <v>9067</v>
      </c>
      <c r="Y1007" t="str">
        <f>HYPERLINK("https://recruiter.shine.com/resume/download/?resumeid=gAAAAABbk2ULZf4D0ZDz8T6QvsiuHDH55D9TQKG_cZmZKNqCPnejNPaESUx3snEmD5l5bURohCnadV3I7VBOZpQEhHFyUyK_qJ1-pg2MA3aLuZOUuhYi0_W9eAz0vKuAsFIrH3VbZcjd3j4FancI12h5xxEnGKJmIg==")</f>
        <v>https://recruiter.shine.com/resume/download/?resumeid=gAAAAABbk2ULZf4D0ZDz8T6QvsiuHDH55D9TQKG_cZmZKNqCPnejNPaESUx3snEmD5l5bURohCnadV3I7VBOZpQEhHFyUyK_qJ1-pg2MA3aLuZOUuhYi0_W9eAz0vKuAsFIrH3VbZcjd3j4FancI12h5xxEnGKJmIg==</v>
      </c>
    </row>
    <row r="1008" spans="1:25" ht="39.950000000000003" customHeight="1">
      <c r="A1008">
        <v>1004</v>
      </c>
      <c r="B1008" t="s">
        <v>9068</v>
      </c>
      <c r="D1008" t="s">
        <v>9069</v>
      </c>
      <c r="E1008" t="s">
        <v>9070</v>
      </c>
      <c r="F1008" t="s">
        <v>29</v>
      </c>
      <c r="G1008" t="s">
        <v>29</v>
      </c>
      <c r="H1008" t="s">
        <v>31</v>
      </c>
      <c r="I1008" t="s">
        <v>1419</v>
      </c>
      <c r="J1008" t="s">
        <v>9071</v>
      </c>
      <c r="K1008" t="s">
        <v>9072</v>
      </c>
      <c r="L1008" t="s">
        <v>1674</v>
      </c>
      <c r="M1008" t="s">
        <v>105</v>
      </c>
      <c r="N1008" t="s">
        <v>9073</v>
      </c>
      <c r="O1008" t="s">
        <v>585</v>
      </c>
      <c r="P1008" t="s">
        <v>73</v>
      </c>
      <c r="Q1008" t="s">
        <v>107</v>
      </c>
      <c r="R1008" t="s">
        <v>341</v>
      </c>
      <c r="S1008" t="s">
        <v>9074</v>
      </c>
      <c r="T1008" t="s">
        <v>561</v>
      </c>
      <c r="U1008" t="s">
        <v>43</v>
      </c>
      <c r="V1008" t="s">
        <v>9075</v>
      </c>
      <c r="W1008" t="s">
        <v>9076</v>
      </c>
      <c r="Y1008" t="str">
        <f>HYPERLINK("https://recruiter.shine.com/resume/download/?resumeid=gAAAAABbk2UMHAZirJtMaYlIhAGYXgYPIORXSJvKv8PBlhkEjiN5Ue1iOEjycVqYO_5oT58-L-hIdlAckpQdSy4vib-5GgRFBAAdyFKuEIc4WN0wzi-7lredb4PXpYXOyVlF4ZFdkAIG6JVNmCvidgqkvLq7In79xg==")</f>
        <v>https://recruiter.shine.com/resume/download/?resumeid=gAAAAABbk2UMHAZirJtMaYlIhAGYXgYPIORXSJvKv8PBlhkEjiN5Ue1iOEjycVqYO_5oT58-L-hIdlAckpQdSy4vib-5GgRFBAAdyFKuEIc4WN0wzi-7lredb4PXpYXOyVlF4ZFdkAIG6JVNmCvidgqkvLq7In79xg==</v>
      </c>
    </row>
    <row r="1009" spans="1:25" ht="39.950000000000003" customHeight="1">
      <c r="A1009">
        <v>1005</v>
      </c>
      <c r="B1009" t="s">
        <v>9077</v>
      </c>
      <c r="C1009" t="s">
        <v>9078</v>
      </c>
      <c r="D1009" t="s">
        <v>9079</v>
      </c>
      <c r="E1009" t="s">
        <v>9080</v>
      </c>
      <c r="F1009" t="s">
        <v>29</v>
      </c>
      <c r="G1009" t="s">
        <v>9081</v>
      </c>
      <c r="H1009" t="s">
        <v>31</v>
      </c>
      <c r="I1009" t="s">
        <v>1774</v>
      </c>
      <c r="J1009" t="s">
        <v>801</v>
      </c>
      <c r="K1009" t="s">
        <v>2825</v>
      </c>
      <c r="L1009" t="s">
        <v>237</v>
      </c>
      <c r="M1009" t="s">
        <v>238</v>
      </c>
      <c r="N1009" t="s">
        <v>2552</v>
      </c>
      <c r="O1009" t="s">
        <v>186</v>
      </c>
      <c r="P1009" t="s">
        <v>57</v>
      </c>
      <c r="Q1009" t="s">
        <v>90</v>
      </c>
      <c r="R1009" t="s">
        <v>292</v>
      </c>
      <c r="S1009" t="s">
        <v>9082</v>
      </c>
      <c r="T1009" t="s">
        <v>257</v>
      </c>
      <c r="U1009" t="s">
        <v>43</v>
      </c>
      <c r="V1009" t="s">
        <v>9083</v>
      </c>
      <c r="W1009" t="s">
        <v>9084</v>
      </c>
      <c r="Y1009" t="str">
        <f>HYPERLINK("https://recruiter.shine.com/resume/download/?resumeid=gAAAAABbk2UOuV-0MwrEquQam9ZoouE-kEgyTPhYFzHgx515G9wiuU79DXcsZKMVk1_4QmsVl-XOirQzmJrdtSaQizk_8T1Yo0U7R5mmehVC5yxi-eap8w63g_zKmvBG1iUpZG8q9EbUbppOZkQT7E373CAvhu0nfLlnZI8gc6h8VPt8-fAKnL4=")</f>
        <v>https://recruiter.shine.com/resume/download/?resumeid=gAAAAABbk2UOuV-0MwrEquQam9ZoouE-kEgyTPhYFzHgx515G9wiuU79DXcsZKMVk1_4QmsVl-XOirQzmJrdtSaQizk_8T1Yo0U7R5mmehVC5yxi-eap8w63g_zKmvBG1iUpZG8q9EbUbppOZkQT7E373CAvhu0nfLlnZI8gc6h8VPt8-fAKnL4=</v>
      </c>
    </row>
    <row r="1010" spans="1:25" ht="39.950000000000003" customHeight="1">
      <c r="A1010">
        <v>1006</v>
      </c>
      <c r="B1010" t="s">
        <v>9085</v>
      </c>
      <c r="C1010" t="s">
        <v>9086</v>
      </c>
      <c r="D1010" t="s">
        <v>9087</v>
      </c>
      <c r="E1010" t="s">
        <v>9088</v>
      </c>
      <c r="F1010" t="s">
        <v>29</v>
      </c>
      <c r="G1010" t="s">
        <v>67</v>
      </c>
      <c r="H1010" t="s">
        <v>31</v>
      </c>
      <c r="I1010" t="s">
        <v>85</v>
      </c>
      <c r="J1010" t="s">
        <v>801</v>
      </c>
      <c r="K1010" t="s">
        <v>9089</v>
      </c>
      <c r="L1010" t="s">
        <v>1524</v>
      </c>
      <c r="M1010" t="s">
        <v>36</v>
      </c>
      <c r="N1010" t="s">
        <v>9090</v>
      </c>
      <c r="O1010" t="s">
        <v>186</v>
      </c>
      <c r="P1010" t="s">
        <v>57</v>
      </c>
      <c r="Q1010" t="s">
        <v>107</v>
      </c>
      <c r="R1010" t="s">
        <v>108</v>
      </c>
      <c r="S1010" t="s">
        <v>5321</v>
      </c>
      <c r="T1010" t="s">
        <v>1137</v>
      </c>
      <c r="U1010" t="s">
        <v>43</v>
      </c>
      <c r="V1010" t="s">
        <v>9091</v>
      </c>
      <c r="W1010" t="s">
        <v>9092</v>
      </c>
      <c r="Y1010" t="str">
        <f>HYPERLINK("https://recruiter.shine.com/resume/download/?resumeid=gAAAAABbk2ULkxLJeWENDGluJAsftRse7e5m-wUPrzZUdPS_t_njie2gh-E4-Dk-lSN77Wn6GCnAb32UMga4XJhlMLVc6oMRNjJp5LKaC-42KFdajLcSh-KmwRgF5GAtWWmjOy3_fNzHHIOgPqVVvkUe_b8JV_t2ogSgSAdnJ1P0ei0gKWpYZ_g=")</f>
        <v>https://recruiter.shine.com/resume/download/?resumeid=gAAAAABbk2ULkxLJeWENDGluJAsftRse7e5m-wUPrzZUdPS_t_njie2gh-E4-Dk-lSN77Wn6GCnAb32UMga4XJhlMLVc6oMRNjJp5LKaC-42KFdajLcSh-KmwRgF5GAtWWmjOy3_fNzHHIOgPqVVvkUe_b8JV_t2ogSgSAdnJ1P0ei0gKWpYZ_g=</v>
      </c>
    </row>
    <row r="1011" spans="1:25" ht="39.950000000000003" customHeight="1">
      <c r="A1011">
        <v>1007</v>
      </c>
      <c r="B1011" t="s">
        <v>9093</v>
      </c>
      <c r="C1011" t="s">
        <v>9094</v>
      </c>
      <c r="D1011" t="s">
        <v>9095</v>
      </c>
      <c r="E1011" t="s">
        <v>9096</v>
      </c>
      <c r="F1011" t="s">
        <v>29</v>
      </c>
      <c r="G1011" t="s">
        <v>7497</v>
      </c>
      <c r="H1011" t="s">
        <v>31</v>
      </c>
      <c r="I1011" t="s">
        <v>68</v>
      </c>
      <c r="J1011" t="s">
        <v>153</v>
      </c>
      <c r="K1011" t="s">
        <v>9097</v>
      </c>
      <c r="L1011" t="s">
        <v>171</v>
      </c>
      <c r="M1011" t="s">
        <v>473</v>
      </c>
      <c r="N1011" t="s">
        <v>9098</v>
      </c>
      <c r="O1011" t="s">
        <v>186</v>
      </c>
      <c r="P1011" t="s">
        <v>57</v>
      </c>
      <c r="Q1011" t="s">
        <v>107</v>
      </c>
      <c r="R1011" t="s">
        <v>864</v>
      </c>
      <c r="S1011" t="s">
        <v>1467</v>
      </c>
      <c r="T1011" t="s">
        <v>2358</v>
      </c>
      <c r="U1011" t="s">
        <v>43</v>
      </c>
      <c r="V1011" t="s">
        <v>9099</v>
      </c>
      <c r="W1011" t="s">
        <v>9100</v>
      </c>
      <c r="Y1011" t="str">
        <f>HYPERLINK("https://recruiter.shine.com/resume/download/?resumeid=gAAAAABbk2UMwwvTUZebwtpIaHoNbAyRphq02uzas3BepFyqQ1WwMm4QZGsw8hwSRijIwJjP3X20owgAprhr1erYv8wzTCkCwsK8yOL1wcDuF4ixji_V9hHLx7Jgc-AcfqmXTTrPOVjDOppN55A_H0QIQ-F6ITcZqKqxqPSo3k45QQXb0b3i3nU=")</f>
        <v>https://recruiter.shine.com/resume/download/?resumeid=gAAAAABbk2UMwwvTUZebwtpIaHoNbAyRphq02uzas3BepFyqQ1WwMm4QZGsw8hwSRijIwJjP3X20owgAprhr1erYv8wzTCkCwsK8yOL1wcDuF4ixji_V9hHLx7Jgc-AcfqmXTTrPOVjDOppN55A_H0QIQ-F6ITcZqKqxqPSo3k45QQXb0b3i3nU=</v>
      </c>
    </row>
    <row r="1012" spans="1:25" ht="39.950000000000003" customHeight="1">
      <c r="A1012">
        <v>1008</v>
      </c>
      <c r="B1012" t="s">
        <v>9101</v>
      </c>
      <c r="D1012" t="s">
        <v>9102</v>
      </c>
      <c r="E1012" t="s">
        <v>9103</v>
      </c>
      <c r="F1012" t="s">
        <v>29</v>
      </c>
      <c r="G1012" t="s">
        <v>67</v>
      </c>
      <c r="H1012" t="s">
        <v>31</v>
      </c>
      <c r="I1012" t="s">
        <v>208</v>
      </c>
      <c r="J1012" t="s">
        <v>336</v>
      </c>
      <c r="K1012" t="s">
        <v>9104</v>
      </c>
      <c r="L1012" t="s">
        <v>6189</v>
      </c>
      <c r="M1012" t="s">
        <v>121</v>
      </c>
      <c r="N1012" t="s">
        <v>9105</v>
      </c>
      <c r="O1012" t="s">
        <v>1041</v>
      </c>
      <c r="Q1012" t="s">
        <v>412</v>
      </c>
      <c r="R1012" t="s">
        <v>9106</v>
      </c>
      <c r="S1012" t="s">
        <v>9107</v>
      </c>
      <c r="T1012" t="s">
        <v>110</v>
      </c>
      <c r="U1012" t="s">
        <v>43</v>
      </c>
      <c r="V1012" t="s">
        <v>9108</v>
      </c>
      <c r="W1012" t="s">
        <v>9108</v>
      </c>
      <c r="Y1012" t="str">
        <f>HYPERLINK("https://recruiter.shine.com/resume/download/?resumeid=gAAAAABbk2UOF4MPjFu7RL7IQ3_aRSw8qJcVF9agsHbZGXNvwaIsKOx1vgnxuOwtN_8Tbfm1lNLtK9GeOwD8SH61RHcFlyPXDf5PkIMvSKyJYFOeNbasEJKOJdb55CHqWKwxhd1vG1vO_rt4MZZcGgepdYRKo9aPFKAjH5B57pl5VwSRSqMmGas=")</f>
        <v>https://recruiter.shine.com/resume/download/?resumeid=gAAAAABbk2UOF4MPjFu7RL7IQ3_aRSw8qJcVF9agsHbZGXNvwaIsKOx1vgnxuOwtN_8Tbfm1lNLtK9GeOwD8SH61RHcFlyPXDf5PkIMvSKyJYFOeNbasEJKOJdb55CHqWKwxhd1vG1vO_rt4MZZcGgepdYRKo9aPFKAjH5B57pl5VwSRSqMmGas=</v>
      </c>
    </row>
    <row r="1013" spans="1:25" ht="39.950000000000003" customHeight="1">
      <c r="A1013">
        <v>1009</v>
      </c>
      <c r="B1013" t="s">
        <v>9109</v>
      </c>
      <c r="C1013" t="s">
        <v>9110</v>
      </c>
      <c r="D1013" t="s">
        <v>9111</v>
      </c>
      <c r="E1013" t="s">
        <v>9112</v>
      </c>
      <c r="F1013" t="s">
        <v>29</v>
      </c>
      <c r="G1013" t="s">
        <v>29</v>
      </c>
      <c r="H1013" t="s">
        <v>31</v>
      </c>
      <c r="I1013" t="s">
        <v>4403</v>
      </c>
      <c r="J1013" t="s">
        <v>235</v>
      </c>
      <c r="K1013" t="s">
        <v>9113</v>
      </c>
      <c r="L1013" t="s">
        <v>596</v>
      </c>
      <c r="M1013" t="s">
        <v>339</v>
      </c>
      <c r="N1013" t="s">
        <v>9114</v>
      </c>
      <c r="O1013" t="s">
        <v>157</v>
      </c>
      <c r="Q1013" t="s">
        <v>107</v>
      </c>
      <c r="R1013" t="s">
        <v>559</v>
      </c>
      <c r="S1013" t="s">
        <v>9115</v>
      </c>
      <c r="U1013" t="s">
        <v>43</v>
      </c>
      <c r="V1013" t="s">
        <v>9116</v>
      </c>
      <c r="W1013" t="s">
        <v>9117</v>
      </c>
      <c r="Y1013" t="str">
        <f>HYPERLINK("https://recruiter.shine.com/resume/download/?resumeid=gAAAAABbk2UL_ld4_2p6dPk0JT-y-miKHFzXPos9EflcJGA44UHy_rUUP3kdYSKDh2XQ402rliH1jf5fzaTSKOSdmQ7jOcF-5rrG01sgJOCzL4wxhpP9XahZeB2pWktZhlvgqNuRCwJkoBp7u5w-Yxe3-7NbTS65dg==")</f>
        <v>https://recruiter.shine.com/resume/download/?resumeid=gAAAAABbk2UL_ld4_2p6dPk0JT-y-miKHFzXPos9EflcJGA44UHy_rUUP3kdYSKDh2XQ402rliH1jf5fzaTSKOSdmQ7jOcF-5rrG01sgJOCzL4wxhpP9XahZeB2pWktZhlvgqNuRCwJkoBp7u5w-Yxe3-7NbTS65dg==</v>
      </c>
    </row>
    <row r="1014" spans="1:25" ht="39.950000000000003" customHeight="1">
      <c r="A1014">
        <v>1010</v>
      </c>
      <c r="B1014" t="s">
        <v>9118</v>
      </c>
      <c r="C1014" t="s">
        <v>3211</v>
      </c>
      <c r="D1014" t="s">
        <v>9119</v>
      </c>
      <c r="E1014" t="s">
        <v>9120</v>
      </c>
      <c r="F1014" t="s">
        <v>29</v>
      </c>
      <c r="G1014" t="s">
        <v>9121</v>
      </c>
      <c r="H1014" t="s">
        <v>234</v>
      </c>
      <c r="I1014" t="s">
        <v>9122</v>
      </c>
      <c r="J1014" t="s">
        <v>801</v>
      </c>
      <c r="K1014" t="s">
        <v>3655</v>
      </c>
      <c r="L1014" t="s">
        <v>4201</v>
      </c>
      <c r="M1014" t="s">
        <v>121</v>
      </c>
      <c r="N1014" t="s">
        <v>9123</v>
      </c>
      <c r="O1014" t="s">
        <v>56</v>
      </c>
      <c r="P1014" t="s">
        <v>940</v>
      </c>
      <c r="Q1014" t="s">
        <v>90</v>
      </c>
      <c r="R1014" t="s">
        <v>91</v>
      </c>
      <c r="S1014" t="s">
        <v>9124</v>
      </c>
      <c r="T1014" t="s">
        <v>625</v>
      </c>
      <c r="U1014" t="s">
        <v>94</v>
      </c>
      <c r="V1014" t="s">
        <v>9125</v>
      </c>
      <c r="W1014" t="s">
        <v>9126</v>
      </c>
      <c r="Y1014" t="str">
        <f>HYPERLINK("https://recruiter.shine.com/resume/download/?resumeid=gAAAAABbk2UNfrkpNxjqe-sc7OXB13-IBxtWTl-jHH23A43iGYDmm_maF_6yIzFLKqo_A0RbjFZY3yjGwTFBMCpmGahYJ9Nknj1nO9Xu3Ze3PgYDc5BXjhPk4g3Vg1yEhagqqszloG4o3XfY9VENmrwEoZA2PDEhg1n-y4OUOHk4BhJeSeBWZXE=")</f>
        <v>https://recruiter.shine.com/resume/download/?resumeid=gAAAAABbk2UNfrkpNxjqe-sc7OXB13-IBxtWTl-jHH23A43iGYDmm_maF_6yIzFLKqo_A0RbjFZY3yjGwTFBMCpmGahYJ9Nknj1nO9Xu3Ze3PgYDc5BXjhPk4g3Vg1yEhagqqszloG4o3XfY9VENmrwEoZA2PDEhg1n-y4OUOHk4BhJeSeBWZXE=</v>
      </c>
    </row>
    <row r="1015" spans="1:25" ht="39.950000000000003" customHeight="1">
      <c r="A1015">
        <v>1011</v>
      </c>
      <c r="B1015" t="s">
        <v>9127</v>
      </c>
      <c r="D1015" t="s">
        <v>9128</v>
      </c>
      <c r="E1015" t="s">
        <v>9129</v>
      </c>
      <c r="F1015" t="s">
        <v>29</v>
      </c>
      <c r="G1015" t="s">
        <v>67</v>
      </c>
      <c r="H1015" t="s">
        <v>31</v>
      </c>
      <c r="I1015" t="s">
        <v>9130</v>
      </c>
      <c r="J1015" t="s">
        <v>51</v>
      </c>
      <c r="K1015" t="s">
        <v>9131</v>
      </c>
      <c r="L1015" t="s">
        <v>199</v>
      </c>
      <c r="M1015" t="s">
        <v>684</v>
      </c>
      <c r="N1015" t="s">
        <v>9132</v>
      </c>
      <c r="O1015" t="s">
        <v>804</v>
      </c>
      <c r="Q1015" t="s">
        <v>107</v>
      </c>
      <c r="R1015" t="s">
        <v>2346</v>
      </c>
      <c r="S1015" t="s">
        <v>5872</v>
      </c>
      <c r="T1015" t="s">
        <v>399</v>
      </c>
      <c r="U1015" t="s">
        <v>43</v>
      </c>
      <c r="V1015" t="s">
        <v>9133</v>
      </c>
      <c r="W1015" t="s">
        <v>9134</v>
      </c>
      <c r="Y1015" t="str">
        <f>HYPERLINK("https://recruiter.shine.com/resume/download/?resumeid=gAAAAABbk2UO0-irt0aatww0Q4SHSbamzkUDRTFpWgfzDSdobJPQx8B0TLjjSFTZfUIkpqkRvPHLN_2fDr9kxJT1b_CpiRx1NPRkwouFJ3HHIv7VJDCKMFY5NcwVJZlkO_tGjg5bWlR7hPfYIvWgxMczhkvLmFL6Vg6EuqyJXlUSKS7AJCbqAsg=")</f>
        <v>https://recruiter.shine.com/resume/download/?resumeid=gAAAAABbk2UO0-irt0aatww0Q4SHSbamzkUDRTFpWgfzDSdobJPQx8B0TLjjSFTZfUIkpqkRvPHLN_2fDr9kxJT1b_CpiRx1NPRkwouFJ3HHIv7VJDCKMFY5NcwVJZlkO_tGjg5bWlR7hPfYIvWgxMczhkvLmFL6Vg6EuqyJXlUSKS7AJCbqAsg=</v>
      </c>
    </row>
    <row r="1016" spans="1:25" ht="39.950000000000003" customHeight="1">
      <c r="A1016">
        <v>1012</v>
      </c>
      <c r="B1016" t="s">
        <v>9135</v>
      </c>
      <c r="C1016" t="s">
        <v>9136</v>
      </c>
      <c r="D1016" t="s">
        <v>9137</v>
      </c>
      <c r="E1016" t="s">
        <v>9138</v>
      </c>
      <c r="F1016" t="s">
        <v>29</v>
      </c>
      <c r="G1016" t="s">
        <v>30</v>
      </c>
      <c r="H1016" t="s">
        <v>31</v>
      </c>
      <c r="I1016" t="s">
        <v>134</v>
      </c>
      <c r="J1016" t="s">
        <v>312</v>
      </c>
      <c r="K1016" t="s">
        <v>9139</v>
      </c>
      <c r="L1016" t="s">
        <v>301</v>
      </c>
      <c r="M1016" t="s">
        <v>105</v>
      </c>
      <c r="N1016" t="s">
        <v>1284</v>
      </c>
      <c r="O1016" t="s">
        <v>585</v>
      </c>
      <c r="P1016" t="s">
        <v>140</v>
      </c>
      <c r="Q1016" t="s">
        <v>783</v>
      </c>
      <c r="R1016" t="s">
        <v>9140</v>
      </c>
      <c r="S1016" t="s">
        <v>9141</v>
      </c>
      <c r="T1016" t="s">
        <v>304</v>
      </c>
      <c r="U1016" t="s">
        <v>43</v>
      </c>
      <c r="V1016" t="s">
        <v>9142</v>
      </c>
      <c r="W1016" t="s">
        <v>9142</v>
      </c>
      <c r="Y1016" t="str">
        <f>HYPERLINK("https://recruiter.shine.com/resume/download/?resumeid=gAAAAABbk2UKYKRFCOfdRksjRQ57X3pkGcjTzpF4Hy4VXQqY-RhAXrbTbrAZ9w1B7otYbR2g8VXJZESHTHw-jfLiYlqsYbV2AMIYv-3YoUCrpPxtlIPNEBNPxmnWpzz7il8v2R7WOrR3_q2uWU3sELLpuBHMl2IMLrN9IyfQ7tZnZ5p5X5T0LLs=")</f>
        <v>https://recruiter.shine.com/resume/download/?resumeid=gAAAAABbk2UKYKRFCOfdRksjRQ57X3pkGcjTzpF4Hy4VXQqY-RhAXrbTbrAZ9w1B7otYbR2g8VXJZESHTHw-jfLiYlqsYbV2AMIYv-3YoUCrpPxtlIPNEBNPxmnWpzz7il8v2R7WOrR3_q2uWU3sELLpuBHMl2IMLrN9IyfQ7tZnZ5p5X5T0LLs=</v>
      </c>
    </row>
    <row r="1017" spans="1:25" ht="39.950000000000003" customHeight="1">
      <c r="A1017">
        <v>1013</v>
      </c>
      <c r="B1017" t="s">
        <v>9143</v>
      </c>
      <c r="D1017" t="s">
        <v>9144</v>
      </c>
      <c r="E1017" t="s">
        <v>9145</v>
      </c>
      <c r="F1017" t="s">
        <v>29</v>
      </c>
      <c r="G1017" t="s">
        <v>9146</v>
      </c>
      <c r="H1017" t="s">
        <v>31</v>
      </c>
      <c r="I1017" t="s">
        <v>362</v>
      </c>
      <c r="J1017" t="s">
        <v>781</v>
      </c>
      <c r="L1017" t="s">
        <v>363</v>
      </c>
      <c r="M1017" t="s">
        <v>364</v>
      </c>
      <c r="P1017" t="s">
        <v>140</v>
      </c>
      <c r="Q1017" t="s">
        <v>107</v>
      </c>
      <c r="R1017" t="s">
        <v>159</v>
      </c>
      <c r="S1017" t="s">
        <v>9147</v>
      </c>
      <c r="T1017" t="s">
        <v>441</v>
      </c>
      <c r="U1017" t="s">
        <v>43</v>
      </c>
      <c r="V1017" t="s">
        <v>9148</v>
      </c>
      <c r="W1017" t="s">
        <v>9149</v>
      </c>
      <c r="Y1017" t="str">
        <f>HYPERLINK("https://recruiter.shine.com/resume/download/?resumeid=gAAAAABbk2UMKdmHQ7gRdlTTY0Qi7tB9Ewb0rA7ohDDmQvm4RcVe_vcfTVdvZfOE9zqsAp7wtRGQR1k2AHpcxZAkG8cgaDKcKI3BQ-JKJJbcxV1i0cPcq1voHJifo37-mjLdxItrhcIuWtq7Rr1ypilPbnveSKSqZ_5uy622eLzKlGaOk_vhkOI=")</f>
        <v>https://recruiter.shine.com/resume/download/?resumeid=gAAAAABbk2UMKdmHQ7gRdlTTY0Qi7tB9Ewb0rA7ohDDmQvm4RcVe_vcfTVdvZfOE9zqsAp7wtRGQR1k2AHpcxZAkG8cgaDKcKI3BQ-JKJJbcxV1i0cPcq1voHJifo37-mjLdxItrhcIuWtq7Rr1ypilPbnveSKSqZ_5uy622eLzKlGaOk_vhkOI=</v>
      </c>
    </row>
    <row r="1018" spans="1:25" ht="39.950000000000003" customHeight="1">
      <c r="A1018">
        <v>1014</v>
      </c>
      <c r="B1018" t="s">
        <v>9150</v>
      </c>
      <c r="D1018" t="s">
        <v>9151</v>
      </c>
      <c r="E1018" t="s">
        <v>9152</v>
      </c>
      <c r="F1018" t="s">
        <v>29</v>
      </c>
      <c r="H1018" t="s">
        <v>234</v>
      </c>
      <c r="I1018" t="s">
        <v>568</v>
      </c>
      <c r="J1018" t="s">
        <v>312</v>
      </c>
      <c r="K1018" t="s">
        <v>8404</v>
      </c>
      <c r="L1018" t="s">
        <v>462</v>
      </c>
      <c r="M1018" t="s">
        <v>138</v>
      </c>
      <c r="N1018" t="s">
        <v>9153</v>
      </c>
      <c r="O1018" t="s">
        <v>224</v>
      </c>
      <c r="Q1018" t="s">
        <v>90</v>
      </c>
      <c r="R1018" t="s">
        <v>465</v>
      </c>
      <c r="S1018" t="s">
        <v>2759</v>
      </c>
      <c r="T1018" t="s">
        <v>773</v>
      </c>
      <c r="U1018" t="s">
        <v>127</v>
      </c>
      <c r="V1018" t="s">
        <v>9154</v>
      </c>
      <c r="W1018" t="s">
        <v>9155</v>
      </c>
      <c r="Y1018" t="str">
        <f>HYPERLINK("https://recruiter.shine.com/resume/download/?resumeid=gAAAAABbk2UNcpkDg6mhDr28mUQcEmtnfGRVMIXevqM1AlBrSJSBZOAHcNHARatla7IKl28x-xmFzuXjjhqzkw2Ker3wTRurG_XqKqE9DT2YO5dpXgpSH5BBVDuZ7oalWFzkvb-cH3Kp4FHiZgN1NX4CKN53jiHZn9aWW224pazVwp8EblPeUig=")</f>
        <v>https://recruiter.shine.com/resume/download/?resumeid=gAAAAABbk2UNcpkDg6mhDr28mUQcEmtnfGRVMIXevqM1AlBrSJSBZOAHcNHARatla7IKl28x-xmFzuXjjhqzkw2Ker3wTRurG_XqKqE9DT2YO5dpXgpSH5BBVDuZ7oalWFzkvb-cH3Kp4FHiZgN1NX4CKN53jiHZn9aWW224pazVwp8EblPeUig=</v>
      </c>
    </row>
    <row r="1019" spans="1:25" ht="39.950000000000003" customHeight="1">
      <c r="A1019">
        <v>1015</v>
      </c>
      <c r="B1019" t="s">
        <v>9156</v>
      </c>
      <c r="C1019" t="s">
        <v>3797</v>
      </c>
      <c r="D1019" t="s">
        <v>9157</v>
      </c>
      <c r="E1019" t="s">
        <v>9158</v>
      </c>
      <c r="F1019" t="s">
        <v>29</v>
      </c>
      <c r="G1019" t="s">
        <v>9159</v>
      </c>
      <c r="H1019" t="s">
        <v>31</v>
      </c>
      <c r="I1019" t="s">
        <v>2523</v>
      </c>
      <c r="J1019" t="s">
        <v>1050</v>
      </c>
      <c r="K1019" t="s">
        <v>2486</v>
      </c>
      <c r="L1019" t="s">
        <v>266</v>
      </c>
      <c r="M1019" t="s">
        <v>105</v>
      </c>
      <c r="N1019" t="s">
        <v>9160</v>
      </c>
      <c r="O1019" t="s">
        <v>186</v>
      </c>
      <c r="P1019" t="s">
        <v>140</v>
      </c>
      <c r="Q1019" t="s">
        <v>41</v>
      </c>
      <c r="R1019" t="s">
        <v>9161</v>
      </c>
      <c r="S1019" t="s">
        <v>9162</v>
      </c>
      <c r="T1019" t="s">
        <v>61</v>
      </c>
      <c r="U1019" t="s">
        <v>43</v>
      </c>
      <c r="V1019" t="s">
        <v>9163</v>
      </c>
      <c r="W1019" t="s">
        <v>9163</v>
      </c>
      <c r="Y1019" t="str">
        <f>HYPERLINK("https://recruiter.shine.com/resume/download/?resumeid=gAAAAABbk2ULMMYDP-2kR1_zQrOz1285gft1GO8nkda2wLAFOtHjN9N1IebRituj9ZskIs0wfORaLf_dDkW-a79SURF6kzDEBbBjxm2tb-zCGdAiwHK8kxoQnDMB8Z9E-SEqo2c-N5lBVKM08bW57oHbUYYvGesDt7IF5grOHDoPzJU29SjItPU=")</f>
        <v>https://recruiter.shine.com/resume/download/?resumeid=gAAAAABbk2ULMMYDP-2kR1_zQrOz1285gft1GO8nkda2wLAFOtHjN9N1IebRituj9ZskIs0wfORaLf_dDkW-a79SURF6kzDEBbBjxm2tb-zCGdAiwHK8kxoQnDMB8Z9E-SEqo2c-N5lBVKM08bW57oHbUYYvGesDt7IF5grOHDoPzJU29SjItPU=</v>
      </c>
    </row>
    <row r="1020" spans="1:25" ht="39.950000000000003" customHeight="1">
      <c r="A1020">
        <v>1016</v>
      </c>
      <c r="B1020" t="s">
        <v>9164</v>
      </c>
      <c r="C1020" t="s">
        <v>9165</v>
      </c>
      <c r="D1020" t="s">
        <v>9166</v>
      </c>
      <c r="E1020" t="s">
        <v>9167</v>
      </c>
      <c r="F1020" t="s">
        <v>29</v>
      </c>
      <c r="G1020" t="s">
        <v>29</v>
      </c>
      <c r="H1020" t="s">
        <v>31</v>
      </c>
      <c r="I1020" t="s">
        <v>8946</v>
      </c>
      <c r="J1020" t="s">
        <v>135</v>
      </c>
      <c r="K1020" t="s">
        <v>9168</v>
      </c>
      <c r="L1020" t="s">
        <v>3566</v>
      </c>
      <c r="M1020" t="s">
        <v>121</v>
      </c>
      <c r="N1020" t="s">
        <v>9169</v>
      </c>
      <c r="O1020" t="s">
        <v>38</v>
      </c>
      <c r="Q1020" t="s">
        <v>40</v>
      </c>
      <c r="R1020" t="s">
        <v>4492</v>
      </c>
      <c r="S1020" t="s">
        <v>9170</v>
      </c>
      <c r="T1020" t="s">
        <v>415</v>
      </c>
      <c r="U1020" t="s">
        <v>43</v>
      </c>
      <c r="V1020" t="s">
        <v>9171</v>
      </c>
      <c r="W1020" t="s">
        <v>9172</v>
      </c>
      <c r="Y1020" t="str">
        <f>HYPERLINK("https://recruiter.shine.com/resume/download/?resumeid=gAAAAABbk2UM8KrMYt46eg5aeegtSFsUhnnbhUGhIsGJ0hqeoBLYUmjdVJGiS2h2ABEZu0hFq7DqsFOBpZxZr0DODtPWIt7g8rhgKqTC_nYBOxxyfT9gYU8wgp72wFuPITxa470FLOLMcnK7uoEOFGNj-MA4qtx87g==")</f>
        <v>https://recruiter.shine.com/resume/download/?resumeid=gAAAAABbk2UM8KrMYt46eg5aeegtSFsUhnnbhUGhIsGJ0hqeoBLYUmjdVJGiS2h2ABEZu0hFq7DqsFOBpZxZr0DODtPWIt7g8rhgKqTC_nYBOxxyfT9gYU8wgp72wFuPITxa470FLOLMcnK7uoEOFGNj-MA4qtx87g==</v>
      </c>
    </row>
    <row r="1021" spans="1:25" ht="39.950000000000003" customHeight="1">
      <c r="A1021">
        <v>1017</v>
      </c>
      <c r="B1021" t="s">
        <v>9173</v>
      </c>
      <c r="D1021" t="s">
        <v>9174</v>
      </c>
      <c r="E1021" t="s">
        <v>9175</v>
      </c>
      <c r="F1021" t="s">
        <v>29</v>
      </c>
      <c r="G1021" t="s">
        <v>67</v>
      </c>
      <c r="H1021" t="s">
        <v>234</v>
      </c>
      <c r="I1021" t="s">
        <v>362</v>
      </c>
      <c r="J1021" t="s">
        <v>135</v>
      </c>
      <c r="L1021" t="s">
        <v>363</v>
      </c>
      <c r="M1021" t="s">
        <v>364</v>
      </c>
      <c r="Q1021" t="s">
        <v>489</v>
      </c>
      <c r="R1021" t="s">
        <v>292</v>
      </c>
      <c r="S1021" t="s">
        <v>9176</v>
      </c>
      <c r="T1021" t="s">
        <v>625</v>
      </c>
      <c r="U1021" t="s">
        <v>127</v>
      </c>
      <c r="V1021" t="s">
        <v>9177</v>
      </c>
      <c r="W1021" t="s">
        <v>9178</v>
      </c>
      <c r="Y1021" t="str">
        <f>HYPERLINK("https://recruiter.shine.com/resume/download/?resumeid=gAAAAABbk2UOJ-t2wkdbziWhkHgjuok07bguZaW6IBvYA8a2ZvDo5c6-kchfkeN6-cdIV-y_-DblHNVjYbyRNb34Flr-c3oNmD8pg8ABNHWiZEK3adzz79mZMugYmBf8WA7pxKdjboa17Y9buH6grzKk9NY2Lpc7nC4BRExpWC4mLDwXPaE_OMQ=")</f>
        <v>https://recruiter.shine.com/resume/download/?resumeid=gAAAAABbk2UOJ-t2wkdbziWhkHgjuok07bguZaW6IBvYA8a2ZvDo5c6-kchfkeN6-cdIV-y_-DblHNVjYbyRNb34Flr-c3oNmD8pg8ABNHWiZEK3adzz79mZMugYmBf8WA7pxKdjboa17Y9buH6grzKk9NY2Lpc7nC4BRExpWC4mLDwXPaE_OMQ=</v>
      </c>
    </row>
    <row r="1022" spans="1:25" ht="39.950000000000003" customHeight="1">
      <c r="A1022">
        <v>1018</v>
      </c>
      <c r="B1022" t="s">
        <v>9179</v>
      </c>
      <c r="C1022" t="s">
        <v>9180</v>
      </c>
      <c r="D1022" t="s">
        <v>9181</v>
      </c>
      <c r="E1022" t="s">
        <v>9182</v>
      </c>
      <c r="F1022" t="s">
        <v>29</v>
      </c>
      <c r="G1022" t="s">
        <v>29</v>
      </c>
      <c r="H1022" t="s">
        <v>31</v>
      </c>
      <c r="I1022" t="s">
        <v>516</v>
      </c>
      <c r="J1022" t="s">
        <v>517</v>
      </c>
      <c r="K1022" t="s">
        <v>9183</v>
      </c>
      <c r="L1022" t="s">
        <v>653</v>
      </c>
      <c r="M1022" t="s">
        <v>121</v>
      </c>
      <c r="N1022" t="s">
        <v>9184</v>
      </c>
      <c r="O1022" t="s">
        <v>56</v>
      </c>
      <c r="P1022" t="s">
        <v>57</v>
      </c>
      <c r="Q1022" t="s">
        <v>123</v>
      </c>
      <c r="R1022" t="s">
        <v>124</v>
      </c>
      <c r="S1022" t="s">
        <v>188</v>
      </c>
      <c r="T1022" t="s">
        <v>144</v>
      </c>
      <c r="U1022" t="s">
        <v>43</v>
      </c>
      <c r="V1022" t="s">
        <v>9185</v>
      </c>
      <c r="W1022" t="s">
        <v>9186</v>
      </c>
      <c r="Y1022" t="str">
        <f>HYPERLINK("https://recruiter.shine.com/resume/download/?resumeid=gAAAAABbk2UKFfLApg6i_E9Dv6jIQHjT4rj1A8GAR1Rowplj69EStqjCBLO_KND2RePtcC3AFmVsUvvpO5e507dAiV6sDv35IBj_igT8VcJCZBliGhGkMAXJHZlu90JzJVRa5vUInF4a-sxOzcC4irdXlRJyxsbVCg==")</f>
        <v>https://recruiter.shine.com/resume/download/?resumeid=gAAAAABbk2UKFfLApg6i_E9Dv6jIQHjT4rj1A8GAR1Rowplj69EStqjCBLO_KND2RePtcC3AFmVsUvvpO5e507dAiV6sDv35IBj_igT8VcJCZBliGhGkMAXJHZlu90JzJVRa5vUInF4a-sxOzcC4irdXlRJyxsbVCg==</v>
      </c>
    </row>
    <row r="1023" spans="1:25" ht="39.950000000000003" customHeight="1">
      <c r="A1023">
        <v>1019</v>
      </c>
      <c r="B1023" t="s">
        <v>9187</v>
      </c>
      <c r="C1023" t="s">
        <v>9188</v>
      </c>
      <c r="D1023" t="s">
        <v>9189</v>
      </c>
      <c r="E1023" t="s">
        <v>9190</v>
      </c>
      <c r="F1023" t="s">
        <v>249</v>
      </c>
      <c r="G1023" t="s">
        <v>9191</v>
      </c>
      <c r="H1023" t="s">
        <v>31</v>
      </c>
      <c r="I1023" t="s">
        <v>633</v>
      </c>
      <c r="J1023" t="s">
        <v>135</v>
      </c>
      <c r="K1023" t="s">
        <v>9192</v>
      </c>
      <c r="L1023" t="s">
        <v>937</v>
      </c>
      <c r="M1023" t="s">
        <v>938</v>
      </c>
      <c r="N1023" t="s">
        <v>9193</v>
      </c>
      <c r="O1023" t="s">
        <v>186</v>
      </c>
      <c r="Q1023" t="s">
        <v>90</v>
      </c>
      <c r="R1023" t="s">
        <v>427</v>
      </c>
      <c r="S1023" t="s">
        <v>9194</v>
      </c>
      <c r="T1023" t="s">
        <v>429</v>
      </c>
      <c r="U1023" t="s">
        <v>43</v>
      </c>
      <c r="V1023" t="s">
        <v>9195</v>
      </c>
      <c r="W1023" t="s">
        <v>9196</v>
      </c>
      <c r="Y1023" t="str">
        <f>HYPERLINK("https://recruiter.shine.com/resume/download/?resumeid=gAAAAABbk2UMSD1ml4Wa73mL2ga1trr3rZp9v0-bwluPSGjBJmINQATNc7aNEqxEIkDChpU0RUzP-k_zFiiQ7wg82IpnrQmXfkHsnc9engGBOSI9u7PDWkgkFs9NJ8MRiJC5jC96HZvQyNcKx_9msYD7jSqF8UqXGw==")</f>
        <v>https://recruiter.shine.com/resume/download/?resumeid=gAAAAABbk2UMSD1ml4Wa73mL2ga1trr3rZp9v0-bwluPSGjBJmINQATNc7aNEqxEIkDChpU0RUzP-k_zFiiQ7wg82IpnrQmXfkHsnc9engGBOSI9u7PDWkgkFs9NJ8MRiJC5jC96HZvQyNcKx_9msYD7jSqF8UqXGw==</v>
      </c>
    </row>
    <row r="1024" spans="1:25" ht="39.950000000000003" customHeight="1">
      <c r="A1024">
        <v>1020</v>
      </c>
      <c r="B1024" t="s">
        <v>3545</v>
      </c>
      <c r="C1024" t="s">
        <v>9197</v>
      </c>
      <c r="D1024" t="s">
        <v>9198</v>
      </c>
      <c r="E1024" t="s">
        <v>9199</v>
      </c>
      <c r="F1024" t="s">
        <v>29</v>
      </c>
      <c r="G1024" t="s">
        <v>67</v>
      </c>
      <c r="H1024" t="s">
        <v>31</v>
      </c>
      <c r="I1024" t="s">
        <v>2354</v>
      </c>
      <c r="J1024" t="s">
        <v>781</v>
      </c>
      <c r="K1024" t="s">
        <v>9200</v>
      </c>
      <c r="L1024" t="s">
        <v>519</v>
      </c>
      <c r="M1024" t="s">
        <v>121</v>
      </c>
      <c r="N1024" t="s">
        <v>2274</v>
      </c>
      <c r="O1024" t="s">
        <v>224</v>
      </c>
      <c r="P1024" t="s">
        <v>57</v>
      </c>
      <c r="Q1024" t="s">
        <v>158</v>
      </c>
      <c r="R1024" t="s">
        <v>864</v>
      </c>
      <c r="S1024" t="s">
        <v>9201</v>
      </c>
      <c r="T1024" t="s">
        <v>561</v>
      </c>
      <c r="U1024" t="s">
        <v>94</v>
      </c>
      <c r="V1024" t="s">
        <v>9202</v>
      </c>
      <c r="W1024" t="s">
        <v>9203</v>
      </c>
      <c r="Y1024" t="str">
        <f>HYPERLINK("https://recruiter.shine.com/resume/download/?resumeid=gAAAAABbk2UOJoZze6zyhoTyJVjRUpE6zuRHP_0l-aZ_sq80k6hwE_otwHfJR4ckYKDlXQrXc4vdQTANGbM8C1FKP8Z0iJeU5qBC-OPOm-4M5CE2-OYBnNLE1xfHPLhqKzRj2NG1YEy_vF_-lvCTBWwD9B9UefuKK60fpn5t2EYmmnQa4RqTKPk=")</f>
        <v>https://recruiter.shine.com/resume/download/?resumeid=gAAAAABbk2UOJoZze6zyhoTyJVjRUpE6zuRHP_0l-aZ_sq80k6hwE_otwHfJR4ckYKDlXQrXc4vdQTANGbM8C1FKP8Z0iJeU5qBC-OPOm-4M5CE2-OYBnNLE1xfHPLhqKzRj2NG1YEy_vF_-lvCTBWwD9B9UefuKK60fpn5t2EYmmnQa4RqTKPk=</v>
      </c>
    </row>
    <row r="1025" spans="1:25" ht="39.950000000000003" customHeight="1">
      <c r="A1025">
        <v>1021</v>
      </c>
      <c r="B1025" t="s">
        <v>9204</v>
      </c>
      <c r="C1025" t="s">
        <v>9205</v>
      </c>
      <c r="D1025" t="s">
        <v>9206</v>
      </c>
      <c r="E1025" t="s">
        <v>9207</v>
      </c>
      <c r="F1025" t="s">
        <v>29</v>
      </c>
      <c r="G1025" t="s">
        <v>9208</v>
      </c>
      <c r="H1025" t="s">
        <v>31</v>
      </c>
      <c r="I1025" t="s">
        <v>68</v>
      </c>
      <c r="J1025" t="s">
        <v>9209</v>
      </c>
      <c r="K1025" t="s">
        <v>3854</v>
      </c>
      <c r="L1025" t="s">
        <v>3757</v>
      </c>
      <c r="M1025" t="s">
        <v>717</v>
      </c>
      <c r="N1025" t="s">
        <v>9210</v>
      </c>
      <c r="O1025" t="s">
        <v>224</v>
      </c>
      <c r="P1025" t="s">
        <v>57</v>
      </c>
      <c r="Q1025" t="s">
        <v>123</v>
      </c>
      <c r="R1025" t="s">
        <v>124</v>
      </c>
      <c r="S1025" t="s">
        <v>188</v>
      </c>
      <c r="T1025" t="s">
        <v>93</v>
      </c>
      <c r="U1025" t="s">
        <v>43</v>
      </c>
      <c r="V1025" t="s">
        <v>9211</v>
      </c>
      <c r="W1025" t="s">
        <v>9212</v>
      </c>
      <c r="Y1025" t="str">
        <f>HYPERLINK("https://recruiter.shine.com/resume/download/?resumeid=gAAAAABbk2ULjgMklFNcDWh3bkzH7owf4RQdNNPefVG-zuPSBMOW3sm0I7Rt-6VZkOvrbnl_enddQ6-Jvmnp14-xDA-3DEi0Ro2Z3M_wrf7kUEwXIZ0dINXmecewQgvOywn4Y0u_KWzqPOBKpTVt84wA5732omVNVQ==")</f>
        <v>https://recruiter.shine.com/resume/download/?resumeid=gAAAAABbk2ULjgMklFNcDWh3bkzH7owf4RQdNNPefVG-zuPSBMOW3sm0I7Rt-6VZkOvrbnl_enddQ6-Jvmnp14-xDA-3DEi0Ro2Z3M_wrf7kUEwXIZ0dINXmecewQgvOywn4Y0u_KWzqPOBKpTVt84wA5732omVNVQ==</v>
      </c>
    </row>
    <row r="1026" spans="1:25" ht="39.950000000000003" customHeight="1">
      <c r="A1026">
        <v>1022</v>
      </c>
      <c r="B1026" t="s">
        <v>9213</v>
      </c>
      <c r="C1026" t="s">
        <v>9214</v>
      </c>
      <c r="D1026" t="s">
        <v>9215</v>
      </c>
      <c r="E1026" t="s">
        <v>9216</v>
      </c>
      <c r="F1026" t="s">
        <v>29</v>
      </c>
      <c r="G1026" t="s">
        <v>29</v>
      </c>
      <c r="I1026" t="s">
        <v>85</v>
      </c>
      <c r="J1026" t="s">
        <v>9217</v>
      </c>
      <c r="K1026" t="s">
        <v>9218</v>
      </c>
      <c r="L1026" t="s">
        <v>155</v>
      </c>
      <c r="M1026" t="s">
        <v>105</v>
      </c>
      <c r="N1026" t="s">
        <v>9219</v>
      </c>
      <c r="O1026" t="s">
        <v>56</v>
      </c>
      <c r="P1026" t="s">
        <v>57</v>
      </c>
      <c r="Q1026" t="s">
        <v>158</v>
      </c>
      <c r="R1026" t="s">
        <v>559</v>
      </c>
      <c r="S1026" t="s">
        <v>9220</v>
      </c>
      <c r="T1026" t="s">
        <v>587</v>
      </c>
      <c r="U1026" t="s">
        <v>43</v>
      </c>
      <c r="V1026" t="s">
        <v>9221</v>
      </c>
      <c r="W1026" t="s">
        <v>9222</v>
      </c>
      <c r="Y1026" t="str">
        <f>HYPERLINK("https://recruiter.shine.com/resume/download/?resumeid=gAAAAABbk2UMH5wvi-XXZAdElUCSCAFth6blNrngFEvmti8qyVY8zlypXT6lGSdEpU8V3wJ3D1TXASQlLgOiZYzhxH-dmK9AxJqRdup8frmrCv0Af-dhenfWmWzyknB8_15yi7P0teKac9hFicp4aaEYYuc3aRRJlw==")</f>
        <v>https://recruiter.shine.com/resume/download/?resumeid=gAAAAABbk2UMH5wvi-XXZAdElUCSCAFth6blNrngFEvmti8qyVY8zlypXT6lGSdEpU8V3wJ3D1TXASQlLgOiZYzhxH-dmK9AxJqRdup8frmrCv0Af-dhenfWmWzyknB8_15yi7P0teKac9hFicp4aaEYYuc3aRRJlw==</v>
      </c>
    </row>
    <row r="1027" spans="1:25" ht="39.950000000000003" customHeight="1">
      <c r="A1027">
        <v>1023</v>
      </c>
      <c r="B1027" t="s">
        <v>9223</v>
      </c>
      <c r="C1027" t="s">
        <v>9224</v>
      </c>
      <c r="D1027" t="s">
        <v>9225</v>
      </c>
      <c r="E1027" t="s">
        <v>9226</v>
      </c>
      <c r="F1027" t="s">
        <v>29</v>
      </c>
      <c r="G1027" t="s">
        <v>67</v>
      </c>
      <c r="H1027" t="s">
        <v>234</v>
      </c>
      <c r="I1027" t="s">
        <v>5489</v>
      </c>
      <c r="J1027" t="s">
        <v>135</v>
      </c>
      <c r="K1027" t="s">
        <v>2607</v>
      </c>
      <c r="L1027" t="s">
        <v>88</v>
      </c>
      <c r="M1027" t="s">
        <v>315</v>
      </c>
      <c r="N1027" t="s">
        <v>9227</v>
      </c>
      <c r="O1027" t="s">
        <v>56</v>
      </c>
      <c r="Q1027" t="s">
        <v>90</v>
      </c>
      <c r="R1027" t="s">
        <v>91</v>
      </c>
      <c r="S1027" t="s">
        <v>9228</v>
      </c>
      <c r="T1027" t="s">
        <v>257</v>
      </c>
      <c r="U1027" t="s">
        <v>43</v>
      </c>
      <c r="V1027" t="s">
        <v>9229</v>
      </c>
      <c r="W1027" t="s">
        <v>9229</v>
      </c>
      <c r="Y1027" t="str">
        <f>HYPERLINK("https://recruiter.shine.com/resume/download/?resumeid=gAAAAABbk2UNwnqJSfXweiUNyzrYz9m4eLCwUnTO5HxoAx-3czO4JJ4cKh16V1AgzNNoby9i3vb1YKeMsdUnGCxEZjnACujawiFmGNfFIkh2UUKsPmOXFYF6Gq5Ha0G1ntxI3rqPwNpaiWk7-JWG3UeoubTjaSQckkA94BQNsZ_IGPtPg0SVSE4=")</f>
        <v>https://recruiter.shine.com/resume/download/?resumeid=gAAAAABbk2UNwnqJSfXweiUNyzrYz9m4eLCwUnTO5HxoAx-3czO4JJ4cKh16V1AgzNNoby9i3vb1YKeMsdUnGCxEZjnACujawiFmGNfFIkh2UUKsPmOXFYF6Gq5Ha0G1ntxI3rqPwNpaiWk7-JWG3UeoubTjaSQckkA94BQNsZ_IGPtPg0SVSE4=</v>
      </c>
    </row>
    <row r="1028" spans="1:25" ht="39.950000000000003" customHeight="1">
      <c r="A1028">
        <v>1024</v>
      </c>
      <c r="B1028" t="s">
        <v>9230</v>
      </c>
      <c r="C1028" t="s">
        <v>3860</v>
      </c>
      <c r="D1028" t="s">
        <v>9231</v>
      </c>
      <c r="E1028" t="s">
        <v>9232</v>
      </c>
      <c r="F1028" t="s">
        <v>29</v>
      </c>
      <c r="G1028" t="s">
        <v>9233</v>
      </c>
      <c r="H1028" t="s">
        <v>31</v>
      </c>
      <c r="I1028" t="s">
        <v>3180</v>
      </c>
      <c r="J1028" t="s">
        <v>135</v>
      </c>
      <c r="K1028" t="s">
        <v>9234</v>
      </c>
      <c r="L1028" t="s">
        <v>88</v>
      </c>
      <c r="M1028" t="s">
        <v>36</v>
      </c>
      <c r="N1028" t="s">
        <v>9235</v>
      </c>
      <c r="O1028" t="s">
        <v>2301</v>
      </c>
      <c r="P1028" t="s">
        <v>57</v>
      </c>
      <c r="Q1028" t="s">
        <v>158</v>
      </c>
      <c r="R1028" t="s">
        <v>559</v>
      </c>
      <c r="S1028" t="s">
        <v>1456</v>
      </c>
      <c r="T1028" t="s">
        <v>761</v>
      </c>
      <c r="U1028" t="s">
        <v>43</v>
      </c>
      <c r="V1028" t="s">
        <v>9236</v>
      </c>
      <c r="W1028" t="s">
        <v>9237</v>
      </c>
      <c r="Y1028" t="str">
        <f>HYPERLINK("https://recruiter.shine.com/resume/download/?resumeid=gAAAAABbk2ULsRzvbBxGVT4qrYGlBMqKrUD-H6JbEC2Y-Zs71o36xV4jjIBol-NmQC4_Bqmwe_oYh1enPf2cnrrlTe73g6NNNS32CC4JAD6Zme_9UAU6auo60apPfC1dTPw3tkY-mIdR7NMYIrzpaj_JPB-sFWS7fuJyJC4FQ8B8-5ug4hR0Rtg=")</f>
        <v>https://recruiter.shine.com/resume/download/?resumeid=gAAAAABbk2ULsRzvbBxGVT4qrYGlBMqKrUD-H6JbEC2Y-Zs71o36xV4jjIBol-NmQC4_Bqmwe_oYh1enPf2cnrrlTe73g6NNNS32CC4JAD6Zme_9UAU6auo60apPfC1dTPw3tkY-mIdR7NMYIrzpaj_JPB-sFWS7fuJyJC4FQ8B8-5ug4hR0Rtg=</v>
      </c>
    </row>
    <row r="1029" spans="1:25" ht="39.950000000000003" customHeight="1">
      <c r="A1029">
        <v>1025</v>
      </c>
      <c r="B1029" t="s">
        <v>9238</v>
      </c>
      <c r="C1029" t="s">
        <v>9239</v>
      </c>
      <c r="D1029" t="s">
        <v>9240</v>
      </c>
      <c r="E1029" t="s">
        <v>9241</v>
      </c>
      <c r="F1029" t="s">
        <v>858</v>
      </c>
      <c r="G1029" t="s">
        <v>2854</v>
      </c>
      <c r="H1029" t="s">
        <v>31</v>
      </c>
      <c r="I1029" t="s">
        <v>208</v>
      </c>
      <c r="J1029" t="s">
        <v>135</v>
      </c>
      <c r="K1029" t="s">
        <v>1686</v>
      </c>
      <c r="L1029" t="s">
        <v>1375</v>
      </c>
      <c r="M1029" t="s">
        <v>315</v>
      </c>
      <c r="N1029" t="s">
        <v>9242</v>
      </c>
      <c r="O1029" t="s">
        <v>186</v>
      </c>
      <c r="P1029" t="s">
        <v>57</v>
      </c>
      <c r="Q1029" t="s">
        <v>123</v>
      </c>
      <c r="R1029" t="s">
        <v>124</v>
      </c>
      <c r="S1029" t="s">
        <v>9243</v>
      </c>
      <c r="T1029" t="s">
        <v>2358</v>
      </c>
      <c r="U1029" t="s">
        <v>43</v>
      </c>
      <c r="V1029" t="s">
        <v>9244</v>
      </c>
      <c r="W1029" t="s">
        <v>9245</v>
      </c>
      <c r="Y1029" t="str">
        <f>HYPERLINK("https://recruiter.shine.com/resume/download/?resumeid=gAAAAABbk2UNvFKqQdLspKi6esGASv5MnUkFyT6acFu1rXzccZYjK7DRRXm7JmkldZ1dVzfrdl-QX2p1RmbOpuThf48ab61bHDQ5zrNlNKdpwQFiDbFk6eEn7AS80XVQQaQzCXieqO8JwNMDbmd8rK_FVJ8-e8WuqShO5nPJJH-cFmDfITE0kNw=")</f>
        <v>https://recruiter.shine.com/resume/download/?resumeid=gAAAAABbk2UNvFKqQdLspKi6esGASv5MnUkFyT6acFu1rXzccZYjK7DRRXm7JmkldZ1dVzfrdl-QX2p1RmbOpuThf48ab61bHDQ5zrNlNKdpwQFiDbFk6eEn7AS80XVQQaQzCXieqO8JwNMDbmd8rK_FVJ8-e8WuqShO5nPJJH-cFmDfITE0kNw=</v>
      </c>
    </row>
    <row r="1030" spans="1:25" ht="39.950000000000003" customHeight="1">
      <c r="A1030">
        <v>1026</v>
      </c>
      <c r="B1030" t="s">
        <v>9246</v>
      </c>
      <c r="C1030" t="s">
        <v>9247</v>
      </c>
      <c r="D1030" t="s">
        <v>9248</v>
      </c>
      <c r="E1030" t="s">
        <v>9249</v>
      </c>
      <c r="F1030" t="s">
        <v>29</v>
      </c>
      <c r="G1030" t="s">
        <v>2854</v>
      </c>
      <c r="H1030" t="s">
        <v>234</v>
      </c>
      <c r="I1030" t="s">
        <v>362</v>
      </c>
      <c r="J1030" t="s">
        <v>135</v>
      </c>
      <c r="L1030" t="s">
        <v>363</v>
      </c>
      <c r="M1030" t="s">
        <v>364</v>
      </c>
      <c r="Q1030" t="s">
        <v>2267</v>
      </c>
      <c r="R1030" t="s">
        <v>2150</v>
      </c>
      <c r="S1030" t="s">
        <v>9250</v>
      </c>
      <c r="T1030" t="s">
        <v>257</v>
      </c>
      <c r="U1030" t="s">
        <v>43</v>
      </c>
      <c r="V1030" t="s">
        <v>9251</v>
      </c>
      <c r="W1030" t="s">
        <v>9252</v>
      </c>
      <c r="Y1030" t="str">
        <f>HYPERLINK("https://recruiter.shine.com/resume/download/?resumeid=gAAAAABbk2UO6UpYkK0V8LNGd6HCqLi3jks36BfSa-201RpxNFp-uA0C7ZDuceqP2BmgqTbwtvdOFMwq2jhsMvGmqPaqcwSQaHbuLVDJrVejEqu_74rQa9QKht3YY6YCEJHKwrhDg7l-88tSv7UmYeEQU3aQDBObmw==")</f>
        <v>https://recruiter.shine.com/resume/download/?resumeid=gAAAAABbk2UO6UpYkK0V8LNGd6HCqLi3jks36BfSa-201RpxNFp-uA0C7ZDuceqP2BmgqTbwtvdOFMwq2jhsMvGmqPaqcwSQaHbuLVDJrVejEqu_74rQa9QKht3YY6YCEJHKwrhDg7l-88tSv7UmYeEQU3aQDBObmw==</v>
      </c>
    </row>
    <row r="1031" spans="1:25" ht="39.950000000000003" customHeight="1">
      <c r="A1031">
        <v>1027</v>
      </c>
      <c r="B1031" t="s">
        <v>9253</v>
      </c>
      <c r="C1031" t="s">
        <v>9254</v>
      </c>
      <c r="D1031" t="s">
        <v>9255</v>
      </c>
      <c r="E1031" t="s">
        <v>9256</v>
      </c>
      <c r="F1031" t="s">
        <v>29</v>
      </c>
      <c r="G1031" t="s">
        <v>29</v>
      </c>
      <c r="H1031" t="s">
        <v>31</v>
      </c>
      <c r="I1031" t="s">
        <v>4034</v>
      </c>
      <c r="J1031" t="s">
        <v>715</v>
      </c>
      <c r="K1031" t="s">
        <v>989</v>
      </c>
      <c r="L1031" t="s">
        <v>290</v>
      </c>
      <c r="M1031" t="s">
        <v>238</v>
      </c>
      <c r="N1031" t="s">
        <v>2786</v>
      </c>
      <c r="O1031" t="s">
        <v>56</v>
      </c>
      <c r="P1031" t="s">
        <v>57</v>
      </c>
      <c r="Q1031" t="s">
        <v>90</v>
      </c>
      <c r="R1031" t="s">
        <v>292</v>
      </c>
      <c r="S1031" t="s">
        <v>9257</v>
      </c>
      <c r="T1031" t="s">
        <v>441</v>
      </c>
      <c r="U1031" t="s">
        <v>94</v>
      </c>
      <c r="V1031" t="s">
        <v>9258</v>
      </c>
      <c r="W1031" t="s">
        <v>9259</v>
      </c>
      <c r="Y1031" t="str">
        <f>HYPERLINK("https://recruiter.shine.com/resume/download/?resumeid=gAAAAABbk2UKtHaZrziG2DJI7ok8fIkBHbCZ2Wx3ns0CVHSgXpDSEwqciHoZANDuNR9OQjqkOR3mMwxfIBoxq1vsvardTfPLEemoSY9ICxNuPN5LK9e5_7_ZLILmAyQX6KLkMGW3G8FzWt3x6jP_fcGjGWxg8nN9Dg==")</f>
        <v>https://recruiter.shine.com/resume/download/?resumeid=gAAAAABbk2UKtHaZrziG2DJI7ok8fIkBHbCZ2Wx3ns0CVHSgXpDSEwqciHoZANDuNR9OQjqkOR3mMwxfIBoxq1vsvardTfPLEemoSY9ICxNuPN5LK9e5_7_ZLILmAyQX6KLkMGW3G8FzWt3x6jP_fcGjGWxg8nN9Dg==</v>
      </c>
    </row>
    <row r="1032" spans="1:25" ht="39.950000000000003" customHeight="1">
      <c r="A1032">
        <v>1028</v>
      </c>
      <c r="B1032" t="s">
        <v>9260</v>
      </c>
      <c r="C1032" t="s">
        <v>9261</v>
      </c>
      <c r="D1032" t="s">
        <v>9262</v>
      </c>
      <c r="E1032" t="s">
        <v>9263</v>
      </c>
      <c r="F1032" t="s">
        <v>29</v>
      </c>
      <c r="G1032" t="s">
        <v>29</v>
      </c>
      <c r="H1032" t="s">
        <v>234</v>
      </c>
      <c r="I1032" t="s">
        <v>50</v>
      </c>
      <c r="J1032" t="s">
        <v>437</v>
      </c>
      <c r="K1032" t="s">
        <v>183</v>
      </c>
      <c r="L1032" t="s">
        <v>184</v>
      </c>
      <c r="M1032" t="s">
        <v>238</v>
      </c>
      <c r="N1032" t="s">
        <v>9264</v>
      </c>
      <c r="O1032" t="s">
        <v>224</v>
      </c>
      <c r="P1032" t="s">
        <v>771</v>
      </c>
      <c r="Q1032" t="s">
        <v>187</v>
      </c>
      <c r="R1032" t="s">
        <v>124</v>
      </c>
      <c r="S1032" t="s">
        <v>188</v>
      </c>
      <c r="T1032" t="s">
        <v>110</v>
      </c>
      <c r="U1032" t="s">
        <v>43</v>
      </c>
      <c r="V1032" t="s">
        <v>9265</v>
      </c>
      <c r="W1032" t="s">
        <v>9266</v>
      </c>
      <c r="Y1032" t="str">
        <f>HYPERLINK("https://recruiter.shine.com/resume/download/?resumeid=gAAAAABbk2UMRfH1UTuAQ9Snpvd5-cbRiR-jgSKRS0S17Fr1t1cigMZWOuqCeCQ7CAA8XMlKGHT9rV2Fwever_uwygycOkEt3AYIOkZva8c2Voc5C6cPyRyCnSpULtYmRUCs2b63VVgU8_JgeOFOKthXgp0k7X4vag==")</f>
        <v>https://recruiter.shine.com/resume/download/?resumeid=gAAAAABbk2UMRfH1UTuAQ9Snpvd5-cbRiR-jgSKRS0S17Fr1t1cigMZWOuqCeCQ7CAA8XMlKGHT9rV2Fwever_uwygycOkEt3AYIOkZva8c2Voc5C6cPyRyCnSpULtYmRUCs2b63VVgU8_JgeOFOKthXgp0k7X4vag==</v>
      </c>
    </row>
    <row r="1033" spans="1:25" ht="39.950000000000003" customHeight="1">
      <c r="A1033">
        <v>1029</v>
      </c>
      <c r="B1033" t="s">
        <v>9267</v>
      </c>
      <c r="C1033" t="s">
        <v>9268</v>
      </c>
      <c r="D1033" t="s">
        <v>9269</v>
      </c>
      <c r="E1033" t="s">
        <v>9270</v>
      </c>
      <c r="F1033" t="s">
        <v>29</v>
      </c>
      <c r="G1033" t="s">
        <v>67</v>
      </c>
      <c r="H1033" t="s">
        <v>31</v>
      </c>
      <c r="I1033" t="s">
        <v>196</v>
      </c>
      <c r="J1033" t="s">
        <v>4059</v>
      </c>
      <c r="K1033" t="s">
        <v>9271</v>
      </c>
      <c r="L1033" t="s">
        <v>184</v>
      </c>
      <c r="M1033" t="s">
        <v>238</v>
      </c>
      <c r="N1033" t="s">
        <v>9272</v>
      </c>
      <c r="O1033" t="s">
        <v>38</v>
      </c>
      <c r="Q1033" t="s">
        <v>123</v>
      </c>
      <c r="R1033" t="s">
        <v>124</v>
      </c>
      <c r="S1033" t="s">
        <v>951</v>
      </c>
      <c r="T1033" t="s">
        <v>61</v>
      </c>
      <c r="U1033" t="s">
        <v>43</v>
      </c>
      <c r="V1033" t="s">
        <v>9273</v>
      </c>
      <c r="W1033" t="s">
        <v>9273</v>
      </c>
      <c r="Y1033" t="str">
        <f>HYPERLINK("https://recruiter.shine.com/resume/download/?resumeid=gAAAAABbk2UNBS32IS2FYjVR769o-YFX5tyO0z3xllXeV_uR8RhU7kCXe_dMq9tDLZnJRoliJJTJ2oiy2Gz239jcMH49u7FNld74YeAsuU3ZIR0-KFa5fn-FcUkXdEiuEFFAu5wt0F6jIbJq9U-BiA6Xanr_tx07pu9ZVoE7cAb6khCPbfU08kg=")</f>
        <v>https://recruiter.shine.com/resume/download/?resumeid=gAAAAABbk2UNBS32IS2FYjVR769o-YFX5tyO0z3xllXeV_uR8RhU7kCXe_dMq9tDLZnJRoliJJTJ2oiy2Gz239jcMH49u7FNld74YeAsuU3ZIR0-KFa5fn-FcUkXdEiuEFFAu5wt0F6jIbJq9U-BiA6Xanr_tx07pu9ZVoE7cAb6khCPbfU08kg=</v>
      </c>
    </row>
    <row r="1034" spans="1:25" ht="39.950000000000003" customHeight="1">
      <c r="A1034">
        <v>1030</v>
      </c>
      <c r="B1034" t="s">
        <v>9274</v>
      </c>
      <c r="C1034" t="s">
        <v>9275</v>
      </c>
      <c r="D1034" t="s">
        <v>9276</v>
      </c>
      <c r="E1034" t="s">
        <v>9277</v>
      </c>
      <c r="F1034" t="s">
        <v>29</v>
      </c>
      <c r="G1034" t="s">
        <v>9278</v>
      </c>
      <c r="H1034" t="s">
        <v>31</v>
      </c>
      <c r="I1034" t="s">
        <v>9279</v>
      </c>
      <c r="J1034" t="s">
        <v>5076</v>
      </c>
      <c r="K1034" t="s">
        <v>9280</v>
      </c>
      <c r="L1034" t="s">
        <v>155</v>
      </c>
      <c r="M1034" t="s">
        <v>54</v>
      </c>
      <c r="N1034" t="s">
        <v>9281</v>
      </c>
      <c r="O1034" t="s">
        <v>157</v>
      </c>
      <c r="P1034" t="s">
        <v>73</v>
      </c>
      <c r="Q1034" t="s">
        <v>107</v>
      </c>
      <c r="R1034" t="s">
        <v>2346</v>
      </c>
      <c r="S1034" t="s">
        <v>2018</v>
      </c>
      <c r="T1034" t="s">
        <v>161</v>
      </c>
      <c r="U1034" t="s">
        <v>43</v>
      </c>
      <c r="V1034" t="s">
        <v>9282</v>
      </c>
      <c r="W1034" t="s">
        <v>9283</v>
      </c>
      <c r="Y1034" t="str">
        <f>HYPERLINK("https://recruiter.shine.com/resume/download/?resumeid=gAAAAABbk2UK149XOzHCnJVZmtMvzPEoh8B3T5ql_Vlq-ZWpPlzGDyueqFYnnxFgZUEa4mZx3bUNYwDoMVBw_YKJlGBwZ8RfvpNao0KkIdbaAYw4wifzbGRMpr0UVxcuNOXY9KSuwNy5_92Sfs3fyUyShBRK8kG5nLgzEFPtiLWFzXSHBcAhpK0=")</f>
        <v>https://recruiter.shine.com/resume/download/?resumeid=gAAAAABbk2UK149XOzHCnJVZmtMvzPEoh8B3T5ql_Vlq-ZWpPlzGDyueqFYnnxFgZUEa4mZx3bUNYwDoMVBw_YKJlGBwZ8RfvpNao0KkIdbaAYw4wifzbGRMpr0UVxcuNOXY9KSuwNy5_92Sfs3fyUyShBRK8kG5nLgzEFPtiLWFzXSHBcAhpK0=</v>
      </c>
    </row>
    <row r="1035" spans="1:25" ht="39.950000000000003" customHeight="1">
      <c r="A1035">
        <v>1031</v>
      </c>
      <c r="B1035" t="s">
        <v>9284</v>
      </c>
      <c r="C1035" t="s">
        <v>3336</v>
      </c>
      <c r="D1035" t="s">
        <v>9285</v>
      </c>
      <c r="E1035" t="s">
        <v>9286</v>
      </c>
      <c r="F1035" t="s">
        <v>29</v>
      </c>
      <c r="G1035" t="s">
        <v>29</v>
      </c>
      <c r="H1035" t="s">
        <v>31</v>
      </c>
      <c r="I1035" t="s">
        <v>1038</v>
      </c>
      <c r="J1035" t="s">
        <v>3265</v>
      </c>
      <c r="K1035" t="s">
        <v>9287</v>
      </c>
      <c r="L1035" t="s">
        <v>664</v>
      </c>
      <c r="M1035" t="s">
        <v>105</v>
      </c>
      <c r="N1035" t="s">
        <v>9288</v>
      </c>
      <c r="O1035" t="s">
        <v>56</v>
      </c>
      <c r="P1035" t="s">
        <v>57</v>
      </c>
      <c r="Q1035" t="s">
        <v>158</v>
      </c>
      <c r="R1035" t="s">
        <v>341</v>
      </c>
      <c r="S1035" t="s">
        <v>9289</v>
      </c>
      <c r="T1035" t="s">
        <v>61</v>
      </c>
      <c r="U1035" t="s">
        <v>127</v>
      </c>
      <c r="V1035" t="s">
        <v>9290</v>
      </c>
      <c r="W1035" t="s">
        <v>9291</v>
      </c>
      <c r="Y1035" t="str">
        <f>HYPERLINK("https://recruiter.shine.com/resume/download/?resumeid=gAAAAABbk2UNsrhuLTdAiggxh38ax8z_VwzIOI8cI1sWTm8Ohm0OyW5RH-dgpSY1HmVG0gPK1sTyl4CIdmHPXwBELPiOr7vidQMCKgoPTmQZA-oDC51nJ0QMyHxbu7wCHzXVA_K8y9uyOnH9ZkJ1gdOmC2BSFoqFsA==")</f>
        <v>https://recruiter.shine.com/resume/download/?resumeid=gAAAAABbk2UNsrhuLTdAiggxh38ax8z_VwzIOI8cI1sWTm8Ohm0OyW5RH-dgpSY1HmVG0gPK1sTyl4CIdmHPXwBELPiOr7vidQMCKgoPTmQZA-oDC51nJ0QMyHxbu7wCHzXVA_K8y9uyOnH9ZkJ1gdOmC2BSFoqFsA==</v>
      </c>
    </row>
    <row r="1036" spans="1:25" ht="39.950000000000003" customHeight="1">
      <c r="A1036">
        <v>1032</v>
      </c>
      <c r="B1036" t="s">
        <v>9292</v>
      </c>
      <c r="D1036" t="s">
        <v>9293</v>
      </c>
      <c r="E1036" t="s">
        <v>9294</v>
      </c>
      <c r="F1036" t="s">
        <v>29</v>
      </c>
      <c r="H1036" t="s">
        <v>31</v>
      </c>
      <c r="I1036" t="s">
        <v>32</v>
      </c>
      <c r="J1036" t="s">
        <v>4059</v>
      </c>
      <c r="K1036" t="s">
        <v>9295</v>
      </c>
      <c r="L1036" t="s">
        <v>199</v>
      </c>
      <c r="M1036" t="s">
        <v>684</v>
      </c>
      <c r="N1036" t="s">
        <v>9296</v>
      </c>
      <c r="O1036" t="s">
        <v>848</v>
      </c>
      <c r="Q1036" t="s">
        <v>365</v>
      </c>
      <c r="R1036" t="s">
        <v>2230</v>
      </c>
      <c r="S1036" t="s">
        <v>9297</v>
      </c>
      <c r="T1036" t="s">
        <v>1746</v>
      </c>
      <c r="U1036" t="s">
        <v>127</v>
      </c>
      <c r="V1036" t="s">
        <v>9298</v>
      </c>
      <c r="W1036" t="s">
        <v>9299</v>
      </c>
      <c r="Y1036" t="str">
        <f>HYPERLINK("https://recruiter.shine.com/resume/download/?resumeid=gAAAAABbk2UO-8sP_AK97Txa6aOtCo-1WiwtmnOAz8RUpEjgXXbL-MiCzW16WWPaDzKTZCOmr1zBDOIoB-m-jAJLKUzU9oHZhZy68C_o60EgpE3e6RCmbFDVT_gK7WHqelnyhvFNP59zOyy3cOro1LTLWUVoG7DBRg==")</f>
        <v>https://recruiter.shine.com/resume/download/?resumeid=gAAAAABbk2UO-8sP_AK97Txa6aOtCo-1WiwtmnOAz8RUpEjgXXbL-MiCzW16WWPaDzKTZCOmr1zBDOIoB-m-jAJLKUzU9oHZhZy68C_o60EgpE3e6RCmbFDVT_gK7WHqelnyhvFNP59zOyy3cOro1LTLWUVoG7DBRg==</v>
      </c>
    </row>
    <row r="1037" spans="1:25" ht="39.950000000000003" customHeight="1">
      <c r="A1037">
        <v>1033</v>
      </c>
      <c r="B1037" t="s">
        <v>9300</v>
      </c>
      <c r="C1037" t="s">
        <v>9301</v>
      </c>
      <c r="D1037" t="s">
        <v>9302</v>
      </c>
      <c r="E1037" t="s">
        <v>9303</v>
      </c>
      <c r="F1037" t="s">
        <v>29</v>
      </c>
      <c r="G1037" t="s">
        <v>29</v>
      </c>
      <c r="H1037" t="s">
        <v>31</v>
      </c>
      <c r="I1037" t="s">
        <v>4677</v>
      </c>
      <c r="J1037" t="s">
        <v>9304</v>
      </c>
      <c r="K1037" t="s">
        <v>9305</v>
      </c>
      <c r="L1037" t="s">
        <v>184</v>
      </c>
      <c r="M1037" t="s">
        <v>473</v>
      </c>
      <c r="N1037" t="s">
        <v>9306</v>
      </c>
      <c r="O1037" t="s">
        <v>56</v>
      </c>
      <c r="P1037" t="s">
        <v>57</v>
      </c>
      <c r="Q1037" t="s">
        <v>90</v>
      </c>
      <c r="R1037" t="s">
        <v>292</v>
      </c>
      <c r="S1037" t="s">
        <v>9307</v>
      </c>
      <c r="T1037" t="s">
        <v>144</v>
      </c>
      <c r="U1037" t="s">
        <v>43</v>
      </c>
      <c r="V1037" t="s">
        <v>9308</v>
      </c>
      <c r="W1037" t="s">
        <v>9309</v>
      </c>
      <c r="Y1037" t="str">
        <f>HYPERLINK("https://recruiter.shine.com/resume/download/?resumeid=gAAAAABbk2UKr9DLrUEvXafRw0jjWtawCGvDr6HEzWXgBWVdOfKBkdo-dkW7q4dHU5ygNrfXMjRKbjF-UL57MSgr9ImH0wE4eyZuygXg1A3FofASGVMWmhQ2n4tlLXD7EfB5waUXUhVxwaY4ZDzBD8SvDuoXQr78KshA2c1foRJCRFau-ko1Kpg=")</f>
        <v>https://recruiter.shine.com/resume/download/?resumeid=gAAAAABbk2UKr9DLrUEvXafRw0jjWtawCGvDr6HEzWXgBWVdOfKBkdo-dkW7q4dHU5ygNrfXMjRKbjF-UL57MSgr9ImH0wE4eyZuygXg1A3FofASGVMWmhQ2n4tlLXD7EfB5waUXUhVxwaY4ZDzBD8SvDuoXQr78KshA2c1foRJCRFau-ko1Kpg=</v>
      </c>
    </row>
    <row r="1038" spans="1:25" ht="39.950000000000003" customHeight="1">
      <c r="A1038">
        <v>1034</v>
      </c>
      <c r="B1038" t="s">
        <v>9310</v>
      </c>
      <c r="D1038" t="s">
        <v>9311</v>
      </c>
      <c r="E1038" t="s">
        <v>9312</v>
      </c>
      <c r="F1038" t="s">
        <v>29</v>
      </c>
      <c r="G1038" t="s">
        <v>29</v>
      </c>
      <c r="H1038" t="s">
        <v>234</v>
      </c>
      <c r="I1038" t="s">
        <v>9313</v>
      </c>
      <c r="J1038" t="s">
        <v>3071</v>
      </c>
      <c r="K1038" t="s">
        <v>9314</v>
      </c>
      <c r="L1038" t="s">
        <v>6163</v>
      </c>
      <c r="M1038" t="s">
        <v>315</v>
      </c>
      <c r="N1038" t="s">
        <v>9315</v>
      </c>
      <c r="O1038" t="s">
        <v>585</v>
      </c>
      <c r="Q1038" t="s">
        <v>1957</v>
      </c>
      <c r="R1038" t="s">
        <v>1379</v>
      </c>
      <c r="S1038" t="s">
        <v>188</v>
      </c>
      <c r="T1038" t="s">
        <v>161</v>
      </c>
      <c r="U1038" t="s">
        <v>43</v>
      </c>
      <c r="V1038" t="s">
        <v>9316</v>
      </c>
      <c r="W1038" t="s">
        <v>9317</v>
      </c>
      <c r="Y1038" t="str">
        <f>HYPERLINK("https://recruiter.shine.com/resume/download/?resumeid=gAAAAABbk2UMKmICokfqUYut5raiIviOMiNGQH7cLSsp4H9k5AGJCZB5u2yEBfMaFyysZqEhZVuX7FdID2b0nXB4P6y2UA523W0xweLT1hht8aNb_YL47rX4BBBS2kCLxw_ql6svigAixY6AO1AEJ66wJx3mS835Qw==")</f>
        <v>https://recruiter.shine.com/resume/download/?resumeid=gAAAAABbk2UMKmICokfqUYut5raiIviOMiNGQH7cLSsp4H9k5AGJCZB5u2yEBfMaFyysZqEhZVuX7FdID2b0nXB4P6y2UA523W0xweLT1hht8aNb_YL47rX4BBBS2kCLxw_ql6svigAixY6AO1AEJ66wJx3mS835Qw==</v>
      </c>
    </row>
    <row r="1039" spans="1:25" ht="39.950000000000003" customHeight="1">
      <c r="A1039">
        <v>1035</v>
      </c>
      <c r="B1039" t="s">
        <v>9318</v>
      </c>
      <c r="D1039" t="s">
        <v>9319</v>
      </c>
      <c r="E1039" t="s">
        <v>9320</v>
      </c>
      <c r="F1039" t="s">
        <v>29</v>
      </c>
      <c r="G1039" t="s">
        <v>67</v>
      </c>
      <c r="H1039" t="s">
        <v>31</v>
      </c>
      <c r="I1039" t="s">
        <v>4780</v>
      </c>
      <c r="J1039" t="s">
        <v>781</v>
      </c>
      <c r="K1039" t="s">
        <v>9321</v>
      </c>
      <c r="L1039" t="s">
        <v>4096</v>
      </c>
      <c r="M1039" t="s">
        <v>1356</v>
      </c>
      <c r="N1039" t="s">
        <v>9322</v>
      </c>
      <c r="O1039" t="s">
        <v>224</v>
      </c>
      <c r="Q1039" t="s">
        <v>158</v>
      </c>
      <c r="R1039" t="s">
        <v>142</v>
      </c>
      <c r="S1039" t="s">
        <v>9323</v>
      </c>
      <c r="T1039" t="s">
        <v>1921</v>
      </c>
      <c r="U1039" t="s">
        <v>43</v>
      </c>
      <c r="V1039" t="s">
        <v>9324</v>
      </c>
      <c r="W1039" t="s">
        <v>9325</v>
      </c>
      <c r="Y1039" t="str">
        <f>HYPERLINK("https://recruiter.shine.com/resume/download/?resumeid=gAAAAABbk2UOZwXB_0Ge8q0ioIbFWx6lO3Fc2jamkW6wEI4TL_A_d_i0tjXsZcGaYF37sdjqyG1hTK5BRBSVhoqgPLwWj8m9ZPtahA3IFhGhwaK2nxdWzv6Xhz5NklJ-S_S4uhcDyS14bzrukOo2HByDl98JuVnfBV618H75L7saaD3OYfpFjaU=")</f>
        <v>https://recruiter.shine.com/resume/download/?resumeid=gAAAAABbk2UOZwXB_0Ge8q0ioIbFWx6lO3Fc2jamkW6wEI4TL_A_d_i0tjXsZcGaYF37sdjqyG1hTK5BRBSVhoqgPLwWj8m9ZPtahA3IFhGhwaK2nxdWzv6Xhz5NklJ-S_S4uhcDyS14bzrukOo2HByDl98JuVnfBV618H75L7saaD3OYfpFjaU=</v>
      </c>
    </row>
    <row r="1040" spans="1:25" ht="39.950000000000003" customHeight="1">
      <c r="A1040">
        <v>1036</v>
      </c>
      <c r="B1040" t="s">
        <v>9326</v>
      </c>
      <c r="C1040" t="s">
        <v>9327</v>
      </c>
      <c r="D1040" t="s">
        <v>9328</v>
      </c>
      <c r="E1040" t="s">
        <v>9329</v>
      </c>
      <c r="F1040" t="s">
        <v>29</v>
      </c>
      <c r="G1040" t="s">
        <v>9025</v>
      </c>
      <c r="H1040" t="s">
        <v>234</v>
      </c>
      <c r="I1040" t="s">
        <v>4677</v>
      </c>
      <c r="J1040" t="s">
        <v>1050</v>
      </c>
      <c r="K1040" t="s">
        <v>9330</v>
      </c>
      <c r="L1040" t="s">
        <v>2423</v>
      </c>
      <c r="M1040" t="s">
        <v>487</v>
      </c>
      <c r="N1040" t="s">
        <v>239</v>
      </c>
      <c r="O1040" t="s">
        <v>38</v>
      </c>
      <c r="P1040" t="s">
        <v>57</v>
      </c>
      <c r="Q1040" t="s">
        <v>783</v>
      </c>
      <c r="R1040" t="s">
        <v>41</v>
      </c>
      <c r="S1040" t="s">
        <v>9331</v>
      </c>
      <c r="T1040" t="s">
        <v>2078</v>
      </c>
      <c r="U1040" t="s">
        <v>94</v>
      </c>
      <c r="V1040" t="s">
        <v>9332</v>
      </c>
      <c r="W1040" t="s">
        <v>9332</v>
      </c>
      <c r="Y1040" t="str">
        <f>HYPERLINK("https://recruiter.shine.com/resume/download/?resumeid=gAAAAABbk2UKhWHCz46uM2SUiC7AcQ6PstifwTCkZHCEwI_KUIooQ4wLrDz8fZmQlUtZVnCBSO7mjl3WyJfuenImM-G0ZhqnAMpqTn4uSw88EvABlKkv4_WAPXSAHoCsxeRg4DreqWfT-n3O7019mKFO6_Fea-LSbw==")</f>
        <v>https://recruiter.shine.com/resume/download/?resumeid=gAAAAABbk2UKhWHCz46uM2SUiC7AcQ6PstifwTCkZHCEwI_KUIooQ4wLrDz8fZmQlUtZVnCBSO7mjl3WyJfuenImM-G0ZhqnAMpqTn4uSw88EvABlKkv4_WAPXSAHoCsxeRg4DreqWfT-n3O7019mKFO6_Fea-LSbw==</v>
      </c>
    </row>
    <row r="1041" spans="1:25" ht="39.950000000000003" customHeight="1">
      <c r="A1041">
        <v>1037</v>
      </c>
      <c r="B1041" t="s">
        <v>9333</v>
      </c>
      <c r="D1041" t="s">
        <v>9334</v>
      </c>
      <c r="E1041" t="s">
        <v>9335</v>
      </c>
      <c r="F1041" t="s">
        <v>29</v>
      </c>
      <c r="G1041" t="s">
        <v>29</v>
      </c>
      <c r="I1041" t="s">
        <v>362</v>
      </c>
      <c r="J1041" t="s">
        <v>135</v>
      </c>
      <c r="L1041" t="s">
        <v>363</v>
      </c>
      <c r="M1041" t="s">
        <v>364</v>
      </c>
      <c r="Q1041" t="s">
        <v>123</v>
      </c>
      <c r="R1041" t="s">
        <v>124</v>
      </c>
      <c r="S1041" t="s">
        <v>188</v>
      </c>
      <c r="T1041" t="s">
        <v>429</v>
      </c>
      <c r="U1041" t="s">
        <v>43</v>
      </c>
      <c r="V1041" t="s">
        <v>9336</v>
      </c>
      <c r="W1041" t="s">
        <v>9337</v>
      </c>
      <c r="Y1041" t="str">
        <f>HYPERLINK("https://recruiter.shine.com/resume/download/?resumeid=gAAAAABbk2UM3TLb2-MdoXstDPnuskMpxGassnLZ-zlZRPSUuUt5AvpIfgEHeKWtb6xWRDJFQKvB9KRVd0c9fwNr4rygoOHhi9b7Es9oFsfONeo60CoewLB6Mx37GmDC2zNM9-SslfaPhGfHtPgcFOY7FEK_Ho9VHEu_o4fsQOE-A3E3scfvuDg=")</f>
        <v>https://recruiter.shine.com/resume/download/?resumeid=gAAAAABbk2UM3TLb2-MdoXstDPnuskMpxGassnLZ-zlZRPSUuUt5AvpIfgEHeKWtb6xWRDJFQKvB9KRVd0c9fwNr4rygoOHhi9b7Es9oFsfONeo60CoewLB6Mx37GmDC2zNM9-SslfaPhGfHtPgcFOY7FEK_Ho9VHEu_o4fsQOE-A3E3scfvuDg=</v>
      </c>
    </row>
    <row r="1042" spans="1:25" ht="39.950000000000003" customHeight="1">
      <c r="A1042">
        <v>1038</v>
      </c>
      <c r="B1042" t="s">
        <v>9338</v>
      </c>
      <c r="C1042" t="s">
        <v>9339</v>
      </c>
      <c r="D1042" t="s">
        <v>9340</v>
      </c>
      <c r="E1042" t="s">
        <v>9341</v>
      </c>
      <c r="F1042" t="s">
        <v>29</v>
      </c>
      <c r="G1042" t="s">
        <v>67</v>
      </c>
      <c r="H1042" t="s">
        <v>31</v>
      </c>
      <c r="I1042" t="s">
        <v>134</v>
      </c>
      <c r="J1042" t="s">
        <v>3214</v>
      </c>
      <c r="K1042" t="s">
        <v>9342</v>
      </c>
      <c r="L1042" t="s">
        <v>199</v>
      </c>
      <c r="M1042" t="s">
        <v>54</v>
      </c>
      <c r="N1042" t="s">
        <v>6058</v>
      </c>
      <c r="O1042" t="s">
        <v>475</v>
      </c>
      <c r="P1042" t="s">
        <v>39</v>
      </c>
      <c r="Q1042" t="s">
        <v>58</v>
      </c>
      <c r="R1042" t="s">
        <v>59</v>
      </c>
      <c r="S1042" t="s">
        <v>9343</v>
      </c>
      <c r="T1042" t="s">
        <v>415</v>
      </c>
      <c r="U1042" t="s">
        <v>43</v>
      </c>
      <c r="V1042" t="s">
        <v>9344</v>
      </c>
      <c r="W1042" t="s">
        <v>9345</v>
      </c>
      <c r="Y1042" t="str">
        <f>HYPERLINK("https://recruiter.shine.com/resume/download/?resumeid=gAAAAABbk2UO2D3qSnKT3zxM4AVQdHiU6SsXlSQr5cb8eLosSSlIAOsfuuoPveQhytFWiBcJMZ3hsaPuvAhpAkUWE2Xn54DmjUz3IJsccAfLF4sZkuq8S-Ygg_kwF6pCh3raGZ4b1dh2TYRDc36dqej7DTJyZojfvpyIKVwvcR702bRh5ew0t3Y=")</f>
        <v>https://recruiter.shine.com/resume/download/?resumeid=gAAAAABbk2UO2D3qSnKT3zxM4AVQdHiU6SsXlSQr5cb8eLosSSlIAOsfuuoPveQhytFWiBcJMZ3hsaPuvAhpAkUWE2Xn54DmjUz3IJsccAfLF4sZkuq8S-Ygg_kwF6pCh3raGZ4b1dh2TYRDc36dqej7DTJyZojfvpyIKVwvcR702bRh5ew0t3Y=</v>
      </c>
    </row>
    <row r="1043" spans="1:25" ht="39.950000000000003" customHeight="1">
      <c r="A1043">
        <v>1039</v>
      </c>
      <c r="B1043" t="s">
        <v>9346</v>
      </c>
      <c r="C1043" t="s">
        <v>9347</v>
      </c>
      <c r="D1043" t="s">
        <v>9348</v>
      </c>
      <c r="E1043" t="s">
        <v>9349</v>
      </c>
      <c r="F1043" t="s">
        <v>29</v>
      </c>
      <c r="G1043" t="s">
        <v>9350</v>
      </c>
      <c r="H1043" t="s">
        <v>31</v>
      </c>
      <c r="I1043" t="s">
        <v>134</v>
      </c>
      <c r="J1043" t="s">
        <v>9351</v>
      </c>
      <c r="K1043" t="s">
        <v>9352</v>
      </c>
      <c r="L1043" t="s">
        <v>664</v>
      </c>
      <c r="M1043" t="s">
        <v>105</v>
      </c>
      <c r="N1043" t="s">
        <v>9353</v>
      </c>
      <c r="O1043" t="s">
        <v>186</v>
      </c>
      <c r="P1043" t="s">
        <v>73</v>
      </c>
      <c r="Q1043" t="s">
        <v>107</v>
      </c>
      <c r="R1043" t="s">
        <v>159</v>
      </c>
      <c r="S1043" t="s">
        <v>9354</v>
      </c>
      <c r="T1043" t="s">
        <v>415</v>
      </c>
      <c r="U1043" t="s">
        <v>43</v>
      </c>
      <c r="V1043" t="s">
        <v>9355</v>
      </c>
      <c r="W1043" t="s">
        <v>9356</v>
      </c>
      <c r="Y1043" t="str">
        <f>HYPERLINK("https://recruiter.shine.com/resume/download/?resumeid=gAAAAABbk2UKUsahGDLKFGMMHF1V-TIkl9xhip6F3jSJ_M8ezKKu71eSCoE8MwAUxyntk60rOnFrE5f6QoPmDieSaD33QR_SeEJBIV99I1xypTiZWMGISOrDvv-ddcrorkVnofQogTsrL31GADr3wMo5Iyuep8TOlhRA0x3ETYVrfqP49a3f4ZA=")</f>
        <v>https://recruiter.shine.com/resume/download/?resumeid=gAAAAABbk2UKUsahGDLKFGMMHF1V-TIkl9xhip6F3jSJ_M8ezKKu71eSCoE8MwAUxyntk60rOnFrE5f6QoPmDieSaD33QR_SeEJBIV99I1xypTiZWMGISOrDvv-ddcrorkVnofQogTsrL31GADr3wMo5Iyuep8TOlhRA0x3ETYVrfqP49a3f4ZA=</v>
      </c>
    </row>
    <row r="1044" spans="1:25" ht="39.950000000000003" customHeight="1">
      <c r="A1044">
        <v>1040</v>
      </c>
      <c r="B1044" t="s">
        <v>9357</v>
      </c>
      <c r="D1044" t="s">
        <v>9358</v>
      </c>
      <c r="E1044" t="s">
        <v>9359</v>
      </c>
      <c r="F1044" t="s">
        <v>29</v>
      </c>
      <c r="G1044" t="s">
        <v>29</v>
      </c>
      <c r="H1044" t="s">
        <v>234</v>
      </c>
      <c r="I1044" t="s">
        <v>362</v>
      </c>
      <c r="J1044" t="s">
        <v>135</v>
      </c>
      <c r="L1044" t="s">
        <v>363</v>
      </c>
      <c r="M1044" t="s">
        <v>364</v>
      </c>
      <c r="Q1044" t="s">
        <v>107</v>
      </c>
      <c r="R1044" t="s">
        <v>642</v>
      </c>
      <c r="S1044" t="s">
        <v>188</v>
      </c>
      <c r="T1044" t="s">
        <v>429</v>
      </c>
      <c r="U1044" t="s">
        <v>43</v>
      </c>
      <c r="V1044" t="s">
        <v>9360</v>
      </c>
      <c r="W1044" t="s">
        <v>9360</v>
      </c>
      <c r="Y1044" t="str">
        <f>HYPERLINK("https://recruiter.shine.com/resume/download/?resumeid=gAAAAABbk2UMKwMEC1Vr3uOJ21tThaJBsyz8sXbhYq5JJd6tgqjUVP2OwNXHPutNv4u5dn97bsEbtoB26S4248lXfox3zTf-hWCO0q8Tz7kgIuiB-ciLyznFL0EenFoyqS05t1gg_I4pVOo-NeVuCyHPyUz8AXf8ow==")</f>
        <v>https://recruiter.shine.com/resume/download/?resumeid=gAAAAABbk2UMKwMEC1Vr3uOJ21tThaJBsyz8sXbhYq5JJd6tgqjUVP2OwNXHPutNv4u5dn97bsEbtoB26S4248lXfox3zTf-hWCO0q8Tz7kgIuiB-ciLyznFL0EenFoyqS05t1gg_I4pVOo-NeVuCyHPyUz8AXf8ow==</v>
      </c>
    </row>
    <row r="1045" spans="1:25" ht="39.950000000000003" customHeight="1">
      <c r="A1045">
        <v>1041</v>
      </c>
      <c r="B1045" t="s">
        <v>9361</v>
      </c>
      <c r="D1045" t="s">
        <v>9362</v>
      </c>
      <c r="E1045" t="s">
        <v>9363</v>
      </c>
      <c r="F1045" t="s">
        <v>29</v>
      </c>
      <c r="G1045" t="s">
        <v>67</v>
      </c>
      <c r="H1045" t="s">
        <v>31</v>
      </c>
      <c r="I1045" t="s">
        <v>32</v>
      </c>
      <c r="J1045" t="s">
        <v>393</v>
      </c>
      <c r="K1045" t="s">
        <v>9364</v>
      </c>
      <c r="L1045" t="s">
        <v>462</v>
      </c>
      <c r="M1045" t="s">
        <v>684</v>
      </c>
      <c r="N1045" t="s">
        <v>9365</v>
      </c>
      <c r="O1045" t="s">
        <v>848</v>
      </c>
      <c r="Q1045" t="s">
        <v>412</v>
      </c>
      <c r="R1045" t="s">
        <v>9366</v>
      </c>
      <c r="S1045" t="s">
        <v>9367</v>
      </c>
      <c r="T1045" t="s">
        <v>1861</v>
      </c>
      <c r="U1045" t="s">
        <v>43</v>
      </c>
      <c r="V1045" t="s">
        <v>9368</v>
      </c>
      <c r="W1045" t="s">
        <v>9369</v>
      </c>
      <c r="Y1045" t="str">
        <f>HYPERLINK("https://recruiter.shine.com/resume/download/?resumeid=gAAAAABbk2UNCrmT8Lo8dKzN3kwsG5llo8uX8TCwfSp60jOmsg2Wa0TrJPZkNapPXBc0uIf0Wxiw3J302LOb3t3aemanaG2vupa7PGetCEFb1UMuYitOrisJ9Fs_sa3EPvJxFYNl8ywtKNS86VoOFVEBbaYZqdeSAA==")</f>
        <v>https://recruiter.shine.com/resume/download/?resumeid=gAAAAABbk2UNCrmT8Lo8dKzN3kwsG5llo8uX8TCwfSp60jOmsg2Wa0TrJPZkNapPXBc0uIf0Wxiw3J302LOb3t3aemanaG2vupa7PGetCEFb1UMuYitOrisJ9Fs_sa3EPvJxFYNl8ywtKNS86VoOFVEBbaYZqdeSAA==</v>
      </c>
    </row>
    <row r="1046" spans="1:25" ht="39.950000000000003" customHeight="1">
      <c r="A1046">
        <v>1042</v>
      </c>
      <c r="B1046" t="s">
        <v>9370</v>
      </c>
      <c r="C1046" t="s">
        <v>9371</v>
      </c>
      <c r="D1046" t="s">
        <v>9372</v>
      </c>
      <c r="E1046" t="s">
        <v>9373</v>
      </c>
      <c r="F1046" t="s">
        <v>29</v>
      </c>
      <c r="G1046" t="s">
        <v>8439</v>
      </c>
      <c r="H1046" t="s">
        <v>31</v>
      </c>
      <c r="I1046" t="s">
        <v>9374</v>
      </c>
      <c r="J1046" t="s">
        <v>2883</v>
      </c>
      <c r="K1046" t="s">
        <v>9375</v>
      </c>
      <c r="L1046" t="s">
        <v>2690</v>
      </c>
      <c r="M1046" t="s">
        <v>315</v>
      </c>
      <c r="N1046" t="s">
        <v>3454</v>
      </c>
      <c r="O1046" t="s">
        <v>56</v>
      </c>
      <c r="P1046" t="s">
        <v>57</v>
      </c>
      <c r="Q1046" t="s">
        <v>1880</v>
      </c>
      <c r="R1046" t="s">
        <v>427</v>
      </c>
      <c r="S1046" t="s">
        <v>9376</v>
      </c>
      <c r="T1046" t="s">
        <v>144</v>
      </c>
      <c r="U1046" t="s">
        <v>43</v>
      </c>
      <c r="V1046" t="s">
        <v>9377</v>
      </c>
      <c r="W1046" t="s">
        <v>9378</v>
      </c>
      <c r="Y1046" t="str">
        <f>HYPERLINK("https://recruiter.shine.com/resume/download/?resumeid=gAAAAABbk2UKFPZyoz9k7CNSPGNXSHjvCp77OlUKoSpF9Y4mgJ6sThcwI_C3kAsFHXYQ1cugxOqbiC2Rz6S54Mrz_ztQddPxf7UXmThHSZk-Xd9Oej1FKgALrVjH8Whc8Bb64vN1NpenT7uSDfagsy85jm-3akq_--bsszAQ01FOpjwpPZ0eAnk=")</f>
        <v>https://recruiter.shine.com/resume/download/?resumeid=gAAAAABbk2UKFPZyoz9k7CNSPGNXSHjvCp77OlUKoSpF9Y4mgJ6sThcwI_C3kAsFHXYQ1cugxOqbiC2Rz6S54Mrz_ztQddPxf7UXmThHSZk-Xd9Oej1FKgALrVjH8Whc8Bb64vN1NpenT7uSDfagsy85jm-3akq_--bsszAQ01FOpjwpPZ0eAnk=</v>
      </c>
    </row>
    <row r="1047" spans="1:25" ht="39.950000000000003" customHeight="1">
      <c r="A1047">
        <v>1043</v>
      </c>
      <c r="B1047" t="s">
        <v>9379</v>
      </c>
      <c r="C1047" t="s">
        <v>9380</v>
      </c>
      <c r="D1047" t="s">
        <v>9381</v>
      </c>
      <c r="E1047" t="s">
        <v>9382</v>
      </c>
      <c r="F1047" t="s">
        <v>249</v>
      </c>
      <c r="G1047" t="s">
        <v>3050</v>
      </c>
      <c r="H1047" t="s">
        <v>31</v>
      </c>
      <c r="I1047" t="s">
        <v>3754</v>
      </c>
      <c r="J1047" t="s">
        <v>278</v>
      </c>
      <c r="K1047" t="s">
        <v>1051</v>
      </c>
      <c r="L1047" t="s">
        <v>794</v>
      </c>
      <c r="M1047" t="s">
        <v>684</v>
      </c>
      <c r="N1047" t="s">
        <v>9383</v>
      </c>
      <c r="O1047" t="s">
        <v>186</v>
      </c>
      <c r="P1047" t="s">
        <v>39</v>
      </c>
      <c r="Q1047" t="s">
        <v>107</v>
      </c>
      <c r="R1047" t="s">
        <v>341</v>
      </c>
      <c r="S1047" t="s">
        <v>202</v>
      </c>
      <c r="T1047" t="s">
        <v>773</v>
      </c>
      <c r="U1047" t="s">
        <v>43</v>
      </c>
      <c r="V1047" t="s">
        <v>9384</v>
      </c>
      <c r="W1047" t="s">
        <v>9385</v>
      </c>
      <c r="Y1047" t="str">
        <f>HYPERLINK("https://recruiter.shine.com/resume/download/?resumeid=gAAAAABbk2UMzcSp1mCjM5nIY90O9ZMchndxh85imhSeJDPRYQxtrBotmZqFMbfbGbx90ZVJa44IHES-bNdp99ygV_GdrjtyhmmeudcxshGmjFNo2xh9ermDHofQlMoBaUzHFnMK3wedoXhlIk-JPq2PTKjGTlF5JxcOqkEI0vKAlnUp3jjJh90=")</f>
        <v>https://recruiter.shine.com/resume/download/?resumeid=gAAAAABbk2UMzcSp1mCjM5nIY90O9ZMchndxh85imhSeJDPRYQxtrBotmZqFMbfbGbx90ZVJa44IHES-bNdp99ygV_GdrjtyhmmeudcxshGmjFNo2xh9ermDHofQlMoBaUzHFnMK3wedoXhlIk-JPq2PTKjGTlF5JxcOqkEI0vKAlnUp3jjJh90=</v>
      </c>
    </row>
    <row r="1048" spans="1:25" ht="39.950000000000003" customHeight="1">
      <c r="A1048">
        <v>1044</v>
      </c>
      <c r="B1048" t="s">
        <v>9386</v>
      </c>
      <c r="D1048" t="s">
        <v>9387</v>
      </c>
      <c r="E1048" t="s">
        <v>9388</v>
      </c>
      <c r="F1048" t="s">
        <v>29</v>
      </c>
      <c r="H1048" t="s">
        <v>234</v>
      </c>
      <c r="I1048" t="s">
        <v>134</v>
      </c>
      <c r="J1048" t="s">
        <v>9389</v>
      </c>
      <c r="K1048" t="s">
        <v>980</v>
      </c>
      <c r="L1048" t="s">
        <v>266</v>
      </c>
      <c r="M1048" t="s">
        <v>105</v>
      </c>
      <c r="N1048" t="s">
        <v>9390</v>
      </c>
      <c r="O1048" t="s">
        <v>585</v>
      </c>
      <c r="Q1048" t="s">
        <v>158</v>
      </c>
      <c r="R1048" t="s">
        <v>159</v>
      </c>
      <c r="S1048" t="s">
        <v>9391</v>
      </c>
      <c r="T1048" t="s">
        <v>304</v>
      </c>
      <c r="U1048" t="s">
        <v>127</v>
      </c>
      <c r="V1048" t="s">
        <v>9392</v>
      </c>
      <c r="W1048" t="s">
        <v>9393</v>
      </c>
      <c r="Y1048" t="str">
        <f>HYPERLINK("https://recruiter.shine.com/resume/download/?resumeid=gAAAAABbk2UOkyn61EIo6aq5H0DMFA5DPsqF8OXwtUbXcD23Y8J9tR5-dUBQKEJ2_pqvhw8y9kL1Nn6uzb1cWZx58Pgj0Drzo0L6YI5bOEsV5Lh6Au2sNxbdYrIqlwgX4-8pL0fbu3L4HQsNC6ZC_TnA0YXrPKGn9Ebn2Oddad-5651Ab6ZQlFg=")</f>
        <v>https://recruiter.shine.com/resume/download/?resumeid=gAAAAABbk2UOkyn61EIo6aq5H0DMFA5DPsqF8OXwtUbXcD23Y8J9tR5-dUBQKEJ2_pqvhw8y9kL1Nn6uzb1cWZx58Pgj0Drzo0L6YI5bOEsV5Lh6Au2sNxbdYrIqlwgX4-8pL0fbu3L4HQsNC6ZC_TnA0YXrPKGn9Ebn2Oddad-5651Ab6ZQlFg=</v>
      </c>
    </row>
    <row r="1049" spans="1:25" ht="39.950000000000003" customHeight="1">
      <c r="A1049">
        <v>1045</v>
      </c>
      <c r="B1049" t="s">
        <v>9394</v>
      </c>
      <c r="C1049" t="s">
        <v>9395</v>
      </c>
      <c r="D1049" t="s">
        <v>9396</v>
      </c>
      <c r="E1049" t="s">
        <v>9397</v>
      </c>
      <c r="F1049" t="s">
        <v>29</v>
      </c>
      <c r="G1049" t="s">
        <v>29</v>
      </c>
      <c r="H1049" t="s">
        <v>234</v>
      </c>
      <c r="I1049" t="s">
        <v>714</v>
      </c>
      <c r="J1049" t="s">
        <v>801</v>
      </c>
      <c r="K1049" t="s">
        <v>9398</v>
      </c>
      <c r="L1049" t="s">
        <v>266</v>
      </c>
      <c r="M1049" t="s">
        <v>105</v>
      </c>
      <c r="N1049" t="s">
        <v>9399</v>
      </c>
      <c r="O1049" t="s">
        <v>56</v>
      </c>
      <c r="P1049" t="s">
        <v>140</v>
      </c>
      <c r="Q1049" t="s">
        <v>107</v>
      </c>
      <c r="R1049" t="s">
        <v>159</v>
      </c>
      <c r="S1049" t="s">
        <v>9400</v>
      </c>
      <c r="T1049" t="s">
        <v>773</v>
      </c>
      <c r="U1049" t="s">
        <v>43</v>
      </c>
      <c r="V1049" t="s">
        <v>9401</v>
      </c>
      <c r="W1049" t="s">
        <v>9402</v>
      </c>
      <c r="Y1049" t="str">
        <f>HYPERLINK("https://recruiter.shine.com/resume/download/?resumeid=gAAAAABbk2ULHFSvSfcWH_AQQwlFBTj2Ln5PPllzAc44ngYlcqfrpDR4vs-H_Zy7FG0eL3HYWhTO_n2WCUgOKXaRtVfpe0rUJTa9RDleqtMrR8BgUprhSvrStxEYmvziP-13FC8eLqqOBPUqdgv9UK0ACaVaIV9kpA==")</f>
        <v>https://recruiter.shine.com/resume/download/?resumeid=gAAAAABbk2ULHFSvSfcWH_AQQwlFBTj2Ln5PPllzAc44ngYlcqfrpDR4vs-H_Zy7FG0eL3HYWhTO_n2WCUgOKXaRtVfpe0rUJTa9RDleqtMrR8BgUprhSvrStxEYmvziP-13FC8eLqqOBPUqdgv9UK0ACaVaIV9kpA==</v>
      </c>
    </row>
    <row r="1050" spans="1:25" ht="39.950000000000003" customHeight="1">
      <c r="A1050">
        <v>1046</v>
      </c>
      <c r="B1050" t="s">
        <v>9403</v>
      </c>
      <c r="C1050" t="s">
        <v>9404</v>
      </c>
      <c r="D1050" t="s">
        <v>9405</v>
      </c>
      <c r="E1050" t="s">
        <v>9406</v>
      </c>
      <c r="F1050" t="s">
        <v>29</v>
      </c>
      <c r="G1050" t="s">
        <v>29</v>
      </c>
      <c r="H1050" t="s">
        <v>31</v>
      </c>
      <c r="I1050" t="s">
        <v>32</v>
      </c>
      <c r="J1050" t="s">
        <v>51</v>
      </c>
      <c r="K1050" t="s">
        <v>2229</v>
      </c>
      <c r="L1050" t="s">
        <v>314</v>
      </c>
      <c r="M1050" t="s">
        <v>583</v>
      </c>
      <c r="N1050" t="s">
        <v>2229</v>
      </c>
      <c r="O1050" t="s">
        <v>848</v>
      </c>
      <c r="P1050" t="s">
        <v>57</v>
      </c>
      <c r="Q1050" t="s">
        <v>107</v>
      </c>
      <c r="R1050" t="s">
        <v>864</v>
      </c>
      <c r="S1050" t="s">
        <v>9407</v>
      </c>
      <c r="T1050" t="s">
        <v>773</v>
      </c>
      <c r="U1050" t="s">
        <v>43</v>
      </c>
      <c r="V1050" t="s">
        <v>9408</v>
      </c>
      <c r="W1050" t="s">
        <v>9408</v>
      </c>
      <c r="Y1050" t="str">
        <f>HYPERLINK("https://recruiter.shine.com/resume/download/?resumeid=gAAAAABbk2UMx2lwSq9z2lpTxpsDiNhzNZnOZek81e2c25FSepuSEvxzkZi13wkilgszEFPNneBtm9RF12P5VSMTnq4f80Lc2Ul_wjQQ23HD_c8StDzFW2F_Wti1u_5fY_g5ckifyB6Adu3Osc6rdhjxDb1OFOqJ-6jGu42e4upjK8HBX46b72g=")</f>
        <v>https://recruiter.shine.com/resume/download/?resumeid=gAAAAABbk2UMx2lwSq9z2lpTxpsDiNhzNZnOZek81e2c25FSepuSEvxzkZi13wkilgszEFPNneBtm9RF12P5VSMTnq4f80Lc2Ul_wjQQ23HD_c8StDzFW2F_Wti1u_5fY_g5ckifyB6Adu3Osc6rdhjxDb1OFOqJ-6jGu42e4upjK8HBX46b72g=</v>
      </c>
    </row>
    <row r="1051" spans="1:25" ht="39.950000000000003" customHeight="1">
      <c r="A1051">
        <v>1047</v>
      </c>
      <c r="B1051" t="s">
        <v>9409</v>
      </c>
      <c r="D1051" t="s">
        <v>9410</v>
      </c>
      <c r="E1051" t="s">
        <v>9411</v>
      </c>
      <c r="F1051" t="s">
        <v>29</v>
      </c>
      <c r="H1051" t="s">
        <v>234</v>
      </c>
      <c r="I1051" t="s">
        <v>2074</v>
      </c>
      <c r="J1051" t="s">
        <v>153</v>
      </c>
      <c r="K1051" t="s">
        <v>9412</v>
      </c>
      <c r="L1051" t="s">
        <v>314</v>
      </c>
      <c r="M1051" t="s">
        <v>238</v>
      </c>
      <c r="N1051" t="s">
        <v>4354</v>
      </c>
      <c r="O1051" t="s">
        <v>186</v>
      </c>
      <c r="Q1051" t="s">
        <v>699</v>
      </c>
      <c r="R1051" t="s">
        <v>9413</v>
      </c>
      <c r="S1051" t="s">
        <v>9414</v>
      </c>
      <c r="T1051" t="s">
        <v>441</v>
      </c>
      <c r="U1051" t="s">
        <v>127</v>
      </c>
      <c r="V1051" t="s">
        <v>9415</v>
      </c>
      <c r="W1051" t="s">
        <v>9416</v>
      </c>
      <c r="Y1051" t="str">
        <f>HYPERLINK("https://recruiter.shine.com/resume/download/?resumeid=gAAAAABbk2UObbiYZYlbs0ptt9fiOccsKV67lgzwnX-xwvmNblatQyB4Us2WrJZ7gZeyjl5dv_dILbkS0mNHlnZQZzFC-YOez0LXCHzRkSRB0pEL_Su6kVSc7ci4UZQ9kj3igBNg3uj-LQmxxxYq5UZR_ZGh09FIATS0-upj8B1bB6962iWEwDE=")</f>
        <v>https://recruiter.shine.com/resume/download/?resumeid=gAAAAABbk2UObbiYZYlbs0ptt9fiOccsKV67lgzwnX-xwvmNblatQyB4Us2WrJZ7gZeyjl5dv_dILbkS0mNHlnZQZzFC-YOez0LXCHzRkSRB0pEL_Su6kVSc7ci4UZQ9kj3igBNg3uj-LQmxxxYq5UZR_ZGh09FIATS0-upj8B1bB6962iWEwDE=</v>
      </c>
    </row>
    <row r="1052" spans="1:25" ht="39.950000000000003" customHeight="1">
      <c r="A1052">
        <v>1048</v>
      </c>
      <c r="B1052" t="s">
        <v>9417</v>
      </c>
      <c r="C1052" t="s">
        <v>9418</v>
      </c>
      <c r="D1052" t="s">
        <v>9419</v>
      </c>
      <c r="E1052" t="s">
        <v>9420</v>
      </c>
      <c r="F1052" t="s">
        <v>858</v>
      </c>
      <c r="G1052" t="s">
        <v>9421</v>
      </c>
      <c r="H1052" t="s">
        <v>31</v>
      </c>
      <c r="I1052" t="s">
        <v>714</v>
      </c>
      <c r="J1052" t="s">
        <v>715</v>
      </c>
      <c r="K1052" t="s">
        <v>9422</v>
      </c>
      <c r="L1052" t="s">
        <v>120</v>
      </c>
      <c r="M1052" t="s">
        <v>717</v>
      </c>
      <c r="N1052" t="s">
        <v>9423</v>
      </c>
      <c r="O1052" t="s">
        <v>38</v>
      </c>
      <c r="P1052" t="s">
        <v>73</v>
      </c>
      <c r="Q1052" t="s">
        <v>123</v>
      </c>
      <c r="R1052" t="s">
        <v>124</v>
      </c>
      <c r="S1052" t="s">
        <v>9424</v>
      </c>
      <c r="T1052" t="s">
        <v>1921</v>
      </c>
      <c r="U1052" t="s">
        <v>43</v>
      </c>
      <c r="V1052" t="s">
        <v>9425</v>
      </c>
      <c r="W1052" t="s">
        <v>9426</v>
      </c>
      <c r="Y1052" t="str">
        <f>HYPERLINK("https://recruiter.shine.com/resume/download/?resumeid=gAAAAABbk2ULOUa2XdDSUouXOjm-ZAXJKJaUQjOh1XOc9l-mXIOQjJ7FBkXnPlTf_WBoWaMLtbOKY7aJMvcq-3Y74bCmgHSLZvqvUMnmjzaFTMdA6_njCtAqNiLjQA3dZ-e8sktDPCOAmg4ptS7Vj8BfWzRkoJto12--8OOd6CHi7ZxuyA8M6dA=")</f>
        <v>https://recruiter.shine.com/resume/download/?resumeid=gAAAAABbk2ULOUa2XdDSUouXOjm-ZAXJKJaUQjOh1XOc9l-mXIOQjJ7FBkXnPlTf_WBoWaMLtbOKY7aJMvcq-3Y74bCmgHSLZvqvUMnmjzaFTMdA6_njCtAqNiLjQA3dZ-e8sktDPCOAmg4ptS7Vj8BfWzRkoJto12--8OOd6CHi7ZxuyA8M6dA=</v>
      </c>
    </row>
    <row r="1053" spans="1:25" ht="39.950000000000003" customHeight="1">
      <c r="A1053">
        <v>1049</v>
      </c>
      <c r="B1053" t="s">
        <v>9427</v>
      </c>
      <c r="C1053" t="s">
        <v>9428</v>
      </c>
      <c r="D1053" t="s">
        <v>9429</v>
      </c>
      <c r="E1053" t="s">
        <v>9430</v>
      </c>
      <c r="F1053" t="s">
        <v>29</v>
      </c>
      <c r="G1053" t="s">
        <v>29</v>
      </c>
      <c r="H1053" t="s">
        <v>31</v>
      </c>
      <c r="I1053" t="s">
        <v>998</v>
      </c>
      <c r="J1053" t="s">
        <v>506</v>
      </c>
      <c r="K1053" t="s">
        <v>9287</v>
      </c>
      <c r="L1053" t="s">
        <v>606</v>
      </c>
      <c r="M1053" t="s">
        <v>684</v>
      </c>
      <c r="N1053" t="s">
        <v>9431</v>
      </c>
      <c r="O1053" t="s">
        <v>56</v>
      </c>
      <c r="P1053" t="s">
        <v>57</v>
      </c>
      <c r="Q1053" t="s">
        <v>107</v>
      </c>
      <c r="R1053" t="s">
        <v>341</v>
      </c>
      <c r="S1053" t="s">
        <v>9432</v>
      </c>
      <c r="T1053" t="s">
        <v>441</v>
      </c>
      <c r="U1053" t="s">
        <v>43</v>
      </c>
      <c r="V1053" t="s">
        <v>9433</v>
      </c>
      <c r="W1053" t="s">
        <v>9434</v>
      </c>
      <c r="Y1053" t="str">
        <f>HYPERLINK("https://recruiter.shine.com/resume/download/?resumeid=gAAAAABbk2UMeC3ao0xtS18-17Q5ivR6LAICV1ICOIQ_-q84KPhI1wZI83CY1h31yp_PuiMPkfHXCGzJsN7ETBny8i8N-MHiBjKABeA8ozoUdpjahssu0n9JPA_yGRWG1MLfShKD2-pdvVVr-aDal8rd8ossWJALj-UPo24q7QHOBgDHAp02ZWA=")</f>
        <v>https://recruiter.shine.com/resume/download/?resumeid=gAAAAABbk2UMeC3ao0xtS18-17Q5ivR6LAICV1ICOIQ_-q84KPhI1wZI83CY1h31yp_PuiMPkfHXCGzJsN7ETBny8i8N-MHiBjKABeA8ozoUdpjahssu0n9JPA_yGRWG1MLfShKD2-pdvVVr-aDal8rd8ossWJALj-UPo24q7QHOBgDHAp02ZWA=</v>
      </c>
    </row>
    <row r="1054" spans="1:25" ht="39.950000000000003" customHeight="1">
      <c r="A1054">
        <v>1050</v>
      </c>
      <c r="B1054" t="s">
        <v>9435</v>
      </c>
      <c r="D1054" t="s">
        <v>9436</v>
      </c>
      <c r="E1054" t="s">
        <v>9437</v>
      </c>
      <c r="F1054" t="s">
        <v>29</v>
      </c>
      <c r="H1054" t="s">
        <v>234</v>
      </c>
      <c r="I1054" t="s">
        <v>1038</v>
      </c>
      <c r="J1054" t="s">
        <v>4059</v>
      </c>
      <c r="K1054" t="s">
        <v>9438</v>
      </c>
      <c r="L1054" t="s">
        <v>486</v>
      </c>
      <c r="M1054" t="s">
        <v>36</v>
      </c>
      <c r="N1054" t="s">
        <v>9439</v>
      </c>
      <c r="O1054" t="s">
        <v>157</v>
      </c>
      <c r="Q1054" t="s">
        <v>90</v>
      </c>
      <c r="R1054" t="s">
        <v>292</v>
      </c>
      <c r="S1054" t="s">
        <v>9440</v>
      </c>
      <c r="T1054" t="s">
        <v>441</v>
      </c>
      <c r="U1054" t="s">
        <v>127</v>
      </c>
      <c r="V1054" t="s">
        <v>9441</v>
      </c>
      <c r="W1054" t="s">
        <v>9442</v>
      </c>
      <c r="Y1054" t="str">
        <f>HYPERLINK("https://recruiter.shine.com/resume/download/?resumeid=gAAAAABbk2UO9waoU3HZmChyAV0DK-DWuFaqO6pBLZFfyzJui2bSNF0kAbR45TLw0vIpe-nFv8c0YdIoC6TQY6HPkLbROuC24hophQVCdYdnkFWOqdRKmgNdGKJvgkMXtNiEsr8LhQCalOfSPl5zEm6y3P-pF-5UrbufOnJuVIqpTz9hOJn-GIQ=")</f>
        <v>https://recruiter.shine.com/resume/download/?resumeid=gAAAAABbk2UO9waoU3HZmChyAV0DK-DWuFaqO6pBLZFfyzJui2bSNF0kAbR45TLw0vIpe-nFv8c0YdIoC6TQY6HPkLbROuC24hophQVCdYdnkFWOqdRKmgNdGKJvgkMXtNiEsr8LhQCalOfSPl5zEm6y3P-pF-5UrbufOnJuVIqpTz9hOJn-GIQ=</v>
      </c>
    </row>
    <row r="1055" spans="1:25" ht="39.950000000000003" customHeight="1">
      <c r="A1055">
        <v>1051</v>
      </c>
      <c r="B1055" t="s">
        <v>9443</v>
      </c>
      <c r="C1055" t="s">
        <v>9444</v>
      </c>
      <c r="D1055" t="s">
        <v>9445</v>
      </c>
      <c r="E1055" t="s">
        <v>9446</v>
      </c>
      <c r="F1055" t="s">
        <v>29</v>
      </c>
      <c r="G1055" t="s">
        <v>67</v>
      </c>
      <c r="H1055" t="s">
        <v>31</v>
      </c>
      <c r="I1055" t="s">
        <v>32</v>
      </c>
      <c r="J1055" t="s">
        <v>781</v>
      </c>
      <c r="K1055" t="s">
        <v>9447</v>
      </c>
      <c r="L1055" t="s">
        <v>155</v>
      </c>
      <c r="M1055" t="s">
        <v>339</v>
      </c>
      <c r="N1055" t="s">
        <v>9448</v>
      </c>
      <c r="O1055" t="s">
        <v>186</v>
      </c>
      <c r="P1055" t="s">
        <v>57</v>
      </c>
      <c r="Q1055" t="s">
        <v>107</v>
      </c>
      <c r="R1055" t="s">
        <v>559</v>
      </c>
      <c r="S1055" t="s">
        <v>9449</v>
      </c>
      <c r="T1055" t="s">
        <v>6127</v>
      </c>
      <c r="U1055" t="s">
        <v>43</v>
      </c>
      <c r="V1055" t="s">
        <v>9450</v>
      </c>
      <c r="W1055" t="s">
        <v>9450</v>
      </c>
      <c r="Y1055" t="str">
        <f>HYPERLINK("https://recruiter.shine.com/resume/download/?resumeid=gAAAAABbk2UL1CLwE7mL_ONXTHEYRH624bHiMZ4eVi6qdkeQVZ4t1DjPGWKN9I6b91d7wekISqTGCxBEEQ2NuMd6x51pCtihgQlcRSRZi5zrT9xCQkUZlflJP82TWjknWMYHzGV2eu8TErQMVxL5klbmv6cpT0KMCjyU86V7vZjctZt_dDOFNLg=")</f>
        <v>https://recruiter.shine.com/resume/download/?resumeid=gAAAAABbk2UL1CLwE7mL_ONXTHEYRH624bHiMZ4eVi6qdkeQVZ4t1DjPGWKN9I6b91d7wekISqTGCxBEEQ2NuMd6x51pCtihgQlcRSRZi5zrT9xCQkUZlflJP82TWjknWMYHzGV2eu8TErQMVxL5klbmv6cpT0KMCjyU86V7vZjctZt_dDOFNLg=</v>
      </c>
    </row>
    <row r="1056" spans="1:25" ht="39.950000000000003" customHeight="1">
      <c r="A1056">
        <v>1052</v>
      </c>
      <c r="B1056" t="s">
        <v>9451</v>
      </c>
      <c r="C1056" t="s">
        <v>9452</v>
      </c>
      <c r="D1056" t="s">
        <v>9453</v>
      </c>
      <c r="E1056" t="s">
        <v>9454</v>
      </c>
      <c r="F1056" t="s">
        <v>29</v>
      </c>
      <c r="G1056" t="s">
        <v>29</v>
      </c>
      <c r="H1056" t="s">
        <v>31</v>
      </c>
      <c r="I1056" t="s">
        <v>362</v>
      </c>
      <c r="J1056" t="s">
        <v>135</v>
      </c>
      <c r="K1056" t="s">
        <v>9455</v>
      </c>
      <c r="L1056" t="s">
        <v>1524</v>
      </c>
      <c r="M1056" t="s">
        <v>121</v>
      </c>
      <c r="N1056" t="s">
        <v>9456</v>
      </c>
      <c r="O1056" t="s">
        <v>1245</v>
      </c>
      <c r="Q1056" t="s">
        <v>365</v>
      </c>
      <c r="R1056" t="s">
        <v>2230</v>
      </c>
      <c r="S1056" t="s">
        <v>9457</v>
      </c>
      <c r="T1056" t="s">
        <v>1921</v>
      </c>
      <c r="U1056" t="s">
        <v>43</v>
      </c>
      <c r="V1056" t="s">
        <v>9458</v>
      </c>
      <c r="W1056" t="s">
        <v>9459</v>
      </c>
      <c r="Y1056" t="str">
        <f>HYPERLINK("https://recruiter.shine.com/resume/download/?resumeid=gAAAAABbk2UNGCVDYgmrtm11Df6N1kz-ZUYZ6FVVwuDj2nGd2CVS0Ddx2rsfUo0UD_d5bTEWXgzKe1PVzuhYPqZNLwa3vfienCzz0X-2BROcR_ZEzSp7Y_2qFvPxd2oSeWfPh2oZrOTETOXEtdgwY1mnrZUpFmzqYLEcFCSVCDSWFG_OsWZmQxc=")</f>
        <v>https://recruiter.shine.com/resume/download/?resumeid=gAAAAABbk2UNGCVDYgmrtm11Df6N1kz-ZUYZ6FVVwuDj2nGd2CVS0Ddx2rsfUo0UD_d5bTEWXgzKe1PVzuhYPqZNLwa3vfienCzz0X-2BROcR_ZEzSp7Y_2qFvPxd2oSeWfPh2oZrOTETOXEtdgwY1mnrZUpFmzqYLEcFCSVCDSWFG_OsWZmQxc=</v>
      </c>
    </row>
    <row r="1057" spans="1:25" ht="39.950000000000003" customHeight="1">
      <c r="A1057">
        <v>1053</v>
      </c>
      <c r="B1057" t="s">
        <v>9460</v>
      </c>
      <c r="C1057" t="s">
        <v>9461</v>
      </c>
      <c r="D1057" t="s">
        <v>9462</v>
      </c>
      <c r="E1057" t="s">
        <v>9463</v>
      </c>
      <c r="F1057" t="s">
        <v>29</v>
      </c>
      <c r="G1057" t="s">
        <v>29</v>
      </c>
      <c r="H1057" t="s">
        <v>31</v>
      </c>
      <c r="I1057" t="s">
        <v>362</v>
      </c>
      <c r="J1057" t="s">
        <v>135</v>
      </c>
      <c r="L1057" t="s">
        <v>363</v>
      </c>
      <c r="M1057" t="s">
        <v>364</v>
      </c>
      <c r="Q1057" t="s">
        <v>107</v>
      </c>
      <c r="R1057" t="s">
        <v>341</v>
      </c>
      <c r="S1057" t="s">
        <v>9464</v>
      </c>
      <c r="T1057" t="s">
        <v>429</v>
      </c>
      <c r="U1057" t="s">
        <v>127</v>
      </c>
      <c r="V1057" t="s">
        <v>9465</v>
      </c>
      <c r="W1057" t="s">
        <v>9466</v>
      </c>
      <c r="Y1057" t="str">
        <f>HYPERLINK("https://recruiter.shine.com/resume/download/?resumeid=gAAAAABbk2UOXdmorY7J2TaniqEN0003Lek7rdzf1P_NAGxDpXi0cTiW_IGaJaA180Ont6iAtye1ka384Q61CSF65SjfcY6nyl9rLSdcjYoe6WFJmWTx30AkmQImv9CAwTlru-igLJlQ8H_80RXaVLhaRKngjnU_Ww==")</f>
        <v>https://recruiter.shine.com/resume/download/?resumeid=gAAAAABbk2UOXdmorY7J2TaniqEN0003Lek7rdzf1P_NAGxDpXi0cTiW_IGaJaA180Ont6iAtye1ka384Q61CSF65SjfcY6nyl9rLSdcjYoe6WFJmWTx30AkmQImv9CAwTlru-igLJlQ8H_80RXaVLhaRKngjnU_Ww==</v>
      </c>
    </row>
    <row r="1058" spans="1:25" ht="39.950000000000003" customHeight="1">
      <c r="A1058">
        <v>1054</v>
      </c>
      <c r="B1058" t="s">
        <v>9467</v>
      </c>
      <c r="C1058" t="s">
        <v>9468</v>
      </c>
      <c r="D1058" t="s">
        <v>9469</v>
      </c>
      <c r="E1058" t="s">
        <v>9470</v>
      </c>
      <c r="F1058" t="s">
        <v>29</v>
      </c>
      <c r="G1058" t="s">
        <v>9471</v>
      </c>
      <c r="H1058" t="s">
        <v>31</v>
      </c>
      <c r="I1058" t="s">
        <v>68</v>
      </c>
      <c r="J1058" t="s">
        <v>51</v>
      </c>
      <c r="K1058" t="s">
        <v>9472</v>
      </c>
      <c r="L1058" t="s">
        <v>266</v>
      </c>
      <c r="M1058" t="s">
        <v>254</v>
      </c>
      <c r="N1058" t="s">
        <v>9473</v>
      </c>
      <c r="O1058" t="s">
        <v>186</v>
      </c>
      <c r="P1058" t="s">
        <v>268</v>
      </c>
      <c r="Q1058" t="s">
        <v>158</v>
      </c>
      <c r="R1058" t="s">
        <v>341</v>
      </c>
      <c r="S1058" t="s">
        <v>9474</v>
      </c>
      <c r="T1058" t="s">
        <v>77</v>
      </c>
      <c r="U1058" t="s">
        <v>43</v>
      </c>
      <c r="V1058" t="s">
        <v>9475</v>
      </c>
      <c r="W1058" t="s">
        <v>9476</v>
      </c>
      <c r="Y1058" t="str">
        <f>HYPERLINK("https://recruiter.shine.com/resume/download/?resumeid=gAAAAABbk2ULmwCMoA-wQbGzX_wD7sSYr4s2Goihk1fi662dPo27rIv64QcRIVMlmh4VeV4bISdTFQxK_tkcKqjKDlcpO56nhJ7skRQKzOe4V9xoLGJ_EA5vUhRU2kCsU4-ic6mh6iRBGEXy0_HTFIQf2CC7f5OmH6sowtzuaxZXs75yLKf5gJo=")</f>
        <v>https://recruiter.shine.com/resume/download/?resumeid=gAAAAABbk2ULmwCMoA-wQbGzX_wD7sSYr4s2Goihk1fi662dPo27rIv64QcRIVMlmh4VeV4bISdTFQxK_tkcKqjKDlcpO56nhJ7skRQKzOe4V9xoLGJ_EA5vUhRU2kCsU4-ic6mh6iRBGEXy0_HTFIQf2CC7f5OmH6sowtzuaxZXs75yLKf5gJo=</v>
      </c>
    </row>
    <row r="1059" spans="1:25" ht="39.950000000000003" customHeight="1">
      <c r="A1059">
        <v>1055</v>
      </c>
      <c r="B1059" t="s">
        <v>9477</v>
      </c>
      <c r="C1059" t="s">
        <v>9478</v>
      </c>
      <c r="D1059" t="s">
        <v>9479</v>
      </c>
      <c r="E1059" t="s">
        <v>9480</v>
      </c>
      <c r="F1059" t="s">
        <v>29</v>
      </c>
      <c r="G1059" t="s">
        <v>29</v>
      </c>
      <c r="H1059" t="s">
        <v>31</v>
      </c>
      <c r="I1059" t="s">
        <v>32</v>
      </c>
      <c r="J1059" t="s">
        <v>135</v>
      </c>
      <c r="K1059" t="s">
        <v>9481</v>
      </c>
      <c r="L1059" t="s">
        <v>2199</v>
      </c>
      <c r="M1059" t="s">
        <v>2845</v>
      </c>
      <c r="N1059" t="s">
        <v>9482</v>
      </c>
      <c r="O1059" t="s">
        <v>186</v>
      </c>
      <c r="P1059" t="s">
        <v>140</v>
      </c>
      <c r="V1059" t="s">
        <v>9483</v>
      </c>
      <c r="W1059" t="s">
        <v>9484</v>
      </c>
      <c r="Y1059" t="str">
        <f>HYPERLINK("https://recruiter.shine.com/resume/download/?resumeid=gAAAAABbk2UMZmcD3nbqhV4Lomxu4jXjZzLxPMainfaZitJXXM1qX0yk_AyANGNq1O-Tu7ESkwPvd5VfYzs3IamGFTxM_BCTrZ-f2lWgM4UtWS0X-CPMWaxS2IJez5EKpwxfWKh2WSB7tGRegI_mmlztdmnCQmleLD3znQJ0wpPFxvOxPiEEr2o=")</f>
        <v>https://recruiter.shine.com/resume/download/?resumeid=gAAAAABbk2UMZmcD3nbqhV4Lomxu4jXjZzLxPMainfaZitJXXM1qX0yk_AyANGNq1O-Tu7ESkwPvd5VfYzs3IamGFTxM_BCTrZ-f2lWgM4UtWS0X-CPMWaxS2IJez5EKpwxfWKh2WSB7tGRegI_mmlztdmnCQmleLD3znQJ0wpPFxvOxPiEEr2o=</v>
      </c>
    </row>
    <row r="1060" spans="1:25" ht="39.950000000000003" customHeight="1">
      <c r="A1060">
        <v>1056</v>
      </c>
      <c r="B1060" t="s">
        <v>9485</v>
      </c>
      <c r="D1060" t="s">
        <v>9486</v>
      </c>
      <c r="E1060" t="s">
        <v>9487</v>
      </c>
      <c r="F1060" t="s">
        <v>29</v>
      </c>
      <c r="H1060" t="s">
        <v>234</v>
      </c>
      <c r="I1060" t="s">
        <v>32</v>
      </c>
      <c r="J1060" t="s">
        <v>2141</v>
      </c>
      <c r="K1060" t="s">
        <v>9488</v>
      </c>
      <c r="L1060" t="s">
        <v>155</v>
      </c>
      <c r="M1060" t="s">
        <v>105</v>
      </c>
      <c r="N1060" t="s">
        <v>9489</v>
      </c>
      <c r="O1060" t="s">
        <v>848</v>
      </c>
      <c r="Q1060" t="s">
        <v>158</v>
      </c>
      <c r="R1060" t="s">
        <v>341</v>
      </c>
      <c r="S1060" t="s">
        <v>9490</v>
      </c>
      <c r="T1060" t="s">
        <v>1842</v>
      </c>
      <c r="U1060" t="s">
        <v>127</v>
      </c>
      <c r="V1060" t="s">
        <v>9491</v>
      </c>
      <c r="W1060" t="s">
        <v>9492</v>
      </c>
      <c r="Y1060" t="str">
        <f>HYPERLINK("https://recruiter.shine.com/resume/download/?resumeid=gAAAAABbk2UNcjQp8LD-P4fY13lKjnbL8MvnayPcs0c_iW2UBKtkdZD3-kzPxvW-BPBSbqN_dsC2v6DQZQrT-rCzvUXecGt_HER0h8L91KGj9ZRBpx_mtPwdYfG4ChgHxhRuK93GMylcUiG8YOWQACEjEtvmVMxuNw==")</f>
        <v>https://recruiter.shine.com/resume/download/?resumeid=gAAAAABbk2UNcjQp8LD-P4fY13lKjnbL8MvnayPcs0c_iW2UBKtkdZD3-kzPxvW-BPBSbqN_dsC2v6DQZQrT-rCzvUXecGt_HER0h8L91KGj9ZRBpx_mtPwdYfG4ChgHxhRuK93GMylcUiG8YOWQACEjEtvmVMxuNw==</v>
      </c>
    </row>
    <row r="1061" spans="1:25" ht="39.950000000000003" customHeight="1">
      <c r="A1061">
        <v>1057</v>
      </c>
      <c r="B1061" t="s">
        <v>9493</v>
      </c>
      <c r="C1061" t="s">
        <v>9494</v>
      </c>
      <c r="D1061" t="s">
        <v>9495</v>
      </c>
      <c r="E1061" t="s">
        <v>9496</v>
      </c>
      <c r="F1061" t="s">
        <v>29</v>
      </c>
      <c r="G1061" t="s">
        <v>7204</v>
      </c>
      <c r="H1061" t="s">
        <v>31</v>
      </c>
      <c r="I1061" t="s">
        <v>1463</v>
      </c>
      <c r="J1061" t="s">
        <v>408</v>
      </c>
      <c r="K1061" t="s">
        <v>9497</v>
      </c>
      <c r="L1061" t="s">
        <v>184</v>
      </c>
      <c r="M1061" t="s">
        <v>105</v>
      </c>
      <c r="N1061" t="s">
        <v>9498</v>
      </c>
      <c r="O1061" t="s">
        <v>56</v>
      </c>
      <c r="P1061" t="s">
        <v>57</v>
      </c>
      <c r="Q1061" t="s">
        <v>123</v>
      </c>
      <c r="R1061" t="s">
        <v>124</v>
      </c>
      <c r="S1061" t="s">
        <v>9499</v>
      </c>
      <c r="T1061" t="s">
        <v>887</v>
      </c>
      <c r="U1061" t="s">
        <v>43</v>
      </c>
      <c r="V1061" t="s">
        <v>9500</v>
      </c>
      <c r="W1061" t="s">
        <v>9501</v>
      </c>
      <c r="Y1061" t="str">
        <f>HYPERLINK("https://recruiter.shine.com/resume/download/?resumeid=gAAAAABbk2UL2uyO2kzM6nZAxDQpXt_N9HqWRfV6Ec8I0jyLBoAekGCbiwsPbqVYtp9rbges8_bnuutRn9aW7W41B61ylGZTjZVmGh9nelE8DOgx10VY1cD3x4EI6jbp9LnzUsbqKLmWePe_C6ips36-DJzWzyFp6YRb9mDBKgz_2jDRkIq3DyA=")</f>
        <v>https://recruiter.shine.com/resume/download/?resumeid=gAAAAABbk2UL2uyO2kzM6nZAxDQpXt_N9HqWRfV6Ec8I0jyLBoAekGCbiwsPbqVYtp9rbges8_bnuutRn9aW7W41B61ylGZTjZVmGh9nelE8DOgx10VY1cD3x4EI6jbp9LnzUsbqKLmWePe_C6ips36-DJzWzyFp6YRb9mDBKgz_2jDRkIq3DyA=</v>
      </c>
    </row>
    <row r="1062" spans="1:25" ht="39.950000000000003" customHeight="1">
      <c r="A1062">
        <v>1058</v>
      </c>
      <c r="B1062" t="s">
        <v>9502</v>
      </c>
      <c r="D1062" t="s">
        <v>9503</v>
      </c>
      <c r="E1062" t="s">
        <v>9504</v>
      </c>
      <c r="F1062" t="s">
        <v>29</v>
      </c>
      <c r="G1062" t="s">
        <v>9505</v>
      </c>
      <c r="H1062" t="s">
        <v>31</v>
      </c>
      <c r="I1062" t="s">
        <v>2354</v>
      </c>
      <c r="J1062" t="s">
        <v>312</v>
      </c>
      <c r="K1062" t="s">
        <v>9506</v>
      </c>
      <c r="L1062" t="s">
        <v>155</v>
      </c>
      <c r="M1062" t="s">
        <v>105</v>
      </c>
      <c r="N1062" t="s">
        <v>9507</v>
      </c>
      <c r="O1062" t="s">
        <v>1041</v>
      </c>
      <c r="P1062" t="s">
        <v>73</v>
      </c>
      <c r="Q1062" t="s">
        <v>123</v>
      </c>
      <c r="R1062" t="s">
        <v>124</v>
      </c>
      <c r="S1062" t="s">
        <v>9508</v>
      </c>
      <c r="T1062" t="s">
        <v>93</v>
      </c>
      <c r="U1062" t="s">
        <v>43</v>
      </c>
      <c r="V1062" t="s">
        <v>9509</v>
      </c>
      <c r="W1062" t="s">
        <v>9510</v>
      </c>
    </row>
    <row r="1063" spans="1:25" ht="39.950000000000003" customHeight="1">
      <c r="A1063">
        <v>1059</v>
      </c>
      <c r="B1063" t="s">
        <v>9511</v>
      </c>
      <c r="C1063" t="s">
        <v>9512</v>
      </c>
      <c r="D1063" t="s">
        <v>9513</v>
      </c>
      <c r="E1063" t="s">
        <v>9514</v>
      </c>
      <c r="F1063" t="s">
        <v>29</v>
      </c>
      <c r="G1063" t="s">
        <v>9515</v>
      </c>
      <c r="H1063" t="s">
        <v>31</v>
      </c>
      <c r="I1063" t="s">
        <v>1242</v>
      </c>
      <c r="J1063" t="s">
        <v>3240</v>
      </c>
      <c r="K1063" t="s">
        <v>6327</v>
      </c>
      <c r="L1063" t="s">
        <v>199</v>
      </c>
      <c r="M1063" t="s">
        <v>54</v>
      </c>
      <c r="N1063" t="s">
        <v>9516</v>
      </c>
      <c r="O1063" t="s">
        <v>157</v>
      </c>
      <c r="P1063" t="s">
        <v>39</v>
      </c>
      <c r="Q1063" t="s">
        <v>58</v>
      </c>
      <c r="R1063" t="s">
        <v>59</v>
      </c>
      <c r="S1063" t="s">
        <v>9517</v>
      </c>
      <c r="T1063" t="s">
        <v>61</v>
      </c>
      <c r="U1063" t="s">
        <v>127</v>
      </c>
      <c r="V1063" t="s">
        <v>9518</v>
      </c>
      <c r="W1063" t="s">
        <v>9518</v>
      </c>
      <c r="Y1063" t="str">
        <f>HYPERLINK("https://recruiter.shine.com/resume/download/?resumeid=gAAAAABbk2UOIBhfXsGNQWytaNLzCQVmWOizU1G1_u5gCQ-EA3XxpSOenHJ0vH9rmHSl7wKGe4QFsbG-f3Ba5a1S415lt6puQQQ8fGnOpDJ2jRODvOcHkIuekgD1UtGmKyK2ZBHiAoWbi1_hcf0qeEE8WkodcF8QaEcev7yYwfNNsppesWsVn_A=")</f>
        <v>https://recruiter.shine.com/resume/download/?resumeid=gAAAAABbk2UOIBhfXsGNQWytaNLzCQVmWOizU1G1_u5gCQ-EA3XxpSOenHJ0vH9rmHSl7wKGe4QFsbG-f3Ba5a1S415lt6puQQQ8fGnOpDJ2jRODvOcHkIuekgD1UtGmKyK2ZBHiAoWbi1_hcf0qeEE8WkodcF8QaEcev7yYwfNNsppesWsVn_A=</v>
      </c>
    </row>
    <row r="1064" spans="1:25" ht="39.950000000000003" customHeight="1">
      <c r="A1064">
        <v>1060</v>
      </c>
      <c r="B1064" t="s">
        <v>9519</v>
      </c>
      <c r="C1064" t="s">
        <v>9520</v>
      </c>
      <c r="D1064" t="s">
        <v>9521</v>
      </c>
      <c r="E1064" t="s">
        <v>9522</v>
      </c>
      <c r="F1064" t="s">
        <v>29</v>
      </c>
      <c r="G1064" t="s">
        <v>29</v>
      </c>
      <c r="H1064" t="s">
        <v>234</v>
      </c>
      <c r="I1064" t="s">
        <v>825</v>
      </c>
      <c r="J1064" t="s">
        <v>408</v>
      </c>
      <c r="K1064" t="s">
        <v>9523</v>
      </c>
      <c r="L1064" t="s">
        <v>290</v>
      </c>
      <c r="M1064" t="s">
        <v>1446</v>
      </c>
      <c r="N1064" t="s">
        <v>9524</v>
      </c>
      <c r="O1064" t="s">
        <v>38</v>
      </c>
      <c r="P1064" t="s">
        <v>39</v>
      </c>
      <c r="Q1064" t="s">
        <v>90</v>
      </c>
      <c r="R1064" t="s">
        <v>292</v>
      </c>
      <c r="S1064" t="s">
        <v>9525</v>
      </c>
      <c r="T1064" t="s">
        <v>625</v>
      </c>
      <c r="U1064" t="s">
        <v>94</v>
      </c>
      <c r="V1064" t="s">
        <v>9526</v>
      </c>
      <c r="W1064" t="s">
        <v>9527</v>
      </c>
      <c r="Y1064" t="str">
        <f>HYPERLINK("https://recruiter.shine.com/resume/download/?resumeid=gAAAAABbk2ULnxUe2QPdRPbq356VFUEKh_JpUWRPrKDKH3RNL1kvh6pnNtH8u6FS1cJ_m9eBBFREvW9riSBu3bZLbfPeKzgRjX_efzzB-CAxJiB_0c7tgU7SHHPslOsq8q0TjDL036cAGAm5o5YejBk3wkS1aw2NEsCq8oV_Qs6yhwr3YKs37Uo=")</f>
        <v>https://recruiter.shine.com/resume/download/?resumeid=gAAAAABbk2ULnxUe2QPdRPbq356VFUEKh_JpUWRPrKDKH3RNL1kvh6pnNtH8u6FS1cJ_m9eBBFREvW9riSBu3bZLbfPeKzgRjX_efzzB-CAxJiB_0c7tgU7SHHPslOsq8q0TjDL036cAGAm5o5YejBk3wkS1aw2NEsCq8oV_Qs6yhwr3YKs37Uo=</v>
      </c>
    </row>
    <row r="1065" spans="1:25" ht="39.950000000000003" customHeight="1">
      <c r="A1065">
        <v>1061</v>
      </c>
      <c r="B1065" t="s">
        <v>9528</v>
      </c>
      <c r="C1065" t="s">
        <v>9529</v>
      </c>
      <c r="D1065" t="s">
        <v>9530</v>
      </c>
      <c r="E1065" t="s">
        <v>9531</v>
      </c>
      <c r="F1065" t="s">
        <v>29</v>
      </c>
      <c r="G1065" t="s">
        <v>9532</v>
      </c>
      <c r="H1065" t="s">
        <v>31</v>
      </c>
      <c r="I1065" t="s">
        <v>568</v>
      </c>
      <c r="J1065" t="s">
        <v>153</v>
      </c>
      <c r="K1065" t="s">
        <v>5790</v>
      </c>
      <c r="L1065" t="s">
        <v>199</v>
      </c>
      <c r="M1065" t="s">
        <v>1083</v>
      </c>
      <c r="N1065" t="s">
        <v>9533</v>
      </c>
      <c r="O1065" t="s">
        <v>38</v>
      </c>
      <c r="P1065" t="s">
        <v>39</v>
      </c>
      <c r="Q1065" t="s">
        <v>158</v>
      </c>
      <c r="R1065" t="s">
        <v>341</v>
      </c>
      <c r="S1065" t="s">
        <v>9534</v>
      </c>
      <c r="T1065" t="s">
        <v>441</v>
      </c>
      <c r="U1065" t="s">
        <v>43</v>
      </c>
      <c r="V1065" t="s">
        <v>9535</v>
      </c>
      <c r="W1065" t="s">
        <v>9536</v>
      </c>
      <c r="Y1065" t="str">
        <f>HYPERLINK("https://recruiter.shine.com/resume/download/?resumeid=gAAAAABbk2UNg1H1tnM60HW98ngHAy8zkRnV86WWU--ZynBLOoPTczQP4_H80izUO6Zln_VcgNAPXdj8O-e-kEDOh97v5f1c2vEGYghyFoi3qCxIcW0ZMwrVy_Pr8yqOEbSvzI-_hUxzhudwOPjdYYFoEPYhKyhEhDYBczPAvFIGJMAfNe9LwJY=")</f>
        <v>https://recruiter.shine.com/resume/download/?resumeid=gAAAAABbk2UNg1H1tnM60HW98ngHAy8zkRnV86WWU--ZynBLOoPTczQP4_H80izUO6Zln_VcgNAPXdj8O-e-kEDOh97v5f1c2vEGYghyFoi3qCxIcW0ZMwrVy_Pr8yqOEbSvzI-_hUxzhudwOPjdYYFoEPYhKyhEhDYBczPAvFIGJMAfNe9LwJY=</v>
      </c>
    </row>
    <row r="1066" spans="1:25" ht="39.950000000000003" customHeight="1">
      <c r="A1066">
        <v>1062</v>
      </c>
      <c r="B1066" t="s">
        <v>9537</v>
      </c>
      <c r="D1066" t="s">
        <v>9538</v>
      </c>
      <c r="E1066" t="s">
        <v>9539</v>
      </c>
      <c r="F1066" t="s">
        <v>29</v>
      </c>
      <c r="G1066" t="s">
        <v>67</v>
      </c>
      <c r="H1066" t="s">
        <v>31</v>
      </c>
      <c r="I1066" t="s">
        <v>168</v>
      </c>
      <c r="J1066" t="s">
        <v>51</v>
      </c>
      <c r="K1066" t="s">
        <v>595</v>
      </c>
      <c r="L1066" t="s">
        <v>88</v>
      </c>
      <c r="M1066" t="s">
        <v>238</v>
      </c>
      <c r="N1066" t="s">
        <v>9540</v>
      </c>
      <c r="O1066" t="s">
        <v>38</v>
      </c>
      <c r="Q1066" t="s">
        <v>90</v>
      </c>
      <c r="R1066" t="s">
        <v>91</v>
      </c>
      <c r="S1066" t="s">
        <v>3308</v>
      </c>
      <c r="T1066" t="s">
        <v>144</v>
      </c>
      <c r="U1066" t="s">
        <v>127</v>
      </c>
      <c r="V1066" t="s">
        <v>9541</v>
      </c>
      <c r="W1066" t="s">
        <v>9541</v>
      </c>
      <c r="Y1066" t="str">
        <f>HYPERLINK("https://recruiter.shine.com/resume/download/?resumeid=gAAAAABbk2UO1S3ZuwlPGpQ9ZHFX1pHcSevIVdFtdLL0Oxo7zVm5kJ7UpYmcbOlxGDxErvbxX38eLBIsJMpoEkNBHQmiWu9vFbftRXrd25vrimyTm4ggU5vu0SGj4yliahb64dbakj08G3dVn8IUePf-7UOw_4-LTA==")</f>
        <v>https://recruiter.shine.com/resume/download/?resumeid=gAAAAABbk2UO1S3ZuwlPGpQ9ZHFX1pHcSevIVdFtdLL0Oxo7zVm5kJ7UpYmcbOlxGDxErvbxX38eLBIsJMpoEkNBHQmiWu9vFbftRXrd25vrimyTm4ggU5vu0SGj4yliahb64dbakj08G3dVn8IUePf-7UOw_4-LTA==</v>
      </c>
    </row>
    <row r="1067" spans="1:25" ht="39.950000000000003" customHeight="1">
      <c r="A1067">
        <v>1063</v>
      </c>
      <c r="B1067" t="s">
        <v>9542</v>
      </c>
      <c r="C1067" t="s">
        <v>9543</v>
      </c>
      <c r="D1067" t="s">
        <v>9544</v>
      </c>
      <c r="E1067" t="s">
        <v>9545</v>
      </c>
      <c r="F1067" t="s">
        <v>29</v>
      </c>
      <c r="G1067" t="s">
        <v>1008</v>
      </c>
      <c r="H1067" t="s">
        <v>31</v>
      </c>
      <c r="I1067" t="s">
        <v>32</v>
      </c>
      <c r="J1067" t="s">
        <v>935</v>
      </c>
      <c r="K1067" t="s">
        <v>9546</v>
      </c>
      <c r="L1067" t="s">
        <v>596</v>
      </c>
      <c r="M1067" t="s">
        <v>339</v>
      </c>
      <c r="N1067" t="s">
        <v>9547</v>
      </c>
      <c r="O1067" t="s">
        <v>38</v>
      </c>
      <c r="P1067" t="s">
        <v>73</v>
      </c>
      <c r="Q1067" t="s">
        <v>107</v>
      </c>
      <c r="R1067" t="s">
        <v>559</v>
      </c>
      <c r="S1067" t="s">
        <v>9548</v>
      </c>
      <c r="T1067" t="s">
        <v>3054</v>
      </c>
      <c r="U1067" t="s">
        <v>43</v>
      </c>
      <c r="V1067" t="s">
        <v>9549</v>
      </c>
      <c r="W1067" t="s">
        <v>9550</v>
      </c>
      <c r="Y1067" t="str">
        <f>HYPERLINK("https://recruiter.shine.com/resume/download/?resumeid=gAAAAABbk2ULbNGqDGPQoudy3jKYKYlT4l2B8c2xvrf5tPpn4b1ssDg5AEFtAzOaHDDD3BIFeCmCpHuP5Un6QZZQz7JUzQ09H7NcohT_U9ND36urIWv2Y9DjZVwRma-LAFnWYUGVsGtZyG0H2Zv97zl1zWDEYFlnuQ==")</f>
        <v>https://recruiter.shine.com/resume/download/?resumeid=gAAAAABbk2ULbNGqDGPQoudy3jKYKYlT4l2B8c2xvrf5tPpn4b1ssDg5AEFtAzOaHDDD3BIFeCmCpHuP5Un6QZZQz7JUzQ09H7NcohT_U9ND36urIWv2Y9DjZVwRma-LAFnWYUGVsGtZyG0H2Zv97zl1zWDEYFlnuQ==</v>
      </c>
    </row>
    <row r="1068" spans="1:25" ht="39.950000000000003" customHeight="1">
      <c r="A1068">
        <v>1064</v>
      </c>
      <c r="B1068" t="s">
        <v>9551</v>
      </c>
      <c r="D1068" t="s">
        <v>9552</v>
      </c>
      <c r="E1068" t="s">
        <v>9553</v>
      </c>
      <c r="F1068" t="s">
        <v>858</v>
      </c>
      <c r="G1068" t="s">
        <v>858</v>
      </c>
      <c r="H1068" t="s">
        <v>31</v>
      </c>
      <c r="I1068" t="s">
        <v>1709</v>
      </c>
      <c r="J1068" t="s">
        <v>336</v>
      </c>
      <c r="K1068" t="s">
        <v>813</v>
      </c>
      <c r="L1068" t="s">
        <v>462</v>
      </c>
      <c r="M1068" t="s">
        <v>884</v>
      </c>
      <c r="N1068" t="s">
        <v>9554</v>
      </c>
      <c r="O1068" t="s">
        <v>585</v>
      </c>
      <c r="Q1068" t="s">
        <v>90</v>
      </c>
      <c r="R1068" t="s">
        <v>465</v>
      </c>
      <c r="S1068" t="s">
        <v>1467</v>
      </c>
      <c r="T1068" t="s">
        <v>1137</v>
      </c>
      <c r="U1068" t="s">
        <v>43</v>
      </c>
      <c r="V1068" t="s">
        <v>9555</v>
      </c>
      <c r="W1068" t="s">
        <v>9556</v>
      </c>
      <c r="Y1068" t="str">
        <f>HYPERLINK("https://recruiter.shine.com/resume/download/?resumeid=gAAAAABbk2UNE_ob-xGZ_yk0fFfJsZ0Uf_XCZNv4C0tPJFcYxPoWbkTwz0fM57rhnQ6-hFvQ5QfavFemy8QX7dyq4xyylp-g4KSFzMSG3fhtPYYbpJOzxyEzRieajw3KClqvzL0vBkp3kn5nMSGuEuMO2OmmOce-nQ==")</f>
        <v>https://recruiter.shine.com/resume/download/?resumeid=gAAAAABbk2UNE_ob-xGZ_yk0fFfJsZ0Uf_XCZNv4C0tPJFcYxPoWbkTwz0fM57rhnQ6-hFvQ5QfavFemy8QX7dyq4xyylp-g4KSFzMSG3fhtPYYbpJOzxyEzRieajw3KClqvzL0vBkp3kn5nMSGuEuMO2OmmOce-nQ==</v>
      </c>
    </row>
    <row r="1069" spans="1:25" ht="39.950000000000003" customHeight="1">
      <c r="A1069">
        <v>1065</v>
      </c>
      <c r="B1069" t="s">
        <v>9557</v>
      </c>
      <c r="D1069" t="s">
        <v>9558</v>
      </c>
      <c r="E1069" t="s">
        <v>9559</v>
      </c>
      <c r="F1069" t="s">
        <v>29</v>
      </c>
      <c r="G1069" t="s">
        <v>67</v>
      </c>
      <c r="H1069" t="s">
        <v>31</v>
      </c>
      <c r="I1069" t="s">
        <v>1419</v>
      </c>
      <c r="J1069" t="s">
        <v>408</v>
      </c>
      <c r="K1069" t="s">
        <v>9560</v>
      </c>
      <c r="L1069" t="s">
        <v>5296</v>
      </c>
      <c r="M1069" t="s">
        <v>473</v>
      </c>
      <c r="N1069" t="s">
        <v>9561</v>
      </c>
      <c r="O1069" t="s">
        <v>186</v>
      </c>
      <c r="Q1069" t="s">
        <v>40</v>
      </c>
      <c r="R1069" t="s">
        <v>2192</v>
      </c>
      <c r="S1069" t="s">
        <v>9562</v>
      </c>
      <c r="T1069" t="s">
        <v>93</v>
      </c>
      <c r="U1069" t="s">
        <v>43</v>
      </c>
      <c r="V1069" t="s">
        <v>9563</v>
      </c>
      <c r="W1069" t="s">
        <v>9564</v>
      </c>
      <c r="Y1069" t="str">
        <f>HYPERLINK("https://recruiter.shine.com/resume/download/?resumeid=gAAAAABbk2UNFBv_IT0MBmsXF7l-0i3_LclByQrcakefDbQntIKk5xbcM2glWqQskA2BAJS9yX69_ABHPv4gsH3JaoRrtemULp6I1JD6upDHKIE5war2C9otqSPzrehRVjChD6Bbyrhnm0uS9DKs3SlraR89OUKIkwRBtkMspBWkERZ1mCEXNuk=")</f>
        <v>https://recruiter.shine.com/resume/download/?resumeid=gAAAAABbk2UNFBv_IT0MBmsXF7l-0i3_LclByQrcakefDbQntIKk5xbcM2glWqQskA2BAJS9yX69_ABHPv4gsH3JaoRrtemULp6I1JD6upDHKIE5war2C9otqSPzrehRVjChD6Bbyrhnm0uS9DKs3SlraR89OUKIkwRBtkMspBWkERZ1mCEXNuk=</v>
      </c>
    </row>
    <row r="1070" spans="1:25" ht="39.950000000000003" customHeight="1">
      <c r="A1070">
        <v>1066</v>
      </c>
      <c r="B1070" t="s">
        <v>9565</v>
      </c>
      <c r="C1070" t="s">
        <v>9566</v>
      </c>
      <c r="D1070" t="s">
        <v>9567</v>
      </c>
      <c r="E1070" t="s">
        <v>9568</v>
      </c>
      <c r="F1070" t="s">
        <v>29</v>
      </c>
      <c r="G1070" t="s">
        <v>29</v>
      </c>
      <c r="H1070" t="s">
        <v>31</v>
      </c>
      <c r="I1070" t="s">
        <v>6326</v>
      </c>
      <c r="J1070" t="s">
        <v>235</v>
      </c>
      <c r="K1070" t="s">
        <v>837</v>
      </c>
      <c r="L1070" t="s">
        <v>462</v>
      </c>
      <c r="M1070" t="s">
        <v>121</v>
      </c>
      <c r="N1070" t="s">
        <v>9569</v>
      </c>
      <c r="O1070" t="s">
        <v>38</v>
      </c>
      <c r="P1070" t="s">
        <v>39</v>
      </c>
      <c r="Q1070" t="s">
        <v>90</v>
      </c>
      <c r="R1070" t="s">
        <v>465</v>
      </c>
      <c r="S1070" t="s">
        <v>3898</v>
      </c>
      <c r="T1070" t="s">
        <v>429</v>
      </c>
      <c r="U1070" t="s">
        <v>127</v>
      </c>
      <c r="V1070" t="s">
        <v>9570</v>
      </c>
      <c r="W1070" t="s">
        <v>9571</v>
      </c>
      <c r="Y1070" t="str">
        <f>HYPERLINK("https://recruiter.shine.com/resume/download/?resumeid=gAAAAABbk2UKsIumge9Cix27RNXY-OXtKS-HO4TVQxtfIL9eQolGxTTFfZNKU8Xt-jn-VwXUY-AH83aCtLt3YdQniQycHcdyVG47X7w0mY5kTMQMat_nTzfaPubj85zWueNTdFILCTUh6ZSyMoq3uK0McfuueoHHMA==")</f>
        <v>https://recruiter.shine.com/resume/download/?resumeid=gAAAAABbk2UKsIumge9Cix27RNXY-OXtKS-HO4TVQxtfIL9eQolGxTTFfZNKU8Xt-jn-VwXUY-AH83aCtLt3YdQniQycHcdyVG47X7w0mY5kTMQMat_nTzfaPubj85zWueNTdFILCTUh6ZSyMoq3uK0McfuueoHHMA==</v>
      </c>
    </row>
    <row r="1071" spans="1:25" ht="39.950000000000003" customHeight="1">
      <c r="A1071">
        <v>1067</v>
      </c>
      <c r="B1071" t="s">
        <v>9572</v>
      </c>
      <c r="C1071" t="s">
        <v>9573</v>
      </c>
      <c r="D1071" t="s">
        <v>9574</v>
      </c>
      <c r="E1071" t="s">
        <v>9575</v>
      </c>
      <c r="F1071" t="s">
        <v>29</v>
      </c>
      <c r="G1071" t="s">
        <v>30</v>
      </c>
      <c r="H1071" t="s">
        <v>234</v>
      </c>
      <c r="I1071" t="s">
        <v>505</v>
      </c>
      <c r="J1071" t="s">
        <v>2883</v>
      </c>
      <c r="K1071" t="s">
        <v>706</v>
      </c>
      <c r="L1071" t="s">
        <v>184</v>
      </c>
      <c r="M1071" t="s">
        <v>238</v>
      </c>
      <c r="N1071" t="s">
        <v>5817</v>
      </c>
      <c r="O1071" t="s">
        <v>186</v>
      </c>
      <c r="Q1071" t="s">
        <v>240</v>
      </c>
      <c r="R1071" t="s">
        <v>241</v>
      </c>
      <c r="S1071" t="s">
        <v>242</v>
      </c>
      <c r="T1071" t="s">
        <v>429</v>
      </c>
      <c r="U1071" t="s">
        <v>43</v>
      </c>
      <c r="V1071" t="s">
        <v>9576</v>
      </c>
      <c r="W1071" t="s">
        <v>9577</v>
      </c>
      <c r="Y1071" t="str">
        <f>HYPERLINK("https://recruiter.shine.com/resume/download/?resumeid=gAAAAABbk2UMDNQW94O_Xib-zxhmlEHajBnEclQ1FtTC5t6izEKqLaiFpuoBnqZGgNnc1V3ahhgMci4su68tEUTlEM5txErbrv5NkCyPXo-KI5ATeEYzy9BI7DhN-XbQ3rebrIAXxf-AHdlyJpuW4gdd1ozHVHKMvQ==")</f>
        <v>https://recruiter.shine.com/resume/download/?resumeid=gAAAAABbk2UMDNQW94O_Xib-zxhmlEHajBnEclQ1FtTC5t6izEKqLaiFpuoBnqZGgNnc1V3ahhgMci4su68tEUTlEM5txErbrv5NkCyPXo-KI5ATeEYzy9BI7DhN-XbQ3rebrIAXxf-AHdlyJpuW4gdd1ozHVHKMvQ==</v>
      </c>
    </row>
    <row r="1072" spans="1:25" ht="39.950000000000003" customHeight="1">
      <c r="A1072">
        <v>1068</v>
      </c>
      <c r="B1072" t="s">
        <v>9578</v>
      </c>
      <c r="C1072" t="s">
        <v>9579</v>
      </c>
      <c r="D1072" t="s">
        <v>9580</v>
      </c>
      <c r="E1072" t="s">
        <v>9581</v>
      </c>
      <c r="F1072" t="s">
        <v>29</v>
      </c>
      <c r="H1072" t="s">
        <v>31</v>
      </c>
      <c r="I1072" t="s">
        <v>32</v>
      </c>
      <c r="J1072" t="s">
        <v>393</v>
      </c>
      <c r="K1072" t="s">
        <v>9582</v>
      </c>
      <c r="L1072" t="s">
        <v>266</v>
      </c>
      <c r="M1072" t="s">
        <v>684</v>
      </c>
      <c r="N1072" t="s">
        <v>9583</v>
      </c>
      <c r="O1072" t="s">
        <v>186</v>
      </c>
      <c r="Q1072" t="s">
        <v>158</v>
      </c>
      <c r="R1072" t="s">
        <v>341</v>
      </c>
      <c r="S1072" t="s">
        <v>9584</v>
      </c>
      <c r="T1072" t="s">
        <v>3054</v>
      </c>
      <c r="U1072" t="s">
        <v>127</v>
      </c>
      <c r="V1072" t="s">
        <v>9585</v>
      </c>
      <c r="W1072" t="s">
        <v>9586</v>
      </c>
      <c r="Y1072" t="str">
        <f>HYPERLINK("https://recruiter.shine.com/resume/download/?resumeid=gAAAAABbk2UNPIN_JQ3mwvHvX82eJmaAOA5J-8tWhQ63otyZpAkoXuBYWuyIBrbMtOrP7nGo7m3-NcijacsuiGC3751rMhlQF0drYiho2F_VjWQlbwtNDZhEzdx_eXDUju0C8de9De6SUg75asx_GU961tQmZCBuGg==")</f>
        <v>https://recruiter.shine.com/resume/download/?resumeid=gAAAAABbk2UNPIN_JQ3mwvHvX82eJmaAOA5J-8tWhQ63otyZpAkoXuBYWuyIBrbMtOrP7nGo7m3-NcijacsuiGC3751rMhlQF0drYiho2F_VjWQlbwtNDZhEzdx_eXDUju0C8de9De6SUg75asx_GU961tQmZCBuGg==</v>
      </c>
    </row>
    <row r="1073" spans="1:25" ht="39.950000000000003" customHeight="1">
      <c r="A1073">
        <v>1069</v>
      </c>
      <c r="B1073" t="s">
        <v>9587</v>
      </c>
      <c r="C1073" t="s">
        <v>9588</v>
      </c>
      <c r="D1073" t="s">
        <v>9589</v>
      </c>
      <c r="E1073" t="s">
        <v>9590</v>
      </c>
      <c r="F1073" t="s">
        <v>29</v>
      </c>
      <c r="G1073" t="s">
        <v>724</v>
      </c>
      <c r="H1073" t="s">
        <v>31</v>
      </c>
      <c r="I1073" t="s">
        <v>6326</v>
      </c>
      <c r="J1073" t="s">
        <v>506</v>
      </c>
      <c r="K1073" t="s">
        <v>9591</v>
      </c>
      <c r="L1073" t="s">
        <v>664</v>
      </c>
      <c r="M1073" t="s">
        <v>717</v>
      </c>
      <c r="N1073" t="s">
        <v>9592</v>
      </c>
      <c r="O1073" t="s">
        <v>157</v>
      </c>
      <c r="P1073" t="s">
        <v>39</v>
      </c>
      <c r="Q1073" t="s">
        <v>123</v>
      </c>
      <c r="R1073" t="s">
        <v>124</v>
      </c>
      <c r="S1073" t="s">
        <v>188</v>
      </c>
      <c r="T1073" t="s">
        <v>227</v>
      </c>
      <c r="U1073" t="s">
        <v>43</v>
      </c>
      <c r="V1073" t="s">
        <v>9593</v>
      </c>
      <c r="W1073" t="s">
        <v>9593</v>
      </c>
      <c r="Y1073" t="str">
        <f>HYPERLINK("https://recruiter.shine.com/resume/download/?resumeid=gAAAAABbk2ULMALxdvdl8Lu7CrHx3-N842wNJbO1vfX6q0b8ei-C0VRH9Z0A6Dxn_9rhbRGqgXR63n87ANx6hiOv4Z1wW4OPIS7yM5NlfXa1vZHSIu729fM5xE1fhslTqEoOsdJpVnoNp6RFx_TMc0X0tCc6SaUhjA==")</f>
        <v>https://recruiter.shine.com/resume/download/?resumeid=gAAAAABbk2ULMALxdvdl8Lu7CrHx3-N842wNJbO1vfX6q0b8ei-C0VRH9Z0A6Dxn_9rhbRGqgXR63n87ANx6hiOv4Z1wW4OPIS7yM5NlfXa1vZHSIu729fM5xE1fhslTqEoOsdJpVnoNp6RFx_TMc0X0tCc6SaUhjA==</v>
      </c>
    </row>
    <row r="1074" spans="1:25" ht="39.950000000000003" customHeight="1">
      <c r="A1074">
        <v>1070</v>
      </c>
      <c r="B1074" t="s">
        <v>9594</v>
      </c>
      <c r="C1074" t="s">
        <v>9595</v>
      </c>
      <c r="D1074" t="s">
        <v>9596</v>
      </c>
      <c r="E1074" t="s">
        <v>9597</v>
      </c>
      <c r="F1074" t="s">
        <v>29</v>
      </c>
      <c r="G1074" t="s">
        <v>29</v>
      </c>
      <c r="H1074" t="s">
        <v>234</v>
      </c>
      <c r="I1074" t="s">
        <v>734</v>
      </c>
      <c r="J1074" t="s">
        <v>2063</v>
      </c>
      <c r="K1074" t="s">
        <v>595</v>
      </c>
      <c r="L1074" t="s">
        <v>664</v>
      </c>
      <c r="M1074" t="s">
        <v>36</v>
      </c>
      <c r="N1074" t="s">
        <v>9598</v>
      </c>
      <c r="O1074" t="s">
        <v>585</v>
      </c>
      <c r="P1074" t="s">
        <v>73</v>
      </c>
      <c r="Q1074" t="s">
        <v>107</v>
      </c>
      <c r="R1074" t="s">
        <v>75</v>
      </c>
      <c r="S1074" t="s">
        <v>9599</v>
      </c>
      <c r="T1074" t="s">
        <v>441</v>
      </c>
      <c r="U1074" t="s">
        <v>43</v>
      </c>
      <c r="V1074" t="s">
        <v>9600</v>
      </c>
      <c r="W1074" t="s">
        <v>9600</v>
      </c>
      <c r="Y1074" t="str">
        <f>HYPERLINK("https://recruiter.shine.com/resume/download/?resumeid=gAAAAABbk2UNUwsful0_jnElP0Mc5OHSytRG7kW7KbwV-JtDKIscgwE4_bVZNxIh23MQGRUUGUk61cqb_xQKyAPsW96qk7mNU755uwqivUzum9PHpG_2aWMuEEYEgEedtCNZwdqsQuazaKdFlYKXPIDgWOLOJNXRtQ==")</f>
        <v>https://recruiter.shine.com/resume/download/?resumeid=gAAAAABbk2UNUwsful0_jnElP0Mc5OHSytRG7kW7KbwV-JtDKIscgwE4_bVZNxIh23MQGRUUGUk61cqb_xQKyAPsW96qk7mNU755uwqivUzum9PHpG_2aWMuEEYEgEedtCNZwdqsQuazaKdFlYKXPIDgWOLOJNXRtQ==</v>
      </c>
    </row>
    <row r="1075" spans="1:25" ht="39.950000000000003" customHeight="1">
      <c r="A1075">
        <v>1071</v>
      </c>
      <c r="B1075" t="s">
        <v>9601</v>
      </c>
      <c r="C1075" t="s">
        <v>9602</v>
      </c>
      <c r="D1075" t="s">
        <v>9603</v>
      </c>
      <c r="E1075" t="s">
        <v>9604</v>
      </c>
      <c r="F1075" t="s">
        <v>29</v>
      </c>
      <c r="G1075" t="s">
        <v>2006</v>
      </c>
      <c r="H1075" t="s">
        <v>234</v>
      </c>
      <c r="I1075" t="s">
        <v>1721</v>
      </c>
      <c r="J1075" t="s">
        <v>506</v>
      </c>
      <c r="K1075" t="s">
        <v>9605</v>
      </c>
      <c r="L1075" t="s">
        <v>1524</v>
      </c>
      <c r="M1075" t="s">
        <v>238</v>
      </c>
      <c r="N1075" t="s">
        <v>9606</v>
      </c>
      <c r="O1075" t="s">
        <v>186</v>
      </c>
      <c r="P1075" t="s">
        <v>73</v>
      </c>
      <c r="Q1075" t="s">
        <v>187</v>
      </c>
      <c r="R1075" t="s">
        <v>124</v>
      </c>
      <c r="S1075" t="s">
        <v>9607</v>
      </c>
      <c r="T1075" t="s">
        <v>1921</v>
      </c>
      <c r="U1075" t="s">
        <v>127</v>
      </c>
      <c r="V1075" t="s">
        <v>9608</v>
      </c>
      <c r="W1075" t="s">
        <v>9608</v>
      </c>
      <c r="Y1075" t="str">
        <f>HYPERLINK("https://recruiter.shine.com/resume/download/?resumeid=gAAAAABbk2UO33e46KM_6Mtg16jdsSQX8a7PIFzhSEgxws2nvIcFlVmPdgcB9mr_qgTOWQje-mR4gHVFy4l9eGOibXsV_e3idT_ff532lYzlXCr70OmjN32b3Qy-5fabYbiEkgKcbGsTNzLXWAg7wde_N0XUUAiNMQ==")</f>
        <v>https://recruiter.shine.com/resume/download/?resumeid=gAAAAABbk2UO33e46KM_6Mtg16jdsSQX8a7PIFzhSEgxws2nvIcFlVmPdgcB9mr_qgTOWQje-mR4gHVFy4l9eGOibXsV_e3idT_ff532lYzlXCr70OmjN32b3Qy-5fabYbiEkgKcbGsTNzLXWAg7wde_N0XUUAiNMQ==</v>
      </c>
    </row>
    <row r="1076" spans="1:25" ht="39.950000000000003" customHeight="1">
      <c r="A1076">
        <v>1072</v>
      </c>
      <c r="B1076" t="s">
        <v>9609</v>
      </c>
      <c r="C1076" t="s">
        <v>7754</v>
      </c>
      <c r="D1076" t="s">
        <v>9610</v>
      </c>
      <c r="E1076" t="s">
        <v>9611</v>
      </c>
      <c r="F1076" t="s">
        <v>858</v>
      </c>
      <c r="G1076" t="s">
        <v>2784</v>
      </c>
      <c r="H1076" t="s">
        <v>31</v>
      </c>
      <c r="I1076" t="s">
        <v>650</v>
      </c>
      <c r="J1076" t="s">
        <v>251</v>
      </c>
      <c r="K1076" t="s">
        <v>9612</v>
      </c>
      <c r="L1076" t="s">
        <v>199</v>
      </c>
      <c r="M1076" t="s">
        <v>36</v>
      </c>
      <c r="N1076" t="s">
        <v>9613</v>
      </c>
      <c r="O1076" t="s">
        <v>157</v>
      </c>
      <c r="P1076" t="s">
        <v>57</v>
      </c>
      <c r="Q1076" t="s">
        <v>107</v>
      </c>
      <c r="R1076" t="s">
        <v>341</v>
      </c>
      <c r="S1076" t="s">
        <v>9614</v>
      </c>
      <c r="T1076" t="s">
        <v>61</v>
      </c>
      <c r="U1076" t="s">
        <v>43</v>
      </c>
      <c r="V1076" t="s">
        <v>9615</v>
      </c>
      <c r="W1076" t="s">
        <v>9616</v>
      </c>
      <c r="Y1076" t="str">
        <f>HYPERLINK("https://recruiter.shine.com/resume/download/?resumeid=gAAAAABbk2ULTI_2abZMWJVVz4Dl_HIddyQem4uNxPOQY_9Y2iZWHaQ5Iqgwlq4IRHi3938EmL24ekm-IhAVgu1NvY6rFKOFqy1o6YTXwKuoAFHvDaaWWLCireT4ZVJogAw4NM7FJUgAMga0IsyQB0xc3roffUUIvA==")</f>
        <v>https://recruiter.shine.com/resume/download/?resumeid=gAAAAABbk2ULTI_2abZMWJVVz4Dl_HIddyQem4uNxPOQY_9Y2iZWHaQ5Iqgwlq4IRHi3938EmL24ekm-IhAVgu1NvY6rFKOFqy1o6YTXwKuoAFHvDaaWWLCireT4ZVJogAw4NM7FJUgAMga0IsyQB0xc3roffUUIvA==</v>
      </c>
    </row>
    <row r="1077" spans="1:25" ht="39.950000000000003" customHeight="1">
      <c r="A1077">
        <v>1073</v>
      </c>
      <c r="B1077" t="s">
        <v>9617</v>
      </c>
      <c r="C1077" t="s">
        <v>308</v>
      </c>
      <c r="D1077" t="s">
        <v>9618</v>
      </c>
      <c r="E1077" t="s">
        <v>9619</v>
      </c>
      <c r="F1077" t="s">
        <v>249</v>
      </c>
      <c r="G1077" t="s">
        <v>9620</v>
      </c>
      <c r="H1077" t="s">
        <v>31</v>
      </c>
      <c r="I1077" t="s">
        <v>7076</v>
      </c>
      <c r="J1077" t="s">
        <v>1722</v>
      </c>
      <c r="K1077" t="s">
        <v>9621</v>
      </c>
      <c r="L1077" t="s">
        <v>596</v>
      </c>
      <c r="M1077" t="s">
        <v>36</v>
      </c>
      <c r="N1077" t="s">
        <v>9622</v>
      </c>
      <c r="O1077" t="s">
        <v>38</v>
      </c>
      <c r="P1077" t="s">
        <v>5061</v>
      </c>
      <c r="Q1077" t="s">
        <v>158</v>
      </c>
      <c r="R1077" t="s">
        <v>559</v>
      </c>
      <c r="S1077" t="s">
        <v>9623</v>
      </c>
      <c r="T1077" t="s">
        <v>93</v>
      </c>
      <c r="U1077" t="s">
        <v>43</v>
      </c>
      <c r="V1077" t="s">
        <v>9624</v>
      </c>
      <c r="W1077" t="s">
        <v>9625</v>
      </c>
      <c r="Y1077" t="str">
        <f>HYPERLINK("https://recruiter.shine.com/resume/download/?resumeid=gAAAAABbk2UNOxZddOxW6WCNavCNyIBzYHXWzpjkHAt1_KaOLSKhykRtd6pgZKJ0z971nGRz4Cn_Q17vMp9XwakwZco54m6ADl9xXLvSWLxhydtzF6D-jByeDBvdkl5Nw1QonzWaTU3eL2BelhigULUXwqm-XCrcA0s5phEIkWMpQxPNc2tdMck=")</f>
        <v>https://recruiter.shine.com/resume/download/?resumeid=gAAAAABbk2UNOxZddOxW6WCNavCNyIBzYHXWzpjkHAt1_KaOLSKhykRtd6pgZKJ0z971nGRz4Cn_Q17vMp9XwakwZco54m6ADl9xXLvSWLxhydtzF6D-jByeDBvdkl5Nw1QonzWaTU3eL2BelhigULUXwqm-XCrcA0s5phEIkWMpQxPNc2tdMck=</v>
      </c>
    </row>
    <row r="1078" spans="1:25" ht="39.950000000000003" customHeight="1">
      <c r="A1078">
        <v>1074</v>
      </c>
      <c r="B1078" t="s">
        <v>9626</v>
      </c>
      <c r="D1078" t="s">
        <v>9627</v>
      </c>
      <c r="E1078" t="s">
        <v>9628</v>
      </c>
      <c r="F1078" t="s">
        <v>29</v>
      </c>
      <c r="H1078" t="s">
        <v>31</v>
      </c>
      <c r="I1078" t="s">
        <v>362</v>
      </c>
      <c r="J1078" t="s">
        <v>135</v>
      </c>
      <c r="L1078" t="s">
        <v>363</v>
      </c>
      <c r="M1078" t="s">
        <v>364</v>
      </c>
      <c r="V1078" t="s">
        <v>9629</v>
      </c>
      <c r="W1078" t="s">
        <v>9629</v>
      </c>
      <c r="Y1078" t="str">
        <f>HYPERLINK("https://recruiter.shine.com/resume/download/?resumeid=gAAAAABbk2UNiCNfrNAJfTto0a2EdeGccBJRs5kGioSdSG31dpkbeiSTxKrIban3WFcRMABWoI6tDiYvhPTRz3mKo-RgjWJGxznVvCbUxHExSwmu50Up4TVvnu8eHFbngvVFgI0DlvClSEIeSGfebNGGGwY_ngE-nWhDttJYjSyB5z1XKuyQoV4=")</f>
        <v>https://recruiter.shine.com/resume/download/?resumeid=gAAAAABbk2UNiCNfrNAJfTto0a2EdeGccBJRs5kGioSdSG31dpkbeiSTxKrIban3WFcRMABWoI6tDiYvhPTRz3mKo-RgjWJGxznVvCbUxHExSwmu50Up4TVvnu8eHFbngvVFgI0DlvClSEIeSGfebNGGGwY_ngE-nWhDttJYjSyB5z1XKuyQoV4=</v>
      </c>
    </row>
    <row r="1079" spans="1:25" ht="39.950000000000003" customHeight="1">
      <c r="A1079">
        <v>1075</v>
      </c>
      <c r="B1079" t="s">
        <v>9630</v>
      </c>
      <c r="C1079" t="s">
        <v>9631</v>
      </c>
      <c r="D1079" t="s">
        <v>9632</v>
      </c>
      <c r="E1079" t="s">
        <v>9633</v>
      </c>
      <c r="F1079" t="s">
        <v>29</v>
      </c>
      <c r="G1079" t="s">
        <v>29</v>
      </c>
      <c r="H1079" t="s">
        <v>234</v>
      </c>
      <c r="I1079" t="s">
        <v>152</v>
      </c>
      <c r="J1079" t="s">
        <v>51</v>
      </c>
      <c r="K1079" t="s">
        <v>4922</v>
      </c>
      <c r="L1079" t="s">
        <v>486</v>
      </c>
      <c r="M1079" t="s">
        <v>238</v>
      </c>
      <c r="N1079" t="s">
        <v>4354</v>
      </c>
      <c r="O1079" t="s">
        <v>1041</v>
      </c>
      <c r="P1079" t="s">
        <v>73</v>
      </c>
      <c r="Q1079" t="s">
        <v>123</v>
      </c>
      <c r="R1079" t="s">
        <v>124</v>
      </c>
      <c r="S1079" t="s">
        <v>188</v>
      </c>
      <c r="U1079" t="s">
        <v>43</v>
      </c>
      <c r="V1079" t="s">
        <v>9634</v>
      </c>
      <c r="W1079" t="s">
        <v>9635</v>
      </c>
      <c r="Y1079" t="str">
        <f>HYPERLINK("https://recruiter.shine.com/resume/download/?resumeid=gAAAAABbk2UKktix8TshhowI2ZHIwV4q708Ir2fl3tiyRb2YVJh81-Cs_4BTIHuUvNgZLP-SNeGZbbHBdvBp-yagYNGIkIyEkUUSL5_i7auI_tcl0gDoY4F6x3N9oZS3oRzFlbztcbrCC-OtSrvKnaBdGgais8DQ_A==")</f>
        <v>https://recruiter.shine.com/resume/download/?resumeid=gAAAAABbk2UKktix8TshhowI2ZHIwV4q708Ir2fl3tiyRb2YVJh81-Cs_4BTIHuUvNgZLP-SNeGZbbHBdvBp-yagYNGIkIyEkUUSL5_i7auI_tcl0gDoY4F6x3N9oZS3oRzFlbztcbrCC-OtSrvKnaBdGgais8DQ_A==</v>
      </c>
    </row>
    <row r="1080" spans="1:25" ht="39.950000000000003" customHeight="1">
      <c r="A1080">
        <v>1076</v>
      </c>
      <c r="B1080" t="s">
        <v>9636</v>
      </c>
      <c r="C1080" t="s">
        <v>9637</v>
      </c>
      <c r="D1080" t="s">
        <v>9638</v>
      </c>
      <c r="E1080" t="s">
        <v>9639</v>
      </c>
      <c r="F1080" t="s">
        <v>29</v>
      </c>
      <c r="G1080" t="s">
        <v>9640</v>
      </c>
      <c r="H1080" t="s">
        <v>31</v>
      </c>
      <c r="I1080" t="s">
        <v>633</v>
      </c>
      <c r="J1080" t="s">
        <v>135</v>
      </c>
      <c r="K1080" t="s">
        <v>9641</v>
      </c>
      <c r="L1080" t="s">
        <v>486</v>
      </c>
      <c r="M1080" t="s">
        <v>757</v>
      </c>
      <c r="N1080" t="s">
        <v>6915</v>
      </c>
      <c r="O1080" t="s">
        <v>186</v>
      </c>
      <c r="P1080" t="s">
        <v>940</v>
      </c>
      <c r="Q1080" t="s">
        <v>123</v>
      </c>
      <c r="R1080" t="s">
        <v>124</v>
      </c>
      <c r="S1080" t="s">
        <v>188</v>
      </c>
      <c r="T1080" t="s">
        <v>429</v>
      </c>
      <c r="U1080" t="s">
        <v>43</v>
      </c>
      <c r="V1080" t="s">
        <v>9642</v>
      </c>
      <c r="W1080" t="s">
        <v>9643</v>
      </c>
      <c r="Y1080" t="str">
        <f>HYPERLINK("https://recruiter.shine.com/resume/download/?resumeid=gAAAAABbk2UML6MEye9TeVZT9f1kDeCcyqZ9pm1AW3cIu1_pK0XEX6WIcGqTVFKQmJ3PkVKlXqocQG2SvqJXIlxbWxlLUnWsednszgpseUhz_9st8XAayR_3CuXvbmm4XgvRyG9HqDIcrvg8jqYoRBYm8OM65OolypIe5O757OjO3_05mH2-enk=")</f>
        <v>https://recruiter.shine.com/resume/download/?resumeid=gAAAAABbk2UML6MEye9TeVZT9f1kDeCcyqZ9pm1AW3cIu1_pK0XEX6WIcGqTVFKQmJ3PkVKlXqocQG2SvqJXIlxbWxlLUnWsednszgpseUhz_9st8XAayR_3CuXvbmm4XgvRyG9HqDIcrvg8jqYoRBYm8OM65OolypIe5O757OjO3_05mH2-enk=</v>
      </c>
    </row>
    <row r="1081" spans="1:25" ht="39.950000000000003" customHeight="1">
      <c r="A1081">
        <v>1077</v>
      </c>
      <c r="B1081" t="s">
        <v>9644</v>
      </c>
      <c r="D1081" t="s">
        <v>9645</v>
      </c>
      <c r="E1081" t="s">
        <v>9646</v>
      </c>
      <c r="F1081" t="s">
        <v>29</v>
      </c>
      <c r="G1081" t="s">
        <v>5798</v>
      </c>
      <c r="H1081" t="s">
        <v>31</v>
      </c>
      <c r="I1081" t="s">
        <v>68</v>
      </c>
      <c r="J1081" t="s">
        <v>7610</v>
      </c>
      <c r="K1081" t="s">
        <v>9647</v>
      </c>
      <c r="L1081" t="s">
        <v>266</v>
      </c>
      <c r="M1081" t="s">
        <v>684</v>
      </c>
      <c r="N1081" t="s">
        <v>9648</v>
      </c>
      <c r="O1081" t="s">
        <v>56</v>
      </c>
      <c r="P1081" t="s">
        <v>57</v>
      </c>
      <c r="Q1081" t="s">
        <v>107</v>
      </c>
      <c r="R1081" t="s">
        <v>225</v>
      </c>
      <c r="S1081" t="s">
        <v>951</v>
      </c>
      <c r="T1081" t="s">
        <v>161</v>
      </c>
      <c r="U1081" t="s">
        <v>43</v>
      </c>
      <c r="V1081" t="s">
        <v>9649</v>
      </c>
      <c r="W1081" t="s">
        <v>9649</v>
      </c>
      <c r="Y1081" t="str">
        <f>HYPERLINK("https://recruiter.shine.com/resume/download/?resumeid=gAAAAABbk2UOacwoxwle9ThXewzMUu6rq5rSHiXxG8pa_Ww7azw2SKFs3mytBe_MHCYXfT3FWaPwr5wdQUtt100QmntXITlK6DV4fcuj3lVrFWIgsnR9JlQD2TwfhX7V-p9ZGMgp6oRiaKFMmBvg3dIgkNgkg3vAhA==")</f>
        <v>https://recruiter.shine.com/resume/download/?resumeid=gAAAAABbk2UOacwoxwle9ThXewzMUu6rq5rSHiXxG8pa_Ww7azw2SKFs3mytBe_MHCYXfT3FWaPwr5wdQUtt100QmntXITlK6DV4fcuj3lVrFWIgsnR9JlQD2TwfhX7V-p9ZGMgp6oRiaKFMmBvg3dIgkNgkg3vAhA==</v>
      </c>
    </row>
    <row r="1082" spans="1:25" ht="39.950000000000003" customHeight="1">
      <c r="A1082">
        <v>1078</v>
      </c>
      <c r="B1082" t="s">
        <v>9650</v>
      </c>
      <c r="C1082" t="s">
        <v>9651</v>
      </c>
      <c r="D1082" t="s">
        <v>9652</v>
      </c>
      <c r="E1082" t="s">
        <v>9653</v>
      </c>
      <c r="F1082" t="s">
        <v>29</v>
      </c>
      <c r="G1082" t="s">
        <v>29</v>
      </c>
      <c r="H1082" t="s">
        <v>31</v>
      </c>
      <c r="I1082" t="s">
        <v>32</v>
      </c>
      <c r="J1082" t="s">
        <v>9654</v>
      </c>
      <c r="K1082" t="s">
        <v>9655</v>
      </c>
      <c r="L1082" t="s">
        <v>53</v>
      </c>
      <c r="M1082" t="s">
        <v>395</v>
      </c>
      <c r="N1082" t="s">
        <v>9656</v>
      </c>
      <c r="O1082" t="s">
        <v>38</v>
      </c>
      <c r="P1082" t="s">
        <v>39</v>
      </c>
      <c r="Q1082" t="s">
        <v>107</v>
      </c>
      <c r="R1082" t="s">
        <v>559</v>
      </c>
      <c r="S1082" t="s">
        <v>9657</v>
      </c>
      <c r="T1082" t="s">
        <v>110</v>
      </c>
      <c r="U1082" t="s">
        <v>127</v>
      </c>
      <c r="V1082" t="s">
        <v>9658</v>
      </c>
      <c r="W1082" t="s">
        <v>9659</v>
      </c>
      <c r="Y1082" t="str">
        <f>HYPERLINK("https://recruiter.shine.com/resume/download/?resumeid=gAAAAABbk2UL80QyyVn0qNGyRcbJcXq0w5sz9_Bo926gz54rF3W4-iTzuG6IrSZrYH6tH3QOXq9w_8viNG0Wf_K9LThB6WW0Ff9AgPRXDr_lTgfTa6mcWKiabISmZcG1caJRo74oJaWCsB0nilHn6SyLvqygNnhYGw==")</f>
        <v>https://recruiter.shine.com/resume/download/?resumeid=gAAAAABbk2UL80QyyVn0qNGyRcbJcXq0w5sz9_Bo926gz54rF3W4-iTzuG6IrSZrYH6tH3QOXq9w_8viNG0Wf_K9LThB6WW0Ff9AgPRXDr_lTgfTa6mcWKiabISmZcG1caJRo74oJaWCsB0nilHn6SyLvqygNnhYGw==</v>
      </c>
    </row>
    <row r="1083" spans="1:25" ht="39.950000000000003" customHeight="1">
      <c r="A1083">
        <v>1079</v>
      </c>
      <c r="B1083" t="s">
        <v>9660</v>
      </c>
      <c r="C1083" t="s">
        <v>9661</v>
      </c>
      <c r="D1083" t="s">
        <v>9662</v>
      </c>
      <c r="E1083" t="s">
        <v>9663</v>
      </c>
      <c r="F1083" t="s">
        <v>29</v>
      </c>
      <c r="G1083" t="s">
        <v>29</v>
      </c>
      <c r="H1083" t="s">
        <v>31</v>
      </c>
      <c r="I1083" t="s">
        <v>1709</v>
      </c>
      <c r="J1083" t="s">
        <v>9664</v>
      </c>
      <c r="K1083" t="s">
        <v>9665</v>
      </c>
      <c r="L1083" t="s">
        <v>664</v>
      </c>
      <c r="M1083" t="s">
        <v>105</v>
      </c>
      <c r="N1083" t="s">
        <v>9666</v>
      </c>
      <c r="O1083" t="s">
        <v>572</v>
      </c>
      <c r="P1083" t="s">
        <v>73</v>
      </c>
      <c r="Q1083" t="s">
        <v>107</v>
      </c>
      <c r="R1083" t="s">
        <v>341</v>
      </c>
      <c r="S1083" t="s">
        <v>202</v>
      </c>
      <c r="T1083" t="s">
        <v>561</v>
      </c>
      <c r="U1083" t="s">
        <v>43</v>
      </c>
      <c r="V1083" t="s">
        <v>9667</v>
      </c>
      <c r="W1083" t="s">
        <v>9668</v>
      </c>
      <c r="Y1083" t="str">
        <f>HYPERLINK("https://recruiter.shine.com/resume/download/?resumeid=gAAAAABbk2UM3Qi7UqdHuWOGJ_bSzWV-dIHPxc3xv3nuTNYqgo0HJpLvl6c3nhluuYPSjTYmD455ft-sR_78mKPblSs54hDKIjwi3ZbNc44CD1jeK92og6Vmv8EpNmN7u_fU6FFr8TeYGbpszL8EhsaHsVcvPxoXrA==")</f>
        <v>https://recruiter.shine.com/resume/download/?resumeid=gAAAAABbk2UM3Qi7UqdHuWOGJ_bSzWV-dIHPxc3xv3nuTNYqgo0HJpLvl6c3nhluuYPSjTYmD455ft-sR_78mKPblSs54hDKIjwi3ZbNc44CD1jeK92og6Vmv8EpNmN7u_fU6FFr8TeYGbpszL8EhsaHsVcvPxoXrA==</v>
      </c>
    </row>
    <row r="1084" spans="1:25" ht="39.950000000000003" customHeight="1">
      <c r="A1084">
        <v>1080</v>
      </c>
      <c r="B1084" t="s">
        <v>9669</v>
      </c>
      <c r="C1084" t="s">
        <v>9670</v>
      </c>
      <c r="D1084" t="s">
        <v>9671</v>
      </c>
      <c r="E1084" t="s">
        <v>9672</v>
      </c>
      <c r="F1084" t="s">
        <v>858</v>
      </c>
      <c r="G1084" t="s">
        <v>100</v>
      </c>
      <c r="H1084" t="s">
        <v>31</v>
      </c>
      <c r="I1084" t="s">
        <v>633</v>
      </c>
      <c r="J1084" t="s">
        <v>135</v>
      </c>
      <c r="K1084" t="s">
        <v>5328</v>
      </c>
      <c r="L1084" t="s">
        <v>171</v>
      </c>
      <c r="M1084" t="s">
        <v>172</v>
      </c>
      <c r="N1084" t="s">
        <v>9673</v>
      </c>
      <c r="O1084" t="s">
        <v>186</v>
      </c>
      <c r="Q1084" t="s">
        <v>90</v>
      </c>
      <c r="R1084" t="s">
        <v>91</v>
      </c>
      <c r="S1084" t="s">
        <v>9674</v>
      </c>
      <c r="T1084" t="s">
        <v>257</v>
      </c>
      <c r="U1084" t="s">
        <v>43</v>
      </c>
      <c r="V1084" t="s">
        <v>9675</v>
      </c>
      <c r="W1084" t="s">
        <v>9676</v>
      </c>
      <c r="Y1084" t="str">
        <f>HYPERLINK("https://recruiter.shine.com/resume/download/?resumeid=gAAAAABbk2UOR1S_JGnO8GHpjP7O8XMI2LgQCQD2h1KMk9wd_ayu71bzAA6c5TCiA5FzJ_t0z38Mk76-MThgE0TFtfORoTHMF9ky57I_kmkMsEbhaDh93KQO4mh1jG4iUP1f5owO6ywy7cmj4uO78VwWlL8SMhtW_A==")</f>
        <v>https://recruiter.shine.com/resume/download/?resumeid=gAAAAABbk2UOR1S_JGnO8GHpjP7O8XMI2LgQCQD2h1KMk9wd_ayu71bzAA6c5TCiA5FzJ_t0z38Mk76-MThgE0TFtfORoTHMF9ky57I_kmkMsEbhaDh93KQO4mh1jG4iUP1f5owO6ywy7cmj4uO78VwWlL8SMhtW_A==</v>
      </c>
    </row>
    <row r="1085" spans="1:25" ht="39.950000000000003" customHeight="1">
      <c r="A1085">
        <v>1081</v>
      </c>
      <c r="B1085" t="s">
        <v>9677</v>
      </c>
      <c r="D1085" t="s">
        <v>9678</v>
      </c>
      <c r="E1085" t="s">
        <v>9679</v>
      </c>
      <c r="F1085" t="s">
        <v>29</v>
      </c>
      <c r="G1085" t="s">
        <v>29</v>
      </c>
      <c r="H1085" t="s">
        <v>234</v>
      </c>
      <c r="I1085" t="s">
        <v>4499</v>
      </c>
      <c r="J1085" t="s">
        <v>51</v>
      </c>
      <c r="K1085" t="s">
        <v>6040</v>
      </c>
      <c r="L1085" t="s">
        <v>171</v>
      </c>
      <c r="M1085" t="s">
        <v>54</v>
      </c>
      <c r="N1085" t="s">
        <v>355</v>
      </c>
      <c r="O1085" t="s">
        <v>475</v>
      </c>
      <c r="P1085" t="s">
        <v>57</v>
      </c>
      <c r="Q1085" t="s">
        <v>90</v>
      </c>
      <c r="R1085" t="s">
        <v>91</v>
      </c>
      <c r="S1085" t="s">
        <v>9680</v>
      </c>
      <c r="U1085" t="s">
        <v>94</v>
      </c>
      <c r="V1085" t="s">
        <v>9681</v>
      </c>
      <c r="W1085" t="s">
        <v>9681</v>
      </c>
      <c r="Y1085" t="str">
        <f>HYPERLINK("https://recruiter.shine.com/resume/download/?resumeid=gAAAAABbk2UKKhVT8-9NcfBKc6IfBMk6uZYQ5qtYMpY693gjJqhNVDNmfrdhbwT89PY7Mf6ldwpEm8kEWoqQ8eKtc2qVWxqApXvBbokha8AHdyStPtNhhSpADoJ_PrcU9vIQ_JPqWxyKHHm1kgG3d-yr6OIKwX0FTBMuxysUhdmJmJIawYndGTA=")</f>
        <v>https://recruiter.shine.com/resume/download/?resumeid=gAAAAABbk2UKKhVT8-9NcfBKc6IfBMk6uZYQ5qtYMpY693gjJqhNVDNmfrdhbwT89PY7Mf6ldwpEm8kEWoqQ8eKtc2qVWxqApXvBbokha8AHdyStPtNhhSpADoJ_PrcU9vIQ_JPqWxyKHHm1kgG3d-yr6OIKwX0FTBMuxysUhdmJmJIawYndGTA=</v>
      </c>
    </row>
    <row r="1086" spans="1:25" ht="39.950000000000003" customHeight="1">
      <c r="A1086">
        <v>1082</v>
      </c>
      <c r="B1086" t="s">
        <v>9682</v>
      </c>
      <c r="D1086" t="s">
        <v>9683</v>
      </c>
      <c r="E1086" t="s">
        <v>9684</v>
      </c>
      <c r="F1086" t="s">
        <v>29</v>
      </c>
      <c r="G1086" t="s">
        <v>29</v>
      </c>
      <c r="H1086" t="s">
        <v>31</v>
      </c>
      <c r="I1086" t="s">
        <v>5163</v>
      </c>
      <c r="J1086" t="s">
        <v>506</v>
      </c>
      <c r="K1086" t="s">
        <v>9685</v>
      </c>
      <c r="L1086" t="s">
        <v>314</v>
      </c>
      <c r="M1086" t="s">
        <v>473</v>
      </c>
      <c r="N1086" t="s">
        <v>9686</v>
      </c>
      <c r="O1086" t="s">
        <v>38</v>
      </c>
      <c r="Q1086" t="s">
        <v>40</v>
      </c>
      <c r="R1086" t="s">
        <v>41</v>
      </c>
      <c r="S1086" t="s">
        <v>9687</v>
      </c>
      <c r="T1086" t="s">
        <v>175</v>
      </c>
      <c r="U1086" t="s">
        <v>43</v>
      </c>
      <c r="V1086" t="s">
        <v>9688</v>
      </c>
      <c r="W1086" t="s">
        <v>9689</v>
      </c>
      <c r="Y1086" t="str">
        <f>HYPERLINK("https://recruiter.shine.com/resume/download/?resumeid=gAAAAABbk2UMSrhkuox4MkXmLGBrzalqgKPnb_pIcLAcSlYWQYCSicFxjm1wC6WlqKb8nBAurOcytyLLu0vHIl1kbW6Wy0KIOOVhhBBpMN05Rp2Zp8FHaQYSXZGlyz-cpGKo8-bqBDbREG6_iGcGOYly7NEUOCuJTQ==")</f>
        <v>https://recruiter.shine.com/resume/download/?resumeid=gAAAAABbk2UMSrhkuox4MkXmLGBrzalqgKPnb_pIcLAcSlYWQYCSicFxjm1wC6WlqKb8nBAurOcytyLLu0vHIl1kbW6Wy0KIOOVhhBBpMN05Rp2Zp8FHaQYSXZGlyz-cpGKo8-bqBDbREG6_iGcGOYly7NEUOCuJTQ==</v>
      </c>
    </row>
    <row r="1087" spans="1:25" ht="39.950000000000003" customHeight="1">
      <c r="A1087">
        <v>1083</v>
      </c>
      <c r="B1087" t="s">
        <v>9690</v>
      </c>
      <c r="C1087" t="s">
        <v>9691</v>
      </c>
      <c r="D1087" t="s">
        <v>9692</v>
      </c>
      <c r="E1087" t="s">
        <v>9693</v>
      </c>
      <c r="F1087" t="s">
        <v>29</v>
      </c>
      <c r="G1087" t="s">
        <v>9694</v>
      </c>
      <c r="H1087" t="s">
        <v>31</v>
      </c>
      <c r="I1087" t="s">
        <v>32</v>
      </c>
      <c r="J1087" t="s">
        <v>86</v>
      </c>
      <c r="K1087" t="s">
        <v>2653</v>
      </c>
      <c r="L1087" t="s">
        <v>266</v>
      </c>
      <c r="M1087" t="s">
        <v>105</v>
      </c>
      <c r="N1087" t="s">
        <v>9695</v>
      </c>
      <c r="O1087" t="s">
        <v>56</v>
      </c>
      <c r="P1087" t="s">
        <v>57</v>
      </c>
      <c r="Q1087" t="s">
        <v>107</v>
      </c>
      <c r="R1087" t="s">
        <v>159</v>
      </c>
      <c r="S1087" t="s">
        <v>9696</v>
      </c>
      <c r="T1087" t="s">
        <v>270</v>
      </c>
      <c r="U1087" t="s">
        <v>43</v>
      </c>
      <c r="V1087" t="s">
        <v>9697</v>
      </c>
      <c r="W1087" t="s">
        <v>9698</v>
      </c>
      <c r="Y1087" t="str">
        <f>HYPERLINK("https://recruiter.shine.com/resume/download/?resumeid=gAAAAABbk2UNp_UQUqDA2AtkPI-UiiJWhtcAnBhQd89BObMBXb-CJBKkLUKr-xr9qmhtkL2yNjcg8Vo83W9-vvtll1HgC95Ovgb9zHfeNz0iQBtqVYcEdY8EEs7k_HSaCZxHAIuWPw0U1FpDmQ_e6CDsJRmQJlyVMm5-XYfchD--rQeDCBI95U4=")</f>
        <v>https://recruiter.shine.com/resume/download/?resumeid=gAAAAABbk2UNp_UQUqDA2AtkPI-UiiJWhtcAnBhQd89BObMBXb-CJBKkLUKr-xr9qmhtkL2yNjcg8Vo83W9-vvtll1HgC95Ovgb9zHfeNz0iQBtqVYcEdY8EEs7k_HSaCZxHAIuWPw0U1FpDmQ_e6CDsJRmQJlyVMm5-XYfchD--rQeDCBI95U4=</v>
      </c>
    </row>
    <row r="1088" spans="1:25" ht="39.950000000000003" customHeight="1">
      <c r="A1088">
        <v>1084</v>
      </c>
      <c r="B1088" t="s">
        <v>9699</v>
      </c>
      <c r="C1088" t="s">
        <v>9700</v>
      </c>
      <c r="D1088" t="s">
        <v>9701</v>
      </c>
      <c r="E1088" t="s">
        <v>9702</v>
      </c>
      <c r="F1088" t="s">
        <v>29</v>
      </c>
      <c r="G1088" t="s">
        <v>9703</v>
      </c>
      <c r="H1088" t="s">
        <v>31</v>
      </c>
      <c r="I1088" t="s">
        <v>860</v>
      </c>
      <c r="J1088" t="s">
        <v>1354</v>
      </c>
      <c r="K1088" t="s">
        <v>9704</v>
      </c>
      <c r="L1088" t="s">
        <v>794</v>
      </c>
      <c r="M1088" t="s">
        <v>684</v>
      </c>
      <c r="N1088" t="s">
        <v>9705</v>
      </c>
      <c r="O1088" t="s">
        <v>38</v>
      </c>
      <c r="P1088" t="s">
        <v>140</v>
      </c>
      <c r="Q1088" t="s">
        <v>107</v>
      </c>
      <c r="R1088" t="s">
        <v>341</v>
      </c>
      <c r="S1088" t="s">
        <v>6989</v>
      </c>
      <c r="T1088" t="s">
        <v>61</v>
      </c>
      <c r="U1088" t="s">
        <v>43</v>
      </c>
      <c r="V1088" t="s">
        <v>9706</v>
      </c>
      <c r="W1088" t="s">
        <v>9707</v>
      </c>
      <c r="Y1088" t="str">
        <f>HYPERLINK("https://recruiter.shine.com/resume/download/?resumeid=gAAAAABbk2UKYqCccFutjFZTIa351FHwiv7nJn6iXVkhU51FHKozdU3a4KagHCuJUcegi_j2c3NHcoErAfPWlw60tzhCmeKILqHKcEgAIowrbAfBptgVnl-QFr14GktitC84BOh0u_BCwK1QJswfEc96kWdVs-6CrSNKkrcIMtTblZFdmjLENYQ=")</f>
        <v>https://recruiter.shine.com/resume/download/?resumeid=gAAAAABbk2UKYqCccFutjFZTIa351FHwiv7nJn6iXVkhU51FHKozdU3a4KagHCuJUcegi_j2c3NHcoErAfPWlw60tzhCmeKILqHKcEgAIowrbAfBptgVnl-QFr14GktitC84BOh0u_BCwK1QJswfEc96kWdVs-6CrSNKkrcIMtTblZFdmjLENYQ=</v>
      </c>
    </row>
    <row r="1089" spans="1:25" ht="39.950000000000003" customHeight="1">
      <c r="A1089">
        <v>1085</v>
      </c>
      <c r="B1089" t="s">
        <v>9708</v>
      </c>
      <c r="C1089" t="s">
        <v>9709</v>
      </c>
      <c r="D1089" t="s">
        <v>9710</v>
      </c>
      <c r="E1089" t="s">
        <v>9711</v>
      </c>
      <c r="F1089" t="s">
        <v>29</v>
      </c>
      <c r="G1089" t="s">
        <v>9712</v>
      </c>
      <c r="H1089" t="s">
        <v>31</v>
      </c>
      <c r="I1089" t="s">
        <v>1122</v>
      </c>
      <c r="J1089" t="s">
        <v>8422</v>
      </c>
      <c r="K1089" t="s">
        <v>9713</v>
      </c>
      <c r="L1089" t="s">
        <v>199</v>
      </c>
      <c r="M1089" t="s">
        <v>36</v>
      </c>
      <c r="N1089" t="s">
        <v>9714</v>
      </c>
      <c r="O1089" t="s">
        <v>56</v>
      </c>
      <c r="P1089" t="s">
        <v>57</v>
      </c>
      <c r="Q1089" t="s">
        <v>107</v>
      </c>
      <c r="R1089" t="s">
        <v>341</v>
      </c>
      <c r="S1089" t="s">
        <v>9715</v>
      </c>
      <c r="T1089" t="s">
        <v>429</v>
      </c>
      <c r="U1089" t="s">
        <v>43</v>
      </c>
      <c r="V1089" t="s">
        <v>9716</v>
      </c>
      <c r="W1089" t="s">
        <v>9717</v>
      </c>
      <c r="Y1089" t="str">
        <f>HYPERLINK("https://recruiter.shine.com/resume/download/?resumeid=gAAAAABbk2UMbZ17WYYhyM3pWd0V-jh6mIlYk3bdixuyeRPXeK0gfl6AxkyXUYfMdHavjpfSzlnPQ6lBvdjJ3qZeQgPFWDOia5PXed9m5QMksO95l8ErikIZoC8yOtQY376SyTFJeD5kg5nsLYNOzy-hPbFgpChO1_di8_FoSoztS-LEuXFzu38=")</f>
        <v>https://recruiter.shine.com/resume/download/?resumeid=gAAAAABbk2UMbZ17WYYhyM3pWd0V-jh6mIlYk3bdixuyeRPXeK0gfl6AxkyXUYfMdHavjpfSzlnPQ6lBvdjJ3qZeQgPFWDOia5PXed9m5QMksO95l8ErikIZoC8yOtQY376SyTFJeD5kg5nsLYNOzy-hPbFgpChO1_di8_FoSoztS-LEuXFzu38=</v>
      </c>
    </row>
    <row r="1090" spans="1:25" ht="39.950000000000003" customHeight="1">
      <c r="A1090">
        <v>1086</v>
      </c>
      <c r="B1090" t="s">
        <v>9718</v>
      </c>
      <c r="C1090" t="s">
        <v>9719</v>
      </c>
      <c r="D1090" t="s">
        <v>9720</v>
      </c>
      <c r="E1090" t="s">
        <v>9721</v>
      </c>
      <c r="F1090" t="s">
        <v>29</v>
      </c>
      <c r="H1090" t="s">
        <v>31</v>
      </c>
      <c r="I1090" t="s">
        <v>362</v>
      </c>
      <c r="J1090" t="s">
        <v>135</v>
      </c>
      <c r="L1090" t="s">
        <v>363</v>
      </c>
      <c r="M1090" t="s">
        <v>364</v>
      </c>
      <c r="Q1090" t="s">
        <v>489</v>
      </c>
      <c r="R1090" t="s">
        <v>91</v>
      </c>
      <c r="S1090" t="s">
        <v>9722</v>
      </c>
      <c r="T1090" t="s">
        <v>625</v>
      </c>
      <c r="U1090" t="s">
        <v>127</v>
      </c>
      <c r="V1090" t="s">
        <v>9723</v>
      </c>
      <c r="W1090" t="s">
        <v>9724</v>
      </c>
      <c r="Y1090" t="str">
        <f>HYPERLINK("https://recruiter.shine.com/resume/download/?resumeid=gAAAAABbk2UNvCYrjbzai2DefUYk1p9uwAmFvueriObMRImu7iMClBsqb6e1MXUgc-kDXpgbjHwIF1zAn8gQedeZoMU5M4T6203YwS1espdpI9ZyGP2MmXbjW8H5prXQH66ayzguD6SB4NxoMtOXr0OuO0jKGL9ICDWVRcRwW39aPz1o1ibQpFs=")</f>
        <v>https://recruiter.shine.com/resume/download/?resumeid=gAAAAABbk2UNvCYrjbzai2DefUYk1p9uwAmFvueriObMRImu7iMClBsqb6e1MXUgc-kDXpgbjHwIF1zAn8gQedeZoMU5M4T6203YwS1espdpI9ZyGP2MmXbjW8H5prXQH66ayzguD6SB4NxoMtOXr0OuO0jKGL9ICDWVRcRwW39aPz1o1ibQpFs=</v>
      </c>
    </row>
    <row r="1091" spans="1:25" ht="39.950000000000003" customHeight="1">
      <c r="A1091">
        <v>1087</v>
      </c>
      <c r="B1091" t="s">
        <v>9725</v>
      </c>
      <c r="C1091" t="s">
        <v>9726</v>
      </c>
      <c r="D1091" t="s">
        <v>9727</v>
      </c>
      <c r="E1091" t="s">
        <v>9728</v>
      </c>
      <c r="F1091" t="s">
        <v>29</v>
      </c>
      <c r="G1091" t="s">
        <v>29</v>
      </c>
      <c r="H1091" t="s">
        <v>31</v>
      </c>
      <c r="I1091" t="s">
        <v>32</v>
      </c>
      <c r="J1091" t="s">
        <v>278</v>
      </c>
      <c r="K1091" t="s">
        <v>9729</v>
      </c>
      <c r="L1091" t="s">
        <v>88</v>
      </c>
      <c r="M1091" t="s">
        <v>54</v>
      </c>
      <c r="N1091" t="s">
        <v>9730</v>
      </c>
      <c r="O1091" t="s">
        <v>38</v>
      </c>
      <c r="P1091" t="s">
        <v>73</v>
      </c>
      <c r="Q1091" t="s">
        <v>699</v>
      </c>
      <c r="R1091" t="s">
        <v>1235</v>
      </c>
      <c r="S1091" t="s">
        <v>188</v>
      </c>
      <c r="U1091" t="s">
        <v>43</v>
      </c>
      <c r="V1091" t="s">
        <v>9731</v>
      </c>
      <c r="W1091" t="s">
        <v>9732</v>
      </c>
      <c r="Y1091" t="str">
        <f>HYPERLINK("https://recruiter.shine.com/resume/download/?resumeid=gAAAAABbk2ULHDFDxO-wA6PXNp3XZWXiw7tlkgqfNSpth_WInKNVsUJODkdEJfM2gNlj4cfqx8q_E1zqGfAB2S_nIRPe9220f-R9dUhpP96LOocvAgto9RNpGXKA8isf3qnuQ7zgWTHDSKxKDEuYBq-9ka6PCv8ROg==")</f>
        <v>https://recruiter.shine.com/resume/download/?resumeid=gAAAAABbk2ULHDFDxO-wA6PXNp3XZWXiw7tlkgqfNSpth_WInKNVsUJODkdEJfM2gNlj4cfqx8q_E1zqGfAB2S_nIRPe9220f-R9dUhpP96LOocvAgto9RNpGXKA8isf3qnuQ7zgWTHDSKxKDEuYBq-9ka6PCv8ROg==</v>
      </c>
    </row>
    <row r="1092" spans="1:25" ht="39.950000000000003" customHeight="1">
      <c r="A1092">
        <v>1088</v>
      </c>
      <c r="B1092" t="s">
        <v>9733</v>
      </c>
      <c r="C1092" t="s">
        <v>9734</v>
      </c>
      <c r="D1092" t="s">
        <v>9735</v>
      </c>
      <c r="E1092" t="s">
        <v>9736</v>
      </c>
      <c r="F1092" t="s">
        <v>29</v>
      </c>
      <c r="G1092" t="s">
        <v>406</v>
      </c>
      <c r="H1092" t="s">
        <v>234</v>
      </c>
      <c r="I1092" t="s">
        <v>362</v>
      </c>
      <c r="J1092" t="s">
        <v>135</v>
      </c>
      <c r="L1092" t="s">
        <v>363</v>
      </c>
      <c r="M1092" t="s">
        <v>364</v>
      </c>
      <c r="Q1092" t="s">
        <v>90</v>
      </c>
      <c r="R1092" t="s">
        <v>292</v>
      </c>
      <c r="S1092" t="s">
        <v>9737</v>
      </c>
      <c r="T1092" t="s">
        <v>429</v>
      </c>
      <c r="U1092" t="s">
        <v>43</v>
      </c>
      <c r="V1092" t="s">
        <v>9738</v>
      </c>
      <c r="W1092" t="s">
        <v>9738</v>
      </c>
      <c r="Y1092" t="str">
        <f>HYPERLINK("https://recruiter.shine.com/resume/download/?resumeid=gAAAAABbk2UMrfgylM2cJjs3tKHsBuRe1wDdpBIiggog-ZxlPQwUZi9ETGM2A2GECQDhORofIoNrbf_mchV-LL95uf865tlTVrKgCY-ycyKtmWEHl-p68w7Wwt5dFPw_fhm3Pf9uFj_kU4DULRh_4eqqGKb5KN7MxDlS8s7qkvqeXWLcscwBTB0=")</f>
        <v>https://recruiter.shine.com/resume/download/?resumeid=gAAAAABbk2UMrfgylM2cJjs3tKHsBuRe1wDdpBIiggog-ZxlPQwUZi9ETGM2A2GECQDhORofIoNrbf_mchV-LL95uf865tlTVrKgCY-ycyKtmWEHl-p68w7Wwt5dFPw_fhm3Pf9uFj_kU4DULRh_4eqqGKb5KN7MxDlS8s7qkvqeXWLcscwBTB0=</v>
      </c>
    </row>
    <row r="1093" spans="1:25" ht="39.950000000000003" customHeight="1">
      <c r="A1093">
        <v>1089</v>
      </c>
      <c r="B1093" t="s">
        <v>9739</v>
      </c>
      <c r="C1093" t="s">
        <v>9740</v>
      </c>
      <c r="D1093" t="s">
        <v>9741</v>
      </c>
      <c r="E1093" t="s">
        <v>9742</v>
      </c>
      <c r="F1093" t="s">
        <v>29</v>
      </c>
      <c r="G1093" t="s">
        <v>30</v>
      </c>
      <c r="H1093" t="s">
        <v>234</v>
      </c>
      <c r="I1093" t="s">
        <v>362</v>
      </c>
      <c r="J1093" t="s">
        <v>135</v>
      </c>
      <c r="K1093" t="s">
        <v>9743</v>
      </c>
      <c r="L1093" t="s">
        <v>53</v>
      </c>
      <c r="M1093" t="s">
        <v>138</v>
      </c>
      <c r="N1093" t="s">
        <v>9744</v>
      </c>
      <c r="O1093" t="s">
        <v>186</v>
      </c>
      <c r="P1093" t="s">
        <v>940</v>
      </c>
      <c r="Q1093" t="s">
        <v>74</v>
      </c>
      <c r="R1093" t="s">
        <v>573</v>
      </c>
      <c r="S1093" t="s">
        <v>9745</v>
      </c>
      <c r="T1093" t="s">
        <v>625</v>
      </c>
      <c r="U1093" t="s">
        <v>43</v>
      </c>
      <c r="V1093" t="s">
        <v>9746</v>
      </c>
      <c r="W1093" t="s">
        <v>9747</v>
      </c>
      <c r="Y1093" t="str">
        <f>HYPERLINK("https://recruiter.shine.com/resume/download/?resumeid=gAAAAABbk2UNDsnJN84TQ1nVABDzIwFTbXH0Fz0jBEbShw3SGHSWHKNV_E3WkmGbLB6zBpbhR2adrWA3AS9rI3WJkK3QRPXFrydfROcXofaynU9KDfG6qapwscEKQweeZV49LrBSxjr0L-tD9DnHzLRt0wH-coiCDA==")</f>
        <v>https://recruiter.shine.com/resume/download/?resumeid=gAAAAABbk2UNDsnJN84TQ1nVABDzIwFTbXH0Fz0jBEbShw3SGHSWHKNV_E3WkmGbLB6zBpbhR2adrWA3AS9rI3WJkK3QRPXFrydfROcXofaynU9KDfG6qapwscEKQweeZV49LrBSxjr0L-tD9DnHzLRt0wH-coiCDA==</v>
      </c>
    </row>
    <row r="1094" spans="1:25" ht="39.950000000000003" customHeight="1">
      <c r="A1094">
        <v>1090</v>
      </c>
      <c r="B1094" t="s">
        <v>9748</v>
      </c>
      <c r="C1094" t="s">
        <v>9749</v>
      </c>
      <c r="D1094" t="s">
        <v>9750</v>
      </c>
      <c r="E1094" t="s">
        <v>9751</v>
      </c>
      <c r="F1094" t="s">
        <v>29</v>
      </c>
      <c r="G1094" t="s">
        <v>1008</v>
      </c>
      <c r="H1094" t="s">
        <v>31</v>
      </c>
      <c r="I1094" t="s">
        <v>5206</v>
      </c>
      <c r="J1094" t="s">
        <v>251</v>
      </c>
      <c r="K1094" t="s">
        <v>4369</v>
      </c>
      <c r="L1094" t="s">
        <v>155</v>
      </c>
      <c r="M1094" t="s">
        <v>684</v>
      </c>
      <c r="N1094" t="s">
        <v>9752</v>
      </c>
      <c r="O1094" t="s">
        <v>186</v>
      </c>
      <c r="P1094" t="s">
        <v>57</v>
      </c>
      <c r="Q1094" t="s">
        <v>783</v>
      </c>
      <c r="R1094" t="s">
        <v>341</v>
      </c>
      <c r="S1094" t="s">
        <v>6749</v>
      </c>
      <c r="T1094" t="s">
        <v>61</v>
      </c>
      <c r="U1094" t="s">
        <v>43</v>
      </c>
      <c r="V1094" t="s">
        <v>9753</v>
      </c>
      <c r="W1094" t="s">
        <v>9753</v>
      </c>
      <c r="Y1094" t="str">
        <f>HYPERLINK("https://recruiter.shine.com/resume/download/?resumeid=gAAAAABbk2ULOMod1ZS-G-m5cthxdo9Ah4rN06s5ysXXsRZlKDE_JmiMg_tUep1Fh9Nb_vB762RGYOQ3YSozd-skJyf8VRXuOGFCehXn7karsDAD38SgkzWAJd5SQzZbKzCGqQjdmTmKpnMAul7ru1RmD84i4TRnKxCiovd4p8uBlKoJz4gNiiQ=")</f>
        <v>https://recruiter.shine.com/resume/download/?resumeid=gAAAAABbk2ULOMod1ZS-G-m5cthxdo9Ah4rN06s5ysXXsRZlKDE_JmiMg_tUep1Fh9Nb_vB762RGYOQ3YSozd-skJyf8VRXuOGFCehXn7karsDAD38SgkzWAJd5SQzZbKzCGqQjdmTmKpnMAul7ru1RmD84i4TRnKxCiovd4p8uBlKoJz4gNiiQ=</v>
      </c>
    </row>
    <row r="1095" spans="1:25" ht="39.950000000000003" customHeight="1">
      <c r="A1095">
        <v>1091</v>
      </c>
      <c r="B1095" t="s">
        <v>9754</v>
      </c>
      <c r="C1095" t="s">
        <v>9755</v>
      </c>
      <c r="D1095" t="s">
        <v>9756</v>
      </c>
      <c r="E1095" t="s">
        <v>9757</v>
      </c>
      <c r="F1095" t="s">
        <v>29</v>
      </c>
      <c r="G1095" t="s">
        <v>29</v>
      </c>
      <c r="H1095" t="s">
        <v>234</v>
      </c>
      <c r="I1095" t="s">
        <v>2263</v>
      </c>
      <c r="J1095" t="s">
        <v>3214</v>
      </c>
      <c r="K1095" t="s">
        <v>9758</v>
      </c>
      <c r="L1095" t="s">
        <v>338</v>
      </c>
      <c r="M1095" t="s">
        <v>1755</v>
      </c>
      <c r="N1095" t="s">
        <v>9759</v>
      </c>
      <c r="O1095" t="s">
        <v>186</v>
      </c>
      <c r="P1095" t="s">
        <v>140</v>
      </c>
      <c r="Q1095" t="s">
        <v>158</v>
      </c>
      <c r="R1095" t="s">
        <v>159</v>
      </c>
      <c r="S1095" t="s">
        <v>9760</v>
      </c>
      <c r="T1095" t="s">
        <v>175</v>
      </c>
      <c r="U1095" t="s">
        <v>43</v>
      </c>
      <c r="V1095" t="s">
        <v>9761</v>
      </c>
      <c r="W1095" t="s">
        <v>9761</v>
      </c>
      <c r="Y1095" t="str">
        <f>HYPERLINK("https://recruiter.shine.com/resume/download/?resumeid=gAAAAABbk2UMA6KKbTBBGuUzLvFQhm9xn7ydoRZ1NCu3rB4WPtD7ZDsF2BZp-0Y8gn-_E2DDOVy1ibun4bA0nzg-LPFJxXhNI7eVt0o6CkkYNm6iFzSHyGOH5AGnIrQDXDI0S63kfuO8CjofNHPECNHyF9NS0pEUzQ==")</f>
        <v>https://recruiter.shine.com/resume/download/?resumeid=gAAAAABbk2UMA6KKbTBBGuUzLvFQhm9xn7ydoRZ1NCu3rB4WPtD7ZDsF2BZp-0Y8gn-_E2DDOVy1ibun4bA0nzg-LPFJxXhNI7eVt0o6CkkYNm6iFzSHyGOH5AGnIrQDXDI0S63kfuO8CjofNHPECNHyF9NS0pEUzQ==</v>
      </c>
    </row>
    <row r="1096" spans="1:25" ht="39.950000000000003" customHeight="1">
      <c r="A1096">
        <v>1092</v>
      </c>
      <c r="B1096" t="s">
        <v>9762</v>
      </c>
      <c r="D1096" t="s">
        <v>9763</v>
      </c>
      <c r="E1096" t="s">
        <v>9764</v>
      </c>
      <c r="F1096" t="s">
        <v>29</v>
      </c>
      <c r="H1096" t="s">
        <v>31</v>
      </c>
      <c r="I1096" t="s">
        <v>362</v>
      </c>
      <c r="J1096" t="s">
        <v>135</v>
      </c>
      <c r="L1096" t="s">
        <v>363</v>
      </c>
      <c r="M1096" t="s">
        <v>364</v>
      </c>
      <c r="Q1096" t="s">
        <v>107</v>
      </c>
      <c r="R1096" t="s">
        <v>341</v>
      </c>
      <c r="S1096" t="s">
        <v>9765</v>
      </c>
      <c r="T1096" t="s">
        <v>625</v>
      </c>
      <c r="U1096" t="s">
        <v>127</v>
      </c>
      <c r="V1096" t="s">
        <v>9766</v>
      </c>
      <c r="W1096" t="s">
        <v>9767</v>
      </c>
      <c r="Y1096" t="str">
        <f>HYPERLINK("https://recruiter.shine.com/resume/download/?resumeid=gAAAAABbk2UN1S5h8LvWryr4LL-WzGOgyEOvwJOBguxXVNLRFTY6rhztPimokc-hF2qzWOLdqVFZFq9_OMqmdXX0uRjpPoVTuVQxZb6Ej0usErgMfH1Bm-ycSqsd4Kx6rWlyE086OsXJnjtk7qdYzuuV4mbUaPlK5r2bAXO8I4l1ClTpm5DJNnw=")</f>
        <v>https://recruiter.shine.com/resume/download/?resumeid=gAAAAABbk2UN1S5h8LvWryr4LL-WzGOgyEOvwJOBguxXVNLRFTY6rhztPimokc-hF2qzWOLdqVFZFq9_OMqmdXX0uRjpPoVTuVQxZb6Ej0usErgMfH1Bm-ycSqsd4Kx6rWlyE086OsXJnjtk7qdYzuuV4mbUaPlK5r2bAXO8I4l1ClTpm5DJNnw=</v>
      </c>
    </row>
    <row r="1097" spans="1:25" ht="39.950000000000003" customHeight="1">
      <c r="A1097">
        <v>1093</v>
      </c>
      <c r="B1097" t="s">
        <v>9768</v>
      </c>
      <c r="C1097" t="s">
        <v>9769</v>
      </c>
      <c r="D1097" t="s">
        <v>9770</v>
      </c>
      <c r="E1097" t="s">
        <v>9771</v>
      </c>
      <c r="F1097" t="s">
        <v>29</v>
      </c>
      <c r="G1097" t="s">
        <v>9772</v>
      </c>
      <c r="H1097" t="s">
        <v>31</v>
      </c>
      <c r="I1097" t="s">
        <v>1344</v>
      </c>
      <c r="J1097" t="s">
        <v>393</v>
      </c>
      <c r="K1097" t="s">
        <v>9773</v>
      </c>
      <c r="L1097" t="s">
        <v>171</v>
      </c>
      <c r="M1097" t="s">
        <v>463</v>
      </c>
      <c r="N1097" t="s">
        <v>9774</v>
      </c>
      <c r="O1097" t="s">
        <v>56</v>
      </c>
      <c r="P1097" t="s">
        <v>57</v>
      </c>
      <c r="Q1097" t="s">
        <v>90</v>
      </c>
      <c r="R1097" t="s">
        <v>91</v>
      </c>
      <c r="S1097" t="s">
        <v>9775</v>
      </c>
      <c r="T1097" t="s">
        <v>773</v>
      </c>
      <c r="U1097" t="s">
        <v>94</v>
      </c>
      <c r="V1097" t="s">
        <v>9776</v>
      </c>
      <c r="W1097" t="s">
        <v>9777</v>
      </c>
      <c r="Y1097" t="str">
        <f>HYPERLINK("https://recruiter.shine.com/resume/download/?resumeid=gAAAAABbk2UK7Hppto3lt8Gs_3r9EnyJpywbBu9ilUu1LPWEYW_bwBTENkgmb_hXy3CWuzXTRCgcdpTW4J7nVWEyuxsKjiUZ_55halXAxpJ--3hBz7qlqHdXEKVAhODkAwwY7uCKBFw2epnp6ZB0PyQi4-zb4BjUygyY0o0mKw9YGjIVDBNBH_E=")</f>
        <v>https://recruiter.shine.com/resume/download/?resumeid=gAAAAABbk2UK7Hppto3lt8Gs_3r9EnyJpywbBu9ilUu1LPWEYW_bwBTENkgmb_hXy3CWuzXTRCgcdpTW4J7nVWEyuxsKjiUZ_55halXAxpJ--3hBz7qlqHdXEKVAhODkAwwY7uCKBFw2epnp6ZB0PyQi4-zb4BjUygyY0o0mKw9YGjIVDBNBH_E=</v>
      </c>
    </row>
    <row r="1098" spans="1:25" ht="39.950000000000003" customHeight="1">
      <c r="A1098">
        <v>1094</v>
      </c>
      <c r="B1098" t="s">
        <v>9778</v>
      </c>
      <c r="D1098" t="s">
        <v>9779</v>
      </c>
      <c r="E1098" t="s">
        <v>9780</v>
      </c>
      <c r="F1098" t="s">
        <v>29</v>
      </c>
      <c r="G1098" t="s">
        <v>9781</v>
      </c>
      <c r="H1098" t="s">
        <v>234</v>
      </c>
      <c r="I1098" t="s">
        <v>5102</v>
      </c>
      <c r="J1098" t="s">
        <v>251</v>
      </c>
      <c r="K1098" t="s">
        <v>9782</v>
      </c>
      <c r="L1098" t="s">
        <v>937</v>
      </c>
      <c r="M1098" t="s">
        <v>1335</v>
      </c>
      <c r="N1098" t="s">
        <v>9783</v>
      </c>
      <c r="O1098" t="s">
        <v>186</v>
      </c>
      <c r="P1098" t="s">
        <v>39</v>
      </c>
      <c r="Q1098" t="s">
        <v>107</v>
      </c>
      <c r="R1098" t="s">
        <v>642</v>
      </c>
      <c r="S1098" t="s">
        <v>9784</v>
      </c>
      <c r="T1098" t="s">
        <v>110</v>
      </c>
      <c r="U1098" t="s">
        <v>43</v>
      </c>
      <c r="V1098" t="s">
        <v>9785</v>
      </c>
      <c r="W1098" t="s">
        <v>9786</v>
      </c>
      <c r="Y1098" t="str">
        <f>HYPERLINK("https://recruiter.shine.com/resume/download/?resumeid=gAAAAABbk2UMRRSqmepchYZPCOJdRV7Urr4rr1QbPGSAlyv7lX6b6E_STBnMocjcLOdbZV7jmQuwL6QazkAbi07NUSiTdnSDML98dnG-IcFS7dWBDsqB3Za4z_-AfDLmavICUFFI09kzZOhhHiMG-JMzmaX4IA1R3WdaaAIYxm64bz6SqMKUwgA=")</f>
        <v>https://recruiter.shine.com/resume/download/?resumeid=gAAAAABbk2UMRRSqmepchYZPCOJdRV7Urr4rr1QbPGSAlyv7lX6b6E_STBnMocjcLOdbZV7jmQuwL6QazkAbi07NUSiTdnSDML98dnG-IcFS7dWBDsqB3Za4z_-AfDLmavICUFFI09kzZOhhHiMG-JMzmaX4IA1R3WdaaAIYxm64bz6SqMKUwgA=</v>
      </c>
    </row>
    <row r="1099" spans="1:25" ht="39.950000000000003" customHeight="1">
      <c r="A1099">
        <v>1095</v>
      </c>
      <c r="B1099" t="s">
        <v>9787</v>
      </c>
      <c r="C1099" t="s">
        <v>9788</v>
      </c>
      <c r="D1099" t="s">
        <v>9789</v>
      </c>
      <c r="E1099" t="s">
        <v>9790</v>
      </c>
      <c r="F1099" t="s">
        <v>29</v>
      </c>
      <c r="G1099" t="s">
        <v>67</v>
      </c>
      <c r="H1099" t="s">
        <v>31</v>
      </c>
      <c r="I1099" t="s">
        <v>362</v>
      </c>
      <c r="J1099" t="s">
        <v>135</v>
      </c>
      <c r="L1099" t="s">
        <v>363</v>
      </c>
      <c r="M1099" t="s">
        <v>364</v>
      </c>
      <c r="Q1099" t="s">
        <v>107</v>
      </c>
      <c r="R1099" t="s">
        <v>559</v>
      </c>
      <c r="S1099" t="s">
        <v>9791</v>
      </c>
      <c r="T1099" t="s">
        <v>441</v>
      </c>
      <c r="U1099" t="s">
        <v>43</v>
      </c>
      <c r="V1099" t="s">
        <v>9792</v>
      </c>
      <c r="W1099" t="s">
        <v>9793</v>
      </c>
      <c r="Y1099" t="str">
        <f>HYPERLINK("https://recruiter.shine.com/resume/download/?resumeid=gAAAAABbk2UO8OHZd4nP1X78oEtjx4NRMYbrY4l07oRht-MLnEZvRQqmwagoCqDcwSUxCdG7OzXax_8bHK_LVBGiTWcp5k3lxhoE_PtUBtxZDGyPE2fNlsiUU4jqTjIOE4CXg8KeGS74Lp_WhfqfRKRtBkvARMLDZQ==")</f>
        <v>https://recruiter.shine.com/resume/download/?resumeid=gAAAAABbk2UO8OHZd4nP1X78oEtjx4NRMYbrY4l07oRht-MLnEZvRQqmwagoCqDcwSUxCdG7OzXax_8bHK_LVBGiTWcp5k3lxhoE_PtUBtxZDGyPE2fNlsiUU4jqTjIOE4CXg8KeGS74Lp_WhfqfRKRtBkvARMLDZQ==</v>
      </c>
    </row>
    <row r="1100" spans="1:25" ht="39.950000000000003" customHeight="1">
      <c r="A1100">
        <v>1096</v>
      </c>
      <c r="B1100" t="s">
        <v>9794</v>
      </c>
      <c r="C1100" t="s">
        <v>9795</v>
      </c>
      <c r="D1100" t="s">
        <v>9796</v>
      </c>
      <c r="E1100" t="s">
        <v>9797</v>
      </c>
      <c r="F1100" t="s">
        <v>858</v>
      </c>
      <c r="G1100" t="s">
        <v>2854</v>
      </c>
      <c r="H1100" t="s">
        <v>31</v>
      </c>
      <c r="I1100" t="s">
        <v>152</v>
      </c>
      <c r="J1100" t="s">
        <v>781</v>
      </c>
      <c r="K1100" t="s">
        <v>9798</v>
      </c>
      <c r="L1100" t="s">
        <v>338</v>
      </c>
      <c r="M1100" t="s">
        <v>473</v>
      </c>
      <c r="N1100" t="s">
        <v>9799</v>
      </c>
      <c r="O1100" t="s">
        <v>186</v>
      </c>
      <c r="P1100" t="s">
        <v>57</v>
      </c>
      <c r="Q1100" t="s">
        <v>107</v>
      </c>
      <c r="R1100" t="s">
        <v>559</v>
      </c>
      <c r="S1100" t="s">
        <v>9800</v>
      </c>
      <c r="T1100" t="s">
        <v>687</v>
      </c>
      <c r="U1100" t="s">
        <v>43</v>
      </c>
      <c r="V1100" t="s">
        <v>9801</v>
      </c>
      <c r="W1100" t="s">
        <v>9802</v>
      </c>
      <c r="Y1100" t="str">
        <f>HYPERLINK("https://recruiter.shine.com/resume/download/?resumeid=gAAAAABbk2ULbxbevhaDvic-_rrjgzHGWoVum8s7Wz5-LucG5xAI_Zwsl2w-Gjm8RlQ_ZiegvaHRIvUP2wKGL44YzSeMvrGMsy83R7dOW9U8cB7EQT6KyvpbBGpV9FU8qe_4imhEPrJH7SHLAde4vA6UOKIpA5ixOQ==")</f>
        <v>https://recruiter.shine.com/resume/download/?resumeid=gAAAAABbk2ULbxbevhaDvic-_rrjgzHGWoVum8s7Wz5-LucG5xAI_Zwsl2w-Gjm8RlQ_ZiegvaHRIvUP2wKGL44YzSeMvrGMsy83R7dOW9U8cB7EQT6KyvpbBGpV9FU8qe_4imhEPrJH7SHLAde4vA6UOKIpA5ixOQ==</v>
      </c>
    </row>
    <row r="1101" spans="1:25" ht="39.950000000000003" customHeight="1">
      <c r="A1101">
        <v>1097</v>
      </c>
      <c r="B1101" t="s">
        <v>9803</v>
      </c>
      <c r="C1101" t="s">
        <v>9804</v>
      </c>
      <c r="D1101" t="s">
        <v>9805</v>
      </c>
      <c r="E1101" t="s">
        <v>9806</v>
      </c>
      <c r="F1101" t="s">
        <v>249</v>
      </c>
      <c r="G1101" t="s">
        <v>249</v>
      </c>
      <c r="H1101" t="s">
        <v>31</v>
      </c>
      <c r="I1101" t="s">
        <v>6449</v>
      </c>
      <c r="J1101" t="s">
        <v>9807</v>
      </c>
      <c r="K1101" t="s">
        <v>716</v>
      </c>
      <c r="L1101" t="s">
        <v>184</v>
      </c>
      <c r="M1101" t="s">
        <v>6465</v>
      </c>
      <c r="N1101" t="s">
        <v>9808</v>
      </c>
      <c r="O1101" t="s">
        <v>1041</v>
      </c>
      <c r="P1101" t="s">
        <v>57</v>
      </c>
      <c r="Q1101" t="s">
        <v>123</v>
      </c>
      <c r="R1101" t="s">
        <v>124</v>
      </c>
      <c r="S1101" t="s">
        <v>9809</v>
      </c>
      <c r="T1101" t="s">
        <v>1921</v>
      </c>
      <c r="U1101" t="s">
        <v>43</v>
      </c>
      <c r="V1101" t="s">
        <v>9810</v>
      </c>
      <c r="W1101" t="s">
        <v>9811</v>
      </c>
      <c r="Y1101" t="str">
        <f>HYPERLINK("https://recruiter.shine.com/resume/download/?resumeid=gAAAAABbk2UMliuehQH9tAI6JnqIQzYUFWyNbJBVhBvLtYk5BO6YWQ3v8UzXWyTfz4JqH-Ff3XKhsDFWVDe-eytn_7fnFX27LhMVm_l4BFtbOUHqAoTaIG3rlFqWr4u2KOMv36KlN5tTdjrZ2HEtvi1HIiO9tfiq7gqZ9fYjcoSAcjjG3bBwA14=")</f>
        <v>https://recruiter.shine.com/resume/download/?resumeid=gAAAAABbk2UMliuehQH9tAI6JnqIQzYUFWyNbJBVhBvLtYk5BO6YWQ3v8UzXWyTfz4JqH-Ff3XKhsDFWVDe-eytn_7fnFX27LhMVm_l4BFtbOUHqAoTaIG3rlFqWr4u2KOMv36KlN5tTdjrZ2HEtvi1HIiO9tfiq7gqZ9fYjcoSAcjjG3bBwA14=</v>
      </c>
    </row>
    <row r="1102" spans="1:25" ht="39.950000000000003" customHeight="1">
      <c r="A1102">
        <v>1098</v>
      </c>
      <c r="B1102" t="s">
        <v>9812</v>
      </c>
      <c r="C1102" t="s">
        <v>9813</v>
      </c>
      <c r="D1102" t="s">
        <v>9814</v>
      </c>
      <c r="E1102" t="s">
        <v>9815</v>
      </c>
      <c r="F1102" t="s">
        <v>29</v>
      </c>
      <c r="G1102" t="s">
        <v>67</v>
      </c>
      <c r="H1102" t="s">
        <v>31</v>
      </c>
      <c r="I1102" t="s">
        <v>392</v>
      </c>
      <c r="J1102" t="s">
        <v>9816</v>
      </c>
      <c r="K1102" t="s">
        <v>9817</v>
      </c>
      <c r="L1102" t="s">
        <v>794</v>
      </c>
      <c r="M1102" t="s">
        <v>684</v>
      </c>
      <c r="N1102" t="s">
        <v>9818</v>
      </c>
      <c r="O1102" t="s">
        <v>1041</v>
      </c>
      <c r="P1102" t="s">
        <v>73</v>
      </c>
      <c r="Q1102" t="s">
        <v>90</v>
      </c>
      <c r="R1102" t="s">
        <v>317</v>
      </c>
      <c r="S1102" t="s">
        <v>9819</v>
      </c>
      <c r="T1102" t="s">
        <v>304</v>
      </c>
      <c r="U1102" t="s">
        <v>94</v>
      </c>
      <c r="V1102" t="s">
        <v>9820</v>
      </c>
      <c r="W1102" t="s">
        <v>9821</v>
      </c>
      <c r="Y1102" t="str">
        <f>HYPERLINK("https://recruiter.shine.com/resume/download/?resumeid=gAAAAABbk2UOLcPHYVv_LutAkgIXIXBZs7J18gy5tTeZl1CByI1ToheaRCW1D8DbmfpFIjkFl8beNYIOjYrwcbfnYa2ld_FJYdrsG1I4oxX_TUcwxRtMCpR355-TDHmbJY5xcE4xAQuPK-cql9VNKhFt6DiE7JcLgL9_DKE1ufauukAhbgUevic=")</f>
        <v>https://recruiter.shine.com/resume/download/?resumeid=gAAAAABbk2UOLcPHYVv_LutAkgIXIXBZs7J18gy5tTeZl1CByI1ToheaRCW1D8DbmfpFIjkFl8beNYIOjYrwcbfnYa2ld_FJYdrsG1I4oxX_TUcwxRtMCpR355-TDHmbJY5xcE4xAQuPK-cql9VNKhFt6DiE7JcLgL9_DKE1ufauukAhbgUevic=</v>
      </c>
    </row>
    <row r="1103" spans="1:25" ht="39.950000000000003" customHeight="1">
      <c r="A1103">
        <v>1099</v>
      </c>
      <c r="B1103" t="s">
        <v>9822</v>
      </c>
      <c r="C1103" t="s">
        <v>9823</v>
      </c>
      <c r="D1103" t="s">
        <v>9824</v>
      </c>
      <c r="E1103" t="s">
        <v>9825</v>
      </c>
      <c r="F1103" t="s">
        <v>29</v>
      </c>
      <c r="G1103" t="s">
        <v>29</v>
      </c>
      <c r="H1103" t="s">
        <v>31</v>
      </c>
      <c r="I1103" t="s">
        <v>791</v>
      </c>
      <c r="J1103" t="s">
        <v>8422</v>
      </c>
      <c r="K1103" t="s">
        <v>9826</v>
      </c>
      <c r="L1103" t="s">
        <v>199</v>
      </c>
      <c r="M1103" t="s">
        <v>54</v>
      </c>
      <c r="N1103" t="s">
        <v>5032</v>
      </c>
      <c r="O1103" t="s">
        <v>224</v>
      </c>
      <c r="P1103" t="s">
        <v>39</v>
      </c>
      <c r="Q1103" t="s">
        <v>58</v>
      </c>
      <c r="R1103" t="s">
        <v>59</v>
      </c>
      <c r="S1103" t="s">
        <v>9827</v>
      </c>
      <c r="U1103" t="s">
        <v>43</v>
      </c>
      <c r="V1103" t="s">
        <v>9828</v>
      </c>
      <c r="W1103" t="s">
        <v>9829</v>
      </c>
      <c r="Y1103" t="str">
        <f>HYPERLINK("https://recruiter.shine.com/resume/download/?resumeid=gAAAAABbk2ULsNoPd68lbEupcAmiUE-c0ZwFpDCQ-OEl9fCIlnHnypcj0Gk9GFclm1ny6HbOK2q53qLJiVO_KTL8l17uNFq_ryqe-hB_WBRtDEly4xOQCr65607zmJUcquvjq49JVr3uqfS0InNCThYKQueaPlJBCQ==")</f>
        <v>https://recruiter.shine.com/resume/download/?resumeid=gAAAAABbk2ULsNoPd68lbEupcAmiUE-c0ZwFpDCQ-OEl9fCIlnHnypcj0Gk9GFclm1ny6HbOK2q53qLJiVO_KTL8l17uNFq_ryqe-hB_WBRtDEly4xOQCr65607zmJUcquvjq49JVr3uqfS0InNCThYKQueaPlJBCQ==</v>
      </c>
    </row>
    <row r="1104" spans="1:25" ht="39.950000000000003" customHeight="1">
      <c r="A1104">
        <v>1100</v>
      </c>
      <c r="B1104" t="s">
        <v>9830</v>
      </c>
      <c r="C1104" t="s">
        <v>9831</v>
      </c>
      <c r="D1104" t="s">
        <v>9832</v>
      </c>
      <c r="E1104" t="s">
        <v>9833</v>
      </c>
      <c r="F1104" t="s">
        <v>29</v>
      </c>
      <c r="G1104" t="s">
        <v>29</v>
      </c>
      <c r="H1104" t="s">
        <v>31</v>
      </c>
      <c r="I1104" t="s">
        <v>3470</v>
      </c>
      <c r="J1104" t="s">
        <v>3256</v>
      </c>
      <c r="K1104" t="s">
        <v>4997</v>
      </c>
      <c r="L1104" t="s">
        <v>290</v>
      </c>
      <c r="M1104" t="s">
        <v>238</v>
      </c>
      <c r="N1104" t="s">
        <v>9834</v>
      </c>
      <c r="O1104" t="s">
        <v>186</v>
      </c>
      <c r="P1104" t="s">
        <v>57</v>
      </c>
      <c r="Q1104" t="s">
        <v>489</v>
      </c>
      <c r="R1104" t="s">
        <v>490</v>
      </c>
      <c r="S1104" t="s">
        <v>9835</v>
      </c>
      <c r="T1104" t="s">
        <v>61</v>
      </c>
      <c r="U1104" t="s">
        <v>43</v>
      </c>
      <c r="V1104" t="s">
        <v>9836</v>
      </c>
      <c r="W1104" t="s">
        <v>9837</v>
      </c>
      <c r="Y1104" t="str">
        <f>HYPERLINK("https://recruiter.shine.com/resume/download/?resumeid=gAAAAABbk2UMjfHbYbi4zUasJ3U5U_vwT4j8h1qLJqvTYriYzhmXn2gmNBC_DYYLkyyHDZJKxpzd-_HDOiY9niLZe6YwoyVbbnkd65hJ_ISaK9MAB-RKBTNnz2MXdqqOlQ3g1jDPVE7Okw0TjU5qxNpAeHUPdeu8Bw==")</f>
        <v>https://recruiter.shine.com/resume/download/?resumeid=gAAAAABbk2UMjfHbYbi4zUasJ3U5U_vwT4j8h1qLJqvTYriYzhmXn2gmNBC_DYYLkyyHDZJKxpzd-_HDOiY9niLZe6YwoyVbbnkd65hJ_ISaK9MAB-RKBTNnz2MXdqqOlQ3g1jDPVE7Okw0TjU5qxNpAeHUPdeu8Bw==</v>
      </c>
    </row>
    <row r="1105" spans="1:25" ht="39.950000000000003" customHeight="1">
      <c r="A1105">
        <v>1101</v>
      </c>
      <c r="B1105" t="s">
        <v>9838</v>
      </c>
      <c r="C1105" t="s">
        <v>9839</v>
      </c>
      <c r="D1105" t="s">
        <v>9840</v>
      </c>
      <c r="E1105" t="s">
        <v>9841</v>
      </c>
      <c r="F1105" t="s">
        <v>29</v>
      </c>
      <c r="G1105" t="s">
        <v>9842</v>
      </c>
      <c r="H1105" t="s">
        <v>234</v>
      </c>
      <c r="I1105" t="s">
        <v>362</v>
      </c>
      <c r="J1105" t="s">
        <v>135</v>
      </c>
      <c r="L1105" t="s">
        <v>363</v>
      </c>
      <c r="M1105" t="s">
        <v>364</v>
      </c>
      <c r="Q1105" t="s">
        <v>107</v>
      </c>
      <c r="R1105" t="s">
        <v>864</v>
      </c>
      <c r="S1105" t="s">
        <v>9843</v>
      </c>
      <c r="T1105" t="s">
        <v>257</v>
      </c>
      <c r="U1105" t="s">
        <v>43</v>
      </c>
      <c r="V1105" t="s">
        <v>9844</v>
      </c>
      <c r="W1105" t="s">
        <v>9844</v>
      </c>
      <c r="Y1105" t="str">
        <f>HYPERLINK("https://recruiter.shine.com/resume/download/?resumeid=gAAAAABbk2UNEuiMH472EbO4xxBDUKBNAxjUpuxiqa0IdzV4ALfQ-w5DFH8xI9js6roYtLNDdiA7Lhyvgh_7Jvaey2r--T66FTTUqTGrchC0IgOk6G8oxavGe0Xcxgy_ZSlVcY_5wevc2AEnGImtTcVb128mr-O2PC55QTocc7RLLv48zi8YStY=")</f>
        <v>https://recruiter.shine.com/resume/download/?resumeid=gAAAAABbk2UNEuiMH472EbO4xxBDUKBNAxjUpuxiqa0IdzV4ALfQ-w5DFH8xI9js6roYtLNDdiA7Lhyvgh_7Jvaey2r--T66FTTUqTGrchC0IgOk6G8oxavGe0Xcxgy_ZSlVcY_5wevc2AEnGImtTcVb128mr-O2PC55QTocc7RLLv48zi8YStY=</v>
      </c>
    </row>
    <row r="1106" spans="1:25" ht="39.950000000000003" customHeight="1">
      <c r="A1106">
        <v>1102</v>
      </c>
      <c r="B1106" t="s">
        <v>9845</v>
      </c>
      <c r="C1106" t="s">
        <v>9846</v>
      </c>
      <c r="D1106" t="s">
        <v>9847</v>
      </c>
      <c r="E1106" t="s">
        <v>9848</v>
      </c>
      <c r="F1106" t="s">
        <v>29</v>
      </c>
      <c r="G1106" t="s">
        <v>29</v>
      </c>
      <c r="H1106" t="s">
        <v>31</v>
      </c>
      <c r="I1106" t="s">
        <v>568</v>
      </c>
      <c r="J1106" t="s">
        <v>871</v>
      </c>
      <c r="K1106" t="s">
        <v>595</v>
      </c>
      <c r="L1106" t="s">
        <v>266</v>
      </c>
      <c r="M1106" t="s">
        <v>105</v>
      </c>
      <c r="N1106" t="s">
        <v>9849</v>
      </c>
      <c r="O1106" t="s">
        <v>224</v>
      </c>
      <c r="P1106" t="s">
        <v>39</v>
      </c>
      <c r="Q1106" t="s">
        <v>158</v>
      </c>
      <c r="R1106" t="s">
        <v>159</v>
      </c>
      <c r="S1106" t="s">
        <v>9850</v>
      </c>
      <c r="U1106" t="s">
        <v>94</v>
      </c>
      <c r="V1106" t="s">
        <v>9851</v>
      </c>
      <c r="W1106" t="s">
        <v>9852</v>
      </c>
      <c r="Y1106" t="str">
        <f>HYPERLINK("https://recruiter.shine.com/resume/download/?resumeid=gAAAAABbk2ULmOuSH1IgJ9fxTWIJnVL-GS-KzYidhEHFOwZANOQo9fvjAPtjAy_VEKq0Gwiix_I37og08PGjrr2CjEEMGnE06LPe-hwXbDX8_mtVAIfoL9dHJQd8tpAWBNY_ZCRbcMUUU5JChjv8K_ifGycsyRe-ikCzWl0yqAaS9I2E5tuzIG4=")</f>
        <v>https://recruiter.shine.com/resume/download/?resumeid=gAAAAABbk2ULmOuSH1IgJ9fxTWIJnVL-GS-KzYidhEHFOwZANOQo9fvjAPtjAy_VEKq0Gwiix_I37og08PGjrr2CjEEMGnE06LPe-hwXbDX8_mtVAIfoL9dHJQd8tpAWBNY_ZCRbcMUUU5JChjv8K_ifGycsyRe-ikCzWl0yqAaS9I2E5tuzIG4=</v>
      </c>
    </row>
    <row r="1107" spans="1:25" ht="39.950000000000003" customHeight="1">
      <c r="A1107">
        <v>1103</v>
      </c>
      <c r="B1107" t="s">
        <v>9853</v>
      </c>
      <c r="D1107" t="s">
        <v>9854</v>
      </c>
      <c r="E1107" t="s">
        <v>9855</v>
      </c>
      <c r="F1107" t="s">
        <v>29</v>
      </c>
      <c r="G1107" t="s">
        <v>29</v>
      </c>
      <c r="H1107" t="s">
        <v>31</v>
      </c>
      <c r="I1107" t="s">
        <v>1038</v>
      </c>
      <c r="J1107" t="s">
        <v>715</v>
      </c>
      <c r="K1107" t="s">
        <v>960</v>
      </c>
      <c r="L1107" t="s">
        <v>266</v>
      </c>
      <c r="M1107" t="s">
        <v>105</v>
      </c>
      <c r="N1107" t="s">
        <v>9856</v>
      </c>
      <c r="O1107" t="s">
        <v>224</v>
      </c>
      <c r="Q1107" t="s">
        <v>107</v>
      </c>
      <c r="R1107" t="s">
        <v>559</v>
      </c>
      <c r="S1107" t="s">
        <v>188</v>
      </c>
      <c r="T1107" t="s">
        <v>687</v>
      </c>
      <c r="U1107" t="s">
        <v>43</v>
      </c>
      <c r="V1107" t="s">
        <v>9857</v>
      </c>
      <c r="W1107" t="s">
        <v>9858</v>
      </c>
      <c r="Y1107" t="str">
        <f>HYPERLINK("https://recruiter.shine.com/resume/download/?resumeid=gAAAAABbk2UM9Wn_WWPmus5hzu0ZXYwdmqvwGcWve3qYpSpdeGyolqzHMirijzRktjYPbfoznEMnVoBuG03VTi2-kDJ0Eo1-uVuJqqkHfxdDNu0EJFCazMal3bGWPGuqeGlzWIBEf7GgTno9EZXfMV-KzPry3fMmYA==")</f>
        <v>https://recruiter.shine.com/resume/download/?resumeid=gAAAAABbk2UM9Wn_WWPmus5hzu0ZXYwdmqvwGcWve3qYpSpdeGyolqzHMirijzRktjYPbfoznEMnVoBuG03VTi2-kDJ0Eo1-uVuJqqkHfxdDNu0EJFCazMal3bGWPGuqeGlzWIBEf7GgTno9EZXfMV-KzPry3fMmYA==</v>
      </c>
    </row>
    <row r="1108" spans="1:25" ht="39.950000000000003" customHeight="1">
      <c r="A1108">
        <v>1104</v>
      </c>
      <c r="B1108" t="s">
        <v>9859</v>
      </c>
      <c r="C1108" t="s">
        <v>9860</v>
      </c>
      <c r="D1108" t="s">
        <v>9861</v>
      </c>
      <c r="E1108" t="s">
        <v>9862</v>
      </c>
      <c r="F1108" t="s">
        <v>29</v>
      </c>
      <c r="G1108" t="s">
        <v>29</v>
      </c>
      <c r="H1108" t="s">
        <v>31</v>
      </c>
      <c r="I1108" t="s">
        <v>9374</v>
      </c>
      <c r="J1108" t="s">
        <v>1661</v>
      </c>
      <c r="K1108" t="s">
        <v>9863</v>
      </c>
      <c r="L1108" t="s">
        <v>199</v>
      </c>
      <c r="M1108" t="s">
        <v>121</v>
      </c>
      <c r="N1108" t="s">
        <v>9864</v>
      </c>
      <c r="O1108" t="s">
        <v>558</v>
      </c>
      <c r="P1108" t="s">
        <v>57</v>
      </c>
      <c r="Q1108" t="s">
        <v>365</v>
      </c>
      <c r="R1108" t="s">
        <v>2230</v>
      </c>
      <c r="S1108" t="s">
        <v>9865</v>
      </c>
      <c r="T1108" t="s">
        <v>429</v>
      </c>
      <c r="U1108" t="s">
        <v>43</v>
      </c>
      <c r="V1108" t="s">
        <v>8382</v>
      </c>
      <c r="W1108" t="s">
        <v>9866</v>
      </c>
      <c r="Y1108" t="str">
        <f>HYPERLINK("https://recruiter.shine.com/resume/download/?resumeid=gAAAAABbk2UOTMeRpZDWOQBDAx0qGB90uaphSMLXIwkugzu6PUI8G-icnIJTtHy-BQdISHYJJG66vCLL4PwN0AQQi7yIyxNcFVWYk9KCA0evTbUJ7H_aQYi7gRTPykLjNA_tpgE3UTAOI0c12vLxe34rjdWMrR34PQO2SCRu3zYrkQG4U9sI0QI=")</f>
        <v>https://recruiter.shine.com/resume/download/?resumeid=gAAAAABbk2UOTMeRpZDWOQBDAx0qGB90uaphSMLXIwkugzu6PUI8G-icnIJTtHy-BQdISHYJJG66vCLL4PwN0AQQi7yIyxNcFVWYk9KCA0evTbUJ7H_aQYi7gRTPykLjNA_tpgE3UTAOI0c12vLxe34rjdWMrR34PQO2SCRu3zYrkQG4U9sI0QI=</v>
      </c>
    </row>
    <row r="1109" spans="1:25" ht="39.950000000000003" customHeight="1">
      <c r="A1109">
        <v>1105</v>
      </c>
      <c r="B1109" t="s">
        <v>9867</v>
      </c>
      <c r="C1109" t="s">
        <v>9868</v>
      </c>
      <c r="D1109" t="s">
        <v>9869</v>
      </c>
      <c r="E1109" t="s">
        <v>9870</v>
      </c>
      <c r="F1109" t="s">
        <v>29</v>
      </c>
      <c r="G1109" t="s">
        <v>29</v>
      </c>
      <c r="H1109" t="s">
        <v>31</v>
      </c>
      <c r="I1109" t="s">
        <v>714</v>
      </c>
      <c r="J1109" t="s">
        <v>2855</v>
      </c>
      <c r="K1109" t="s">
        <v>1567</v>
      </c>
      <c r="L1109" t="s">
        <v>266</v>
      </c>
      <c r="M1109" t="s">
        <v>105</v>
      </c>
      <c r="N1109" t="s">
        <v>9871</v>
      </c>
      <c r="O1109" t="s">
        <v>56</v>
      </c>
      <c r="P1109" t="s">
        <v>73</v>
      </c>
      <c r="Q1109" t="s">
        <v>107</v>
      </c>
      <c r="R1109" t="s">
        <v>559</v>
      </c>
      <c r="S1109" t="s">
        <v>9872</v>
      </c>
      <c r="T1109" t="s">
        <v>161</v>
      </c>
      <c r="U1109" t="s">
        <v>43</v>
      </c>
      <c r="V1109" t="s">
        <v>9873</v>
      </c>
      <c r="W1109" t="s">
        <v>9874</v>
      </c>
      <c r="Y1109" t="str">
        <f>HYPERLINK("https://recruiter.shine.com/resume/download/?resumeid=gAAAAABbk2ULFBxntf42V54q_QxDKCCo05o863KEFlgQ9A_iBMhAq6Hv4ClPjoJiA6OLxljFL6jMVeYTV5E9yf3EI17Rh6ewf0I7OIzEEXvVvCFNeZDuGdPprHe1EKaKmz4KB47TZbXqwfaXDErqM2xD8eA7-3lxqlwsugjJStc0NxmfapYlq9U=")</f>
        <v>https://recruiter.shine.com/resume/download/?resumeid=gAAAAABbk2ULFBxntf42V54q_QxDKCCo05o863KEFlgQ9A_iBMhAq6Hv4ClPjoJiA6OLxljFL6jMVeYTV5E9yf3EI17Rh6ewf0I7OIzEEXvVvCFNeZDuGdPprHe1EKaKmz4KB47TZbXqwfaXDErqM2xD8eA7-3lxqlwsugjJStc0NxmfapYlq9U=</v>
      </c>
    </row>
    <row r="1110" spans="1:25" ht="39.950000000000003" customHeight="1">
      <c r="A1110">
        <v>1106</v>
      </c>
      <c r="B1110" t="s">
        <v>9875</v>
      </c>
      <c r="C1110" t="s">
        <v>9876</v>
      </c>
      <c r="D1110" t="s">
        <v>9877</v>
      </c>
      <c r="E1110" t="s">
        <v>9878</v>
      </c>
      <c r="F1110" t="s">
        <v>29</v>
      </c>
      <c r="G1110" t="s">
        <v>9879</v>
      </c>
      <c r="H1110" t="s">
        <v>31</v>
      </c>
      <c r="I1110" t="s">
        <v>860</v>
      </c>
      <c r="J1110" t="s">
        <v>408</v>
      </c>
      <c r="K1110" t="s">
        <v>9880</v>
      </c>
      <c r="L1110" t="s">
        <v>155</v>
      </c>
      <c r="M1110" t="s">
        <v>105</v>
      </c>
      <c r="N1110" t="s">
        <v>9881</v>
      </c>
      <c r="O1110" t="s">
        <v>56</v>
      </c>
      <c r="P1110" t="s">
        <v>140</v>
      </c>
      <c r="Q1110" t="s">
        <v>158</v>
      </c>
      <c r="R1110" t="s">
        <v>559</v>
      </c>
      <c r="S1110" t="s">
        <v>9882</v>
      </c>
      <c r="T1110" t="s">
        <v>304</v>
      </c>
      <c r="U1110" t="s">
        <v>43</v>
      </c>
      <c r="V1110" t="s">
        <v>9883</v>
      </c>
      <c r="W1110" t="s">
        <v>9884</v>
      </c>
      <c r="Y1110" t="str">
        <f>HYPERLINK("https://recruiter.shine.com/resume/download/?resumeid=gAAAAABbk2UM13q2hdBe7YniVRar6CPMksHYpXeGbcmOpq8YuRlzi89yqvlHxNrjen7O77_zXoHsSxaLBNGE823_1UMVhWqs8Qrtm52-fxFwCagXsHzLSckO0eWoHWn9BB0_6V5rLyaRZiSTC262pFPV3vuX8jrpZYqROzmcIhyOJ15MeLsQcfE=")</f>
        <v>https://recruiter.shine.com/resume/download/?resumeid=gAAAAABbk2UM13q2hdBe7YniVRar6CPMksHYpXeGbcmOpq8YuRlzi89yqvlHxNrjen7O77_zXoHsSxaLBNGE823_1UMVhWqs8Qrtm52-fxFwCagXsHzLSckO0eWoHWn9BB0_6V5rLyaRZiSTC262pFPV3vuX8jrpZYqROzmcIhyOJ15MeLsQcfE=</v>
      </c>
    </row>
    <row r="1111" spans="1:25" ht="39.950000000000003" customHeight="1">
      <c r="A1111">
        <v>1107</v>
      </c>
      <c r="B1111" t="s">
        <v>9885</v>
      </c>
      <c r="C1111" t="s">
        <v>9886</v>
      </c>
      <c r="D1111" t="s">
        <v>9887</v>
      </c>
      <c r="E1111" t="s">
        <v>9888</v>
      </c>
      <c r="F1111" t="s">
        <v>249</v>
      </c>
      <c r="G1111" t="s">
        <v>922</v>
      </c>
      <c r="H1111" t="s">
        <v>234</v>
      </c>
      <c r="I1111" t="s">
        <v>633</v>
      </c>
      <c r="J1111" t="s">
        <v>135</v>
      </c>
      <c r="K1111" t="s">
        <v>9889</v>
      </c>
      <c r="L1111" t="s">
        <v>1643</v>
      </c>
      <c r="M1111" t="s">
        <v>339</v>
      </c>
      <c r="N1111" t="s">
        <v>5658</v>
      </c>
      <c r="O1111" t="s">
        <v>186</v>
      </c>
      <c r="P1111" t="s">
        <v>73</v>
      </c>
      <c r="Q1111" t="s">
        <v>41</v>
      </c>
      <c r="R1111" t="s">
        <v>9890</v>
      </c>
      <c r="S1111" t="s">
        <v>9891</v>
      </c>
      <c r="T1111" t="s">
        <v>625</v>
      </c>
      <c r="U1111" t="s">
        <v>43</v>
      </c>
      <c r="V1111" t="s">
        <v>9892</v>
      </c>
      <c r="W1111" t="s">
        <v>9893</v>
      </c>
      <c r="Y1111" t="str">
        <f>HYPERLINK("https://recruiter.shine.com/resume/download/?resumeid=gAAAAABbk2UOyVRxDqeLut_m1iYk1CMftq8wZnoESaZuDrrURO6vIeG7JBl7bBsgXWbyfw23Q5eNlcnFcpBebzjn3jpza04JnyF5kFrzVR3KYT9QkIdXz2CnQNoK3aO4iXxSleaGZVmvjXrP10zmIB7zDLj5tgvaKKkELEazIJnHp8A-45rGO3E=")</f>
        <v>https://recruiter.shine.com/resume/download/?resumeid=gAAAAABbk2UOyVRxDqeLut_m1iYk1CMftq8wZnoESaZuDrrURO6vIeG7JBl7bBsgXWbyfw23Q5eNlcnFcpBebzjn3jpza04JnyF5kFrzVR3KYT9QkIdXz2CnQNoK3aO4iXxSleaGZVmvjXrP10zmIB7zDLj5tgvaKKkELEazIJnHp8A-45rGO3E=</v>
      </c>
    </row>
    <row r="1112" spans="1:25" ht="39.950000000000003" customHeight="1">
      <c r="A1112">
        <v>1108</v>
      </c>
      <c r="B1112" t="s">
        <v>9894</v>
      </c>
      <c r="C1112" t="s">
        <v>7808</v>
      </c>
      <c r="D1112" t="s">
        <v>9895</v>
      </c>
      <c r="E1112" t="s">
        <v>9896</v>
      </c>
      <c r="F1112" t="s">
        <v>29</v>
      </c>
      <c r="G1112" t="s">
        <v>29</v>
      </c>
      <c r="H1112" t="s">
        <v>31</v>
      </c>
      <c r="I1112" t="s">
        <v>208</v>
      </c>
      <c r="J1112" t="s">
        <v>8789</v>
      </c>
      <c r="K1112" t="s">
        <v>9897</v>
      </c>
      <c r="L1112" t="s">
        <v>266</v>
      </c>
      <c r="M1112" t="s">
        <v>36</v>
      </c>
      <c r="N1112" t="s">
        <v>9898</v>
      </c>
      <c r="O1112" t="s">
        <v>38</v>
      </c>
      <c r="P1112" t="s">
        <v>771</v>
      </c>
      <c r="Q1112" t="s">
        <v>41</v>
      </c>
      <c r="R1112" t="s">
        <v>9899</v>
      </c>
      <c r="S1112" t="s">
        <v>9900</v>
      </c>
      <c r="T1112" t="s">
        <v>625</v>
      </c>
      <c r="U1112" t="s">
        <v>43</v>
      </c>
      <c r="V1112" t="s">
        <v>9901</v>
      </c>
      <c r="W1112" t="s">
        <v>9902</v>
      </c>
      <c r="Y1112" t="str">
        <f>HYPERLINK("https://recruiter.shine.com/resume/download/?resumeid=gAAAAABbk2UKiIfrFmjxp2Yxu7LpCmWVqirhY44dWwcEDc8pT65QhJj5YSC22-W9ayKy1kk0GxsQt7lmhSoOZg3_7c2ksMJlbAhz30mM8cHHPi4873gkSPTRsf0TdL2nffn3vHAUHL--u0YycfNER5KDcjFP0QMNbl6aqpRmM1LYsU35wh8qRRQ=")</f>
        <v>https://recruiter.shine.com/resume/download/?resumeid=gAAAAABbk2UKiIfrFmjxp2Yxu7LpCmWVqirhY44dWwcEDc8pT65QhJj5YSC22-W9ayKy1kk0GxsQt7lmhSoOZg3_7c2ksMJlbAhz30mM8cHHPi4873gkSPTRsf0TdL2nffn3vHAUHL--u0YycfNER5KDcjFP0QMNbl6aqpRmM1LYsU35wh8qRRQ=</v>
      </c>
    </row>
    <row r="1113" spans="1:25" ht="39.950000000000003" customHeight="1">
      <c r="A1113">
        <v>1109</v>
      </c>
      <c r="B1113" t="s">
        <v>9903</v>
      </c>
      <c r="C1113" t="s">
        <v>9904</v>
      </c>
      <c r="D1113" t="s">
        <v>9905</v>
      </c>
      <c r="E1113" t="s">
        <v>9906</v>
      </c>
      <c r="F1113" t="s">
        <v>29</v>
      </c>
      <c r="G1113" t="s">
        <v>100</v>
      </c>
      <c r="H1113" t="s">
        <v>234</v>
      </c>
      <c r="I1113" t="s">
        <v>1185</v>
      </c>
      <c r="J1113" t="s">
        <v>437</v>
      </c>
      <c r="K1113" t="s">
        <v>9907</v>
      </c>
      <c r="L1113" t="s">
        <v>462</v>
      </c>
      <c r="M1113" t="s">
        <v>463</v>
      </c>
      <c r="N1113" t="s">
        <v>9908</v>
      </c>
      <c r="O1113" t="s">
        <v>38</v>
      </c>
      <c r="P1113" t="s">
        <v>57</v>
      </c>
      <c r="Q1113" t="s">
        <v>90</v>
      </c>
      <c r="R1113" t="s">
        <v>465</v>
      </c>
      <c r="S1113" t="s">
        <v>188</v>
      </c>
      <c r="T1113" t="s">
        <v>110</v>
      </c>
      <c r="U1113" t="s">
        <v>43</v>
      </c>
      <c r="V1113" t="s">
        <v>9909</v>
      </c>
      <c r="W1113" t="s">
        <v>9910</v>
      </c>
      <c r="Y1113" t="str">
        <f>HYPERLINK("https://recruiter.shine.com/resume/download/?resumeid=gAAAAABbk2UMOP9dNKTY-8UPUwMmhqOf0edbta3KHonsu7SDv7oAMJrr7S9Zr8uC22GKeUAEIixi1PUcPhei7gXbNAorChS9B_DGagmLAkoASvCHKWRR7mnSAwLq3Wg0DcKeg1TBll-YLFde4PffIoADXTm2tHQ46rGvl64qIvc-hh3_rT69lx8=")</f>
        <v>https://recruiter.shine.com/resume/download/?resumeid=gAAAAABbk2UMOP9dNKTY-8UPUwMmhqOf0edbta3KHonsu7SDv7oAMJrr7S9Zr8uC22GKeUAEIixi1PUcPhei7gXbNAorChS9B_DGagmLAkoASvCHKWRR7mnSAwLq3Wg0DcKeg1TBll-YLFde4PffIoADXTm2tHQ46rGvl64qIvc-hh3_rT69lx8=</v>
      </c>
    </row>
    <row r="1114" spans="1:25" ht="39.950000000000003" customHeight="1">
      <c r="A1114">
        <v>1110</v>
      </c>
      <c r="B1114" t="s">
        <v>9911</v>
      </c>
      <c r="D1114" t="s">
        <v>9912</v>
      </c>
      <c r="E1114" t="s">
        <v>9913</v>
      </c>
      <c r="F1114" t="s">
        <v>29</v>
      </c>
      <c r="G1114" t="s">
        <v>67</v>
      </c>
      <c r="H1114" t="s">
        <v>31</v>
      </c>
      <c r="I1114" t="s">
        <v>1502</v>
      </c>
      <c r="J1114" t="s">
        <v>153</v>
      </c>
      <c r="K1114" t="s">
        <v>9914</v>
      </c>
      <c r="L1114" t="s">
        <v>1524</v>
      </c>
      <c r="M1114" t="s">
        <v>1356</v>
      </c>
      <c r="N1114" t="s">
        <v>9915</v>
      </c>
      <c r="O1114" t="s">
        <v>56</v>
      </c>
      <c r="Q1114" t="s">
        <v>123</v>
      </c>
      <c r="R1114" t="s">
        <v>124</v>
      </c>
      <c r="S1114" t="s">
        <v>9916</v>
      </c>
      <c r="T1114" t="s">
        <v>77</v>
      </c>
      <c r="U1114" t="s">
        <v>43</v>
      </c>
      <c r="V1114" t="s">
        <v>9917</v>
      </c>
      <c r="W1114" t="s">
        <v>9918</v>
      </c>
      <c r="Y1114" t="str">
        <f>HYPERLINK("https://recruiter.shine.com/resume/download/?resumeid=gAAAAABbk2UOp9BJ5JKocuN8GkZ684mzMIfrTQgsRUY8RcF9HZI4PEOrVV-qmW7PX-PZ14uGLW6OAhxt2SOzAkAoyuJfYgoz3q3rzb2FSSx0uReyoEqQsMAMBae3TUiuff3k6b6ziUMarvSQmP6QxOUlSP4nYUwNEP4nq3fGtWmo5nkj5HFJDx4=")</f>
        <v>https://recruiter.shine.com/resume/download/?resumeid=gAAAAABbk2UOp9BJ5JKocuN8GkZ684mzMIfrTQgsRUY8RcF9HZI4PEOrVV-qmW7PX-PZ14uGLW6OAhxt2SOzAkAoyuJfYgoz3q3rzb2FSSx0uReyoEqQsMAMBae3TUiuff3k6b6ziUMarvSQmP6QxOUlSP4nYUwNEP4nq3fGtWmo5nkj5HFJDx4=</v>
      </c>
    </row>
    <row r="1115" spans="1:25" ht="39.950000000000003" customHeight="1">
      <c r="A1115">
        <v>1111</v>
      </c>
      <c r="B1115" t="s">
        <v>9919</v>
      </c>
      <c r="C1115" t="s">
        <v>9920</v>
      </c>
      <c r="D1115" t="s">
        <v>9921</v>
      </c>
      <c r="E1115" t="s">
        <v>9922</v>
      </c>
      <c r="F1115" t="s">
        <v>29</v>
      </c>
      <c r="G1115" t="s">
        <v>9923</v>
      </c>
      <c r="H1115" t="s">
        <v>31</v>
      </c>
      <c r="I1115" t="s">
        <v>3016</v>
      </c>
      <c r="J1115" t="s">
        <v>423</v>
      </c>
      <c r="K1115" t="s">
        <v>9924</v>
      </c>
      <c r="L1115" t="s">
        <v>199</v>
      </c>
      <c r="M1115" t="s">
        <v>36</v>
      </c>
      <c r="N1115" t="s">
        <v>9925</v>
      </c>
      <c r="O1115" t="s">
        <v>585</v>
      </c>
      <c r="P1115" t="s">
        <v>140</v>
      </c>
      <c r="Q1115" t="s">
        <v>107</v>
      </c>
      <c r="R1115" t="s">
        <v>341</v>
      </c>
      <c r="S1115" t="s">
        <v>9926</v>
      </c>
      <c r="T1115" t="s">
        <v>110</v>
      </c>
      <c r="U1115" t="s">
        <v>43</v>
      </c>
      <c r="V1115" t="s">
        <v>9927</v>
      </c>
      <c r="W1115" t="s">
        <v>9927</v>
      </c>
      <c r="Y1115" t="str">
        <f>HYPERLINK("https://recruiter.shine.com/resume/download/?resumeid=gAAAAABbk2UKFtq5eCfz8YL9Gof7yXdt3WXBm7yYSA3C9AY-25YLt7MlhorSaUmpJ_aHGJ4G9Hnmr6DDojkqmBi5UzVhuF3536DlL5rJOxKjVVMNyW04q8zv76zfKyeNJP6YLcN7afpT3EiqDxKSt33GUx8IbxbwtQ==")</f>
        <v>https://recruiter.shine.com/resume/download/?resumeid=gAAAAABbk2UKFtq5eCfz8YL9Gof7yXdt3WXBm7yYSA3C9AY-25YLt7MlhorSaUmpJ_aHGJ4G9Hnmr6DDojkqmBi5UzVhuF3536DlL5rJOxKjVVMNyW04q8zv76zfKyeNJP6YLcN7afpT3EiqDxKSt33GUx8IbxbwtQ==</v>
      </c>
    </row>
    <row r="1116" spans="1:25" ht="39.950000000000003" customHeight="1">
      <c r="A1116">
        <v>1112</v>
      </c>
      <c r="B1116" t="s">
        <v>9928</v>
      </c>
      <c r="C1116" t="s">
        <v>9929</v>
      </c>
      <c r="D1116" t="s">
        <v>9930</v>
      </c>
      <c r="E1116" t="s">
        <v>9931</v>
      </c>
      <c r="F1116" t="s">
        <v>29</v>
      </c>
      <c r="G1116" t="s">
        <v>9932</v>
      </c>
      <c r="H1116" t="s">
        <v>31</v>
      </c>
      <c r="I1116" t="s">
        <v>196</v>
      </c>
      <c r="J1116" t="s">
        <v>235</v>
      </c>
      <c r="K1116" t="s">
        <v>2748</v>
      </c>
      <c r="L1116" t="s">
        <v>596</v>
      </c>
      <c r="M1116" t="s">
        <v>684</v>
      </c>
      <c r="N1116" t="s">
        <v>9933</v>
      </c>
      <c r="O1116" t="s">
        <v>186</v>
      </c>
      <c r="P1116" t="s">
        <v>940</v>
      </c>
      <c r="Q1116" t="s">
        <v>107</v>
      </c>
      <c r="R1116" t="s">
        <v>341</v>
      </c>
      <c r="S1116" t="s">
        <v>9934</v>
      </c>
      <c r="T1116" t="s">
        <v>429</v>
      </c>
      <c r="U1116" t="s">
        <v>43</v>
      </c>
      <c r="V1116" t="s">
        <v>9935</v>
      </c>
      <c r="W1116" t="s">
        <v>9935</v>
      </c>
      <c r="Y1116" t="str">
        <f>HYPERLINK("https://recruiter.shine.com/resume/download/?resumeid=gAAAAABbk2UMgCugfF6_27F-q_GzjqFu0jfSy7s8CjSl2kXEBEprWp23V9vS53Z9-Rl2ZMLseKTlocqjbLf6_LNt-DN6LzQR9pnLnkV_kMLbr3KUXKVFWZiYjYQh91VWDdxPdxIIerjyisbxkvmoVphVP-dtjCvGeQ==")</f>
        <v>https://recruiter.shine.com/resume/download/?resumeid=gAAAAABbk2UMgCugfF6_27F-q_GzjqFu0jfSy7s8CjSl2kXEBEprWp23V9vS53Z9-Rl2ZMLseKTlocqjbLf6_LNt-DN6LzQR9pnLnkV_kMLbr3KUXKVFWZiYjYQh91VWDdxPdxIIerjyisbxkvmoVphVP-dtjCvGeQ==</v>
      </c>
    </row>
    <row r="1117" spans="1:25" ht="39.950000000000003" customHeight="1">
      <c r="A1117">
        <v>1113</v>
      </c>
      <c r="B1117" t="s">
        <v>9936</v>
      </c>
      <c r="C1117" t="s">
        <v>9937</v>
      </c>
      <c r="D1117" t="s">
        <v>9938</v>
      </c>
      <c r="E1117" t="s">
        <v>9939</v>
      </c>
      <c r="F1117" t="s">
        <v>29</v>
      </c>
      <c r="G1117" t="s">
        <v>29</v>
      </c>
      <c r="H1117" t="s">
        <v>31</v>
      </c>
      <c r="I1117" t="s">
        <v>6705</v>
      </c>
      <c r="J1117" t="s">
        <v>801</v>
      </c>
      <c r="K1117" t="s">
        <v>9940</v>
      </c>
      <c r="L1117" t="s">
        <v>450</v>
      </c>
      <c r="M1117" t="s">
        <v>473</v>
      </c>
      <c r="N1117" t="s">
        <v>473</v>
      </c>
      <c r="O1117" t="s">
        <v>572</v>
      </c>
      <c r="Q1117" t="s">
        <v>699</v>
      </c>
      <c r="R1117" t="s">
        <v>59</v>
      </c>
      <c r="S1117" t="s">
        <v>9941</v>
      </c>
      <c r="T1117" t="s">
        <v>1921</v>
      </c>
      <c r="U1117" t="s">
        <v>43</v>
      </c>
      <c r="V1117" t="s">
        <v>9942</v>
      </c>
      <c r="W1117" t="s">
        <v>9943</v>
      </c>
      <c r="Y1117" t="str">
        <f>HYPERLINK("https://recruiter.shine.com/resume/download/?resumeid=gAAAAABbk2UOKvJS19SJ1nFduvSPb0uwRnbSLibNNz7I_gizwzLZ1cJfSN0Lg7yq_S4rhJARqf2OZ22BxHuDUsXS0JmgAJcPxTnmHhTtwNaSeNuxwGhIi1KudAxPQpBE7LMMGpZpZMea-iQrqSCOhqkvW1Uq_Y4CYlpbLKuoHFGqK7YhfXk4jWY=")</f>
        <v>https://recruiter.shine.com/resume/download/?resumeid=gAAAAABbk2UOKvJS19SJ1nFduvSPb0uwRnbSLibNNz7I_gizwzLZ1cJfSN0Lg7yq_S4rhJARqf2OZ22BxHuDUsXS0JmgAJcPxTnmHhTtwNaSeNuxwGhIi1KudAxPQpBE7LMMGpZpZMea-iQrqSCOhqkvW1Uq_Y4CYlpbLKuoHFGqK7YhfXk4jWY=</v>
      </c>
    </row>
    <row r="1118" spans="1:25" ht="39.950000000000003" customHeight="1">
      <c r="A1118">
        <v>1114</v>
      </c>
      <c r="B1118" t="s">
        <v>9944</v>
      </c>
      <c r="C1118" t="s">
        <v>9945</v>
      </c>
      <c r="D1118" t="s">
        <v>9946</v>
      </c>
      <c r="E1118" t="s">
        <v>9947</v>
      </c>
      <c r="F1118" t="s">
        <v>29</v>
      </c>
      <c r="G1118" t="s">
        <v>1008</v>
      </c>
      <c r="H1118" t="s">
        <v>31</v>
      </c>
      <c r="I1118" t="s">
        <v>7795</v>
      </c>
      <c r="J1118" t="s">
        <v>8048</v>
      </c>
      <c r="K1118" t="s">
        <v>9948</v>
      </c>
      <c r="L1118" t="s">
        <v>266</v>
      </c>
      <c r="M1118" t="s">
        <v>684</v>
      </c>
      <c r="N1118" t="s">
        <v>7556</v>
      </c>
      <c r="O1118" t="s">
        <v>56</v>
      </c>
      <c r="P1118" t="s">
        <v>57</v>
      </c>
      <c r="Q1118" t="s">
        <v>107</v>
      </c>
      <c r="R1118" t="s">
        <v>341</v>
      </c>
      <c r="S1118" t="s">
        <v>9949</v>
      </c>
      <c r="T1118" t="s">
        <v>687</v>
      </c>
      <c r="U1118" t="s">
        <v>43</v>
      </c>
      <c r="V1118" t="s">
        <v>9950</v>
      </c>
      <c r="W1118" t="s">
        <v>9951</v>
      </c>
      <c r="Y1118" t="str">
        <f>HYPERLINK("https://recruiter.shine.com/resume/download/?resumeid=gAAAAABbk2ULyNWhI_aiXdLirqMSCfunIBlS6yvED0lrS2Jh9yNDgeqvBWJXpchXRIgG3cXs-6cb4dieB4r4lVuAXDN_3cZMLZKmOD6ZdLMX-XuaducuOO4UDPlKzbnEncwdbkBgtIMDUc097uhd34FbjywyfzzNes86EdznWnEHexCaJVv0klg=")</f>
        <v>https://recruiter.shine.com/resume/download/?resumeid=gAAAAABbk2ULyNWhI_aiXdLirqMSCfunIBlS6yvED0lrS2Jh9yNDgeqvBWJXpchXRIgG3cXs-6cb4dieB4r4lVuAXDN_3cZMLZKmOD6ZdLMX-XuaducuOO4UDPlKzbnEncwdbkBgtIMDUc097uhd34FbjywyfzzNes86EdznWnEHexCaJVv0klg=</v>
      </c>
    </row>
    <row r="1119" spans="1:25" ht="39.950000000000003" customHeight="1">
      <c r="A1119">
        <v>1115</v>
      </c>
      <c r="B1119" t="s">
        <v>9952</v>
      </c>
      <c r="C1119" t="s">
        <v>9953</v>
      </c>
      <c r="D1119" t="s">
        <v>9954</v>
      </c>
      <c r="E1119" t="s">
        <v>9955</v>
      </c>
      <c r="F1119" t="s">
        <v>29</v>
      </c>
      <c r="G1119" t="s">
        <v>29</v>
      </c>
      <c r="H1119" t="s">
        <v>31</v>
      </c>
      <c r="I1119" t="s">
        <v>1122</v>
      </c>
      <c r="J1119" t="s">
        <v>1294</v>
      </c>
      <c r="K1119" t="s">
        <v>236</v>
      </c>
      <c r="L1119" t="s">
        <v>184</v>
      </c>
      <c r="M1119" t="s">
        <v>222</v>
      </c>
      <c r="N1119" t="s">
        <v>239</v>
      </c>
      <c r="O1119" t="s">
        <v>38</v>
      </c>
      <c r="P1119" t="s">
        <v>73</v>
      </c>
      <c r="Q1119" t="s">
        <v>240</v>
      </c>
      <c r="R1119" t="s">
        <v>241</v>
      </c>
      <c r="S1119" t="s">
        <v>9956</v>
      </c>
      <c r="T1119" t="s">
        <v>429</v>
      </c>
      <c r="U1119" t="s">
        <v>43</v>
      </c>
      <c r="V1119" t="s">
        <v>9957</v>
      </c>
      <c r="W1119" t="s">
        <v>9958</v>
      </c>
      <c r="Y1119" t="str">
        <f>HYPERLINK("https://recruiter.shine.com/resume/download/?resumeid=gAAAAABbk2UMazDSaiDKEqJoD2Zm7XwoucL3SqnwtfDHDUCMOYgRY-_yy61h4b0d7nzmdX_eAxolacEQ_UjcXZoQ2NKij0-WiaTN0aRSoaj7GsIYvuFCySQaFfZGXkTOLp75Ix69Sw1GMmL-NA8D3gyUEuV7GWZT_30SlfNGymg2UrsjdbzzJCo=")</f>
        <v>https://recruiter.shine.com/resume/download/?resumeid=gAAAAABbk2UMazDSaiDKEqJoD2Zm7XwoucL3SqnwtfDHDUCMOYgRY-_yy61h4b0d7nzmdX_eAxolacEQ_UjcXZoQ2NKij0-WiaTN0aRSoaj7GsIYvuFCySQaFfZGXkTOLp75Ix69Sw1GMmL-NA8D3gyUEuV7GWZT_30SlfNGymg2UrsjdbzzJCo=</v>
      </c>
    </row>
    <row r="1120" spans="1:25" ht="39.950000000000003" customHeight="1">
      <c r="A1120">
        <v>1116</v>
      </c>
      <c r="B1120" t="s">
        <v>9959</v>
      </c>
      <c r="C1120" t="s">
        <v>9960</v>
      </c>
      <c r="D1120" t="s">
        <v>9961</v>
      </c>
      <c r="E1120" t="s">
        <v>9962</v>
      </c>
      <c r="F1120" t="s">
        <v>29</v>
      </c>
      <c r="G1120" t="s">
        <v>2854</v>
      </c>
      <c r="H1120" t="s">
        <v>31</v>
      </c>
      <c r="I1120" t="s">
        <v>362</v>
      </c>
      <c r="J1120" t="s">
        <v>135</v>
      </c>
      <c r="L1120" t="s">
        <v>363</v>
      </c>
      <c r="M1120" t="s">
        <v>364</v>
      </c>
      <c r="Q1120" t="s">
        <v>107</v>
      </c>
      <c r="R1120" t="s">
        <v>559</v>
      </c>
      <c r="S1120" t="s">
        <v>4872</v>
      </c>
      <c r="T1120" t="s">
        <v>625</v>
      </c>
      <c r="U1120" t="s">
        <v>43</v>
      </c>
      <c r="V1120" t="s">
        <v>9963</v>
      </c>
      <c r="W1120" t="s">
        <v>9964</v>
      </c>
      <c r="Y1120" t="str">
        <f>HYPERLINK("https://recruiter.shine.com/resume/download/?resumeid=gAAAAABbk2UNnqcr80FJY1TIjli7XOApqRs2Oh0gRJenk-WlSAf_qSyXzoA8yc9cgarB1QA4xtR83Cg8UGDL3pAVBUxUAujukYOxlOZRno4wc86ySGTj_y1ZmKkS_e69vA-qeyZ30rmUzI-bD7sB9aMH4Ira9608FA==")</f>
        <v>https://recruiter.shine.com/resume/download/?resumeid=gAAAAABbk2UNnqcr80FJY1TIjli7XOApqRs2Oh0gRJenk-WlSAf_qSyXzoA8yc9cgarB1QA4xtR83Cg8UGDL3pAVBUxUAujukYOxlOZRno4wc86ySGTj_y1ZmKkS_e69vA-qeyZ30rmUzI-bD7sB9aMH4Ira9608FA==</v>
      </c>
    </row>
    <row r="1121" spans="1:25" ht="39.950000000000003" customHeight="1">
      <c r="A1121">
        <v>1117</v>
      </c>
      <c r="B1121" t="s">
        <v>9965</v>
      </c>
      <c r="C1121" t="s">
        <v>9966</v>
      </c>
      <c r="D1121" t="s">
        <v>9967</v>
      </c>
      <c r="E1121" t="s">
        <v>9968</v>
      </c>
      <c r="F1121" t="s">
        <v>29</v>
      </c>
      <c r="G1121" t="s">
        <v>9969</v>
      </c>
      <c r="H1121" t="s">
        <v>234</v>
      </c>
      <c r="I1121" t="s">
        <v>4068</v>
      </c>
      <c r="J1121" t="s">
        <v>531</v>
      </c>
      <c r="K1121" t="s">
        <v>9970</v>
      </c>
      <c r="L1121" t="s">
        <v>199</v>
      </c>
      <c r="M1121" t="s">
        <v>121</v>
      </c>
      <c r="N1121" t="s">
        <v>9971</v>
      </c>
      <c r="O1121" t="s">
        <v>224</v>
      </c>
      <c r="Q1121" t="s">
        <v>412</v>
      </c>
      <c r="R1121" t="s">
        <v>413</v>
      </c>
      <c r="S1121" t="s">
        <v>9972</v>
      </c>
      <c r="T1121" t="s">
        <v>429</v>
      </c>
      <c r="U1121" t="s">
        <v>43</v>
      </c>
      <c r="V1121" t="s">
        <v>9973</v>
      </c>
      <c r="W1121" t="s">
        <v>9974</v>
      </c>
      <c r="Y1121" t="str">
        <f>HYPERLINK("https://recruiter.shine.com/resume/download/?resumeid=gAAAAABbk2UKgO5OpMN3ahJnked6fX2GpG0brc3XJTIWm14WAoO9bxAjIWIi7Lk7dQ0IpbmSLVD5hFF4BgWzoT7UgRiQF9qjEkr0D7mJPs08D1x8ffjEGSkvtZtTnwLNwOlLzxu30jVZDka_1ZcGmAmEhyBNEIURvFBDlYfJlZR2TOxwxrHUQek=")</f>
        <v>https://recruiter.shine.com/resume/download/?resumeid=gAAAAABbk2UKgO5OpMN3ahJnked6fX2GpG0brc3XJTIWm14WAoO9bxAjIWIi7Lk7dQ0IpbmSLVD5hFF4BgWzoT7UgRiQF9qjEkr0D7mJPs08D1x8ffjEGSkvtZtTnwLNwOlLzxu30jVZDka_1ZcGmAmEhyBNEIURvFBDlYfJlZR2TOxwxrHUQek=</v>
      </c>
    </row>
    <row r="1122" spans="1:25" ht="39.950000000000003" customHeight="1">
      <c r="A1122">
        <v>1118</v>
      </c>
      <c r="B1122" t="s">
        <v>9975</v>
      </c>
      <c r="C1122" t="s">
        <v>9976</v>
      </c>
      <c r="D1122" t="s">
        <v>9977</v>
      </c>
      <c r="E1122" t="s">
        <v>9978</v>
      </c>
      <c r="F1122" t="s">
        <v>29</v>
      </c>
      <c r="G1122" t="s">
        <v>5535</v>
      </c>
      <c r="H1122" t="s">
        <v>31</v>
      </c>
      <c r="I1122" t="s">
        <v>32</v>
      </c>
      <c r="J1122" t="s">
        <v>5987</v>
      </c>
      <c r="K1122" t="s">
        <v>9979</v>
      </c>
      <c r="L1122" t="s">
        <v>184</v>
      </c>
      <c r="M1122" t="s">
        <v>54</v>
      </c>
      <c r="N1122" t="s">
        <v>9980</v>
      </c>
      <c r="O1122" t="s">
        <v>157</v>
      </c>
      <c r="Q1122" t="s">
        <v>123</v>
      </c>
      <c r="R1122" t="s">
        <v>124</v>
      </c>
      <c r="S1122" t="s">
        <v>188</v>
      </c>
      <c r="T1122" t="s">
        <v>2453</v>
      </c>
      <c r="U1122" t="s">
        <v>43</v>
      </c>
      <c r="V1122" t="s">
        <v>9981</v>
      </c>
      <c r="W1122" t="s">
        <v>9982</v>
      </c>
      <c r="Y1122" t="str">
        <f>HYPERLINK("https://recruiter.shine.com/resume/download/?resumeid=gAAAAABbk2UMwrUF-C708vWxNOSm3a33nRzObWtOUNq3mkHMxiyy53zt7Yw1lsLhL3qtkD8abMnI6G0tAmdbA0b7BYpDNxneDDkusHDYe6zwnC9HxmGtuFOnzQfSapjZd8Mw4W6VE4SgVYZvlmJCHoe6hMficnbvDg==")</f>
        <v>https://recruiter.shine.com/resume/download/?resumeid=gAAAAABbk2UMwrUF-C708vWxNOSm3a33nRzObWtOUNq3mkHMxiyy53zt7Yw1lsLhL3qtkD8abMnI6G0tAmdbA0b7BYpDNxneDDkusHDYe6zwnC9HxmGtuFOnzQfSapjZd8Mw4W6VE4SgVYZvlmJCHoe6hMficnbvDg==</v>
      </c>
    </row>
    <row r="1123" spans="1:25" ht="39.950000000000003" customHeight="1">
      <c r="A1123">
        <v>1119</v>
      </c>
      <c r="B1123" t="s">
        <v>9983</v>
      </c>
      <c r="C1123" t="s">
        <v>9984</v>
      </c>
      <c r="D1123" t="s">
        <v>9985</v>
      </c>
      <c r="E1123" t="s">
        <v>9986</v>
      </c>
      <c r="F1123" t="s">
        <v>29</v>
      </c>
      <c r="G1123" t="s">
        <v>30</v>
      </c>
      <c r="H1123" t="s">
        <v>31</v>
      </c>
      <c r="I1123" t="s">
        <v>32</v>
      </c>
      <c r="J1123" t="s">
        <v>7051</v>
      </c>
      <c r="K1123" t="s">
        <v>9987</v>
      </c>
      <c r="L1123" t="s">
        <v>314</v>
      </c>
      <c r="M1123" t="s">
        <v>1124</v>
      </c>
      <c r="N1123" t="s">
        <v>9988</v>
      </c>
      <c r="O1123" t="s">
        <v>848</v>
      </c>
      <c r="P1123" t="s">
        <v>57</v>
      </c>
      <c r="Q1123" t="s">
        <v>40</v>
      </c>
      <c r="R1123" t="s">
        <v>476</v>
      </c>
      <c r="S1123" t="s">
        <v>9989</v>
      </c>
      <c r="T1123" t="s">
        <v>2817</v>
      </c>
      <c r="U1123" t="s">
        <v>127</v>
      </c>
      <c r="V1123" t="s">
        <v>9990</v>
      </c>
      <c r="W1123" t="s">
        <v>9991</v>
      </c>
      <c r="Y1123" t="str">
        <f>HYPERLINK("https://recruiter.shine.com/resume/download/?resumeid=gAAAAABbk2UOZzJJA3nmHeYl2ZxI5OSGrLIjLj4OaHi2Lx86Edu8yqgb7i2NiO5Sm-kJnKU3WlTPGRAO7DppfeD_aT-Q8RXXl1SHxOi1_unR5eviYC_nmTJaS3DX9tamjvWNbV6tNvsJTXzBywEznEUJo7FqtYWE0w==")</f>
        <v>https://recruiter.shine.com/resume/download/?resumeid=gAAAAABbk2UOZzJJA3nmHeYl2ZxI5OSGrLIjLj4OaHi2Lx86Edu8yqgb7i2NiO5Sm-kJnKU3WlTPGRAO7DppfeD_aT-Q8RXXl1SHxOi1_unR5eviYC_nmTJaS3DX9tamjvWNbV6tNvsJTXzBywEznEUJo7FqtYWE0w==</v>
      </c>
    </row>
    <row r="1124" spans="1:25" ht="39.950000000000003" customHeight="1">
      <c r="A1124">
        <v>1120</v>
      </c>
      <c r="B1124" t="s">
        <v>9992</v>
      </c>
      <c r="C1124" t="s">
        <v>9993</v>
      </c>
      <c r="D1124" t="s">
        <v>9994</v>
      </c>
      <c r="E1124" t="s">
        <v>9995</v>
      </c>
      <c r="F1124" t="s">
        <v>29</v>
      </c>
      <c r="G1124" t="s">
        <v>29</v>
      </c>
      <c r="H1124" t="s">
        <v>31</v>
      </c>
      <c r="I1124" t="s">
        <v>32</v>
      </c>
      <c r="J1124" t="s">
        <v>312</v>
      </c>
      <c r="K1124" t="s">
        <v>1167</v>
      </c>
      <c r="L1124" t="s">
        <v>8295</v>
      </c>
      <c r="M1124" t="s">
        <v>1039</v>
      </c>
      <c r="N1124" t="s">
        <v>9996</v>
      </c>
      <c r="O1124" t="s">
        <v>1245</v>
      </c>
      <c r="P1124" t="s">
        <v>57</v>
      </c>
      <c r="Q1124" t="s">
        <v>699</v>
      </c>
      <c r="R1124" t="s">
        <v>2975</v>
      </c>
      <c r="S1124" t="s">
        <v>9997</v>
      </c>
      <c r="U1124" t="s">
        <v>43</v>
      </c>
      <c r="V1124" t="s">
        <v>9998</v>
      </c>
      <c r="W1124" t="s">
        <v>9998</v>
      </c>
      <c r="Y1124" t="str">
        <f>HYPERLINK("https://recruiter.shine.com/resume/download/?resumeid=gAAAAABbk2UKFIOjfnU3UpmVWUp8m_hmSpYSS2PiCBkszMM7UR4mCwvjNiNKDwOYqsvAQQHGLDK3P7HH6_F1nTMdxL7QTBLfEI1KD2uW6ZQtIc0fJSnoe9oqPKwe2zpj1QRmA_3xmeWfa0KWTTKgzOa3dSDlY0NEyw==")</f>
        <v>https://recruiter.shine.com/resume/download/?resumeid=gAAAAABbk2UKFIOjfnU3UpmVWUp8m_hmSpYSS2PiCBkszMM7UR4mCwvjNiNKDwOYqsvAQQHGLDK3P7HH6_F1nTMdxL7QTBLfEI1KD2uW6ZQtIc0fJSnoe9oqPKwe2zpj1QRmA_3xmeWfa0KWTTKgzOa3dSDlY0NEyw==</v>
      </c>
    </row>
    <row r="1125" spans="1:25" ht="39.950000000000003" customHeight="1">
      <c r="A1125">
        <v>1121</v>
      </c>
      <c r="B1125" t="s">
        <v>9999</v>
      </c>
      <c r="D1125" t="s">
        <v>10000</v>
      </c>
      <c r="E1125" t="s">
        <v>10001</v>
      </c>
      <c r="F1125" t="s">
        <v>29</v>
      </c>
      <c r="G1125" t="s">
        <v>10002</v>
      </c>
      <c r="H1125" t="s">
        <v>31</v>
      </c>
      <c r="I1125" t="s">
        <v>362</v>
      </c>
      <c r="J1125" t="s">
        <v>135</v>
      </c>
      <c r="L1125" t="s">
        <v>363</v>
      </c>
      <c r="M1125" t="s">
        <v>364</v>
      </c>
      <c r="Q1125" t="s">
        <v>158</v>
      </c>
      <c r="R1125" t="s">
        <v>341</v>
      </c>
      <c r="S1125" t="s">
        <v>10003</v>
      </c>
      <c r="T1125" t="s">
        <v>304</v>
      </c>
      <c r="U1125" t="s">
        <v>43</v>
      </c>
      <c r="V1125" t="s">
        <v>10004</v>
      </c>
      <c r="W1125" t="s">
        <v>10005</v>
      </c>
      <c r="Y1125" t="str">
        <f>HYPERLINK("https://recruiter.shine.com/resume/download/?resumeid=gAAAAABbk2UMvqFETnAqcQIRV_XmBeTn601iS4mjEd3Oz_EaDL19L4FHx1ZNc_xevzw_nRxg9sxFm2H9Kd10ClTUjhUEk3NhmMDicPwif3tTlIjlDoPNr598_CtJPR9cDpI3BJKkCGfEJ6gVdDQINy1CqG25xGZluA==")</f>
        <v>https://recruiter.shine.com/resume/download/?resumeid=gAAAAABbk2UMvqFETnAqcQIRV_XmBeTn601iS4mjEd3Oz_EaDL19L4FHx1ZNc_xevzw_nRxg9sxFm2H9Kd10ClTUjhUEk3NhmMDicPwif3tTlIjlDoPNr598_CtJPR9cDpI3BJKkCGfEJ6gVdDQINy1CqG25xGZluA==</v>
      </c>
    </row>
    <row r="1126" spans="1:25" ht="39.950000000000003" customHeight="1">
      <c r="A1126">
        <v>1122</v>
      </c>
      <c r="B1126" t="s">
        <v>10006</v>
      </c>
      <c r="C1126" t="s">
        <v>10007</v>
      </c>
      <c r="D1126" t="s">
        <v>10008</v>
      </c>
      <c r="E1126" t="s">
        <v>10009</v>
      </c>
      <c r="F1126" t="s">
        <v>29</v>
      </c>
      <c r="G1126" t="s">
        <v>29</v>
      </c>
      <c r="H1126" t="s">
        <v>31</v>
      </c>
      <c r="I1126" t="s">
        <v>362</v>
      </c>
      <c r="J1126" t="s">
        <v>135</v>
      </c>
      <c r="L1126" t="s">
        <v>363</v>
      </c>
      <c r="M1126" t="s">
        <v>364</v>
      </c>
      <c r="Q1126" t="s">
        <v>365</v>
      </c>
      <c r="R1126" t="s">
        <v>10010</v>
      </c>
      <c r="S1126" t="s">
        <v>10011</v>
      </c>
      <c r="T1126" t="s">
        <v>429</v>
      </c>
      <c r="U1126" t="s">
        <v>127</v>
      </c>
      <c r="V1126" t="s">
        <v>10012</v>
      </c>
      <c r="W1126" t="s">
        <v>10012</v>
      </c>
      <c r="Y1126" t="str">
        <f>HYPERLINK("https://recruiter.shine.com/resume/download/?resumeid=gAAAAABbk2UNE0dP6qLzagnVfgxN7k0AtaX4Ndo-cxT2iMKxlQtxWqXMQfK5Qg100EQAX0-DeGfNyyfuLk3TFMYEtljGIpXZamaf6FA5fllOiZqmHJ9NiYgOcS1ONaUwVtINJwPYezpsmh6ZUER1DIyBenr-jZZwe7u6R6kRMKkxZiggJsrPKg4=")</f>
        <v>https://recruiter.shine.com/resume/download/?resumeid=gAAAAABbk2UNE0dP6qLzagnVfgxN7k0AtaX4Ndo-cxT2iMKxlQtxWqXMQfK5Qg100EQAX0-DeGfNyyfuLk3TFMYEtljGIpXZamaf6FA5fllOiZqmHJ9NiYgOcS1ONaUwVtINJwPYezpsmh6ZUER1DIyBenr-jZZwe7u6R6kRMKkxZiggJsrPKg4=</v>
      </c>
    </row>
    <row r="1127" spans="1:25" ht="39.950000000000003" customHeight="1">
      <c r="A1127">
        <v>1123</v>
      </c>
      <c r="B1127" t="s">
        <v>10013</v>
      </c>
      <c r="C1127" t="s">
        <v>10014</v>
      </c>
      <c r="D1127" t="s">
        <v>10015</v>
      </c>
      <c r="E1127" t="s">
        <v>10016</v>
      </c>
      <c r="F1127" t="s">
        <v>29</v>
      </c>
      <c r="G1127" t="s">
        <v>29</v>
      </c>
      <c r="H1127" t="s">
        <v>31</v>
      </c>
      <c r="I1127" t="s">
        <v>7970</v>
      </c>
      <c r="J1127" t="s">
        <v>10017</v>
      </c>
      <c r="K1127" t="s">
        <v>10018</v>
      </c>
      <c r="L1127" t="s">
        <v>314</v>
      </c>
      <c r="M1127" t="s">
        <v>707</v>
      </c>
      <c r="N1127" t="s">
        <v>2229</v>
      </c>
      <c r="O1127" t="s">
        <v>2398</v>
      </c>
      <c r="P1127" t="s">
        <v>940</v>
      </c>
      <c r="Q1127" t="s">
        <v>412</v>
      </c>
      <c r="R1127" t="s">
        <v>3593</v>
      </c>
      <c r="S1127" t="s">
        <v>3963</v>
      </c>
      <c r="T1127" t="s">
        <v>415</v>
      </c>
      <c r="U1127" t="s">
        <v>127</v>
      </c>
      <c r="V1127" t="s">
        <v>10019</v>
      </c>
      <c r="W1127" t="s">
        <v>10020</v>
      </c>
      <c r="Y1127" t="str">
        <f>HYPERLINK("https://recruiter.shine.com/resume/download/?resumeid=gAAAAABbk2ULKEpAoVMPqf57g0hNJGPY_N5Z6n5r5oTGqkRAJVpOMi5PAR4Cr0XNzA4Zf1AcU43lIyHFcfDpn8EWEwASujuH-7EBpimCQ6yfSa36JTnx0J62vYFIDmbO-4aWh4w0rKG2ujTF1Sn-Nz8qPqlxWzR1JhFUXUmbCCzTHFhWIIzU_KM=")</f>
        <v>https://recruiter.shine.com/resume/download/?resumeid=gAAAAABbk2ULKEpAoVMPqf57g0hNJGPY_N5Z6n5r5oTGqkRAJVpOMi5PAR4Cr0XNzA4Zf1AcU43lIyHFcfDpn8EWEwASujuH-7EBpimCQ6yfSa36JTnx0J62vYFIDmbO-4aWh4w0rKG2ujTF1Sn-Nz8qPqlxWzR1JhFUXUmbCCzTHFhWIIzU_KM=</v>
      </c>
    </row>
    <row r="1128" spans="1:25" ht="39.950000000000003" customHeight="1">
      <c r="A1128">
        <v>1124</v>
      </c>
      <c r="B1128" t="s">
        <v>10021</v>
      </c>
      <c r="C1128" t="s">
        <v>3126</v>
      </c>
      <c r="D1128" t="s">
        <v>10022</v>
      </c>
      <c r="E1128" t="s">
        <v>10023</v>
      </c>
      <c r="F1128" t="s">
        <v>29</v>
      </c>
      <c r="G1128" t="s">
        <v>249</v>
      </c>
      <c r="H1128" t="s">
        <v>234</v>
      </c>
      <c r="I1128" t="s">
        <v>68</v>
      </c>
      <c r="J1128" t="s">
        <v>715</v>
      </c>
      <c r="K1128" t="s">
        <v>10024</v>
      </c>
      <c r="L1128" t="s">
        <v>120</v>
      </c>
      <c r="M1128" t="s">
        <v>1446</v>
      </c>
      <c r="N1128" t="s">
        <v>7135</v>
      </c>
      <c r="O1128" t="s">
        <v>38</v>
      </c>
      <c r="Q1128" t="s">
        <v>40</v>
      </c>
      <c r="R1128" t="s">
        <v>760</v>
      </c>
      <c r="S1128" t="s">
        <v>188</v>
      </c>
      <c r="T1128" t="s">
        <v>227</v>
      </c>
      <c r="U1128" t="s">
        <v>43</v>
      </c>
      <c r="V1128" t="s">
        <v>10025</v>
      </c>
      <c r="W1128" t="s">
        <v>10025</v>
      </c>
      <c r="Y1128" t="str">
        <f>HYPERLINK("https://recruiter.shine.com/resume/download/?resumeid=gAAAAABbk2UMQF1r0sJuGF1j0J4_x3IDmqN4GgYCWqLrJlCRLb0PAfFWfqwBJXNv5zOKLaNL_OkBum_C_xzMNZoyXCVo_biLAWfsoFA2GD7cjTWVbVF-CIl2-txlCOT-fSNRarYLY3f23sBjVKZUo5Q0rV_qpIabVQ==")</f>
        <v>https://recruiter.shine.com/resume/download/?resumeid=gAAAAABbk2UMQF1r0sJuGF1j0J4_x3IDmqN4GgYCWqLrJlCRLb0PAfFWfqwBJXNv5zOKLaNL_OkBum_C_xzMNZoyXCVo_biLAWfsoFA2GD7cjTWVbVF-CIl2-txlCOT-fSNRarYLY3f23sBjVKZUo5Q0rV_qpIabVQ==</v>
      </c>
    </row>
    <row r="1129" spans="1:25" ht="39.950000000000003" customHeight="1">
      <c r="A1129">
        <v>1125</v>
      </c>
      <c r="B1129" t="s">
        <v>10026</v>
      </c>
      <c r="C1129" t="s">
        <v>10027</v>
      </c>
      <c r="D1129" t="s">
        <v>10028</v>
      </c>
      <c r="E1129" t="s">
        <v>10029</v>
      </c>
      <c r="F1129" t="s">
        <v>29</v>
      </c>
      <c r="G1129" t="s">
        <v>7646</v>
      </c>
      <c r="H1129" t="s">
        <v>31</v>
      </c>
      <c r="I1129" t="s">
        <v>998</v>
      </c>
      <c r="J1129" t="s">
        <v>10030</v>
      </c>
      <c r="K1129" t="s">
        <v>5988</v>
      </c>
      <c r="L1129" t="s">
        <v>88</v>
      </c>
      <c r="M1129" t="s">
        <v>473</v>
      </c>
      <c r="N1129" t="s">
        <v>10031</v>
      </c>
      <c r="O1129" t="s">
        <v>186</v>
      </c>
      <c r="P1129" t="s">
        <v>73</v>
      </c>
      <c r="Q1129" t="s">
        <v>90</v>
      </c>
      <c r="R1129" t="s">
        <v>91</v>
      </c>
      <c r="S1129" t="s">
        <v>8878</v>
      </c>
      <c r="T1129" t="s">
        <v>625</v>
      </c>
      <c r="U1129" t="s">
        <v>43</v>
      </c>
      <c r="V1129" t="s">
        <v>10032</v>
      </c>
      <c r="W1129" t="s">
        <v>10033</v>
      </c>
      <c r="Y1129" t="str">
        <f>HYPERLINK("https://recruiter.shine.com/resume/download/?resumeid=gAAAAABbk2UNtJcR2gZDy5KBBofLn97rj4Ae23vDePBNySpIYEWqpqI4x0l3RJpFcIB1ANUgTxNF85Jah263Aes9dFdZu9YOYohAVzI4agU_ipoT6Uvt3bj05xS8hCETSIqRsmf2HvpFQS9UJ3Y2bF3wkuv6OVbJ9GklOqWCCfUxLZvdJZdeJGU=")</f>
        <v>https://recruiter.shine.com/resume/download/?resumeid=gAAAAABbk2UNtJcR2gZDy5KBBofLn97rj4Ae23vDePBNySpIYEWqpqI4x0l3RJpFcIB1ANUgTxNF85Jah263Aes9dFdZu9YOYohAVzI4agU_ipoT6Uvt3bj05xS8hCETSIqRsmf2HvpFQS9UJ3Y2bF3wkuv6OVbJ9GklOqWCCfUxLZvdJZdeJGU=</v>
      </c>
    </row>
    <row r="1130" spans="1:25" ht="39.950000000000003" customHeight="1">
      <c r="A1130">
        <v>1126</v>
      </c>
      <c r="B1130" t="s">
        <v>10034</v>
      </c>
      <c r="C1130" t="s">
        <v>10035</v>
      </c>
      <c r="D1130" t="s">
        <v>10036</v>
      </c>
      <c r="E1130" t="s">
        <v>10037</v>
      </c>
      <c r="F1130" t="s">
        <v>29</v>
      </c>
      <c r="G1130" t="s">
        <v>3107</v>
      </c>
      <c r="H1130" t="s">
        <v>31</v>
      </c>
      <c r="I1130" t="s">
        <v>32</v>
      </c>
      <c r="J1130" t="s">
        <v>1028</v>
      </c>
      <c r="K1130" t="s">
        <v>10038</v>
      </c>
      <c r="L1130" t="s">
        <v>301</v>
      </c>
      <c r="M1130" t="s">
        <v>339</v>
      </c>
      <c r="N1130" t="s">
        <v>10039</v>
      </c>
      <c r="O1130" t="s">
        <v>56</v>
      </c>
      <c r="P1130" t="s">
        <v>73</v>
      </c>
      <c r="Q1130" t="s">
        <v>1880</v>
      </c>
      <c r="R1130" t="s">
        <v>2047</v>
      </c>
      <c r="S1130" t="s">
        <v>2847</v>
      </c>
      <c r="U1130" t="s">
        <v>94</v>
      </c>
      <c r="V1130" t="s">
        <v>10040</v>
      </c>
      <c r="W1130" t="s">
        <v>10040</v>
      </c>
      <c r="Y1130" t="str">
        <f>HYPERLINK("https://recruiter.shine.com/resume/download/?resumeid=gAAAAABbk2ULlD6x4DjxsdIeu3pgFEuJWKk2PZZNCdCWTia1P-vvSCMINZ2-_QepZaGOt8JCWiymE2QNet6ALwixZQDjoi4BvsWIovN1M9l_F-FYCCqJn2DU4Q4Gp6XGTJrSz4mTZ_gL")</f>
        <v>https://recruiter.shine.com/resume/download/?resumeid=gAAAAABbk2ULlD6x4DjxsdIeu3pgFEuJWKk2PZZNCdCWTia1P-vvSCMINZ2-_QepZaGOt8JCWiymE2QNet6ALwixZQDjoi4BvsWIovN1M9l_F-FYCCqJn2DU4Q4Gp6XGTJrSz4mTZ_gL</v>
      </c>
    </row>
    <row r="1131" spans="1:25" ht="39.950000000000003" customHeight="1">
      <c r="A1131">
        <v>1127</v>
      </c>
      <c r="B1131" t="s">
        <v>10041</v>
      </c>
      <c r="D1131" t="s">
        <v>10042</v>
      </c>
      <c r="E1131" t="s">
        <v>10043</v>
      </c>
      <c r="F1131" t="s">
        <v>29</v>
      </c>
      <c r="G1131" t="s">
        <v>29</v>
      </c>
      <c r="H1131" t="s">
        <v>31</v>
      </c>
      <c r="I1131" t="s">
        <v>362</v>
      </c>
      <c r="J1131" t="s">
        <v>135</v>
      </c>
      <c r="L1131" t="s">
        <v>363</v>
      </c>
      <c r="M1131" t="s">
        <v>364</v>
      </c>
      <c r="Q1131" t="s">
        <v>107</v>
      </c>
      <c r="R1131" t="s">
        <v>864</v>
      </c>
      <c r="S1131" t="s">
        <v>10044</v>
      </c>
      <c r="T1131" t="s">
        <v>126</v>
      </c>
      <c r="U1131" t="s">
        <v>43</v>
      </c>
      <c r="V1131" t="s">
        <v>10045</v>
      </c>
      <c r="W1131" t="s">
        <v>10045</v>
      </c>
      <c r="Y1131" t="str">
        <f>HYPERLINK("https://recruiter.shine.com/resume/download/?resumeid=gAAAAABbk2UMUttuISiPyZbPZk-b4LH5N-wMnsdyXc-Hbsf75BeqSA6VNB5WBFDPTbgxwvpwyjlxKuFFVo0Mc-NJTDGep1nCKHOk8UOVxLRitkUA7rQM9SfXiiekyCvTVKoQKaBHeE_n4hYlI3FeL6L-uoxUS-X5feNoTDFrDY3ym88UTW6H8RI=")</f>
        <v>https://recruiter.shine.com/resume/download/?resumeid=gAAAAABbk2UMUttuISiPyZbPZk-b4LH5N-wMnsdyXc-Hbsf75BeqSA6VNB5WBFDPTbgxwvpwyjlxKuFFVo0Mc-NJTDGep1nCKHOk8UOVxLRitkUA7rQM9SfXiiekyCvTVKoQKaBHeE_n4hYlI3FeL6L-uoxUS-X5feNoTDFrDY3ym88UTW6H8RI=</v>
      </c>
    </row>
    <row r="1132" spans="1:25" ht="39.950000000000003" customHeight="1">
      <c r="A1132">
        <v>1128</v>
      </c>
      <c r="B1132" t="s">
        <v>10046</v>
      </c>
      <c r="D1132" t="s">
        <v>10047</v>
      </c>
      <c r="E1132" t="s">
        <v>10048</v>
      </c>
      <c r="F1132" t="s">
        <v>29</v>
      </c>
      <c r="G1132" t="s">
        <v>67</v>
      </c>
      <c r="H1132" t="s">
        <v>234</v>
      </c>
      <c r="I1132" t="s">
        <v>1242</v>
      </c>
      <c r="J1132" t="s">
        <v>251</v>
      </c>
      <c r="K1132" t="s">
        <v>1917</v>
      </c>
      <c r="L1132" t="s">
        <v>1918</v>
      </c>
      <c r="M1132" t="s">
        <v>1755</v>
      </c>
      <c r="N1132" t="s">
        <v>10049</v>
      </c>
      <c r="O1132" t="s">
        <v>475</v>
      </c>
      <c r="Q1132" t="s">
        <v>123</v>
      </c>
      <c r="R1132" t="s">
        <v>124</v>
      </c>
      <c r="S1132" t="s">
        <v>10050</v>
      </c>
      <c r="T1132" t="s">
        <v>227</v>
      </c>
      <c r="U1132" t="s">
        <v>94</v>
      </c>
      <c r="V1132" t="s">
        <v>10051</v>
      </c>
      <c r="W1132" t="s">
        <v>10052</v>
      </c>
      <c r="Y1132" t="str">
        <f>HYPERLINK("https://recruiter.shine.com/resume/download/?resumeid=gAAAAABbk2UN3JnQgHm9xqUZf7B2fTireD078TXPOYSnQZg8T1Cv5vTj2D44rp67Y-Pd6tuSs_ZopfJdkiDRcQuCmzF-0LSqGECr09hmAIgzZ1mzw1bhOf6l-Ao2J8UEg8q8wNdRUU8WA3-Kk2h30tQT6rvY5kq2piHOhKMZcd2ZFKE-5CLVARc=")</f>
        <v>https://recruiter.shine.com/resume/download/?resumeid=gAAAAABbk2UN3JnQgHm9xqUZf7B2fTireD078TXPOYSnQZg8T1Cv5vTj2D44rp67Y-Pd6tuSs_ZopfJdkiDRcQuCmzF-0LSqGECr09hmAIgzZ1mzw1bhOf6l-Ao2J8UEg8q8wNdRUU8WA3-Kk2h30tQT6rvY5kq2piHOhKMZcd2ZFKE-5CLVARc=</v>
      </c>
    </row>
    <row r="1133" spans="1:25" ht="39.950000000000003" customHeight="1">
      <c r="A1133">
        <v>1129</v>
      </c>
      <c r="B1133" t="s">
        <v>10053</v>
      </c>
      <c r="C1133" t="s">
        <v>3884</v>
      </c>
      <c r="D1133" t="s">
        <v>10054</v>
      </c>
      <c r="E1133" t="s">
        <v>10055</v>
      </c>
      <c r="F1133" t="s">
        <v>29</v>
      </c>
      <c r="G1133" t="s">
        <v>10056</v>
      </c>
      <c r="H1133" t="s">
        <v>31</v>
      </c>
      <c r="I1133" t="s">
        <v>662</v>
      </c>
      <c r="J1133" t="s">
        <v>153</v>
      </c>
      <c r="K1133" t="s">
        <v>595</v>
      </c>
      <c r="L1133" t="s">
        <v>354</v>
      </c>
      <c r="M1133" t="s">
        <v>583</v>
      </c>
      <c r="N1133" t="s">
        <v>3673</v>
      </c>
      <c r="O1133" t="s">
        <v>224</v>
      </c>
      <c r="P1133" t="s">
        <v>268</v>
      </c>
      <c r="Q1133" t="s">
        <v>107</v>
      </c>
      <c r="R1133" t="s">
        <v>341</v>
      </c>
      <c r="S1133" t="s">
        <v>10057</v>
      </c>
      <c r="T1133" t="s">
        <v>110</v>
      </c>
      <c r="U1133" t="s">
        <v>43</v>
      </c>
      <c r="V1133" t="s">
        <v>10058</v>
      </c>
      <c r="W1133" t="s">
        <v>10059</v>
      </c>
      <c r="Y1133" t="str">
        <f>HYPERLINK("https://recruiter.shine.com/resume/download/?resumeid=gAAAAABbk2UL_nbxpPY_csSwXF-U-Idan9vWJJdE2EoS3N1WsXheWhSJJyv_u4q-TcUzY-77QQEi5UGCt1lzaXGvBpH9TLf7-zKSpIIOXTRzDoqjpYsZV2gz1UnxGkOzma8j1Ly16FWz6Q9r9RsFWDsnrmSSFz5DsA==")</f>
        <v>https://recruiter.shine.com/resume/download/?resumeid=gAAAAABbk2UL_nbxpPY_csSwXF-U-Idan9vWJJdE2EoS3N1WsXheWhSJJyv_u4q-TcUzY-77QQEi5UGCt1lzaXGvBpH9TLf7-zKSpIIOXTRzDoqjpYsZV2gz1UnxGkOzma8j1Ly16FWz6Q9r9RsFWDsnrmSSFz5DsA==</v>
      </c>
    </row>
    <row r="1134" spans="1:25" ht="39.950000000000003" customHeight="1">
      <c r="A1134">
        <v>1130</v>
      </c>
      <c r="B1134" t="s">
        <v>10060</v>
      </c>
      <c r="C1134" t="s">
        <v>10061</v>
      </c>
      <c r="D1134" t="s">
        <v>10062</v>
      </c>
      <c r="E1134" t="s">
        <v>10063</v>
      </c>
      <c r="F1134" t="s">
        <v>858</v>
      </c>
      <c r="G1134" t="s">
        <v>858</v>
      </c>
      <c r="H1134" t="s">
        <v>31</v>
      </c>
      <c r="I1134" t="s">
        <v>10064</v>
      </c>
      <c r="J1134" t="s">
        <v>10065</v>
      </c>
      <c r="K1134" t="s">
        <v>10066</v>
      </c>
      <c r="L1134" t="s">
        <v>184</v>
      </c>
      <c r="M1134" t="s">
        <v>238</v>
      </c>
      <c r="N1134" t="s">
        <v>1967</v>
      </c>
      <c r="O1134" t="s">
        <v>2301</v>
      </c>
      <c r="P1134" t="s">
        <v>73</v>
      </c>
      <c r="Q1134" t="s">
        <v>90</v>
      </c>
      <c r="R1134" t="s">
        <v>91</v>
      </c>
      <c r="S1134" t="s">
        <v>10067</v>
      </c>
      <c r="T1134" t="s">
        <v>887</v>
      </c>
      <c r="U1134" t="s">
        <v>43</v>
      </c>
      <c r="V1134" t="s">
        <v>10068</v>
      </c>
      <c r="W1134" t="s">
        <v>10069</v>
      </c>
      <c r="Y1134" t="str">
        <f>HYPERLINK("https://recruiter.shine.com/resume/download/?resumeid=gAAAAABbk2UMuhbWVSLIpv-zN8Duu-S8n4QkgF4mytDpVYEMJq55lVODw8Xz2gmjpZAr0RJQbqLnP4Ar0LcX2sWvE6odTcT8geQazJ5TAILGJPK1xXQWju26h6sVg1VM73OPhF7r2khrFrGAwCKijHTKzzwYvCRfew==")</f>
        <v>https://recruiter.shine.com/resume/download/?resumeid=gAAAAABbk2UMuhbWVSLIpv-zN8Duu-S8n4QkgF4mytDpVYEMJq55lVODw8Xz2gmjpZAr0RJQbqLnP4Ar0LcX2sWvE6odTcT8geQazJ5TAILGJPK1xXQWju26h6sVg1VM73OPhF7r2khrFrGAwCKijHTKzzwYvCRfew==</v>
      </c>
    </row>
    <row r="1135" spans="1:25" ht="39.950000000000003" customHeight="1">
      <c r="A1135">
        <v>1131</v>
      </c>
      <c r="B1135" t="s">
        <v>10070</v>
      </c>
      <c r="D1135" t="s">
        <v>10071</v>
      </c>
      <c r="E1135" t="s">
        <v>10072</v>
      </c>
      <c r="F1135" t="s">
        <v>29</v>
      </c>
      <c r="G1135" t="s">
        <v>67</v>
      </c>
      <c r="H1135" t="s">
        <v>234</v>
      </c>
      <c r="I1135" t="s">
        <v>250</v>
      </c>
      <c r="J1135" t="s">
        <v>408</v>
      </c>
      <c r="K1135" t="s">
        <v>183</v>
      </c>
      <c r="L1135" t="s">
        <v>184</v>
      </c>
      <c r="M1135" t="s">
        <v>36</v>
      </c>
      <c r="N1135" t="s">
        <v>10073</v>
      </c>
      <c r="O1135" t="s">
        <v>186</v>
      </c>
      <c r="Q1135" t="s">
        <v>187</v>
      </c>
      <c r="R1135" t="s">
        <v>124</v>
      </c>
      <c r="S1135" t="s">
        <v>188</v>
      </c>
      <c r="T1135" t="s">
        <v>429</v>
      </c>
      <c r="U1135" t="s">
        <v>43</v>
      </c>
      <c r="V1135" t="s">
        <v>10074</v>
      </c>
      <c r="W1135" t="s">
        <v>10075</v>
      </c>
      <c r="Y1135" t="str">
        <f>HYPERLINK("https://recruiter.shine.com/resume/download/?resumeid=gAAAAABbk2UNBg07NCK9P2KTs3qVB7TVrF_5AAAHpCtzHVKHpfV_IuwjNXJhgZqwq4zLFk-GbOtb5ZaB7HtGSTfD3tRqkIjr0ZpqolptFmp937uxGGw274U2fch3Ph5FyXG-4iB_Fl9-BkkHrcAEyZzaq3WKddIPKQ==")</f>
        <v>https://recruiter.shine.com/resume/download/?resumeid=gAAAAABbk2UNBg07NCK9P2KTs3qVB7TVrF_5AAAHpCtzHVKHpfV_IuwjNXJhgZqwq4zLFk-GbOtb5ZaB7HtGSTfD3tRqkIjr0ZpqolptFmp937uxGGw274U2fch3Ph5FyXG-4iB_Fl9-BkkHrcAEyZzaq3WKddIPKQ==</v>
      </c>
    </row>
    <row r="1136" spans="1:25" ht="39.950000000000003" customHeight="1">
      <c r="A1136">
        <v>1132</v>
      </c>
      <c r="B1136" t="s">
        <v>10076</v>
      </c>
      <c r="D1136" t="s">
        <v>10077</v>
      </c>
      <c r="E1136" t="s">
        <v>10078</v>
      </c>
      <c r="F1136" t="s">
        <v>29</v>
      </c>
      <c r="G1136" t="s">
        <v>29</v>
      </c>
      <c r="H1136" t="s">
        <v>31</v>
      </c>
      <c r="I1136" t="s">
        <v>168</v>
      </c>
      <c r="J1136" t="s">
        <v>8828</v>
      </c>
      <c r="K1136" t="s">
        <v>10079</v>
      </c>
      <c r="L1136" t="s">
        <v>1889</v>
      </c>
      <c r="M1136" t="s">
        <v>315</v>
      </c>
      <c r="N1136" t="s">
        <v>4180</v>
      </c>
      <c r="O1136" t="s">
        <v>759</v>
      </c>
      <c r="Q1136" t="s">
        <v>1378</v>
      </c>
      <c r="R1136" t="s">
        <v>1379</v>
      </c>
      <c r="S1136" t="s">
        <v>10080</v>
      </c>
      <c r="T1136" t="s">
        <v>561</v>
      </c>
      <c r="U1136" t="s">
        <v>43</v>
      </c>
      <c r="V1136" t="s">
        <v>10081</v>
      </c>
      <c r="W1136" t="s">
        <v>10082</v>
      </c>
      <c r="Y1136" t="str">
        <f>HYPERLINK("https://recruiter.shine.com/resume/download/?resumeid=gAAAAABbk2UK86TvyIH4ztMMBQeEzMMCeNObGdazB44aNkGZRQ-Co8T04x2DM_oxSey_5cjUTUtefeJFmEl5COlXDBS25tMKc2rashwZIF2tq7WYtUAWSV_4K4tztN9bzUvAgUF2x7nkMYRDmcpDtPo6X8gZ1KZjAA==")</f>
        <v>https://recruiter.shine.com/resume/download/?resumeid=gAAAAABbk2UK86TvyIH4ztMMBQeEzMMCeNObGdazB44aNkGZRQ-Co8T04x2DM_oxSey_5cjUTUtefeJFmEl5COlXDBS25tMKc2rashwZIF2tq7WYtUAWSV_4K4tztN9bzUvAgUF2x7nkMYRDmcpDtPo6X8gZ1KZjAA==</v>
      </c>
    </row>
    <row r="1137" spans="1:25" ht="39.950000000000003" customHeight="1">
      <c r="A1137">
        <v>1133</v>
      </c>
      <c r="B1137" t="s">
        <v>10083</v>
      </c>
      <c r="C1137" t="s">
        <v>10084</v>
      </c>
      <c r="D1137" t="s">
        <v>10085</v>
      </c>
      <c r="E1137" t="s">
        <v>10086</v>
      </c>
      <c r="F1137" t="s">
        <v>858</v>
      </c>
      <c r="G1137" t="s">
        <v>10087</v>
      </c>
      <c r="H1137" t="s">
        <v>31</v>
      </c>
      <c r="I1137" t="s">
        <v>362</v>
      </c>
      <c r="J1137" t="s">
        <v>135</v>
      </c>
      <c r="L1137" t="s">
        <v>363</v>
      </c>
      <c r="M1137" t="s">
        <v>364</v>
      </c>
      <c r="Q1137" t="s">
        <v>107</v>
      </c>
      <c r="R1137" t="s">
        <v>559</v>
      </c>
      <c r="S1137" t="s">
        <v>10088</v>
      </c>
      <c r="T1137" t="s">
        <v>126</v>
      </c>
      <c r="U1137" t="s">
        <v>43</v>
      </c>
      <c r="V1137" t="s">
        <v>10089</v>
      </c>
      <c r="W1137" t="s">
        <v>10090</v>
      </c>
      <c r="Y1137" t="str">
        <f>HYPERLINK("https://recruiter.shine.com/resume/download/?resumeid=gAAAAABbk2UMslXNOxh6JMLCWaizyQ2KrhywDnlqloPGQnRLG3HlYIlBaL5ryRZTV57-7tA7TlQi7rjPy49rxk5EYWC_cveMZ4RybuCxMQD-inWZiuimYZ7xkQXhr31xBRBQ4GgsMM7SqYGKKD2FXUiTxbXa0zDP4OachahrIbzefx83qnIbGNs=")</f>
        <v>https://recruiter.shine.com/resume/download/?resumeid=gAAAAABbk2UMslXNOxh6JMLCWaizyQ2KrhywDnlqloPGQnRLG3HlYIlBaL5ryRZTV57-7tA7TlQi7rjPy49rxk5EYWC_cveMZ4RybuCxMQD-inWZiuimYZ7xkQXhr31xBRBQ4GgsMM7SqYGKKD2FXUiTxbXa0zDP4OachahrIbzefx83qnIbGNs=</v>
      </c>
    </row>
    <row r="1138" spans="1:25" ht="39.950000000000003" customHeight="1">
      <c r="A1138">
        <v>1134</v>
      </c>
      <c r="B1138" t="s">
        <v>10091</v>
      </c>
      <c r="D1138" t="s">
        <v>10092</v>
      </c>
      <c r="E1138" t="s">
        <v>10093</v>
      </c>
      <c r="F1138" t="s">
        <v>29</v>
      </c>
      <c r="G1138" t="s">
        <v>67</v>
      </c>
      <c r="H1138" t="s">
        <v>31</v>
      </c>
      <c r="I1138" t="s">
        <v>362</v>
      </c>
      <c r="J1138" t="s">
        <v>135</v>
      </c>
      <c r="L1138" t="s">
        <v>363</v>
      </c>
      <c r="M1138" t="s">
        <v>364</v>
      </c>
      <c r="Q1138" t="s">
        <v>365</v>
      </c>
      <c r="R1138" t="s">
        <v>124</v>
      </c>
      <c r="S1138" t="s">
        <v>10094</v>
      </c>
      <c r="T1138" t="s">
        <v>429</v>
      </c>
      <c r="U1138" t="s">
        <v>43</v>
      </c>
      <c r="V1138" t="s">
        <v>10095</v>
      </c>
      <c r="W1138" t="s">
        <v>10096</v>
      </c>
      <c r="Y1138" t="str">
        <f>HYPERLINK("https://recruiter.shine.com/resume/download/?resumeid=gAAAAABbk2UNIsY_RPKFZOvCMpTY15lJvnAD9PaVtIbTHHHXg1nUI6cErQ1dXKuxiSPzye_yALGHwzao8tvluxtT5mvURPeaiGqqnAWHRebCZl1y5lQ5HTchNBDM6kDimPASK3PUxR32yStnAWBmyDvXMzuP-9gGnIQeU_koDnaT8C0otUUTxnU=")</f>
        <v>https://recruiter.shine.com/resume/download/?resumeid=gAAAAABbk2UNIsY_RPKFZOvCMpTY15lJvnAD9PaVtIbTHHHXg1nUI6cErQ1dXKuxiSPzye_yALGHwzao8tvluxtT5mvURPeaiGqqnAWHRebCZl1y5lQ5HTchNBDM6kDimPASK3PUxR32yStnAWBmyDvXMzuP-9gGnIQeU_koDnaT8C0otUUTxnU=</v>
      </c>
    </row>
    <row r="1139" spans="1:25" ht="39.950000000000003" customHeight="1">
      <c r="A1139">
        <v>1135</v>
      </c>
      <c r="B1139" t="s">
        <v>10097</v>
      </c>
      <c r="C1139" t="s">
        <v>10098</v>
      </c>
      <c r="D1139" t="s">
        <v>10099</v>
      </c>
      <c r="E1139" t="s">
        <v>10100</v>
      </c>
      <c r="F1139" t="s">
        <v>29</v>
      </c>
      <c r="G1139" t="s">
        <v>10101</v>
      </c>
      <c r="H1139" t="s">
        <v>31</v>
      </c>
      <c r="I1139" t="s">
        <v>825</v>
      </c>
      <c r="J1139" t="s">
        <v>336</v>
      </c>
      <c r="K1139" t="s">
        <v>10102</v>
      </c>
      <c r="L1139" t="s">
        <v>664</v>
      </c>
      <c r="M1139" t="s">
        <v>222</v>
      </c>
      <c r="N1139" t="s">
        <v>10103</v>
      </c>
      <c r="O1139" t="s">
        <v>56</v>
      </c>
      <c r="P1139" t="s">
        <v>39</v>
      </c>
      <c r="Q1139" t="s">
        <v>90</v>
      </c>
      <c r="R1139" t="s">
        <v>317</v>
      </c>
      <c r="S1139" t="s">
        <v>10104</v>
      </c>
      <c r="T1139" t="s">
        <v>441</v>
      </c>
      <c r="U1139" t="s">
        <v>127</v>
      </c>
      <c r="V1139" t="s">
        <v>10105</v>
      </c>
      <c r="W1139" t="s">
        <v>10106</v>
      </c>
      <c r="Y1139" t="str">
        <f>HYPERLINK("https://recruiter.shine.com/resume/download/?resumeid=gAAAAABbk2UK8MfgTs-tVZUg8K_raGFrRXcG4mwbIU5lvLVYfQjQh1BFrP6vOCJt3E40hYCToqypdhw5meqHdKbFztSPMqfj13FPHNMzLdomGFYDUe2zjfPxt2srOVdWer-bChiKUkispuZxjSw_kYDtq-r6_2GD4Q==")</f>
        <v>https://recruiter.shine.com/resume/download/?resumeid=gAAAAABbk2UK8MfgTs-tVZUg8K_raGFrRXcG4mwbIU5lvLVYfQjQh1BFrP6vOCJt3E40hYCToqypdhw5meqHdKbFztSPMqfj13FPHNMzLdomGFYDUe2zjfPxt2srOVdWer-bChiKUkispuZxjSw_kYDtq-r6_2GD4Q==</v>
      </c>
    </row>
    <row r="1140" spans="1:25" ht="39.950000000000003" customHeight="1">
      <c r="A1140">
        <v>1136</v>
      </c>
      <c r="B1140" t="s">
        <v>10107</v>
      </c>
      <c r="D1140" t="s">
        <v>10108</v>
      </c>
      <c r="E1140" t="s">
        <v>10109</v>
      </c>
      <c r="F1140" t="s">
        <v>29</v>
      </c>
      <c r="G1140" t="s">
        <v>29</v>
      </c>
      <c r="H1140" t="s">
        <v>31</v>
      </c>
      <c r="I1140" t="s">
        <v>351</v>
      </c>
      <c r="J1140" t="s">
        <v>1816</v>
      </c>
      <c r="K1140" t="s">
        <v>10110</v>
      </c>
      <c r="L1140" t="s">
        <v>1390</v>
      </c>
      <c r="M1140" t="s">
        <v>684</v>
      </c>
      <c r="N1140" t="s">
        <v>10111</v>
      </c>
      <c r="O1140" t="s">
        <v>56</v>
      </c>
      <c r="Q1140" t="s">
        <v>107</v>
      </c>
      <c r="R1140" t="s">
        <v>341</v>
      </c>
      <c r="S1140" t="s">
        <v>10112</v>
      </c>
      <c r="T1140" t="s">
        <v>304</v>
      </c>
      <c r="U1140" t="s">
        <v>43</v>
      </c>
      <c r="V1140" t="s">
        <v>10113</v>
      </c>
      <c r="W1140" t="s">
        <v>10114</v>
      </c>
      <c r="Y1140" t="str">
        <f>HYPERLINK("https://recruiter.shine.com/resume/download/?resumeid=gAAAAABbk2UMjWUlZhiptEre8uU0bY6VvM4RLsh95k6ba-UR9m9XAEEOx_BeUPHCqC7IFHDitJa7n9YFqhIiYXt1EYDf3S69Jcs093NU0K_zoQFGWzeZo19QlZxkvraz4tuvaSfcj7C5Jo82BU9x2kwjKxxVN-GG1w==")</f>
        <v>https://recruiter.shine.com/resume/download/?resumeid=gAAAAABbk2UMjWUlZhiptEre8uU0bY6VvM4RLsh95k6ba-UR9m9XAEEOx_BeUPHCqC7IFHDitJa7n9YFqhIiYXt1EYDf3S69Jcs093NU0K_zoQFGWzeZo19QlZxkvraz4tuvaSfcj7C5Jo82BU9x2kwjKxxVN-GG1w==</v>
      </c>
    </row>
    <row r="1141" spans="1:25" ht="39.950000000000003" customHeight="1">
      <c r="A1141">
        <v>1137</v>
      </c>
      <c r="B1141" t="s">
        <v>10115</v>
      </c>
      <c r="C1141" t="s">
        <v>10116</v>
      </c>
      <c r="D1141" t="s">
        <v>10117</v>
      </c>
      <c r="E1141" t="s">
        <v>10118</v>
      </c>
      <c r="F1141" t="s">
        <v>29</v>
      </c>
      <c r="G1141" t="s">
        <v>67</v>
      </c>
      <c r="H1141" t="s">
        <v>31</v>
      </c>
      <c r="I1141" t="s">
        <v>604</v>
      </c>
      <c r="J1141" t="s">
        <v>437</v>
      </c>
      <c r="K1141" t="s">
        <v>10119</v>
      </c>
      <c r="L1141" t="s">
        <v>155</v>
      </c>
      <c r="M1141" t="s">
        <v>105</v>
      </c>
      <c r="N1141" t="s">
        <v>10120</v>
      </c>
      <c r="O1141" t="s">
        <v>224</v>
      </c>
      <c r="P1141" t="s">
        <v>268</v>
      </c>
      <c r="Q1141" t="s">
        <v>107</v>
      </c>
      <c r="R1141" t="s">
        <v>341</v>
      </c>
      <c r="S1141" t="s">
        <v>10121</v>
      </c>
      <c r="T1141" t="s">
        <v>110</v>
      </c>
      <c r="U1141" t="s">
        <v>43</v>
      </c>
      <c r="V1141" t="s">
        <v>10122</v>
      </c>
      <c r="W1141" t="s">
        <v>10122</v>
      </c>
      <c r="Y1141" t="str">
        <f>HYPERLINK("https://recruiter.shine.com/resume/download/?resumeid=gAAAAABbk2UNTzwbHf6qoNz6Ck_wuK4jNJd7wkZJHhK3UZqqNyUMLVE_e0Y645wqykkmziBlPKoowP6QARawnHsYF4PQNgnqFfzhYAq9ue0Q5ajBOXbSwKop4ni1xEM7czAy-SzbzHhdaDnK3GhwMTH33ti5PI7ll1VenTaTbn0T0pAgTJ3HR1k=")</f>
        <v>https://recruiter.shine.com/resume/download/?resumeid=gAAAAABbk2UNTzwbHf6qoNz6Ck_wuK4jNJd7wkZJHhK3UZqqNyUMLVE_e0Y645wqykkmziBlPKoowP6QARawnHsYF4PQNgnqFfzhYAq9ue0Q5ajBOXbSwKop4ni1xEM7czAy-SzbzHhdaDnK3GhwMTH33ti5PI7ll1VenTaTbn0T0pAgTJ3HR1k=</v>
      </c>
    </row>
    <row r="1142" spans="1:25" ht="39.950000000000003" customHeight="1">
      <c r="A1142">
        <v>1138</v>
      </c>
      <c r="B1142" t="s">
        <v>10123</v>
      </c>
      <c r="C1142" t="s">
        <v>130</v>
      </c>
      <c r="D1142" t="s">
        <v>10124</v>
      </c>
      <c r="E1142" t="s">
        <v>10125</v>
      </c>
      <c r="F1142" t="s">
        <v>29</v>
      </c>
      <c r="G1142" t="s">
        <v>29</v>
      </c>
      <c r="H1142" t="s">
        <v>234</v>
      </c>
      <c r="I1142" t="s">
        <v>7471</v>
      </c>
      <c r="J1142" t="s">
        <v>423</v>
      </c>
      <c r="K1142" t="s">
        <v>10126</v>
      </c>
      <c r="L1142" t="s">
        <v>5208</v>
      </c>
      <c r="M1142" t="s">
        <v>138</v>
      </c>
      <c r="N1142" t="s">
        <v>10127</v>
      </c>
      <c r="O1142" t="s">
        <v>224</v>
      </c>
      <c r="P1142" t="s">
        <v>39</v>
      </c>
      <c r="Q1142" t="s">
        <v>40</v>
      </c>
      <c r="R1142" t="s">
        <v>760</v>
      </c>
      <c r="S1142" t="s">
        <v>188</v>
      </c>
      <c r="T1142" t="s">
        <v>227</v>
      </c>
      <c r="U1142" t="s">
        <v>43</v>
      </c>
      <c r="V1142" t="s">
        <v>10128</v>
      </c>
      <c r="W1142" t="s">
        <v>10129</v>
      </c>
      <c r="Y1142" t="str">
        <f>HYPERLINK("https://recruiter.shine.com/resume/download/?resumeid=gAAAAABbk2UKsbJhMq1ASKEs5JdqazNL5UGAcykyQQ682tm61UFys27SwbmI6bsXzw1HRrWoGvXjGEkPdIkcge3a2GRWiwDAyPm3tKZgfAyifXhASUAyVgjT0SclQfY95CeWVYxwyk0qOEmPeYB9CXRxge_5yOtrZfCC5PS769IKyEzwTG26tzM=")</f>
        <v>https://recruiter.shine.com/resume/download/?resumeid=gAAAAABbk2UKsbJhMq1ASKEs5JdqazNL5UGAcykyQQ682tm61UFys27SwbmI6bsXzw1HRrWoGvXjGEkPdIkcge3a2GRWiwDAyPm3tKZgfAyifXhASUAyVgjT0SclQfY95CeWVYxwyk0qOEmPeYB9CXRxge_5yOtrZfCC5PS769IKyEzwTG26tzM=</v>
      </c>
    </row>
    <row r="1143" spans="1:25" ht="39.950000000000003" customHeight="1">
      <c r="A1143">
        <v>1139</v>
      </c>
      <c r="B1143" t="s">
        <v>10130</v>
      </c>
      <c r="D1143" t="s">
        <v>10131</v>
      </c>
      <c r="E1143" t="s">
        <v>10132</v>
      </c>
      <c r="F1143" t="s">
        <v>29</v>
      </c>
      <c r="G1143" t="s">
        <v>29</v>
      </c>
      <c r="H1143" t="s">
        <v>31</v>
      </c>
      <c r="I1143" t="s">
        <v>5113</v>
      </c>
      <c r="J1143" t="s">
        <v>51</v>
      </c>
      <c r="K1143" t="s">
        <v>10133</v>
      </c>
      <c r="L1143" t="s">
        <v>596</v>
      </c>
      <c r="M1143" t="s">
        <v>884</v>
      </c>
      <c r="N1143" t="s">
        <v>10134</v>
      </c>
      <c r="O1143" t="s">
        <v>186</v>
      </c>
      <c r="Q1143" t="s">
        <v>107</v>
      </c>
      <c r="R1143" t="s">
        <v>108</v>
      </c>
      <c r="S1143" t="s">
        <v>10135</v>
      </c>
      <c r="T1143" t="s">
        <v>687</v>
      </c>
      <c r="U1143" t="s">
        <v>43</v>
      </c>
      <c r="V1143" t="s">
        <v>10136</v>
      </c>
      <c r="W1143" t="s">
        <v>10137</v>
      </c>
      <c r="Y1143" t="str">
        <f>HYPERLINK("https://recruiter.shine.com/resume/download/?resumeid=gAAAAABbk2UMddB_8n3wRnEfp4OjtBF11pTOMq2FpUjuqFRoed0gAv17heAc9LYKod09LDl9Brc0He5Il4IPu1dkylN2q7NMJW96wfim7A_tseCR29ysX5hCO3BunXveDYkjGAF4_zGdyKCvuMCxrv6FqkJotrS2lA==")</f>
        <v>https://recruiter.shine.com/resume/download/?resumeid=gAAAAABbk2UMddB_8n3wRnEfp4OjtBF11pTOMq2FpUjuqFRoed0gAv17heAc9LYKod09LDl9Brc0He5Il4IPu1dkylN2q7NMJW96wfim7A_tseCR29ysX5hCO3BunXveDYkjGAF4_zGdyKCvuMCxrv6FqkJotrS2lA==</v>
      </c>
    </row>
    <row r="1144" spans="1:25" ht="39.950000000000003" customHeight="1">
      <c r="A1144">
        <v>1140</v>
      </c>
      <c r="B1144" t="s">
        <v>10138</v>
      </c>
      <c r="C1144" t="s">
        <v>10139</v>
      </c>
      <c r="D1144" t="s">
        <v>10140</v>
      </c>
      <c r="E1144" t="s">
        <v>10141</v>
      </c>
      <c r="F1144" t="s">
        <v>29</v>
      </c>
      <c r="G1144" t="s">
        <v>3653</v>
      </c>
      <c r="H1144" t="s">
        <v>31</v>
      </c>
      <c r="I1144" t="s">
        <v>633</v>
      </c>
      <c r="J1144" t="s">
        <v>2633</v>
      </c>
      <c r="K1144" t="s">
        <v>10142</v>
      </c>
      <c r="L1144" t="s">
        <v>253</v>
      </c>
      <c r="M1144" t="s">
        <v>1039</v>
      </c>
      <c r="N1144" t="s">
        <v>10143</v>
      </c>
      <c r="O1144" t="s">
        <v>186</v>
      </c>
      <c r="P1144" t="s">
        <v>57</v>
      </c>
      <c r="Q1144" t="s">
        <v>240</v>
      </c>
      <c r="R1144" t="s">
        <v>241</v>
      </c>
      <c r="S1144" t="s">
        <v>1796</v>
      </c>
      <c r="T1144" t="s">
        <v>257</v>
      </c>
      <c r="U1144" t="s">
        <v>43</v>
      </c>
      <c r="V1144" t="s">
        <v>10144</v>
      </c>
      <c r="W1144" t="s">
        <v>10144</v>
      </c>
      <c r="Y1144" t="str">
        <f>HYPERLINK("https://recruiter.shine.com/resume/download/?resumeid=gAAAAABbk2UOTQq--ikPa360zqmMOBLCwEBf5oSVngodnZ6phHUOzxltqpd6vkm3ZTOIA8rYVPIjIx8ffNbBfaVGYV9Q_Dl0GT_sTOK880KorNNxxaPGOu_6Lnfts4_GIuxE8vQTIpU6sIxVIt_TYt1MczbUZJIoMg==")</f>
        <v>https://recruiter.shine.com/resume/download/?resumeid=gAAAAABbk2UOTQq--ikPa360zqmMOBLCwEBf5oSVngodnZ6phHUOzxltqpd6vkm3ZTOIA8rYVPIjIx8ffNbBfaVGYV9Q_Dl0GT_sTOK880KorNNxxaPGOu_6Lnfts4_GIuxE8vQTIpU6sIxVIt_TYt1MczbUZJIoMg==</v>
      </c>
    </row>
    <row r="1145" spans="1:25" ht="39.950000000000003" customHeight="1">
      <c r="A1145">
        <v>1141</v>
      </c>
      <c r="B1145" t="s">
        <v>10145</v>
      </c>
      <c r="C1145" t="s">
        <v>10146</v>
      </c>
      <c r="D1145" t="s">
        <v>10147</v>
      </c>
      <c r="E1145" t="s">
        <v>10148</v>
      </c>
      <c r="F1145" t="s">
        <v>29</v>
      </c>
      <c r="G1145" t="s">
        <v>29</v>
      </c>
      <c r="H1145" t="s">
        <v>234</v>
      </c>
      <c r="I1145" t="s">
        <v>68</v>
      </c>
      <c r="J1145" t="s">
        <v>1513</v>
      </c>
      <c r="K1145" t="s">
        <v>7637</v>
      </c>
      <c r="L1145" t="s">
        <v>486</v>
      </c>
      <c r="M1145" t="s">
        <v>473</v>
      </c>
      <c r="N1145" t="s">
        <v>5741</v>
      </c>
      <c r="O1145" t="s">
        <v>224</v>
      </c>
      <c r="P1145" t="s">
        <v>73</v>
      </c>
      <c r="Q1145" t="s">
        <v>187</v>
      </c>
      <c r="R1145" t="s">
        <v>124</v>
      </c>
      <c r="S1145" t="s">
        <v>10149</v>
      </c>
      <c r="U1145" t="s">
        <v>94</v>
      </c>
      <c r="V1145" t="s">
        <v>10150</v>
      </c>
      <c r="W1145" t="s">
        <v>10151</v>
      </c>
      <c r="Y1145" t="str">
        <f>HYPERLINK("https://recruiter.shine.com/resume/download/?resumeid=gAAAAABbk2UKel4JrNGW571BZ-5mIBUDn5ekfs46OZ8yau2EhvR20AqUixOwn_wtF2evg9O6T_-75R72V2R08-jBn7spxMOFJ9Wo9jTZowYU1JIL3Bw-EPUycZUNxkstaGhvRWslpIyJ")</f>
        <v>https://recruiter.shine.com/resume/download/?resumeid=gAAAAABbk2UKel4JrNGW571BZ-5mIBUDn5ekfs46OZ8yau2EhvR20AqUixOwn_wtF2evg9O6T_-75R72V2R08-jBn7spxMOFJ9Wo9jTZowYU1JIL3Bw-EPUycZUNxkstaGhvRWslpIyJ</v>
      </c>
    </row>
    <row r="1146" spans="1:25" ht="39.950000000000003" customHeight="1">
      <c r="A1146">
        <v>1142</v>
      </c>
      <c r="B1146" t="s">
        <v>10152</v>
      </c>
      <c r="C1146" t="s">
        <v>10153</v>
      </c>
      <c r="D1146" t="s">
        <v>10154</v>
      </c>
      <c r="E1146" t="s">
        <v>10155</v>
      </c>
      <c r="F1146" t="s">
        <v>29</v>
      </c>
      <c r="G1146" t="s">
        <v>29</v>
      </c>
      <c r="H1146" t="s">
        <v>31</v>
      </c>
      <c r="I1146" t="s">
        <v>4310</v>
      </c>
      <c r="J1146" t="s">
        <v>10156</v>
      </c>
      <c r="K1146" t="s">
        <v>2825</v>
      </c>
      <c r="L1146" t="s">
        <v>266</v>
      </c>
      <c r="M1146" t="s">
        <v>684</v>
      </c>
      <c r="N1146" t="s">
        <v>10157</v>
      </c>
      <c r="O1146" t="s">
        <v>804</v>
      </c>
      <c r="P1146" t="s">
        <v>57</v>
      </c>
      <c r="Q1146" t="s">
        <v>107</v>
      </c>
      <c r="R1146" t="s">
        <v>341</v>
      </c>
      <c r="S1146" t="s">
        <v>10158</v>
      </c>
      <c r="T1146" t="s">
        <v>1137</v>
      </c>
      <c r="U1146" t="s">
        <v>43</v>
      </c>
      <c r="V1146" t="s">
        <v>10159</v>
      </c>
      <c r="W1146" t="s">
        <v>10160</v>
      </c>
      <c r="Y1146" t="str">
        <f>HYPERLINK("https://recruiter.shine.com/resume/download/?resumeid=gAAAAABbk2UM2kOxbsFSHQYZW--CEe3UGkt-4gNVYWHkfi3zCxIlub42mqpzTX_cXjwgWfSivIvmmsdV9u5Di2j0EYlcGhh1LrtMHyNwq5TDi4X4mF4Ra3yAXQQbSz3hqrRl2OSWBiBkP8zZsnGV4ovMKyszas0JclOt_MCtBq2daxkUfn2q8-o=")</f>
        <v>https://recruiter.shine.com/resume/download/?resumeid=gAAAAABbk2UM2kOxbsFSHQYZW--CEe3UGkt-4gNVYWHkfi3zCxIlub42mqpzTX_cXjwgWfSivIvmmsdV9u5Di2j0EYlcGhh1LrtMHyNwq5TDi4X4mF4Ra3yAXQQbSz3hqrRl2OSWBiBkP8zZsnGV4ovMKyszas0JclOt_MCtBq2daxkUfn2q8-o=</v>
      </c>
    </row>
    <row r="1147" spans="1:25" ht="39.950000000000003" customHeight="1">
      <c r="A1147">
        <v>1143</v>
      </c>
      <c r="B1147" t="s">
        <v>10161</v>
      </c>
      <c r="D1147" t="s">
        <v>10162</v>
      </c>
      <c r="E1147" t="s">
        <v>10163</v>
      </c>
      <c r="F1147" t="s">
        <v>29</v>
      </c>
      <c r="G1147" t="s">
        <v>10164</v>
      </c>
      <c r="H1147" t="s">
        <v>31</v>
      </c>
      <c r="I1147" t="s">
        <v>4677</v>
      </c>
      <c r="J1147" t="s">
        <v>251</v>
      </c>
      <c r="K1147" t="s">
        <v>10165</v>
      </c>
      <c r="L1147" t="s">
        <v>794</v>
      </c>
      <c r="M1147" t="s">
        <v>684</v>
      </c>
      <c r="N1147" t="s">
        <v>10166</v>
      </c>
      <c r="O1147" t="s">
        <v>1041</v>
      </c>
      <c r="Q1147" t="s">
        <v>40</v>
      </c>
      <c r="R1147" t="s">
        <v>5585</v>
      </c>
      <c r="S1147" t="s">
        <v>10167</v>
      </c>
      <c r="T1147" t="s">
        <v>110</v>
      </c>
      <c r="U1147" t="s">
        <v>94</v>
      </c>
      <c r="V1147" t="s">
        <v>10168</v>
      </c>
      <c r="W1147" t="s">
        <v>10169</v>
      </c>
      <c r="Y1147" t="str">
        <f>HYPERLINK("https://recruiter.shine.com/resume/download/?resumeid=gAAAAABbk2UObyVOmyIONPpMAn6Vj7Meu3IhCpK89UQePAC5Hoj0QKz6FbWJFD3ZNST6173TQgQZlXEejn_olUtRAh7POuAtRH6IVMayFXaV2wIVs-Moeo6UVNjpUAJSU8a0WxvcZlUBPFJmll8A1HKHEQ47XCubulDMzxxoOIqz437mgr9vOnY=")</f>
        <v>https://recruiter.shine.com/resume/download/?resumeid=gAAAAABbk2UObyVOmyIONPpMAn6Vj7Meu3IhCpK89UQePAC5Hoj0QKz6FbWJFD3ZNST6173TQgQZlXEejn_olUtRAh7POuAtRH6IVMayFXaV2wIVs-Moeo6UVNjpUAJSU8a0WxvcZlUBPFJmll8A1HKHEQ47XCubulDMzxxoOIqz437mgr9vOnY=</v>
      </c>
    </row>
    <row r="1148" spans="1:25" ht="39.950000000000003" customHeight="1">
      <c r="A1148">
        <v>1144</v>
      </c>
      <c r="B1148" t="s">
        <v>10170</v>
      </c>
      <c r="D1148" t="s">
        <v>10171</v>
      </c>
      <c r="E1148" t="s">
        <v>10172</v>
      </c>
      <c r="F1148" t="s">
        <v>29</v>
      </c>
      <c r="G1148" t="s">
        <v>29</v>
      </c>
      <c r="H1148" t="s">
        <v>31</v>
      </c>
      <c r="I1148" t="s">
        <v>10173</v>
      </c>
      <c r="J1148" t="s">
        <v>312</v>
      </c>
      <c r="K1148" t="s">
        <v>1910</v>
      </c>
      <c r="L1148" t="s">
        <v>2534</v>
      </c>
      <c r="M1148" t="s">
        <v>463</v>
      </c>
      <c r="N1148" t="s">
        <v>10174</v>
      </c>
      <c r="O1148" t="s">
        <v>1041</v>
      </c>
      <c r="P1148" t="s">
        <v>201</v>
      </c>
      <c r="Q1148" t="s">
        <v>699</v>
      </c>
      <c r="R1148" t="s">
        <v>3121</v>
      </c>
      <c r="S1148" t="s">
        <v>188</v>
      </c>
      <c r="T1148" t="s">
        <v>3054</v>
      </c>
      <c r="U1148" t="s">
        <v>43</v>
      </c>
      <c r="V1148" t="s">
        <v>10175</v>
      </c>
      <c r="W1148" t="s">
        <v>10176</v>
      </c>
      <c r="Y1148" t="str">
        <f>HYPERLINK("https://recruiter.shine.com/resume/download/?resumeid=gAAAAABbk2ULC75EhTOPiwCeuFJr40nYNlajP44HoYc-fJ_rzWalXb66mx07owLyLG5vS5YvN45Cwy_-HKNVWL5bsP-lK-0BlEiDw5Gk2AvLwNuI-1xJkjZCAMRRBG7lHB1nrzdaD7ye_du_NcDyopzdgksRhcTwsjmxDXw5nti3kkP5PK_9jcg=")</f>
        <v>https://recruiter.shine.com/resume/download/?resumeid=gAAAAABbk2ULC75EhTOPiwCeuFJr40nYNlajP44HoYc-fJ_rzWalXb66mx07owLyLG5vS5YvN45Cwy_-HKNVWL5bsP-lK-0BlEiDw5Gk2AvLwNuI-1xJkjZCAMRRBG7lHB1nrzdaD7ye_du_NcDyopzdgksRhcTwsjmxDXw5nti3kkP5PK_9jcg=</v>
      </c>
    </row>
    <row r="1149" spans="1:25" ht="39.950000000000003" customHeight="1">
      <c r="A1149">
        <v>1145</v>
      </c>
      <c r="B1149" t="s">
        <v>10177</v>
      </c>
      <c r="C1149" t="s">
        <v>10178</v>
      </c>
      <c r="D1149" t="s">
        <v>10179</v>
      </c>
      <c r="E1149" t="s">
        <v>10180</v>
      </c>
      <c r="F1149" t="s">
        <v>29</v>
      </c>
      <c r="G1149" t="s">
        <v>29</v>
      </c>
      <c r="H1149" t="s">
        <v>234</v>
      </c>
      <c r="I1149" t="s">
        <v>3365</v>
      </c>
      <c r="J1149" t="s">
        <v>1081</v>
      </c>
      <c r="K1149" t="s">
        <v>10181</v>
      </c>
      <c r="L1149" t="s">
        <v>290</v>
      </c>
      <c r="M1149" t="s">
        <v>238</v>
      </c>
      <c r="N1149" t="s">
        <v>10182</v>
      </c>
      <c r="O1149" t="s">
        <v>186</v>
      </c>
      <c r="P1149" t="s">
        <v>140</v>
      </c>
      <c r="Q1149" t="s">
        <v>90</v>
      </c>
      <c r="R1149" t="s">
        <v>292</v>
      </c>
      <c r="S1149" t="s">
        <v>10183</v>
      </c>
      <c r="T1149" t="s">
        <v>161</v>
      </c>
      <c r="U1149" t="s">
        <v>43</v>
      </c>
      <c r="V1149" t="s">
        <v>10184</v>
      </c>
      <c r="W1149" t="s">
        <v>10185</v>
      </c>
      <c r="Y1149" t="str">
        <f>HYPERLINK("https://recruiter.shine.com/resume/download/?resumeid=gAAAAABbk2UMQXpqO6AW3YAVM-5mflu-nMYaGmoOhhsLqTSwJp8WpcNvCke6R8rphBRaEX4Ow2uA2rvmG6KVxfRkDCgmhrwTIcHch0_Au_p63MmV36XYf4a4E0mukURMwLrkIsqv7vdcRgH4RzXU1XUYt4G4V3ZJMYShMlDdiVhYn2GJLXaKlXQ=")</f>
        <v>https://recruiter.shine.com/resume/download/?resumeid=gAAAAABbk2UMQXpqO6AW3YAVM-5mflu-nMYaGmoOhhsLqTSwJp8WpcNvCke6R8rphBRaEX4Ow2uA2rvmG6KVxfRkDCgmhrwTIcHch0_Au_p63MmV36XYf4a4E0mukURMwLrkIsqv7vdcRgH4RzXU1XUYt4G4V3ZJMYShMlDdiVhYn2GJLXaKlXQ=</v>
      </c>
    </row>
    <row r="1150" spans="1:25" ht="39.950000000000003" customHeight="1">
      <c r="A1150">
        <v>1146</v>
      </c>
      <c r="B1150" t="s">
        <v>10186</v>
      </c>
      <c r="C1150" t="s">
        <v>10187</v>
      </c>
      <c r="D1150" t="s">
        <v>10188</v>
      </c>
      <c r="E1150" t="s">
        <v>10189</v>
      </c>
      <c r="F1150" t="s">
        <v>29</v>
      </c>
      <c r="G1150" t="s">
        <v>10190</v>
      </c>
      <c r="H1150" t="s">
        <v>234</v>
      </c>
      <c r="I1150" t="s">
        <v>362</v>
      </c>
      <c r="J1150" t="s">
        <v>135</v>
      </c>
      <c r="L1150" t="s">
        <v>363</v>
      </c>
      <c r="M1150" t="s">
        <v>364</v>
      </c>
      <c r="Q1150" t="s">
        <v>90</v>
      </c>
      <c r="R1150" t="s">
        <v>91</v>
      </c>
      <c r="S1150" t="s">
        <v>10191</v>
      </c>
      <c r="T1150" t="s">
        <v>257</v>
      </c>
      <c r="U1150" t="s">
        <v>43</v>
      </c>
      <c r="V1150" t="s">
        <v>10192</v>
      </c>
      <c r="W1150" t="s">
        <v>10192</v>
      </c>
      <c r="Y1150" t="str">
        <f>HYPERLINK("https://recruiter.shine.com/resume/download/?resumeid=gAAAAABbk2UNtY9YisuJr7o_nMW0WJ17FoEM7lT_NfPHZQHcWEqWnQuwUjEDDTwtMwnHXlKNcSNwMLb8hPK54yiWf_DegfNyNvRJU1Tm8JTvxtHWV8oWKGXcDT_1No-i_aU7QW_saNNNKBfC5O4AAOcxyT38mo86OA==")</f>
        <v>https://recruiter.shine.com/resume/download/?resumeid=gAAAAABbk2UNtY9YisuJr7o_nMW0WJ17FoEM7lT_NfPHZQHcWEqWnQuwUjEDDTwtMwnHXlKNcSNwMLb8hPK54yiWf_DegfNyNvRJU1Tm8JTvxtHWV8oWKGXcDT_1No-i_aU7QW_saNNNKBfC5O4AAOcxyT38mo86OA==</v>
      </c>
    </row>
    <row r="1151" spans="1:25" ht="39.950000000000003" customHeight="1">
      <c r="A1151">
        <v>1147</v>
      </c>
      <c r="B1151" t="s">
        <v>10193</v>
      </c>
      <c r="D1151" t="s">
        <v>10194</v>
      </c>
      <c r="E1151" t="s">
        <v>10195</v>
      </c>
      <c r="F1151" t="s">
        <v>29</v>
      </c>
      <c r="G1151" t="s">
        <v>29</v>
      </c>
      <c r="H1151" t="s">
        <v>234</v>
      </c>
      <c r="I1151" t="s">
        <v>543</v>
      </c>
      <c r="J1151" t="s">
        <v>801</v>
      </c>
      <c r="K1151" t="s">
        <v>10196</v>
      </c>
      <c r="L1151" t="s">
        <v>266</v>
      </c>
      <c r="M1151" t="s">
        <v>105</v>
      </c>
      <c r="N1151" t="s">
        <v>10197</v>
      </c>
      <c r="O1151" t="s">
        <v>157</v>
      </c>
      <c r="P1151" t="s">
        <v>57</v>
      </c>
      <c r="Q1151" t="s">
        <v>107</v>
      </c>
      <c r="R1151" t="s">
        <v>864</v>
      </c>
      <c r="S1151" t="s">
        <v>10198</v>
      </c>
      <c r="U1151" t="s">
        <v>43</v>
      </c>
      <c r="V1151" t="s">
        <v>10199</v>
      </c>
      <c r="W1151" t="s">
        <v>10200</v>
      </c>
      <c r="Y1151" t="str">
        <f>HYPERLINK("https://recruiter.shine.com/resume/download/?resumeid=gAAAAABbk2ULNo7ANkMaX8T4f4RLJn8gbo_IQIT86JIfn4um5ZpxRo1iP_0O5le1yeeNj2a9CyD0X19soER_DdFh5WSyJ-kpB0NVKcUIp1CmX86lkiPGKr45voAyOYA4qvCih8FpyfS2I-GHkBmK0b3Quwcftor-Bw==")</f>
        <v>https://recruiter.shine.com/resume/download/?resumeid=gAAAAABbk2ULNo7ANkMaX8T4f4RLJn8gbo_IQIT86JIfn4um5ZpxRo1iP_0O5le1yeeNj2a9CyD0X19soER_DdFh5WSyJ-kpB0NVKcUIp1CmX86lkiPGKr45voAyOYA4qvCih8FpyfS2I-GHkBmK0b3Quwcftor-Bw==</v>
      </c>
    </row>
    <row r="1152" spans="1:25" ht="39.950000000000003" customHeight="1">
      <c r="A1152">
        <v>1148</v>
      </c>
      <c r="B1152" t="s">
        <v>10201</v>
      </c>
      <c r="C1152" t="s">
        <v>10202</v>
      </c>
      <c r="D1152" t="s">
        <v>10203</v>
      </c>
      <c r="E1152" t="s">
        <v>10204</v>
      </c>
      <c r="F1152" t="s">
        <v>29</v>
      </c>
      <c r="G1152" t="s">
        <v>29</v>
      </c>
      <c r="H1152" t="s">
        <v>31</v>
      </c>
      <c r="I1152" t="s">
        <v>1265</v>
      </c>
      <c r="J1152" t="s">
        <v>1464</v>
      </c>
      <c r="K1152" t="s">
        <v>10205</v>
      </c>
      <c r="L1152" t="s">
        <v>1524</v>
      </c>
      <c r="M1152" t="s">
        <v>339</v>
      </c>
      <c r="N1152" t="s">
        <v>10206</v>
      </c>
      <c r="O1152" t="s">
        <v>397</v>
      </c>
      <c r="Q1152" t="s">
        <v>158</v>
      </c>
      <c r="R1152" t="s">
        <v>476</v>
      </c>
      <c r="S1152" t="s">
        <v>10207</v>
      </c>
      <c r="T1152" t="s">
        <v>761</v>
      </c>
      <c r="U1152" t="s">
        <v>43</v>
      </c>
      <c r="V1152" t="s">
        <v>10208</v>
      </c>
      <c r="W1152" t="s">
        <v>10209</v>
      </c>
      <c r="Y1152" t="str">
        <f>HYPERLINK("https://recruiter.shine.com/resume/download/?resumeid=gAAAAABbk2UMtARXVb9-hK-MlLNVVn6WNEk2bymS9zp22roevcEeXNppAXM_1-jmafCo-iW6UQyt9-cgw5dk93EfKVfly7cMvN6Ogx2LWaR-fHRPDxHBlB0J2uE4CdjE_DKFZuQUwv39z-BI8ifJARjsZTjZN0Gea3xd6Vefp1uKDygrCcFI_Lo=")</f>
        <v>https://recruiter.shine.com/resume/download/?resumeid=gAAAAABbk2UMtARXVb9-hK-MlLNVVn6WNEk2bymS9zp22roevcEeXNppAXM_1-jmafCo-iW6UQyt9-cgw5dk93EfKVfly7cMvN6Ogx2LWaR-fHRPDxHBlB0J2uE4CdjE_DKFZuQUwv39z-BI8ifJARjsZTjZN0Gea3xd6Vefp1uKDygrCcFI_Lo=</v>
      </c>
    </row>
    <row r="1153" spans="1:25" ht="39.950000000000003" customHeight="1">
      <c r="A1153">
        <v>1149</v>
      </c>
      <c r="B1153" t="s">
        <v>10210</v>
      </c>
      <c r="D1153" t="s">
        <v>10211</v>
      </c>
      <c r="E1153" t="s">
        <v>10212</v>
      </c>
      <c r="F1153" t="s">
        <v>29</v>
      </c>
      <c r="G1153" t="s">
        <v>67</v>
      </c>
      <c r="H1153" t="s">
        <v>234</v>
      </c>
      <c r="I1153" t="s">
        <v>860</v>
      </c>
      <c r="J1153" t="s">
        <v>153</v>
      </c>
      <c r="K1153" t="s">
        <v>10213</v>
      </c>
      <c r="L1153" t="s">
        <v>794</v>
      </c>
      <c r="M1153" t="s">
        <v>684</v>
      </c>
      <c r="N1153" t="s">
        <v>10214</v>
      </c>
      <c r="O1153" t="s">
        <v>157</v>
      </c>
      <c r="Q1153" t="s">
        <v>107</v>
      </c>
      <c r="R1153" t="s">
        <v>341</v>
      </c>
      <c r="S1153" t="s">
        <v>202</v>
      </c>
      <c r="T1153" t="s">
        <v>304</v>
      </c>
      <c r="U1153" t="s">
        <v>43</v>
      </c>
      <c r="V1153" t="s">
        <v>10215</v>
      </c>
      <c r="W1153" t="s">
        <v>10216</v>
      </c>
      <c r="Y1153" t="str">
        <f>HYPERLINK("https://recruiter.shine.com/resume/download/?resumeid=gAAAAABbk2UO4WfABg4rQfVJPxas9ikWxq4Y4ji_MXHyeilKz2dMy0isNJm7QNirF45DaTyMZtMh9ds8FmUhDfpEDevkl1pc4gW06aX8jo8IwQaAQZyiqTCdqhDSiivMpxGTbSRsMc4cAqWjo5HVS_w5aPwPF9385ZiGyUIyfgHg3vI4aFGBaUk=")</f>
        <v>https://recruiter.shine.com/resume/download/?resumeid=gAAAAABbk2UO4WfABg4rQfVJPxas9ikWxq4Y4ji_MXHyeilKz2dMy0isNJm7QNirF45DaTyMZtMh9ds8FmUhDfpEDevkl1pc4gW06aX8jo8IwQaAQZyiqTCdqhDSiivMpxGTbSRsMc4cAqWjo5HVS_w5aPwPF9385ZiGyUIyfgHg3vI4aFGBaUk=</v>
      </c>
    </row>
    <row r="1154" spans="1:25" ht="39.950000000000003" customHeight="1">
      <c r="A1154">
        <v>1150</v>
      </c>
      <c r="B1154" t="s">
        <v>10217</v>
      </c>
      <c r="C1154" t="s">
        <v>10218</v>
      </c>
      <c r="D1154" t="s">
        <v>10219</v>
      </c>
      <c r="E1154" t="s">
        <v>10220</v>
      </c>
      <c r="F1154" t="s">
        <v>29</v>
      </c>
      <c r="G1154" t="s">
        <v>29</v>
      </c>
      <c r="H1154" t="s">
        <v>31</v>
      </c>
      <c r="I1154" t="s">
        <v>483</v>
      </c>
      <c r="J1154" t="s">
        <v>135</v>
      </c>
      <c r="K1154" t="s">
        <v>10221</v>
      </c>
      <c r="L1154" t="s">
        <v>1390</v>
      </c>
      <c r="M1154" t="s">
        <v>1083</v>
      </c>
      <c r="N1154" t="s">
        <v>10222</v>
      </c>
      <c r="O1154" t="s">
        <v>157</v>
      </c>
      <c r="P1154" t="s">
        <v>57</v>
      </c>
      <c r="Q1154" t="s">
        <v>107</v>
      </c>
      <c r="R1154" t="s">
        <v>559</v>
      </c>
      <c r="S1154" t="s">
        <v>10223</v>
      </c>
      <c r="T1154" t="s">
        <v>625</v>
      </c>
      <c r="U1154" t="s">
        <v>127</v>
      </c>
      <c r="V1154" t="s">
        <v>10224</v>
      </c>
      <c r="W1154" t="s">
        <v>10224</v>
      </c>
      <c r="Y1154" t="str">
        <f>HYPERLINK("https://recruiter.shine.com/resume/download/?resumeid=gAAAAABbk2ULh857oRMZwvh9CAgsv3ELOlARDyvEDfbWAWnx2dL5hn4SjFmQ-iFSGKebyrZ-inP_Entxadbo5fIXRnfJr4Dqe3M73hwmXePGJC_BMeDcSceQH9Y3lk9HwK6i0qQeTFl1-04WFxlZwcG5NpVZc93vyWmps0SmBlq1zH66zmRrRHY=")</f>
        <v>https://recruiter.shine.com/resume/download/?resumeid=gAAAAABbk2ULh857oRMZwvh9CAgsv3ELOlARDyvEDfbWAWnx2dL5hn4SjFmQ-iFSGKebyrZ-inP_Entxadbo5fIXRnfJr4Dqe3M73hwmXePGJC_BMeDcSceQH9Y3lk9HwK6i0qQeTFl1-04WFxlZwcG5NpVZc93vyWmps0SmBlq1zH66zmRrRHY=</v>
      </c>
    </row>
    <row r="1155" spans="1:25" ht="39.950000000000003" customHeight="1">
      <c r="A1155">
        <v>1151</v>
      </c>
      <c r="B1155" t="s">
        <v>10225</v>
      </c>
      <c r="C1155" t="s">
        <v>10226</v>
      </c>
      <c r="D1155" t="s">
        <v>10227</v>
      </c>
      <c r="E1155" t="s">
        <v>10228</v>
      </c>
      <c r="F1155" t="s">
        <v>29</v>
      </c>
      <c r="G1155" t="s">
        <v>29</v>
      </c>
      <c r="H1155" t="s">
        <v>31</v>
      </c>
      <c r="I1155" t="s">
        <v>2354</v>
      </c>
      <c r="J1155" t="s">
        <v>423</v>
      </c>
      <c r="K1155" t="s">
        <v>10229</v>
      </c>
      <c r="L1155" t="s">
        <v>120</v>
      </c>
      <c r="M1155" t="s">
        <v>938</v>
      </c>
      <c r="N1155" t="s">
        <v>10230</v>
      </c>
      <c r="O1155" t="s">
        <v>38</v>
      </c>
      <c r="P1155" t="s">
        <v>201</v>
      </c>
      <c r="Q1155" t="s">
        <v>123</v>
      </c>
      <c r="R1155" t="s">
        <v>124</v>
      </c>
      <c r="S1155" t="s">
        <v>10231</v>
      </c>
      <c r="T1155" t="s">
        <v>2554</v>
      </c>
      <c r="U1155" t="s">
        <v>43</v>
      </c>
      <c r="V1155" t="s">
        <v>10232</v>
      </c>
      <c r="W1155" t="s">
        <v>10233</v>
      </c>
      <c r="Y1155" t="str">
        <f>HYPERLINK("https://recruiter.shine.com/resume/download/?resumeid=gAAAAABbk2UM9QdSB83E3gXEFrnqh2E9Tmr2lcrSOGWW48GgTLLFoLbSkeoYcZl_7KnbS4_cun_fpLLbqLxlkubwZ2EeMBKQPdoxCaGwPy4Enb_S4W8BLNE8t43GU4uIsQXaLQj6xLW2cDt5Qq_JhKeG6Vkn9HbQIA==")</f>
        <v>https://recruiter.shine.com/resume/download/?resumeid=gAAAAABbk2UM9QdSB83E3gXEFrnqh2E9Tmr2lcrSOGWW48GgTLLFoLbSkeoYcZl_7KnbS4_cun_fpLLbqLxlkubwZ2EeMBKQPdoxCaGwPy4Enb_S4W8BLNE8t43GU4uIsQXaLQj6xLW2cDt5Qq_JhKeG6Vkn9HbQIA==</v>
      </c>
    </row>
    <row r="1156" spans="1:25" ht="39.950000000000003" customHeight="1">
      <c r="A1156">
        <v>1152</v>
      </c>
      <c r="B1156" t="s">
        <v>10234</v>
      </c>
      <c r="D1156" t="s">
        <v>10235</v>
      </c>
      <c r="E1156" t="s">
        <v>10236</v>
      </c>
      <c r="F1156" t="s">
        <v>29</v>
      </c>
      <c r="H1156" t="s">
        <v>31</v>
      </c>
      <c r="I1156" t="s">
        <v>32</v>
      </c>
      <c r="J1156" t="s">
        <v>935</v>
      </c>
      <c r="K1156" t="s">
        <v>10237</v>
      </c>
      <c r="L1156" t="s">
        <v>937</v>
      </c>
      <c r="M1156" t="s">
        <v>2718</v>
      </c>
      <c r="N1156" t="s">
        <v>10238</v>
      </c>
      <c r="O1156" t="s">
        <v>848</v>
      </c>
      <c r="P1156" t="s">
        <v>940</v>
      </c>
      <c r="Q1156" t="s">
        <v>123</v>
      </c>
      <c r="R1156" t="s">
        <v>124</v>
      </c>
      <c r="S1156" t="s">
        <v>10239</v>
      </c>
      <c r="T1156" t="s">
        <v>1861</v>
      </c>
      <c r="U1156" t="s">
        <v>127</v>
      </c>
      <c r="V1156" t="s">
        <v>10240</v>
      </c>
      <c r="W1156" t="s">
        <v>10241</v>
      </c>
      <c r="Y1156" t="str">
        <f>HYPERLINK("https://recruiter.shine.com/resume/download/?resumeid=gAAAAABbk2UO1HvGBb8GLno7YSCwpfkMn_49Y4O8mcCotrAE74eDBkkGT96BisJkzHiv-7mOlI5NSSZSbn1fojhP2mt3uACdY6kmH1vePVmEmiRIAU08vw0R0dxoIVDcJnHTgLxWcaH7R84rL-dtiaTIPArOT1EsUyj82-O3jKx1cFgk-Q75e10=")</f>
        <v>https://recruiter.shine.com/resume/download/?resumeid=gAAAAABbk2UO1HvGBb8GLno7YSCwpfkMn_49Y4O8mcCotrAE74eDBkkGT96BisJkzHiv-7mOlI5NSSZSbn1fojhP2mt3uACdY6kmH1vePVmEmiRIAU08vw0R0dxoIVDcJnHTgLxWcaH7R84rL-dtiaTIPArOT1EsUyj82-O3jKx1cFgk-Q75e10=</v>
      </c>
    </row>
    <row r="1157" spans="1:25" ht="39.950000000000003" customHeight="1">
      <c r="A1157">
        <v>1153</v>
      </c>
      <c r="B1157" t="s">
        <v>10242</v>
      </c>
      <c r="C1157" t="s">
        <v>10243</v>
      </c>
      <c r="D1157" t="s">
        <v>10244</v>
      </c>
      <c r="E1157" t="s">
        <v>10245</v>
      </c>
      <c r="F1157" t="s">
        <v>29</v>
      </c>
      <c r="G1157" t="s">
        <v>10246</v>
      </c>
      <c r="H1157" t="s">
        <v>31</v>
      </c>
      <c r="I1157" t="s">
        <v>3016</v>
      </c>
      <c r="J1157" t="s">
        <v>3214</v>
      </c>
      <c r="K1157" t="s">
        <v>10247</v>
      </c>
      <c r="L1157" t="s">
        <v>120</v>
      </c>
      <c r="M1157" t="s">
        <v>54</v>
      </c>
      <c r="N1157" t="s">
        <v>10248</v>
      </c>
      <c r="O1157" t="s">
        <v>157</v>
      </c>
      <c r="P1157" t="s">
        <v>201</v>
      </c>
      <c r="Q1157" t="s">
        <v>107</v>
      </c>
      <c r="R1157" t="s">
        <v>2346</v>
      </c>
      <c r="S1157" t="s">
        <v>10249</v>
      </c>
      <c r="T1157" t="s">
        <v>61</v>
      </c>
      <c r="U1157" t="s">
        <v>43</v>
      </c>
      <c r="V1157" t="s">
        <v>10250</v>
      </c>
      <c r="W1157" t="s">
        <v>10251</v>
      </c>
      <c r="Y1157" t="str">
        <f>HYPERLINK("https://recruiter.shine.com/resume/download/?resumeid=gAAAAABbk2ULT2WS1X7tJaAoRsCDPySnjSSNHXb8G-4fQP4SznXMVHMysyZRruqqsKiklfh8gRiXN7UDikoZo41i6_UaG_Qd47-z3UEcpOfbfq12Aq1MqvnSJvBMpXYvRGFMLgxchlK2uqqXzQJW4yaNUObPMFN7gQ==")</f>
        <v>https://recruiter.shine.com/resume/download/?resumeid=gAAAAABbk2ULT2WS1X7tJaAoRsCDPySnjSSNHXb8G-4fQP4SznXMVHMysyZRruqqsKiklfh8gRiXN7UDikoZo41i6_UaG_Qd47-z3UEcpOfbfq12Aq1MqvnSJvBMpXYvRGFMLgxchlK2uqqXzQJW4yaNUObPMFN7gQ==</v>
      </c>
    </row>
    <row r="1158" spans="1:25" ht="39.950000000000003" customHeight="1">
      <c r="A1158">
        <v>1154</v>
      </c>
      <c r="B1158" t="s">
        <v>10252</v>
      </c>
      <c r="C1158" t="s">
        <v>10253</v>
      </c>
      <c r="D1158" t="s">
        <v>10254</v>
      </c>
      <c r="E1158" t="s">
        <v>10255</v>
      </c>
      <c r="F1158" t="s">
        <v>29</v>
      </c>
      <c r="G1158" t="s">
        <v>100</v>
      </c>
      <c r="H1158" t="s">
        <v>31</v>
      </c>
      <c r="I1158" t="s">
        <v>3745</v>
      </c>
      <c r="J1158" t="s">
        <v>10256</v>
      </c>
      <c r="K1158" t="s">
        <v>10257</v>
      </c>
      <c r="L1158" t="s">
        <v>3566</v>
      </c>
      <c r="M1158" t="s">
        <v>121</v>
      </c>
      <c r="N1158" t="s">
        <v>10258</v>
      </c>
      <c r="O1158" t="s">
        <v>475</v>
      </c>
      <c r="P1158" t="s">
        <v>940</v>
      </c>
      <c r="Q1158" t="s">
        <v>123</v>
      </c>
      <c r="R1158" t="s">
        <v>124</v>
      </c>
      <c r="S1158" t="s">
        <v>10259</v>
      </c>
      <c r="T1158" t="s">
        <v>887</v>
      </c>
      <c r="U1158" t="s">
        <v>43</v>
      </c>
      <c r="V1158" t="s">
        <v>10260</v>
      </c>
      <c r="W1158" t="s">
        <v>10260</v>
      </c>
      <c r="Y1158" t="str">
        <f>HYPERLINK("https://recruiter.shine.com/resume/download/?resumeid=gAAAAABbk2UMY3igSBjxuNOWoqn3IWzNM0hr5KQjpFZTZHlTimQc9Qwti--5J2jnJ0dA3AHv5ZO0KLeP3508_kYNLwumjW5l83nL_-R6rYM4A62V9V_t0zhniy_OJw4ALb_24Cl0u9wavihJEX419VMxlwB1Ieygmw==")</f>
        <v>https://recruiter.shine.com/resume/download/?resumeid=gAAAAABbk2UMY3igSBjxuNOWoqn3IWzNM0hr5KQjpFZTZHlTimQc9Qwti--5J2jnJ0dA3AHv5ZO0KLeP3508_kYNLwumjW5l83nL_-R6rYM4A62V9V_t0zhniy_OJw4ALb_24Cl0u9wavihJEX419VMxlwB1Ieygmw==</v>
      </c>
    </row>
    <row r="1159" spans="1:25" ht="39.950000000000003" customHeight="1">
      <c r="A1159">
        <v>1155</v>
      </c>
      <c r="B1159" t="s">
        <v>5469</v>
      </c>
      <c r="D1159" t="s">
        <v>10261</v>
      </c>
      <c r="E1159" t="s">
        <v>5471</v>
      </c>
      <c r="F1159" t="s">
        <v>858</v>
      </c>
      <c r="G1159" t="s">
        <v>10262</v>
      </c>
      <c r="H1159" t="s">
        <v>234</v>
      </c>
      <c r="I1159" t="s">
        <v>1265</v>
      </c>
      <c r="J1159" t="s">
        <v>153</v>
      </c>
      <c r="K1159" t="s">
        <v>10263</v>
      </c>
      <c r="L1159" t="s">
        <v>8050</v>
      </c>
      <c r="M1159" t="s">
        <v>684</v>
      </c>
      <c r="N1159" t="s">
        <v>10264</v>
      </c>
      <c r="O1159" t="s">
        <v>56</v>
      </c>
      <c r="Q1159" t="s">
        <v>40</v>
      </c>
      <c r="R1159" t="s">
        <v>476</v>
      </c>
      <c r="S1159" t="s">
        <v>10265</v>
      </c>
      <c r="T1159" t="s">
        <v>161</v>
      </c>
      <c r="U1159" t="s">
        <v>127</v>
      </c>
      <c r="V1159" t="s">
        <v>10266</v>
      </c>
      <c r="W1159" t="s">
        <v>10266</v>
      </c>
      <c r="Y1159" t="str">
        <f>HYPERLINK("https://recruiter.shine.com/resume/download/?resumeid=gAAAAABbk2UOZa8xofIDOtB6-hZsvyialJQA120tvRHzUgu7nRItyAhrGtGJfIAg9a-GXS3aGg4FTIa4GoTKaBYK73f50YZuubtc3LNGaGX46wi8pgC8lWnJGPtVg1_ymEIfL-DLcEKtPKnvG6cVZT4v3QaqpMU4-hyAcusdiKg3aiVphsd3d-8=")</f>
        <v>https://recruiter.shine.com/resume/download/?resumeid=gAAAAABbk2UOZa8xofIDOtB6-hZsvyialJQA120tvRHzUgu7nRItyAhrGtGJfIAg9a-GXS3aGg4FTIa4GoTKaBYK73f50YZuubtc3LNGaGX46wi8pgC8lWnJGPtVg1_ymEIfL-DLcEKtPKnvG6cVZT4v3QaqpMU4-hyAcusdiKg3aiVphsd3d-8=</v>
      </c>
    </row>
    <row r="1160" spans="1:25" ht="39.950000000000003" customHeight="1">
      <c r="A1160">
        <v>1156</v>
      </c>
      <c r="B1160" t="s">
        <v>10267</v>
      </c>
      <c r="D1160" t="s">
        <v>10268</v>
      </c>
      <c r="E1160" t="s">
        <v>10269</v>
      </c>
      <c r="F1160" t="s">
        <v>29</v>
      </c>
      <c r="G1160" t="s">
        <v>29</v>
      </c>
      <c r="H1160" t="s">
        <v>31</v>
      </c>
      <c r="I1160" t="s">
        <v>117</v>
      </c>
      <c r="J1160" t="s">
        <v>1513</v>
      </c>
      <c r="K1160" t="s">
        <v>10270</v>
      </c>
      <c r="L1160" t="s">
        <v>266</v>
      </c>
      <c r="M1160" t="s">
        <v>105</v>
      </c>
      <c r="N1160" t="s">
        <v>10271</v>
      </c>
      <c r="O1160" t="s">
        <v>475</v>
      </c>
      <c r="Q1160" t="s">
        <v>107</v>
      </c>
      <c r="R1160" t="s">
        <v>159</v>
      </c>
      <c r="S1160" t="s">
        <v>10272</v>
      </c>
      <c r="U1160" t="s">
        <v>43</v>
      </c>
      <c r="V1160" t="s">
        <v>10273</v>
      </c>
      <c r="W1160" t="s">
        <v>10274</v>
      </c>
      <c r="Y1160" t="str">
        <f>HYPERLINK("https://recruiter.shine.com/resume/download/?resumeid=gAAAAABbk2ULCzyvv5HWY9oF45C3JQgZH3WDvjcgo8ygX4NYYfqZ7tEs9oUn0cN95A0hZJm-mDzXNonVWctff6Au5fzG9sJvZPMVlb9tay_Bo3U-xJUPa4ihfgEEy3ZTRelRd7xwcrZwEDujRur9H0jYlyCZdvH23A==")</f>
        <v>https://recruiter.shine.com/resume/download/?resumeid=gAAAAABbk2ULCzyvv5HWY9oF45C3JQgZH3WDvjcgo8ygX4NYYfqZ7tEs9oUn0cN95A0hZJm-mDzXNonVWctff6Au5fzG9sJvZPMVlb9tay_Bo3U-xJUPa4ihfgEEy3ZTRelRd7xwcrZwEDujRur9H0jYlyCZdvH23A==</v>
      </c>
    </row>
    <row r="1161" spans="1:25" ht="39.950000000000003" customHeight="1">
      <c r="A1161">
        <v>1157</v>
      </c>
      <c r="B1161" t="s">
        <v>10275</v>
      </c>
      <c r="D1161" t="s">
        <v>10276</v>
      </c>
      <c r="E1161" t="s">
        <v>10277</v>
      </c>
      <c r="F1161" t="s">
        <v>858</v>
      </c>
      <c r="G1161" t="s">
        <v>2854</v>
      </c>
      <c r="H1161" t="s">
        <v>234</v>
      </c>
      <c r="I1161" t="s">
        <v>117</v>
      </c>
      <c r="J1161" t="s">
        <v>705</v>
      </c>
      <c r="K1161" t="s">
        <v>4106</v>
      </c>
      <c r="L1161" t="s">
        <v>266</v>
      </c>
      <c r="M1161" t="s">
        <v>105</v>
      </c>
      <c r="N1161" t="s">
        <v>10278</v>
      </c>
      <c r="O1161" t="s">
        <v>157</v>
      </c>
      <c r="Q1161" t="s">
        <v>107</v>
      </c>
      <c r="R1161" t="s">
        <v>159</v>
      </c>
      <c r="S1161" t="s">
        <v>2920</v>
      </c>
      <c r="T1161" t="s">
        <v>687</v>
      </c>
      <c r="U1161" t="s">
        <v>43</v>
      </c>
      <c r="V1161" t="s">
        <v>10279</v>
      </c>
      <c r="W1161" t="s">
        <v>10280</v>
      </c>
      <c r="Y1161" t="str">
        <f>HYPERLINK("https://recruiter.shine.com/resume/download/?resumeid=gAAAAABbk2UMA7ZK-xVFsxZiGcSHmHY_494DczlV4jHJmNctnoWvgyUOFWCYcn6ZOL2MK9b01JGZ8XHrQlSwtQiuDSSc72aJSRZVL9gDSNR8WIzdnSR0_WLhGpQevv76ZnRoxEgXBcgr895p16ihTOOIDjA6RFqkY41zHALELZa2-NoKLAavFkQ=")</f>
        <v>https://recruiter.shine.com/resume/download/?resumeid=gAAAAABbk2UMA7ZK-xVFsxZiGcSHmHY_494DczlV4jHJmNctnoWvgyUOFWCYcn6ZOL2MK9b01JGZ8XHrQlSwtQiuDSSc72aJSRZVL9gDSNR8WIzdnSR0_WLhGpQevv76ZnRoxEgXBcgr895p16ihTOOIDjA6RFqkY41zHALELZa2-NoKLAavFkQ=</v>
      </c>
    </row>
    <row r="1162" spans="1:25" ht="39.950000000000003" customHeight="1">
      <c r="A1162">
        <v>1158</v>
      </c>
      <c r="B1162" t="s">
        <v>10281</v>
      </c>
      <c r="D1162" t="s">
        <v>10282</v>
      </c>
      <c r="E1162" t="s">
        <v>10283</v>
      </c>
      <c r="F1162" t="s">
        <v>29</v>
      </c>
      <c r="H1162" t="s">
        <v>31</v>
      </c>
      <c r="I1162" t="s">
        <v>362</v>
      </c>
      <c r="J1162" t="s">
        <v>135</v>
      </c>
      <c r="L1162" t="s">
        <v>363</v>
      </c>
      <c r="M1162" t="s">
        <v>364</v>
      </c>
      <c r="Q1162" t="s">
        <v>365</v>
      </c>
      <c r="R1162" t="s">
        <v>124</v>
      </c>
      <c r="S1162" t="s">
        <v>10284</v>
      </c>
      <c r="T1162" t="s">
        <v>304</v>
      </c>
      <c r="U1162" t="s">
        <v>127</v>
      </c>
      <c r="V1162" t="s">
        <v>10285</v>
      </c>
      <c r="W1162" t="s">
        <v>10286</v>
      </c>
      <c r="Y1162" t="str">
        <f>HYPERLINK("https://recruiter.shine.com/resume/download/?resumeid=gAAAAABbk2UNtGbgi0gn6NAmatmA_kTXPc9y9SHwXpq1T16TDZPRkK7ZSwroRyi567QX_zCdlR5nWHzzCg8by8noQz2gay61GDk4f3n09WlMHpyx4SPQNR482bf32YELX4KoFflJM0-F_iQMRxw8tuqv0ou4EpdWWtecMHl8yEYjOUNYHym3YK8=")</f>
        <v>https://recruiter.shine.com/resume/download/?resumeid=gAAAAABbk2UNtGbgi0gn6NAmatmA_kTXPc9y9SHwXpq1T16TDZPRkK7ZSwroRyi567QX_zCdlR5nWHzzCg8by8noQz2gay61GDk4f3n09WlMHpyx4SPQNR482bf32YELX4KoFflJM0-F_iQMRxw8tuqv0ou4EpdWWtecMHl8yEYjOUNYHym3YK8=</v>
      </c>
    </row>
    <row r="1163" spans="1:25" ht="39.950000000000003" customHeight="1">
      <c r="A1163">
        <v>1159</v>
      </c>
      <c r="B1163" t="s">
        <v>10287</v>
      </c>
      <c r="C1163" t="s">
        <v>8873</v>
      </c>
      <c r="D1163" t="s">
        <v>10288</v>
      </c>
      <c r="E1163" t="s">
        <v>10289</v>
      </c>
      <c r="F1163" t="s">
        <v>29</v>
      </c>
      <c r="G1163" t="s">
        <v>10290</v>
      </c>
      <c r="H1163" t="s">
        <v>31</v>
      </c>
      <c r="I1163" t="s">
        <v>3590</v>
      </c>
      <c r="J1163" t="s">
        <v>10291</v>
      </c>
      <c r="K1163" t="s">
        <v>1910</v>
      </c>
      <c r="L1163" t="s">
        <v>664</v>
      </c>
      <c r="M1163" t="s">
        <v>238</v>
      </c>
      <c r="N1163" t="s">
        <v>1135</v>
      </c>
      <c r="O1163" t="s">
        <v>1041</v>
      </c>
      <c r="P1163" t="s">
        <v>73</v>
      </c>
      <c r="Q1163" t="s">
        <v>699</v>
      </c>
      <c r="R1163" t="s">
        <v>3121</v>
      </c>
      <c r="S1163" t="s">
        <v>10292</v>
      </c>
      <c r="T1163" t="s">
        <v>1921</v>
      </c>
      <c r="U1163" t="s">
        <v>43</v>
      </c>
      <c r="V1163" t="s">
        <v>10293</v>
      </c>
      <c r="W1163" t="s">
        <v>10294</v>
      </c>
      <c r="Y1163" t="str">
        <f>HYPERLINK("https://recruiter.shine.com/resume/download/?resumeid=gAAAAABbk2UL1Vdat9XBoojRsIslWGJ80YMZGJgd-VMRvULewyV7L5lcBE9X_5yQ3LcCqkBtI0qsAWSyeX30AkIfR7zx7-2cuYzFb_15nHPps6OeYCq966hnsdnkWIwuF1BTYKiePKoN")</f>
        <v>https://recruiter.shine.com/resume/download/?resumeid=gAAAAABbk2UL1Vdat9XBoojRsIslWGJ80YMZGJgd-VMRvULewyV7L5lcBE9X_5yQ3LcCqkBtI0qsAWSyeX30AkIfR7zx7-2cuYzFb_15nHPps6OeYCq966hnsdnkWIwuF1BTYKiePKoN</v>
      </c>
    </row>
    <row r="1164" spans="1:25" ht="39.950000000000003" customHeight="1">
      <c r="A1164">
        <v>1160</v>
      </c>
      <c r="B1164" t="s">
        <v>10295</v>
      </c>
      <c r="C1164" t="s">
        <v>10296</v>
      </c>
      <c r="D1164" t="s">
        <v>10297</v>
      </c>
      <c r="E1164" t="s">
        <v>10298</v>
      </c>
      <c r="F1164" t="s">
        <v>29</v>
      </c>
      <c r="G1164" t="s">
        <v>29</v>
      </c>
      <c r="H1164" t="s">
        <v>31</v>
      </c>
      <c r="I1164" t="s">
        <v>7795</v>
      </c>
      <c r="J1164" t="s">
        <v>506</v>
      </c>
      <c r="K1164" t="s">
        <v>10299</v>
      </c>
      <c r="L1164" t="s">
        <v>266</v>
      </c>
      <c r="M1164" t="s">
        <v>105</v>
      </c>
      <c r="N1164" t="s">
        <v>10300</v>
      </c>
      <c r="O1164" t="s">
        <v>56</v>
      </c>
      <c r="P1164" t="s">
        <v>940</v>
      </c>
      <c r="Q1164" t="s">
        <v>158</v>
      </c>
      <c r="R1164" t="s">
        <v>41</v>
      </c>
      <c r="S1164" t="s">
        <v>10301</v>
      </c>
      <c r="T1164" t="s">
        <v>144</v>
      </c>
      <c r="U1164" t="s">
        <v>94</v>
      </c>
      <c r="V1164" t="s">
        <v>10302</v>
      </c>
      <c r="W1164" t="s">
        <v>10303</v>
      </c>
      <c r="Y1164" t="str">
        <f>HYPERLINK("https://recruiter.shine.com/resume/download/?resumeid=gAAAAABbk2UMjo9L5NWne26ppI918Li8Vlij1RlgrV6uoi8uqrmuenHKp5RFx6QLC1ss6gsPWhip7hfoSCx7yajQ2xy4ijMIh9F3nyhzNdWPTWGKSqqNrvkvyanBJH0t-9IM6Ce1si5S")</f>
        <v>https://recruiter.shine.com/resume/download/?resumeid=gAAAAABbk2UMjo9L5NWne26ppI918Li8Vlij1RlgrV6uoi8uqrmuenHKp5RFx6QLC1ss6gsPWhip7hfoSCx7yajQ2xy4ijMIh9F3nyhzNdWPTWGKSqqNrvkvyanBJH0t-9IM6Ce1si5S</v>
      </c>
    </row>
    <row r="1165" spans="1:25" ht="39.950000000000003" customHeight="1">
      <c r="A1165">
        <v>1161</v>
      </c>
      <c r="B1165" t="s">
        <v>10304</v>
      </c>
      <c r="C1165" t="s">
        <v>10305</v>
      </c>
      <c r="D1165" t="s">
        <v>10306</v>
      </c>
      <c r="E1165" t="s">
        <v>10307</v>
      </c>
      <c r="F1165" t="s">
        <v>29</v>
      </c>
      <c r="G1165" t="s">
        <v>29</v>
      </c>
      <c r="H1165" t="s">
        <v>31</v>
      </c>
      <c r="I1165" t="s">
        <v>7987</v>
      </c>
      <c r="J1165" t="s">
        <v>2421</v>
      </c>
      <c r="K1165" t="s">
        <v>10308</v>
      </c>
      <c r="L1165" t="s">
        <v>266</v>
      </c>
      <c r="M1165" t="s">
        <v>105</v>
      </c>
      <c r="N1165" t="s">
        <v>10309</v>
      </c>
      <c r="O1165" t="s">
        <v>224</v>
      </c>
      <c r="P1165" t="s">
        <v>57</v>
      </c>
      <c r="Q1165" t="s">
        <v>40</v>
      </c>
      <c r="R1165" t="s">
        <v>5585</v>
      </c>
      <c r="S1165" t="s">
        <v>10310</v>
      </c>
      <c r="T1165" t="s">
        <v>161</v>
      </c>
      <c r="U1165" t="s">
        <v>127</v>
      </c>
      <c r="V1165" t="s">
        <v>10311</v>
      </c>
      <c r="W1165" t="s">
        <v>10312</v>
      </c>
      <c r="Y1165" t="str">
        <f>HYPERLINK("https://recruiter.shine.com/resume/download/?resumeid=gAAAAABbk2UOpUCIEFSu9UixO48W9N7tli19a6ec0n34LzZ2SFWzpCI2ENVWs4p0Em72WVns0x7bG-ulKPugDojqNliRUJCH9PBleBzmXZ83ub_1c51DqVm_OTY-8P9E5Qy7x8ieDiiXO-9BQ1KRBhDOjf6es6ILunME6eNhFYDz4yp7TSZVWyw=")</f>
        <v>https://recruiter.shine.com/resume/download/?resumeid=gAAAAABbk2UOpUCIEFSu9UixO48W9N7tli19a6ec0n34LzZ2SFWzpCI2ENVWs4p0Em72WVns0x7bG-ulKPugDojqNliRUJCH9PBleBzmXZ83ub_1c51DqVm_OTY-8P9E5Qy7x8ieDiiXO-9BQ1KRBhDOjf6es6ILunME6eNhFYDz4yp7TSZVWyw=</v>
      </c>
    </row>
    <row r="1166" spans="1:25" ht="39.950000000000003" customHeight="1">
      <c r="A1166">
        <v>1162</v>
      </c>
      <c r="B1166" t="s">
        <v>10313</v>
      </c>
      <c r="C1166" t="s">
        <v>10314</v>
      </c>
      <c r="D1166" t="s">
        <v>10315</v>
      </c>
      <c r="E1166" t="s">
        <v>10316</v>
      </c>
      <c r="F1166" t="s">
        <v>29</v>
      </c>
      <c r="G1166" t="s">
        <v>10317</v>
      </c>
      <c r="H1166" t="s">
        <v>31</v>
      </c>
      <c r="I1166" t="s">
        <v>2074</v>
      </c>
      <c r="J1166" t="s">
        <v>2513</v>
      </c>
      <c r="K1166" t="s">
        <v>10318</v>
      </c>
      <c r="L1166" t="s">
        <v>88</v>
      </c>
      <c r="M1166" t="s">
        <v>684</v>
      </c>
      <c r="N1166" t="s">
        <v>156</v>
      </c>
      <c r="O1166" t="s">
        <v>38</v>
      </c>
      <c r="P1166" t="s">
        <v>73</v>
      </c>
      <c r="Q1166" t="s">
        <v>107</v>
      </c>
      <c r="R1166" t="s">
        <v>864</v>
      </c>
      <c r="S1166" t="s">
        <v>10319</v>
      </c>
      <c r="T1166" t="s">
        <v>93</v>
      </c>
      <c r="U1166" t="s">
        <v>43</v>
      </c>
      <c r="V1166" t="s">
        <v>10320</v>
      </c>
      <c r="W1166" t="s">
        <v>10321</v>
      </c>
      <c r="Y1166" t="str">
        <f>HYPERLINK("https://recruiter.shine.com/resume/download/?resumeid=gAAAAABbk2ULqfbGbz6ZYWHsQj0MqVKEu9HCmc8toOgj4IIZwILHRrlG-9mRpXVe0ctL9TIQA11Ns9O3PIKzhRWD7rBdLwzk4m07RCEWXcd-Ki3MPP2nQBbm8ikFmZH4wyw3XtMiTYOm")</f>
        <v>https://recruiter.shine.com/resume/download/?resumeid=gAAAAABbk2ULqfbGbz6ZYWHsQj0MqVKEu9HCmc8toOgj4IIZwILHRrlG-9mRpXVe0ctL9TIQA11Ns9O3PIKzhRWD7rBdLwzk4m07RCEWXcd-Ki3MPP2nQBbm8ikFmZH4wyw3XtMiTYOm</v>
      </c>
    </row>
    <row r="1167" spans="1:25" ht="39.950000000000003" customHeight="1">
      <c r="A1167">
        <v>1163</v>
      </c>
      <c r="B1167" t="s">
        <v>10322</v>
      </c>
      <c r="D1167" t="s">
        <v>10323</v>
      </c>
      <c r="E1167" t="s">
        <v>10324</v>
      </c>
      <c r="F1167" t="s">
        <v>29</v>
      </c>
      <c r="G1167" t="s">
        <v>29</v>
      </c>
      <c r="I1167" t="s">
        <v>714</v>
      </c>
      <c r="J1167" t="s">
        <v>169</v>
      </c>
      <c r="K1167" t="s">
        <v>9472</v>
      </c>
      <c r="L1167" t="s">
        <v>266</v>
      </c>
      <c r="M1167" t="s">
        <v>54</v>
      </c>
      <c r="N1167" t="s">
        <v>10325</v>
      </c>
      <c r="O1167" t="s">
        <v>475</v>
      </c>
      <c r="Q1167" t="s">
        <v>107</v>
      </c>
      <c r="R1167" t="s">
        <v>341</v>
      </c>
      <c r="S1167" t="s">
        <v>10326</v>
      </c>
      <c r="T1167" t="s">
        <v>77</v>
      </c>
      <c r="U1167" t="s">
        <v>43</v>
      </c>
      <c r="V1167" t="s">
        <v>10327</v>
      </c>
      <c r="W1167" t="s">
        <v>10328</v>
      </c>
      <c r="Y1167" t="str">
        <f>HYPERLINK("https://recruiter.shine.com/resume/download/?resumeid=gAAAAABbk2UMd5bZ-EpP13c19Xo_FDmpxYL5fXXh8SQqBbYd2jhOP_qc8tXxhYCI-qUODqi-F9cpaKt0PulqPy9zoAvLUg-65XkEF7AfW7sfMSwE6-z_zEGdmWrLnMojGH-A_dHFEoKknhsjw3fC7Iz_NFIVnEuyK8fFL05xvpBUCvZyzhm9CX0=")</f>
        <v>https://recruiter.shine.com/resume/download/?resumeid=gAAAAABbk2UMd5bZ-EpP13c19Xo_FDmpxYL5fXXh8SQqBbYd2jhOP_qc8tXxhYCI-qUODqi-F9cpaKt0PulqPy9zoAvLUg-65XkEF7AfW7sfMSwE6-z_zEGdmWrLnMojGH-A_dHFEoKknhsjw3fC7Iz_NFIVnEuyK8fFL05xvpBUCvZyzhm9CX0=</v>
      </c>
    </row>
    <row r="1168" spans="1:25" ht="39.950000000000003" customHeight="1">
      <c r="A1168">
        <v>1164</v>
      </c>
      <c r="B1168" t="s">
        <v>10329</v>
      </c>
      <c r="D1168" t="s">
        <v>10330</v>
      </c>
      <c r="E1168" t="s">
        <v>10331</v>
      </c>
      <c r="F1168" t="s">
        <v>29</v>
      </c>
      <c r="G1168" t="s">
        <v>67</v>
      </c>
      <c r="H1168" t="s">
        <v>234</v>
      </c>
      <c r="I1168" t="s">
        <v>3239</v>
      </c>
      <c r="J1168" t="s">
        <v>169</v>
      </c>
      <c r="K1168" t="s">
        <v>10332</v>
      </c>
      <c r="L1168" t="s">
        <v>338</v>
      </c>
      <c r="M1168" t="s">
        <v>339</v>
      </c>
      <c r="N1168" t="s">
        <v>597</v>
      </c>
      <c r="O1168" t="s">
        <v>475</v>
      </c>
      <c r="Q1168" t="s">
        <v>90</v>
      </c>
      <c r="R1168" t="s">
        <v>317</v>
      </c>
      <c r="S1168" t="s">
        <v>10333</v>
      </c>
      <c r="T1168" t="s">
        <v>625</v>
      </c>
      <c r="U1168" t="s">
        <v>43</v>
      </c>
      <c r="V1168" t="s">
        <v>10334</v>
      </c>
      <c r="W1168" t="s">
        <v>10335</v>
      </c>
      <c r="Y1168" t="str">
        <f>HYPERLINK("https://recruiter.shine.com/resume/download/?resumeid=gAAAAABbk2UOj_fnUlFRQaw7JizL2dGSpw_pZsod-ryo0Or1tQ_yyrOHde7D0HkCHLtB9LXEDCTslevDzGjcfWLmlhg-LAAzd5Mof_xzKcibhRGJSBtbOYNjZzqEr7tpqpS-tGDvSBK3yjnXt4-_L7eJNkT1VZEMu0msYhihnQd7tap3zsRRrpA=")</f>
        <v>https://recruiter.shine.com/resume/download/?resumeid=gAAAAABbk2UOj_fnUlFRQaw7JizL2dGSpw_pZsod-ryo0Or1tQ_yyrOHde7D0HkCHLtB9LXEDCTslevDzGjcfWLmlhg-LAAzd5Mof_xzKcibhRGJSBtbOYNjZzqEr7tpqpS-tGDvSBK3yjnXt4-_L7eJNkT1VZEMu0msYhihnQd7tap3zsRRrpA=</v>
      </c>
    </row>
    <row r="1169" spans="1:25" ht="39.950000000000003" customHeight="1">
      <c r="A1169">
        <v>1165</v>
      </c>
      <c r="B1169" t="s">
        <v>10336</v>
      </c>
      <c r="C1169" t="s">
        <v>10337</v>
      </c>
      <c r="D1169" t="s">
        <v>10338</v>
      </c>
      <c r="E1169" t="s">
        <v>10339</v>
      </c>
      <c r="F1169" t="s">
        <v>29</v>
      </c>
      <c r="G1169" t="s">
        <v>2006</v>
      </c>
      <c r="H1169" t="s">
        <v>31</v>
      </c>
      <c r="I1169" t="s">
        <v>5163</v>
      </c>
      <c r="J1169" t="s">
        <v>715</v>
      </c>
      <c r="K1169" t="s">
        <v>10340</v>
      </c>
      <c r="L1169" t="s">
        <v>171</v>
      </c>
      <c r="M1169" t="s">
        <v>2718</v>
      </c>
      <c r="N1169" t="s">
        <v>10341</v>
      </c>
      <c r="O1169" t="s">
        <v>475</v>
      </c>
      <c r="P1169" t="s">
        <v>940</v>
      </c>
      <c r="Q1169" t="s">
        <v>489</v>
      </c>
      <c r="R1169" t="s">
        <v>490</v>
      </c>
      <c r="S1169" t="s">
        <v>10342</v>
      </c>
      <c r="T1169" t="s">
        <v>161</v>
      </c>
      <c r="U1169" t="s">
        <v>43</v>
      </c>
      <c r="V1169" t="s">
        <v>10343</v>
      </c>
      <c r="W1169" t="s">
        <v>10344</v>
      </c>
      <c r="Y1169" t="str">
        <f>HYPERLINK("https://recruiter.shine.com/resume/download/?resumeid=gAAAAABbk2UKfI2r3gmtWcW8TM9ban2z59M8tUIwCxFrwr4RyKbZuhtDlml44J253UP_J02a9C47Dc2er80MlBIXRdG2QOo6FE32dDM0c5Mc0wni90c9gD65f9-el_pVetsoAqTnkH2F")</f>
        <v>https://recruiter.shine.com/resume/download/?resumeid=gAAAAABbk2UKfI2r3gmtWcW8TM9ban2z59M8tUIwCxFrwr4RyKbZuhtDlml44J253UP_J02a9C47Dc2er80MlBIXRdG2QOo6FE32dDM0c5Mc0wni90c9gD65f9-el_pVetsoAqTnkH2F</v>
      </c>
    </row>
    <row r="1170" spans="1:25" ht="39.950000000000003" customHeight="1">
      <c r="A1170">
        <v>1166</v>
      </c>
      <c r="B1170" t="s">
        <v>10345</v>
      </c>
      <c r="C1170" t="s">
        <v>10346</v>
      </c>
      <c r="D1170" t="s">
        <v>10347</v>
      </c>
      <c r="E1170" t="s">
        <v>10348</v>
      </c>
      <c r="F1170" t="s">
        <v>29</v>
      </c>
      <c r="G1170" t="s">
        <v>10349</v>
      </c>
      <c r="H1170" t="s">
        <v>31</v>
      </c>
      <c r="I1170" t="s">
        <v>152</v>
      </c>
      <c r="J1170" t="s">
        <v>153</v>
      </c>
      <c r="K1170" t="s">
        <v>10350</v>
      </c>
      <c r="L1170" t="s">
        <v>120</v>
      </c>
      <c r="M1170" t="s">
        <v>121</v>
      </c>
      <c r="N1170" t="s">
        <v>10351</v>
      </c>
      <c r="O1170" t="s">
        <v>56</v>
      </c>
      <c r="P1170" t="s">
        <v>201</v>
      </c>
      <c r="Q1170" t="s">
        <v>123</v>
      </c>
      <c r="R1170" t="s">
        <v>124</v>
      </c>
      <c r="S1170" t="s">
        <v>10352</v>
      </c>
      <c r="T1170" t="s">
        <v>304</v>
      </c>
      <c r="U1170" t="s">
        <v>43</v>
      </c>
      <c r="V1170" t="s">
        <v>10353</v>
      </c>
      <c r="W1170" t="s">
        <v>10354</v>
      </c>
      <c r="Y1170" t="str">
        <f>HYPERLINK("https://recruiter.shine.com/resume/download/?resumeid=gAAAAABbk2UM0hyO22CtKxzOlrA2Rh8v3d6zhOeUMOcE1wUpli0hqfhu-tRMU3niObXbKpJFclbwUcP-SUGCtRNGd_iL8L79lgC_mjqZSzNVxumX5149xLGrzTE7Az-YvmwWCsGzkRBXlwoeCLMkN8vVtpW3igPXyEW_z8vzwlYj0GPGsXlgLds=")</f>
        <v>https://recruiter.shine.com/resume/download/?resumeid=gAAAAABbk2UM0hyO22CtKxzOlrA2Rh8v3d6zhOeUMOcE1wUpli0hqfhu-tRMU3niObXbKpJFclbwUcP-SUGCtRNGd_iL8L79lgC_mjqZSzNVxumX5149xLGrzTE7Az-YvmwWCsGzkRBXlwoeCLMkN8vVtpW3igPXyEW_z8vzwlYj0GPGsXlgLds=</v>
      </c>
    </row>
    <row r="1171" spans="1:25" ht="39.950000000000003" customHeight="1">
      <c r="A1171">
        <v>1167</v>
      </c>
      <c r="B1171" t="s">
        <v>10355</v>
      </c>
      <c r="D1171" t="s">
        <v>10356</v>
      </c>
      <c r="E1171" t="s">
        <v>10357</v>
      </c>
      <c r="F1171" t="s">
        <v>249</v>
      </c>
      <c r="H1171" t="s">
        <v>31</v>
      </c>
      <c r="I1171" t="s">
        <v>998</v>
      </c>
      <c r="J1171" t="s">
        <v>2984</v>
      </c>
      <c r="K1171" t="s">
        <v>10358</v>
      </c>
      <c r="L1171" t="s">
        <v>486</v>
      </c>
      <c r="M1171" t="s">
        <v>238</v>
      </c>
      <c r="N1171" t="s">
        <v>4354</v>
      </c>
      <c r="O1171" t="s">
        <v>38</v>
      </c>
      <c r="Q1171" t="s">
        <v>365</v>
      </c>
      <c r="R1171" t="s">
        <v>124</v>
      </c>
      <c r="S1171" t="s">
        <v>10359</v>
      </c>
      <c r="T1171" t="s">
        <v>257</v>
      </c>
      <c r="U1171" t="s">
        <v>127</v>
      </c>
      <c r="V1171" t="s">
        <v>10360</v>
      </c>
      <c r="W1171" t="s">
        <v>10361</v>
      </c>
      <c r="Y1171" t="str">
        <f>HYPERLINK("https://recruiter.shine.com/resume/download/?resumeid=gAAAAABbk2UN3u1eiE2f4ZXcjeswgtgndv2Mtd47qULZNczPIHdE6rzcY-EQGTkdZSjL4PcczC99tkFq--CLNKBILzg7IlwHiWZDxUYUG_Q-OvfLhV2BzCfml_Wgh_qTvHqvwRPkvaxGFtl9WaQ17no_WtdMyX-2_ULDtCcDx5jXXfG--cpXu_0=")</f>
        <v>https://recruiter.shine.com/resume/download/?resumeid=gAAAAABbk2UN3u1eiE2f4ZXcjeswgtgndv2Mtd47qULZNczPIHdE6rzcY-EQGTkdZSjL4PcczC99tkFq--CLNKBILzg7IlwHiWZDxUYUG_Q-OvfLhV2BzCfml_Wgh_qTvHqvwRPkvaxGFtl9WaQ17no_WtdMyX-2_ULDtCcDx5jXXfG--cpXu_0=</v>
      </c>
    </row>
    <row r="1172" spans="1:25" ht="39.950000000000003" customHeight="1">
      <c r="A1172">
        <v>1168</v>
      </c>
      <c r="B1172" t="s">
        <v>10362</v>
      </c>
      <c r="C1172" t="s">
        <v>10363</v>
      </c>
      <c r="D1172" t="s">
        <v>10364</v>
      </c>
      <c r="E1172" t="s">
        <v>10365</v>
      </c>
      <c r="F1172" t="s">
        <v>29</v>
      </c>
      <c r="G1172" t="s">
        <v>29</v>
      </c>
      <c r="H1172" t="s">
        <v>31</v>
      </c>
      <c r="I1172" t="s">
        <v>5030</v>
      </c>
      <c r="J1172" t="s">
        <v>7420</v>
      </c>
      <c r="K1172" t="s">
        <v>10366</v>
      </c>
      <c r="L1172" t="s">
        <v>290</v>
      </c>
      <c r="M1172" t="s">
        <v>238</v>
      </c>
      <c r="N1172" t="s">
        <v>1040</v>
      </c>
      <c r="O1172" t="s">
        <v>56</v>
      </c>
      <c r="P1172" t="s">
        <v>57</v>
      </c>
      <c r="Q1172" t="s">
        <v>489</v>
      </c>
      <c r="R1172" t="s">
        <v>490</v>
      </c>
      <c r="S1172" t="s">
        <v>10367</v>
      </c>
      <c r="T1172" t="s">
        <v>227</v>
      </c>
      <c r="U1172" t="s">
        <v>43</v>
      </c>
      <c r="V1172" t="s">
        <v>10368</v>
      </c>
      <c r="W1172" t="s">
        <v>10368</v>
      </c>
      <c r="Y1172" t="str">
        <f>HYPERLINK("https://recruiter.shine.com/resume/download/?resumeid=gAAAAABbk2UKx-BS8t5_WGdDVeLpk4UXFv81yXTJULGeBBbvgV5s4TJFZfId_EqBYShHn07Fxb-xzcCXRN_nw4qn4jUq89ZpXcnukJ-2DXVDz7aeVFRFzBxM-LRwkAG5qT9nMSvulgiy")</f>
        <v>https://recruiter.shine.com/resume/download/?resumeid=gAAAAABbk2UKx-BS8t5_WGdDVeLpk4UXFv81yXTJULGeBBbvgV5s4TJFZfId_EqBYShHn07Fxb-xzcCXRN_nw4qn4jUq89ZpXcnukJ-2DXVDz7aeVFRFzBxM-LRwkAG5qT9nMSvulgiy</v>
      </c>
    </row>
    <row r="1173" spans="1:25" ht="39.950000000000003" customHeight="1">
      <c r="A1173">
        <v>1169</v>
      </c>
      <c r="B1173" t="s">
        <v>10369</v>
      </c>
      <c r="D1173" t="s">
        <v>10370</v>
      </c>
      <c r="E1173" t="s">
        <v>10371</v>
      </c>
      <c r="F1173" t="s">
        <v>29</v>
      </c>
      <c r="I1173" t="s">
        <v>2343</v>
      </c>
      <c r="J1173" t="s">
        <v>801</v>
      </c>
      <c r="K1173" t="s">
        <v>10372</v>
      </c>
      <c r="L1173" t="s">
        <v>3566</v>
      </c>
      <c r="M1173" t="s">
        <v>121</v>
      </c>
      <c r="N1173" t="s">
        <v>10373</v>
      </c>
      <c r="O1173" t="s">
        <v>186</v>
      </c>
      <c r="Q1173" t="s">
        <v>40</v>
      </c>
      <c r="R1173" t="s">
        <v>2192</v>
      </c>
      <c r="S1173" t="s">
        <v>188</v>
      </c>
      <c r="T1173" t="s">
        <v>399</v>
      </c>
      <c r="U1173" t="s">
        <v>94</v>
      </c>
      <c r="V1173" t="s">
        <v>10374</v>
      </c>
      <c r="W1173" t="s">
        <v>10375</v>
      </c>
      <c r="Y1173" t="str">
        <f>HYPERLINK("https://recruiter.shine.com/resume/download/?resumeid=gAAAAABbk2UMEdDHwBD7VO8QPIMEp-YHy9c_ixT8UNlh-qnRVBAuCN8ujS59yqIYMAyXdd2M6PjFz2i7xMxh1cW9S2YMe8DgbFLj7CqnWQ6yXtyDmDzG68n0fPo-iCdTKq8h1ZKAI1oFYvxqqwYxt13vbCbJm7Lzkbigvmzmr0wGX0V1hAaMc4w=")</f>
        <v>https://recruiter.shine.com/resume/download/?resumeid=gAAAAABbk2UMEdDHwBD7VO8QPIMEp-YHy9c_ixT8UNlh-qnRVBAuCN8ujS59yqIYMAyXdd2M6PjFz2i7xMxh1cW9S2YMe8DgbFLj7CqnWQ6yXtyDmDzG68n0fPo-iCdTKq8h1ZKAI1oFYvxqqwYxt13vbCbJm7Lzkbigvmzmr0wGX0V1hAaMc4w=</v>
      </c>
    </row>
    <row r="1174" spans="1:25" ht="39.950000000000003" customHeight="1">
      <c r="A1174">
        <v>1170</v>
      </c>
      <c r="B1174" t="s">
        <v>10376</v>
      </c>
      <c r="D1174" t="s">
        <v>10377</v>
      </c>
      <c r="E1174" t="s">
        <v>10378</v>
      </c>
      <c r="F1174" t="s">
        <v>29</v>
      </c>
      <c r="H1174" t="s">
        <v>31</v>
      </c>
      <c r="I1174" t="s">
        <v>362</v>
      </c>
      <c r="J1174" t="s">
        <v>135</v>
      </c>
      <c r="L1174" t="s">
        <v>363</v>
      </c>
      <c r="M1174" t="s">
        <v>364</v>
      </c>
      <c r="Q1174" t="s">
        <v>699</v>
      </c>
      <c r="R1174" t="s">
        <v>59</v>
      </c>
      <c r="S1174" t="s">
        <v>10379</v>
      </c>
      <c r="T1174" t="s">
        <v>126</v>
      </c>
      <c r="U1174" t="s">
        <v>127</v>
      </c>
      <c r="V1174" t="s">
        <v>10380</v>
      </c>
      <c r="W1174" t="s">
        <v>10381</v>
      </c>
      <c r="Y1174" t="str">
        <f>HYPERLINK("https://recruiter.shine.com/resume/download/?resumeid=gAAAAABbk2UNO8LPyACVG2maxh23jFnd14A_SYZ3z3j-236NixjitJ-aald1fdhFKnCymqKOBlAlLnZQe5iBIwqs7YdXSjpeBrHj88KIWDLJliKOOflmdQ_LgnPqQKd2KOu0pvLbZgEtQ9zsfxVpg1vlciTAAalj7Q==")</f>
        <v>https://recruiter.shine.com/resume/download/?resumeid=gAAAAABbk2UNO8LPyACVG2maxh23jFnd14A_SYZ3z3j-236NixjitJ-aald1fdhFKnCymqKOBlAlLnZQe5iBIwqs7YdXSjpeBrHj88KIWDLJliKOOflmdQ_LgnPqQKd2KOu0pvLbZgEtQ9zsfxVpg1vlciTAAalj7Q==</v>
      </c>
    </row>
    <row r="1175" spans="1:25" ht="39.950000000000003" customHeight="1">
      <c r="A1175">
        <v>1171</v>
      </c>
      <c r="B1175" t="s">
        <v>10382</v>
      </c>
      <c r="C1175" t="s">
        <v>10383</v>
      </c>
      <c r="D1175" t="s">
        <v>10384</v>
      </c>
      <c r="E1175" t="s">
        <v>10385</v>
      </c>
      <c r="F1175" t="s">
        <v>249</v>
      </c>
      <c r="G1175" t="s">
        <v>10386</v>
      </c>
      <c r="H1175" t="s">
        <v>31</v>
      </c>
      <c r="I1175" t="s">
        <v>1293</v>
      </c>
      <c r="J1175" t="s">
        <v>251</v>
      </c>
      <c r="K1175" t="s">
        <v>10387</v>
      </c>
      <c r="L1175" t="s">
        <v>596</v>
      </c>
      <c r="M1175" t="s">
        <v>36</v>
      </c>
      <c r="N1175" t="s">
        <v>10388</v>
      </c>
      <c r="O1175" t="s">
        <v>38</v>
      </c>
      <c r="P1175" t="s">
        <v>57</v>
      </c>
      <c r="Q1175" t="s">
        <v>107</v>
      </c>
      <c r="R1175" t="s">
        <v>341</v>
      </c>
      <c r="S1175" t="s">
        <v>10389</v>
      </c>
      <c r="T1175" t="s">
        <v>304</v>
      </c>
      <c r="U1175" t="s">
        <v>43</v>
      </c>
      <c r="V1175" t="s">
        <v>10390</v>
      </c>
      <c r="W1175" t="s">
        <v>10391</v>
      </c>
      <c r="Y1175" t="str">
        <f>HYPERLINK("https://recruiter.shine.com/resume/download/?resumeid=gAAAAABbk2UKScGnRr1fj2M6p44eT_6mhdGvnSeD5uc-ZsnDWSrPc2VyCXrmxr8ms8Povf4wmLQa19EbZNQ8jy35Tny_nkNUXTAd7dnu1-2jrBm5Qem8pwbLB2o9_Devv4fGjMsPTwKLF0lhpQlUKKVQCerSAaxySZs4cliW1tmpriFoiM5O8QA=")</f>
        <v>https://recruiter.shine.com/resume/download/?resumeid=gAAAAABbk2UKScGnRr1fj2M6p44eT_6mhdGvnSeD5uc-ZsnDWSrPc2VyCXrmxr8ms8Povf4wmLQa19EbZNQ8jy35Tny_nkNUXTAd7dnu1-2jrBm5Qem8pwbLB2o9_Devv4fGjMsPTwKLF0lhpQlUKKVQCerSAaxySZs4cliW1tmpriFoiM5O8QA=</v>
      </c>
    </row>
    <row r="1176" spans="1:25" ht="39.950000000000003" customHeight="1">
      <c r="A1176">
        <v>1172</v>
      </c>
      <c r="B1176" t="s">
        <v>10392</v>
      </c>
      <c r="C1176" t="s">
        <v>10393</v>
      </c>
      <c r="D1176" t="s">
        <v>10394</v>
      </c>
      <c r="E1176" t="s">
        <v>10395</v>
      </c>
      <c r="F1176" t="s">
        <v>29</v>
      </c>
      <c r="G1176" t="s">
        <v>10396</v>
      </c>
      <c r="H1176" t="s">
        <v>234</v>
      </c>
      <c r="I1176" t="s">
        <v>2354</v>
      </c>
      <c r="J1176" t="s">
        <v>2063</v>
      </c>
      <c r="K1176" t="s">
        <v>595</v>
      </c>
      <c r="L1176" t="s">
        <v>4146</v>
      </c>
      <c r="M1176" t="s">
        <v>757</v>
      </c>
      <c r="N1176" t="s">
        <v>2274</v>
      </c>
      <c r="O1176" t="s">
        <v>56</v>
      </c>
      <c r="P1176" t="s">
        <v>57</v>
      </c>
      <c r="Q1176" t="s">
        <v>40</v>
      </c>
      <c r="R1176" t="s">
        <v>2192</v>
      </c>
      <c r="S1176" t="s">
        <v>188</v>
      </c>
      <c r="T1176" t="s">
        <v>399</v>
      </c>
      <c r="U1176" t="s">
        <v>43</v>
      </c>
      <c r="V1176" t="s">
        <v>10397</v>
      </c>
      <c r="W1176" t="s">
        <v>10397</v>
      </c>
      <c r="Y1176" t="str">
        <f>HYPERLINK("https://recruiter.shine.com/resume/download/?resumeid=gAAAAABbk2UMYwvNyuaLjmAbcNlpumgKWuuzRXZS53oghy5_bC8F6cJGKVG6W7z3fCcScrJIEJkRMyxwkW_2bMHvOPFbjXje6JP4iFND5msNTzO65_NtEX8BkxeM6YdxSmv7sJ9WcvsJoN2u9HqlolD4MwB7YQ8jfA==")</f>
        <v>https://recruiter.shine.com/resume/download/?resumeid=gAAAAABbk2UMYwvNyuaLjmAbcNlpumgKWuuzRXZS53oghy5_bC8F6cJGKVG6W7z3fCcScrJIEJkRMyxwkW_2bMHvOPFbjXje6JP4iFND5msNTzO65_NtEX8BkxeM6YdxSmv7sJ9WcvsJoN2u9HqlolD4MwB7YQ8jfA==</v>
      </c>
    </row>
    <row r="1177" spans="1:25" ht="39.950000000000003" customHeight="1">
      <c r="A1177">
        <v>1173</v>
      </c>
      <c r="B1177" t="s">
        <v>10398</v>
      </c>
      <c r="C1177" t="s">
        <v>10399</v>
      </c>
      <c r="D1177" t="s">
        <v>10400</v>
      </c>
      <c r="E1177" t="s">
        <v>10401</v>
      </c>
      <c r="F1177" t="s">
        <v>29</v>
      </c>
      <c r="H1177" t="s">
        <v>31</v>
      </c>
      <c r="I1177" t="s">
        <v>4124</v>
      </c>
      <c r="J1177" t="s">
        <v>1060</v>
      </c>
      <c r="K1177" t="s">
        <v>595</v>
      </c>
      <c r="L1177" t="s">
        <v>71</v>
      </c>
      <c r="M1177" t="s">
        <v>254</v>
      </c>
      <c r="N1177" t="s">
        <v>10402</v>
      </c>
      <c r="O1177" t="s">
        <v>56</v>
      </c>
      <c r="P1177" t="s">
        <v>39</v>
      </c>
      <c r="Q1177" t="s">
        <v>90</v>
      </c>
      <c r="R1177" t="s">
        <v>317</v>
      </c>
      <c r="S1177" t="s">
        <v>10403</v>
      </c>
      <c r="T1177" t="s">
        <v>625</v>
      </c>
      <c r="U1177" t="s">
        <v>43</v>
      </c>
      <c r="V1177" t="s">
        <v>10404</v>
      </c>
      <c r="W1177" t="s">
        <v>10404</v>
      </c>
      <c r="Y1177" t="str">
        <f>HYPERLINK("https://recruiter.shine.com/resume/download/?resumeid=gAAAAABbk2UOwVgtkdLQHl_wHf24OiLfhhP6UNKK3DVAP__zVQTnaAK8FdPJ6rlUHponsW6r6iMBBWllkE76ICBa76hoOkdkRyuUrKX_2WpDT2vxtQxZ0VYH-NImpj_YUlWPnt27QTJXmSlARZVRsoI-U_uJrQ0iyg==")</f>
        <v>https://recruiter.shine.com/resume/download/?resumeid=gAAAAABbk2UOwVgtkdLQHl_wHf24OiLfhhP6UNKK3DVAP__zVQTnaAK8FdPJ6rlUHponsW6r6iMBBWllkE76ICBa76hoOkdkRyuUrKX_2WpDT2vxtQxZ0VYH-NImpj_YUlWPnt27QTJXmSlARZVRsoI-U_uJrQ0iyg==</v>
      </c>
    </row>
    <row r="1178" spans="1:25" ht="39.950000000000003" customHeight="1">
      <c r="A1178">
        <v>1174</v>
      </c>
      <c r="B1178" t="s">
        <v>10405</v>
      </c>
      <c r="C1178" t="s">
        <v>10406</v>
      </c>
      <c r="D1178" t="s">
        <v>10407</v>
      </c>
      <c r="E1178" t="s">
        <v>10408</v>
      </c>
      <c r="F1178" t="s">
        <v>29</v>
      </c>
      <c r="G1178" t="s">
        <v>10409</v>
      </c>
      <c r="H1178" t="s">
        <v>31</v>
      </c>
      <c r="I1178" t="s">
        <v>1038</v>
      </c>
      <c r="J1178" t="s">
        <v>8954</v>
      </c>
      <c r="K1178" t="s">
        <v>10410</v>
      </c>
      <c r="L1178" t="s">
        <v>794</v>
      </c>
      <c r="M1178" t="s">
        <v>684</v>
      </c>
      <c r="N1178" t="s">
        <v>10411</v>
      </c>
      <c r="O1178" t="s">
        <v>56</v>
      </c>
      <c r="P1178" t="s">
        <v>57</v>
      </c>
      <c r="Q1178" t="s">
        <v>107</v>
      </c>
      <c r="R1178" t="s">
        <v>225</v>
      </c>
      <c r="S1178" t="s">
        <v>10412</v>
      </c>
      <c r="T1178" t="s">
        <v>144</v>
      </c>
      <c r="U1178" t="s">
        <v>43</v>
      </c>
      <c r="V1178" t="s">
        <v>10413</v>
      </c>
      <c r="W1178" t="s">
        <v>10414</v>
      </c>
      <c r="Y1178" t="str">
        <f>HYPERLINK("https://recruiter.shine.com/resume/download/?resumeid=gAAAAABbk2UK2r0pbsbJR1t0pqu5l3q6vmm209jrEFa2zukqxiopxgP6YGE6qzxlM2DbJWpMdMkq-osqd1LP_RvpAGIk9ELKj9d27ydVhw0-2JymJSSNj2gN9tFh0YIxZSaN_nCuCqQ6dq5tiuZ5AWzf3lSbLIPmxy5KAFkwdeVKH2bG_IyNUAY=")</f>
        <v>https://recruiter.shine.com/resume/download/?resumeid=gAAAAABbk2UK2r0pbsbJR1t0pqu5l3q6vmm209jrEFa2zukqxiopxgP6YGE6qzxlM2DbJWpMdMkq-osqd1LP_RvpAGIk9ELKj9d27ydVhw0-2JymJSSNj2gN9tFh0YIxZSaN_nCuCqQ6dq5tiuZ5AWzf3lSbLIPmxy5KAFkwdeVKH2bG_IyNUAY=</v>
      </c>
    </row>
    <row r="1179" spans="1:25" ht="39.950000000000003" customHeight="1">
      <c r="A1179">
        <v>1175</v>
      </c>
      <c r="B1179" t="s">
        <v>10415</v>
      </c>
      <c r="C1179" t="s">
        <v>10416</v>
      </c>
      <c r="D1179" t="s">
        <v>10417</v>
      </c>
      <c r="E1179" t="s">
        <v>10418</v>
      </c>
      <c r="F1179" t="s">
        <v>29</v>
      </c>
      <c r="G1179" t="s">
        <v>10419</v>
      </c>
      <c r="H1179" t="s">
        <v>31</v>
      </c>
      <c r="I1179" t="s">
        <v>4403</v>
      </c>
      <c r="J1179" t="s">
        <v>2503</v>
      </c>
      <c r="K1179" t="s">
        <v>10420</v>
      </c>
      <c r="L1179" t="s">
        <v>266</v>
      </c>
      <c r="M1179" t="s">
        <v>684</v>
      </c>
      <c r="N1179" t="s">
        <v>10421</v>
      </c>
      <c r="O1179" t="s">
        <v>585</v>
      </c>
      <c r="P1179" t="s">
        <v>57</v>
      </c>
      <c r="Q1179" t="s">
        <v>107</v>
      </c>
      <c r="R1179" t="s">
        <v>2346</v>
      </c>
      <c r="S1179" t="s">
        <v>5321</v>
      </c>
      <c r="T1179" t="s">
        <v>2358</v>
      </c>
      <c r="U1179" t="s">
        <v>43</v>
      </c>
      <c r="V1179" t="s">
        <v>10422</v>
      </c>
      <c r="W1179" t="s">
        <v>10423</v>
      </c>
      <c r="Y1179" t="str">
        <f>HYPERLINK("https://recruiter.shine.com/resume/download/?resumeid=gAAAAABbk2UMvDxUhwXhjjwzWL1ELSPMpAmCo6Z9e6NJ8mAGdSYIteAwN1vA3JQeQ8rl3BkmFBwHy-V8fzMmh5O1kULOBnPxhkRNaikgYCAtmqnRV97zxNPy5Rm6U4Go4OxdtQJpbWck3B-7v1D8BOcJEZ7siIG-pQ==")</f>
        <v>https://recruiter.shine.com/resume/download/?resumeid=gAAAAABbk2UMvDxUhwXhjjwzWL1ELSPMpAmCo6Z9e6NJ8mAGdSYIteAwN1vA3JQeQ8rl3BkmFBwHy-V8fzMmh5O1kULOBnPxhkRNaikgYCAtmqnRV97zxNPy5Rm6U4Go4OxdtQJpbWck3B-7v1D8BOcJEZ7siIG-pQ==</v>
      </c>
    </row>
    <row r="1180" spans="1:25" ht="39.950000000000003" customHeight="1">
      <c r="A1180">
        <v>1176</v>
      </c>
      <c r="B1180" t="s">
        <v>10424</v>
      </c>
      <c r="D1180" t="s">
        <v>10425</v>
      </c>
      <c r="E1180" t="s">
        <v>10426</v>
      </c>
      <c r="F1180" t="s">
        <v>29</v>
      </c>
      <c r="H1180" t="s">
        <v>31</v>
      </c>
      <c r="I1180" t="s">
        <v>1837</v>
      </c>
      <c r="J1180" t="s">
        <v>408</v>
      </c>
      <c r="K1180" t="s">
        <v>10427</v>
      </c>
      <c r="L1180" t="s">
        <v>88</v>
      </c>
      <c r="M1180" t="s">
        <v>1124</v>
      </c>
      <c r="N1180" t="s">
        <v>10428</v>
      </c>
      <c r="O1180" t="s">
        <v>475</v>
      </c>
      <c r="Q1180" t="s">
        <v>123</v>
      </c>
      <c r="R1180" t="s">
        <v>124</v>
      </c>
      <c r="S1180" t="s">
        <v>188</v>
      </c>
      <c r="T1180" t="s">
        <v>343</v>
      </c>
      <c r="U1180" t="s">
        <v>127</v>
      </c>
      <c r="V1180" t="s">
        <v>10429</v>
      </c>
      <c r="W1180" t="s">
        <v>10430</v>
      </c>
      <c r="Y1180" t="str">
        <f>HYPERLINK("https://recruiter.shine.com/resume/download/?resumeid=gAAAAABbk2UOleL43oyF0tDLiSTrha-xWpTtl_LI29Fq7yoH0-xt5L7fUTBinv76wMCL8oCFy2qu6rvULfR5_vJotF43MsCQazZ_oOBA9LTfkdK8FMLOpl964U50Bol52xz4LVwdfL7Gut3A2MR15o53fGxyWQmZ206iXrzqG5kahPTgIGjvvdU=")</f>
        <v>https://recruiter.shine.com/resume/download/?resumeid=gAAAAABbk2UOleL43oyF0tDLiSTrha-xWpTtl_LI29Fq7yoH0-xt5L7fUTBinv76wMCL8oCFy2qu6rvULfR5_vJotF43MsCQazZ_oOBA9LTfkdK8FMLOpl964U50Bol52xz4LVwdfL7Gut3A2MR15o53fGxyWQmZ206iXrzqG5kahPTgIGjvvdU=</v>
      </c>
    </row>
    <row r="1181" spans="1:25" ht="39.950000000000003" customHeight="1">
      <c r="A1181">
        <v>1177</v>
      </c>
      <c r="B1181" t="s">
        <v>10431</v>
      </c>
      <c r="D1181" t="s">
        <v>10432</v>
      </c>
      <c r="E1181" t="s">
        <v>10433</v>
      </c>
      <c r="F1181" t="s">
        <v>29</v>
      </c>
      <c r="G1181" t="s">
        <v>67</v>
      </c>
      <c r="H1181" t="s">
        <v>31</v>
      </c>
      <c r="I1181" t="s">
        <v>32</v>
      </c>
      <c r="J1181" t="s">
        <v>4580</v>
      </c>
      <c r="K1181" t="s">
        <v>10434</v>
      </c>
      <c r="L1181" t="s">
        <v>184</v>
      </c>
      <c r="M1181" t="s">
        <v>1356</v>
      </c>
      <c r="N1181" t="s">
        <v>10435</v>
      </c>
      <c r="O1181" t="s">
        <v>38</v>
      </c>
      <c r="Q1181" t="s">
        <v>187</v>
      </c>
      <c r="R1181" t="s">
        <v>124</v>
      </c>
      <c r="S1181" t="s">
        <v>3161</v>
      </c>
      <c r="T1181" t="s">
        <v>761</v>
      </c>
      <c r="U1181" t="s">
        <v>43</v>
      </c>
      <c r="V1181" t="s">
        <v>10436</v>
      </c>
      <c r="W1181" t="s">
        <v>10436</v>
      </c>
      <c r="Y1181" t="str">
        <f>HYPERLINK("https://recruiter.shine.com/resume/download/?resumeid=gAAAAABbk2ULhUxunTUAC6lALRIutKABL5sPYknSXSabLSyyeQDGpL5oAHXm7-SXDSgpE5q-queeMuDrcf3eKh6RoLhffYU0beIxY6zLPqotqIqe3O7Q6-6Z06xxbb4EBB8d6hZa6ieDUmh6el_aBCvsSykvHAfTtKz4pqCsk53gZHJUGLzz0GM=")</f>
        <v>https://recruiter.shine.com/resume/download/?resumeid=gAAAAABbk2ULhUxunTUAC6lALRIutKABL5sPYknSXSabLSyyeQDGpL5oAHXm7-SXDSgpE5q-queeMuDrcf3eKh6RoLhffYU0beIxY6zLPqotqIqe3O7Q6-6Z06xxbb4EBB8d6hZa6ieDUmh6el_aBCvsSykvHAfTtKz4pqCsk53gZHJUGLzz0GM=</v>
      </c>
    </row>
    <row r="1182" spans="1:25" ht="39.950000000000003" customHeight="1">
      <c r="A1182">
        <v>1178</v>
      </c>
      <c r="B1182" t="s">
        <v>10437</v>
      </c>
      <c r="C1182" t="s">
        <v>10438</v>
      </c>
      <c r="D1182" t="s">
        <v>10439</v>
      </c>
      <c r="E1182" t="s">
        <v>10440</v>
      </c>
      <c r="F1182" t="s">
        <v>29</v>
      </c>
      <c r="G1182" t="s">
        <v>29</v>
      </c>
      <c r="H1182" t="s">
        <v>234</v>
      </c>
      <c r="I1182" t="s">
        <v>1185</v>
      </c>
      <c r="J1182" t="s">
        <v>153</v>
      </c>
      <c r="K1182" t="s">
        <v>10441</v>
      </c>
      <c r="L1182" t="s">
        <v>3109</v>
      </c>
      <c r="M1182" t="s">
        <v>583</v>
      </c>
      <c r="N1182" t="s">
        <v>10442</v>
      </c>
      <c r="O1182" t="s">
        <v>186</v>
      </c>
      <c r="P1182" t="s">
        <v>57</v>
      </c>
      <c r="Q1182" t="s">
        <v>489</v>
      </c>
      <c r="R1182" t="s">
        <v>292</v>
      </c>
      <c r="S1182" t="s">
        <v>188</v>
      </c>
      <c r="T1182" t="s">
        <v>429</v>
      </c>
      <c r="U1182" t="s">
        <v>43</v>
      </c>
      <c r="V1182" t="s">
        <v>10443</v>
      </c>
      <c r="W1182" t="s">
        <v>10444</v>
      </c>
      <c r="Y1182" t="str">
        <f>HYPERLINK("https://recruiter.shine.com/resume/download/?resumeid=gAAAAABbk2UMa_hfAaGh9P_QV8BDl-VuH5fCbpz5q2tLTFBMaxQjjFzh6wwVkuZTvwID8F4G4jb4vssHErp_8kU1UeCXs960BTRGxjBFCEZb8QJEFNnLiDKEc7b60Iw2q-SfNIr_b-0gEk21Hn_9WNbPyu-wUgsc-j-LsH2lxPsHc1505zMC54Q=")</f>
        <v>https://recruiter.shine.com/resume/download/?resumeid=gAAAAABbk2UMa_hfAaGh9P_QV8BDl-VuH5fCbpz5q2tLTFBMaxQjjFzh6wwVkuZTvwID8F4G4jb4vssHErp_8kU1UeCXs960BTRGxjBFCEZb8QJEFNnLiDKEc7b60Iw2q-SfNIr_b-0gEk21Hn_9WNbPyu-wUgsc-j-LsH2lxPsHc1505zMC54Q=</v>
      </c>
    </row>
    <row r="1183" spans="1:25" ht="39.950000000000003" customHeight="1">
      <c r="A1183">
        <v>1179</v>
      </c>
      <c r="B1183" t="s">
        <v>10445</v>
      </c>
      <c r="D1183" t="s">
        <v>10446</v>
      </c>
      <c r="E1183" t="s">
        <v>10220</v>
      </c>
      <c r="F1183" t="s">
        <v>29</v>
      </c>
      <c r="G1183" t="s">
        <v>67</v>
      </c>
      <c r="H1183" t="s">
        <v>234</v>
      </c>
      <c r="I1183" t="s">
        <v>860</v>
      </c>
      <c r="J1183" t="s">
        <v>135</v>
      </c>
      <c r="K1183" t="s">
        <v>10447</v>
      </c>
      <c r="L1183" t="s">
        <v>1390</v>
      </c>
      <c r="M1183" t="s">
        <v>105</v>
      </c>
      <c r="N1183" t="s">
        <v>1084</v>
      </c>
      <c r="O1183" t="s">
        <v>157</v>
      </c>
      <c r="Q1183" t="s">
        <v>107</v>
      </c>
      <c r="R1183" t="s">
        <v>559</v>
      </c>
      <c r="S1183" t="s">
        <v>10448</v>
      </c>
      <c r="T1183" t="s">
        <v>625</v>
      </c>
      <c r="U1183" t="s">
        <v>127</v>
      </c>
      <c r="V1183" t="s">
        <v>10449</v>
      </c>
      <c r="W1183" t="s">
        <v>10450</v>
      </c>
      <c r="Y1183" t="str">
        <f>HYPERLINK("https://recruiter.shine.com/resume/download/?resumeid=gAAAAABbk2UNUm1wezRLQzFP3jdQlzFoKev8essLHfaTJQoiJnERs4Th_xha3mE-5B0bGxKBqO5a_SWWJwM_16VgQ1EUO3GDsCRTayXUmyeXkUdk2dlD9OHPTeOYZHss4Wh8dWztKqIDseWpWFrSUwOpuG2lfmJFvg==")</f>
        <v>https://recruiter.shine.com/resume/download/?resumeid=gAAAAABbk2UNUm1wezRLQzFP3jdQlzFoKev8essLHfaTJQoiJnERs4Th_xha3mE-5B0bGxKBqO5a_SWWJwM_16VgQ1EUO3GDsCRTayXUmyeXkUdk2dlD9OHPTeOYZHss4Wh8dWztKqIDseWpWFrSUwOpuG2lfmJFvg==</v>
      </c>
    </row>
    <row r="1184" spans="1:25" ht="39.950000000000003" customHeight="1">
      <c r="A1184">
        <v>1180</v>
      </c>
      <c r="B1184" t="s">
        <v>10451</v>
      </c>
      <c r="C1184" t="s">
        <v>10452</v>
      </c>
      <c r="D1184" t="s">
        <v>10453</v>
      </c>
      <c r="E1184" t="s">
        <v>10454</v>
      </c>
      <c r="F1184" t="s">
        <v>29</v>
      </c>
      <c r="G1184" t="s">
        <v>10455</v>
      </c>
      <c r="H1184" t="s">
        <v>31</v>
      </c>
      <c r="I1184" t="s">
        <v>6326</v>
      </c>
      <c r="J1184" t="s">
        <v>408</v>
      </c>
      <c r="K1184" t="s">
        <v>1454</v>
      </c>
      <c r="L1184" t="s">
        <v>266</v>
      </c>
      <c r="M1184" t="s">
        <v>105</v>
      </c>
      <c r="N1184" t="s">
        <v>10456</v>
      </c>
      <c r="O1184" t="s">
        <v>585</v>
      </c>
      <c r="P1184" t="s">
        <v>940</v>
      </c>
      <c r="Q1184" t="s">
        <v>107</v>
      </c>
      <c r="R1184" t="s">
        <v>864</v>
      </c>
      <c r="S1184" t="s">
        <v>10457</v>
      </c>
      <c r="T1184" t="s">
        <v>227</v>
      </c>
      <c r="U1184" t="s">
        <v>43</v>
      </c>
      <c r="V1184" t="s">
        <v>10458</v>
      </c>
      <c r="W1184" t="s">
        <v>10459</v>
      </c>
      <c r="Y1184" t="str">
        <f>HYPERLINK("https://recruiter.shine.com/resume/download/?resumeid=gAAAAABbk2UKCngwiWraq0EJ9ZgWioZzluHj7vuGdp_mJ_iqRlk8hU1c31qL1hGo-azcQrWbAkHTngcHWZotAjwXqGLtV33xSDfkMtsvD1y2965KgPL9GjhOS70L4MjxLI6QQEmnkOHMeM8g2F0eBvWI1VA4_xqu33HuGYd4iE1RP_8mcemxSkc=")</f>
        <v>https://recruiter.shine.com/resume/download/?resumeid=gAAAAABbk2UKCngwiWraq0EJ9ZgWioZzluHj7vuGdp_mJ_iqRlk8hU1c31qL1hGo-azcQrWbAkHTngcHWZotAjwXqGLtV33xSDfkMtsvD1y2965KgPL9GjhOS70L4MjxLI6QQEmnkOHMeM8g2F0eBvWI1VA4_xqu33HuGYd4iE1RP_8mcemxSkc=</v>
      </c>
    </row>
    <row r="1185" spans="1:25" ht="39.950000000000003" customHeight="1">
      <c r="A1185">
        <v>1181</v>
      </c>
      <c r="B1185" t="s">
        <v>10460</v>
      </c>
      <c r="D1185" t="s">
        <v>10461</v>
      </c>
      <c r="E1185" t="s">
        <v>10462</v>
      </c>
      <c r="F1185" t="s">
        <v>29</v>
      </c>
      <c r="G1185" t="s">
        <v>29</v>
      </c>
      <c r="H1185" t="s">
        <v>31</v>
      </c>
      <c r="I1185" t="s">
        <v>32</v>
      </c>
      <c r="J1185" t="s">
        <v>10463</v>
      </c>
      <c r="K1185" t="s">
        <v>10464</v>
      </c>
      <c r="L1185" t="s">
        <v>266</v>
      </c>
      <c r="M1185" t="s">
        <v>105</v>
      </c>
      <c r="N1185" t="s">
        <v>10465</v>
      </c>
      <c r="O1185" t="s">
        <v>157</v>
      </c>
      <c r="Q1185" t="s">
        <v>107</v>
      </c>
      <c r="R1185" t="s">
        <v>159</v>
      </c>
      <c r="S1185" t="s">
        <v>10466</v>
      </c>
      <c r="T1185" t="s">
        <v>3054</v>
      </c>
      <c r="U1185" t="s">
        <v>43</v>
      </c>
      <c r="V1185" t="s">
        <v>10467</v>
      </c>
      <c r="W1185" t="s">
        <v>10468</v>
      </c>
      <c r="Y1185" t="str">
        <f>HYPERLINK("https://recruiter.shine.com/resume/download/?resumeid=gAAAAABbk2UM2ILxY2mQlqaSyEOXDDDL8rfFtDnWTSq7j0TmtvHCL1TiRFzCEH-Gc43csQsCr4ymF9mpZmtFFW12OKAhaELmJGxP9ZyF1Rn5RNG_Hvy0lckm56mQE64zh6U_bnHCPUxxoQCPuHP4jICYUh-1aChrSA==")</f>
        <v>https://recruiter.shine.com/resume/download/?resumeid=gAAAAABbk2UM2ILxY2mQlqaSyEOXDDDL8rfFtDnWTSq7j0TmtvHCL1TiRFzCEH-Gc43csQsCr4ymF9mpZmtFFW12OKAhaELmJGxP9ZyF1Rn5RNG_Hvy0lckm56mQE64zh6U_bnHCPUxxoQCPuHP4jICYUh-1aChrSA==</v>
      </c>
    </row>
    <row r="1186" spans="1:25" ht="39.950000000000003" customHeight="1">
      <c r="A1186">
        <v>1182</v>
      </c>
      <c r="B1186" t="s">
        <v>10469</v>
      </c>
      <c r="C1186" t="s">
        <v>10470</v>
      </c>
      <c r="D1186" t="s">
        <v>10471</v>
      </c>
      <c r="E1186" t="s">
        <v>10472</v>
      </c>
      <c r="F1186" t="s">
        <v>29</v>
      </c>
      <c r="G1186" t="s">
        <v>10473</v>
      </c>
      <c r="H1186" t="s">
        <v>31</v>
      </c>
      <c r="I1186" t="s">
        <v>2074</v>
      </c>
      <c r="J1186" t="s">
        <v>251</v>
      </c>
      <c r="K1186" t="s">
        <v>10474</v>
      </c>
      <c r="L1186" t="s">
        <v>171</v>
      </c>
      <c r="M1186" t="s">
        <v>36</v>
      </c>
      <c r="N1186" t="s">
        <v>10475</v>
      </c>
      <c r="O1186" t="s">
        <v>475</v>
      </c>
      <c r="P1186" t="s">
        <v>201</v>
      </c>
      <c r="Q1186" t="s">
        <v>158</v>
      </c>
      <c r="R1186" t="s">
        <v>559</v>
      </c>
      <c r="S1186" t="s">
        <v>10476</v>
      </c>
      <c r="T1186" t="s">
        <v>93</v>
      </c>
      <c r="U1186" t="s">
        <v>94</v>
      </c>
      <c r="V1186" t="s">
        <v>10477</v>
      </c>
      <c r="W1186" t="s">
        <v>10478</v>
      </c>
      <c r="Y1186" t="str">
        <f>HYPERLINK("https://recruiter.shine.com/resume/download/?resumeid=gAAAAABbk2UOUZSR5EzmAQ21JfOAAktYtNDy_6Ex1XYJXP5RzlasG8-qu7bmLVJtYImjHzJYJT9P2FKzQXq31Ox6sRMPtCjguM5zQ3JSSflgSSs9cLtu8GQJPKDjlhVJ2_0_FWXY_KvHGjTi6f9EiXMw3Iyt2dXuLPpDFiB3_ihDpi1gCpL3rPQ=")</f>
        <v>https://recruiter.shine.com/resume/download/?resumeid=gAAAAABbk2UOUZSR5EzmAQ21JfOAAktYtNDy_6Ex1XYJXP5RzlasG8-qu7bmLVJtYImjHzJYJT9P2FKzQXq31Ox6sRMPtCjguM5zQ3JSSflgSSs9cLtu8GQJPKDjlhVJ2_0_FWXY_KvHGjTi6f9EiXMw3Iyt2dXuLPpDFiB3_ihDpi1gCpL3rPQ=</v>
      </c>
    </row>
    <row r="1187" spans="1:25" ht="39.950000000000003" customHeight="1">
      <c r="A1187">
        <v>1183</v>
      </c>
      <c r="B1187" t="s">
        <v>10479</v>
      </c>
      <c r="C1187" t="s">
        <v>10480</v>
      </c>
      <c r="D1187" t="s">
        <v>10481</v>
      </c>
      <c r="E1187" t="s">
        <v>10482</v>
      </c>
      <c r="F1187" t="s">
        <v>29</v>
      </c>
      <c r="G1187" t="s">
        <v>10483</v>
      </c>
      <c r="H1187" t="s">
        <v>31</v>
      </c>
      <c r="I1187" t="s">
        <v>1093</v>
      </c>
      <c r="J1187" t="s">
        <v>135</v>
      </c>
      <c r="K1187" t="s">
        <v>5683</v>
      </c>
      <c r="L1187" t="s">
        <v>88</v>
      </c>
      <c r="M1187" t="s">
        <v>238</v>
      </c>
      <c r="N1187" t="s">
        <v>10484</v>
      </c>
      <c r="O1187" t="s">
        <v>56</v>
      </c>
      <c r="P1187" t="s">
        <v>140</v>
      </c>
      <c r="Q1187" t="s">
        <v>90</v>
      </c>
      <c r="R1187" t="s">
        <v>292</v>
      </c>
      <c r="S1187" t="s">
        <v>10485</v>
      </c>
      <c r="T1187" t="s">
        <v>61</v>
      </c>
      <c r="U1187" t="s">
        <v>43</v>
      </c>
      <c r="V1187" t="s">
        <v>10486</v>
      </c>
      <c r="W1187" t="s">
        <v>10487</v>
      </c>
      <c r="Y1187" t="str">
        <f>HYPERLINK("https://recruiter.shine.com/resume/download/?resumeid=gAAAAABbk2ULIAunVyUJ14lQJElVvvDuN1jUOIRDVNIMA_nthVbYJr8x4P0rRc0RWo53-bwLGtN8b6pDZdrXtFhzAJi4N3GuPcqdJz2YyXYr8fPOieLJCqNzXD5sRToWuU777hWJk6u64XVDpPas5_foGkRyHEpcQ0jmrKXDsjbX4LQ4YpCDJu0=")</f>
        <v>https://recruiter.shine.com/resume/download/?resumeid=gAAAAABbk2ULIAunVyUJ14lQJElVvvDuN1jUOIRDVNIMA_nthVbYJr8x4P0rRc0RWo53-bwLGtN8b6pDZdrXtFhzAJi4N3GuPcqdJz2YyXYr8fPOieLJCqNzXD5sRToWuU777hWJk6u64XVDpPas5_foGkRyHEpcQ0jmrKXDsjbX4LQ4YpCDJu0=</v>
      </c>
    </row>
    <row r="1188" spans="1:25" ht="39.950000000000003" customHeight="1">
      <c r="A1188">
        <v>1184</v>
      </c>
      <c r="B1188" t="s">
        <v>10488</v>
      </c>
      <c r="C1188" t="s">
        <v>10489</v>
      </c>
      <c r="D1188" t="s">
        <v>10490</v>
      </c>
      <c r="E1188" t="s">
        <v>10491</v>
      </c>
      <c r="F1188" t="s">
        <v>29</v>
      </c>
      <c r="G1188" t="s">
        <v>10492</v>
      </c>
      <c r="H1188" t="s">
        <v>31</v>
      </c>
      <c r="I1188" t="s">
        <v>32</v>
      </c>
      <c r="J1188" t="s">
        <v>10493</v>
      </c>
      <c r="K1188" t="s">
        <v>10494</v>
      </c>
      <c r="L1188" t="s">
        <v>1674</v>
      </c>
      <c r="M1188" t="s">
        <v>105</v>
      </c>
      <c r="N1188" t="s">
        <v>10495</v>
      </c>
      <c r="O1188" t="s">
        <v>186</v>
      </c>
      <c r="P1188" t="s">
        <v>57</v>
      </c>
      <c r="Q1188" t="s">
        <v>90</v>
      </c>
      <c r="R1188" t="s">
        <v>317</v>
      </c>
      <c r="S1188" t="s">
        <v>10496</v>
      </c>
      <c r="T1188" t="s">
        <v>415</v>
      </c>
      <c r="U1188" t="s">
        <v>127</v>
      </c>
      <c r="V1188" t="s">
        <v>10497</v>
      </c>
      <c r="W1188" t="s">
        <v>10498</v>
      </c>
      <c r="Y1188" t="str">
        <f>HYPERLINK("https://recruiter.shine.com/resume/download/?resumeid=gAAAAABbk2UMdj_CzYYmDUeWXFgAUo-QhTrTE4dxCc3S50mVBDq4Th7NLQJ9KaOonR3qIV8tXPj-44G-Iu2my1V0uCmVxvgaqBHS1sV3ChmbC0P9SYe76bi9kJeTQvD_oVjkck1cZtXUrQ4x6Z0nLVbBzkb8dS-Ang==")</f>
        <v>https://recruiter.shine.com/resume/download/?resumeid=gAAAAABbk2UMdj_CzYYmDUeWXFgAUo-QhTrTE4dxCc3S50mVBDq4Th7NLQJ9KaOonR3qIV8tXPj-44G-Iu2my1V0uCmVxvgaqBHS1sV3ChmbC0P9SYe76bi9kJeTQvD_oVjkck1cZtXUrQ4x6Z0nLVbBzkb8dS-Ang==</v>
      </c>
    </row>
    <row r="1189" spans="1:25" ht="39.950000000000003" customHeight="1">
      <c r="A1189">
        <v>1185</v>
      </c>
      <c r="B1189" t="s">
        <v>10499</v>
      </c>
      <c r="C1189" t="s">
        <v>10500</v>
      </c>
      <c r="D1189" t="s">
        <v>10501</v>
      </c>
      <c r="E1189" t="s">
        <v>10502</v>
      </c>
      <c r="F1189" t="s">
        <v>29</v>
      </c>
      <c r="H1189" t="s">
        <v>31</v>
      </c>
      <c r="I1189" t="s">
        <v>362</v>
      </c>
      <c r="J1189" t="s">
        <v>51</v>
      </c>
      <c r="K1189" t="s">
        <v>10503</v>
      </c>
      <c r="L1189" t="s">
        <v>184</v>
      </c>
      <c r="M1189" t="s">
        <v>238</v>
      </c>
      <c r="N1189" t="s">
        <v>10504</v>
      </c>
      <c r="O1189" t="s">
        <v>224</v>
      </c>
      <c r="Q1189" t="s">
        <v>240</v>
      </c>
      <c r="R1189" t="s">
        <v>241</v>
      </c>
      <c r="S1189" t="s">
        <v>1796</v>
      </c>
      <c r="T1189" t="s">
        <v>625</v>
      </c>
      <c r="U1189" t="s">
        <v>43</v>
      </c>
      <c r="V1189" t="s">
        <v>10505</v>
      </c>
      <c r="W1189" t="s">
        <v>10506</v>
      </c>
      <c r="Y1189" t="str">
        <f>HYPERLINK("https://recruiter.shine.com/resume/download/?resumeid=gAAAAABbk2UNhM_YCoxCtAgU4OTRKt12XuzzH7ScnimBFofDNHcivhAsKiPLEV7Z85gMDyJCuoRwOmyu9p7u8zJrImt-i56btIfEBzHDH7VV69MM-29y3o3qEPa-Yu72gnAwo9WYyMWOwm7Tvi2Z80YryvW9m9esDA==")</f>
        <v>https://recruiter.shine.com/resume/download/?resumeid=gAAAAABbk2UNhM_YCoxCtAgU4OTRKt12XuzzH7ScnimBFofDNHcivhAsKiPLEV7Z85gMDyJCuoRwOmyu9p7u8zJrImt-i56btIfEBzHDH7VV69MM-29y3o3qEPa-Yu72gnAwo9WYyMWOwm7Tvi2Z80YryvW9m9esDA==</v>
      </c>
    </row>
    <row r="1190" spans="1:25" ht="39.950000000000003" customHeight="1">
      <c r="A1190">
        <v>1186</v>
      </c>
      <c r="B1190" t="s">
        <v>10507</v>
      </c>
      <c r="C1190" t="s">
        <v>10508</v>
      </c>
      <c r="D1190" t="s">
        <v>10509</v>
      </c>
      <c r="E1190" t="s">
        <v>10510</v>
      </c>
      <c r="F1190" t="s">
        <v>29</v>
      </c>
      <c r="G1190" t="s">
        <v>10511</v>
      </c>
      <c r="H1190" t="s">
        <v>31</v>
      </c>
      <c r="I1190" t="s">
        <v>1208</v>
      </c>
      <c r="J1190" t="s">
        <v>10512</v>
      </c>
      <c r="K1190" t="s">
        <v>198</v>
      </c>
      <c r="L1190" t="s">
        <v>354</v>
      </c>
      <c r="M1190" t="s">
        <v>827</v>
      </c>
      <c r="N1190" t="s">
        <v>10513</v>
      </c>
      <c r="O1190" t="s">
        <v>56</v>
      </c>
      <c r="P1190" t="s">
        <v>73</v>
      </c>
      <c r="Q1190" t="s">
        <v>158</v>
      </c>
      <c r="R1190" t="s">
        <v>41</v>
      </c>
      <c r="S1190" t="s">
        <v>10514</v>
      </c>
      <c r="U1190" t="s">
        <v>43</v>
      </c>
      <c r="V1190" t="s">
        <v>10515</v>
      </c>
      <c r="W1190" t="s">
        <v>10516</v>
      </c>
      <c r="Y1190" t="str">
        <f>HYPERLINK("https://recruiter.shine.com/resume/download/?resumeid=gAAAAABbk2UKw8H406Zb6zckHHJXUoyG_AzRIG5I_HkroJX_nQBY9BN4p_TwYjENB3LPBDBdHnmmi2dX3Tdv-zR90_IGBVYcWlz9X0AD-HKXvEdTzwVqZ1lVODrjSl2rjTYxjKODuLpK")</f>
        <v>https://recruiter.shine.com/resume/download/?resumeid=gAAAAABbk2UKw8H406Zb6zckHHJXUoyG_AzRIG5I_HkroJX_nQBY9BN4p_TwYjENB3LPBDBdHnmmi2dX3Tdv-zR90_IGBVYcWlz9X0AD-HKXvEdTzwVqZ1lVODrjSl2rjTYxjKODuLpK</v>
      </c>
    </row>
    <row r="1191" spans="1:25" ht="39.950000000000003" customHeight="1">
      <c r="A1191">
        <v>1187</v>
      </c>
      <c r="B1191" t="s">
        <v>10517</v>
      </c>
      <c r="C1191" t="s">
        <v>10518</v>
      </c>
      <c r="D1191" t="s">
        <v>10519</v>
      </c>
      <c r="E1191" t="s">
        <v>10520</v>
      </c>
      <c r="F1191" t="s">
        <v>29</v>
      </c>
      <c r="G1191" t="s">
        <v>7369</v>
      </c>
      <c r="H1191" t="s">
        <v>31</v>
      </c>
      <c r="I1191" t="s">
        <v>10521</v>
      </c>
      <c r="J1191" t="s">
        <v>153</v>
      </c>
      <c r="K1191" t="s">
        <v>10522</v>
      </c>
      <c r="L1191" t="s">
        <v>582</v>
      </c>
      <c r="M1191" t="s">
        <v>36</v>
      </c>
      <c r="N1191" t="s">
        <v>10523</v>
      </c>
      <c r="O1191" t="s">
        <v>56</v>
      </c>
      <c r="P1191" t="s">
        <v>268</v>
      </c>
      <c r="Q1191" t="s">
        <v>40</v>
      </c>
      <c r="R1191" t="s">
        <v>41</v>
      </c>
      <c r="S1191" t="s">
        <v>2229</v>
      </c>
      <c r="T1191" t="s">
        <v>441</v>
      </c>
      <c r="U1191" t="s">
        <v>43</v>
      </c>
      <c r="V1191" t="s">
        <v>10524</v>
      </c>
      <c r="W1191" t="s">
        <v>10525</v>
      </c>
      <c r="Y1191" t="str">
        <f>HYPERLINK("https://recruiter.shine.com/resume/download/?resumeid=gAAAAABbk2UMomC8EcRDr3pCfxSquOoeH8-6_fxtWQeJOhnDFwLX5kWP_9QYc09HM7K7zxJpe1Aym61Zet6Rs1RVN8I6KqekhZoN-IT_sdbFAEvO4ld5wi56UxHj-0mO2NkKllyE2TpCubTIbg-S3GYpjM2Q2SmyIA==")</f>
        <v>https://recruiter.shine.com/resume/download/?resumeid=gAAAAABbk2UMomC8EcRDr3pCfxSquOoeH8-6_fxtWQeJOhnDFwLX5kWP_9QYc09HM7K7zxJpe1Aym61Zet6Rs1RVN8I6KqekhZoN-IT_sdbFAEvO4ld5wi56UxHj-0mO2NkKllyE2TpCubTIbg-S3GYpjM2Q2SmyIA==</v>
      </c>
    </row>
    <row r="1192" spans="1:25" ht="39.950000000000003" customHeight="1">
      <c r="A1192">
        <v>1188</v>
      </c>
      <c r="B1192" t="s">
        <v>10526</v>
      </c>
      <c r="D1192" t="s">
        <v>10527</v>
      </c>
      <c r="E1192" t="s">
        <v>10528</v>
      </c>
      <c r="F1192" t="s">
        <v>29</v>
      </c>
      <c r="G1192" t="s">
        <v>10529</v>
      </c>
      <c r="H1192" t="s">
        <v>31</v>
      </c>
      <c r="I1192" t="s">
        <v>196</v>
      </c>
      <c r="J1192" t="s">
        <v>2026</v>
      </c>
      <c r="K1192" t="s">
        <v>595</v>
      </c>
      <c r="L1192" t="s">
        <v>338</v>
      </c>
      <c r="M1192" t="s">
        <v>395</v>
      </c>
      <c r="N1192" t="s">
        <v>10530</v>
      </c>
      <c r="O1192" t="s">
        <v>56</v>
      </c>
      <c r="Q1192" t="s">
        <v>783</v>
      </c>
      <c r="R1192" t="s">
        <v>490</v>
      </c>
      <c r="S1192" t="s">
        <v>10531</v>
      </c>
      <c r="T1192" t="s">
        <v>126</v>
      </c>
      <c r="U1192" t="s">
        <v>43</v>
      </c>
      <c r="V1192" t="s">
        <v>10532</v>
      </c>
      <c r="W1192" t="s">
        <v>10532</v>
      </c>
      <c r="Y1192" t="str">
        <f>HYPERLINK("https://recruiter.shine.com/resume/download/?resumeid=gAAAAABbk2UOm0xBK9Yp4pebMdPOxiNrw5V19-m2pOFh9drOQ6nJNPQsVPuDmv7E0fLiieQsyhM1gSlN_WslR7oasZEkDyCMUI5feFeu15NOldgSS11tyDrqobMpxMmi8ZCDn72AFI3S1DPBm6N6ukkHcqNYTVjKaJlsu7FqQYFjolFho-Dfnrw=")</f>
        <v>https://recruiter.shine.com/resume/download/?resumeid=gAAAAABbk2UOm0xBK9Yp4pebMdPOxiNrw5V19-m2pOFh9drOQ6nJNPQsVPuDmv7E0fLiieQsyhM1gSlN_WslR7oasZEkDyCMUI5feFeu15NOldgSS11tyDrqobMpxMmi8ZCDn72AFI3S1DPBm6N6ukkHcqNYTVjKaJlsu7FqQYFjolFho-Dfnrw=</v>
      </c>
    </row>
    <row r="1193" spans="1:25" ht="39.950000000000003" customHeight="1">
      <c r="A1193">
        <v>1189</v>
      </c>
      <c r="B1193" t="s">
        <v>10533</v>
      </c>
      <c r="C1193" t="s">
        <v>10534</v>
      </c>
      <c r="D1193" t="s">
        <v>10535</v>
      </c>
      <c r="E1193" t="s">
        <v>10536</v>
      </c>
      <c r="F1193" t="s">
        <v>29</v>
      </c>
      <c r="G1193" t="s">
        <v>10537</v>
      </c>
      <c r="H1193" t="s">
        <v>31</v>
      </c>
      <c r="I1193" t="s">
        <v>10538</v>
      </c>
      <c r="J1193" t="s">
        <v>153</v>
      </c>
      <c r="K1193" t="s">
        <v>10539</v>
      </c>
      <c r="L1193" t="s">
        <v>7078</v>
      </c>
      <c r="M1193" t="s">
        <v>339</v>
      </c>
      <c r="N1193" t="s">
        <v>10540</v>
      </c>
      <c r="O1193" t="s">
        <v>3583</v>
      </c>
      <c r="P1193" t="s">
        <v>73</v>
      </c>
      <c r="Q1193" t="s">
        <v>107</v>
      </c>
      <c r="R1193" t="s">
        <v>341</v>
      </c>
      <c r="S1193" t="s">
        <v>10541</v>
      </c>
      <c r="T1193" t="s">
        <v>441</v>
      </c>
      <c r="U1193" t="s">
        <v>127</v>
      </c>
      <c r="V1193" t="s">
        <v>10542</v>
      </c>
      <c r="W1193" t="s">
        <v>10542</v>
      </c>
      <c r="Y1193" t="str">
        <f>HYPERLINK("https://recruiter.shine.com/resume/download/?resumeid=gAAAAABbk2UL5TZMXzNgiq1r-LyYdzgneTevodVVviv2k_9QdQcnOgHQvXBAo-el4fUjg459mClE9zytfS_oDjfKW9QK0NhpMZYObFZ85lvVa7ZCTyUCnXyBVMID05JqmelxIaamXpDiQGJL15ebZa7fRzeSYwjKDg==")</f>
        <v>https://recruiter.shine.com/resume/download/?resumeid=gAAAAABbk2UL5TZMXzNgiq1r-LyYdzgneTevodVVviv2k_9QdQcnOgHQvXBAo-el4fUjg459mClE9zytfS_oDjfKW9QK0NhpMZYObFZ85lvVa7ZCTyUCnXyBVMID05JqmelxIaamXpDiQGJL15ebZa7fRzeSYwjKDg==</v>
      </c>
    </row>
    <row r="1194" spans="1:25" ht="39.950000000000003" customHeight="1">
      <c r="A1194">
        <v>1190</v>
      </c>
      <c r="B1194" t="s">
        <v>10543</v>
      </c>
      <c r="C1194" t="s">
        <v>3843</v>
      </c>
      <c r="D1194" t="s">
        <v>10544</v>
      </c>
      <c r="E1194" t="s">
        <v>10545</v>
      </c>
      <c r="F1194" t="s">
        <v>29</v>
      </c>
      <c r="G1194" t="s">
        <v>29</v>
      </c>
      <c r="H1194" t="s">
        <v>31</v>
      </c>
      <c r="I1194" t="s">
        <v>860</v>
      </c>
      <c r="J1194" t="s">
        <v>8422</v>
      </c>
      <c r="K1194" t="s">
        <v>10546</v>
      </c>
      <c r="L1194" t="s">
        <v>120</v>
      </c>
      <c r="M1194" t="s">
        <v>315</v>
      </c>
      <c r="N1194" t="s">
        <v>10547</v>
      </c>
      <c r="O1194" t="s">
        <v>38</v>
      </c>
      <c r="Q1194" t="s">
        <v>40</v>
      </c>
      <c r="R1194" t="s">
        <v>2364</v>
      </c>
      <c r="S1194" t="s">
        <v>10548</v>
      </c>
      <c r="T1194" t="s">
        <v>61</v>
      </c>
      <c r="U1194" t="s">
        <v>43</v>
      </c>
      <c r="V1194" t="s">
        <v>10549</v>
      </c>
      <c r="W1194" t="s">
        <v>10550</v>
      </c>
      <c r="Y1194" t="str">
        <f>HYPERLINK("https://recruiter.shine.com/resume/download/?resumeid=gAAAAABbk2UNeA69MBP0kHezmQWb0HY39HH9XV3zWv2avgb8F1Cvf_PnVFyd1DjNrgfK_JF9Cv0WMAhRN6peLbvvbp51unOrZZU9fbDuEK0Z12xgrw6LxALwgVDrj7VqBuqoMth4Pil8tWhOBvuTJbnpLLfZgeItRjRx4HGkscDO4TMVDDUfYiw=")</f>
        <v>https://recruiter.shine.com/resume/download/?resumeid=gAAAAABbk2UNeA69MBP0kHezmQWb0HY39HH9XV3zWv2avgb8F1Cvf_PnVFyd1DjNrgfK_JF9Cv0WMAhRN6peLbvvbp51unOrZZU9fbDuEK0Z12xgrw6LxALwgVDrj7VqBuqoMth4Pil8tWhOBvuTJbnpLLfZgeItRjRx4HGkscDO4TMVDDUfYiw=</v>
      </c>
    </row>
    <row r="1195" spans="1:25" ht="39.950000000000003" customHeight="1">
      <c r="A1195">
        <v>1191</v>
      </c>
      <c r="B1195" t="s">
        <v>10551</v>
      </c>
      <c r="D1195" t="s">
        <v>10552</v>
      </c>
      <c r="E1195" t="s">
        <v>10553</v>
      </c>
      <c r="F1195" t="s">
        <v>29</v>
      </c>
      <c r="G1195" t="s">
        <v>29</v>
      </c>
      <c r="H1195" t="s">
        <v>31</v>
      </c>
      <c r="I1195" t="s">
        <v>10554</v>
      </c>
      <c r="J1195" t="s">
        <v>135</v>
      </c>
      <c r="K1195" t="s">
        <v>10555</v>
      </c>
      <c r="L1195" t="s">
        <v>1524</v>
      </c>
      <c r="M1195" t="s">
        <v>222</v>
      </c>
      <c r="N1195" t="s">
        <v>10556</v>
      </c>
      <c r="O1195" t="s">
        <v>572</v>
      </c>
      <c r="Q1195" t="s">
        <v>107</v>
      </c>
      <c r="R1195" t="s">
        <v>75</v>
      </c>
      <c r="S1195" t="s">
        <v>10557</v>
      </c>
      <c r="T1195" t="s">
        <v>2358</v>
      </c>
      <c r="U1195" t="s">
        <v>43</v>
      </c>
      <c r="V1195" t="s">
        <v>10558</v>
      </c>
      <c r="W1195" t="s">
        <v>10559</v>
      </c>
      <c r="Y1195" t="str">
        <f>HYPERLINK("https://recruiter.shine.com/resume/download/?resumeid=gAAAAABbk2UOyI36uzm7GsbQ7Pjei70ZM4D3vfLHm76VB8e1X8vhR6b86dpHrs_ARHoQdTQdSNrzLKZiQxuxBn3szlRxh6H9jIsi3dNKxTtOxen5JkUvwxMlHTBC2FWf_5BkzXO-ahfOrceacEe_8dB0ftpjxpFUJnqdqSqoAKpHe-iVG9fHaTE=")</f>
        <v>https://recruiter.shine.com/resume/download/?resumeid=gAAAAABbk2UOyI36uzm7GsbQ7Pjei70ZM4D3vfLHm76VB8e1X8vhR6b86dpHrs_ARHoQdTQdSNrzLKZiQxuxBn3szlRxh6H9jIsi3dNKxTtOxen5JkUvwxMlHTBC2FWf_5BkzXO-ahfOrceacEe_8dB0ftpjxpFUJnqdqSqoAKpHe-iVG9fHaTE=</v>
      </c>
    </row>
    <row r="1196" spans="1:25" ht="39.950000000000003" customHeight="1">
      <c r="A1196">
        <v>1192</v>
      </c>
      <c r="B1196" t="s">
        <v>10560</v>
      </c>
      <c r="C1196" t="s">
        <v>10561</v>
      </c>
      <c r="D1196" t="s">
        <v>10562</v>
      </c>
      <c r="E1196" t="s">
        <v>10563</v>
      </c>
      <c r="F1196" t="s">
        <v>29</v>
      </c>
      <c r="G1196" t="s">
        <v>67</v>
      </c>
      <c r="H1196" t="s">
        <v>31</v>
      </c>
      <c r="I1196" t="s">
        <v>7471</v>
      </c>
      <c r="J1196" t="s">
        <v>10564</v>
      </c>
      <c r="K1196" t="s">
        <v>10565</v>
      </c>
      <c r="L1196" t="s">
        <v>10566</v>
      </c>
      <c r="M1196" t="s">
        <v>238</v>
      </c>
      <c r="N1196" t="s">
        <v>10567</v>
      </c>
      <c r="O1196" t="s">
        <v>804</v>
      </c>
      <c r="P1196" t="s">
        <v>57</v>
      </c>
      <c r="Q1196" t="s">
        <v>783</v>
      </c>
      <c r="R1196" t="s">
        <v>4148</v>
      </c>
      <c r="S1196" t="s">
        <v>1688</v>
      </c>
      <c r="T1196" t="s">
        <v>687</v>
      </c>
      <c r="U1196" t="s">
        <v>43</v>
      </c>
      <c r="V1196" t="s">
        <v>10568</v>
      </c>
      <c r="W1196" t="s">
        <v>10569</v>
      </c>
      <c r="Y1196" t="str">
        <f>HYPERLINK("https://recruiter.shine.com/resume/download/?resumeid=gAAAAABbk2ULQyL8uKFwj357DcxXBwJwB2UQvDmN0oB9FZqOCegfA-K50LIgZ2k4AXMqesrGsikmJdIHhoTC5upcIcsf0vBdOlD0LRSqgjfFnAG-Aqe_uDRwdfG4WOziTl6eCDlVMDoonEHf-UjMtJJDA4zLpPP4qg==")</f>
        <v>https://recruiter.shine.com/resume/download/?resumeid=gAAAAABbk2ULQyL8uKFwj357DcxXBwJwB2UQvDmN0oB9FZqOCegfA-K50LIgZ2k4AXMqesrGsikmJdIHhoTC5upcIcsf0vBdOlD0LRSqgjfFnAG-Aqe_uDRwdfG4WOziTl6eCDlVMDoonEHf-UjMtJJDA4zLpPP4qg==</v>
      </c>
    </row>
    <row r="1197" spans="1:25" ht="39.950000000000003" customHeight="1">
      <c r="A1197">
        <v>1193</v>
      </c>
      <c r="B1197" t="s">
        <v>10570</v>
      </c>
      <c r="D1197" t="s">
        <v>10571</v>
      </c>
      <c r="E1197" t="s">
        <v>10572</v>
      </c>
      <c r="F1197" t="s">
        <v>29</v>
      </c>
      <c r="G1197" t="s">
        <v>67</v>
      </c>
      <c r="H1197" t="s">
        <v>234</v>
      </c>
      <c r="I1197" t="s">
        <v>134</v>
      </c>
      <c r="J1197" t="s">
        <v>102</v>
      </c>
      <c r="K1197" t="s">
        <v>10573</v>
      </c>
      <c r="L1197" t="s">
        <v>4146</v>
      </c>
      <c r="M1197" t="s">
        <v>757</v>
      </c>
      <c r="N1197" t="s">
        <v>10574</v>
      </c>
      <c r="O1197" t="s">
        <v>38</v>
      </c>
      <c r="Q1197" t="s">
        <v>187</v>
      </c>
      <c r="R1197" t="s">
        <v>124</v>
      </c>
      <c r="S1197" t="s">
        <v>10575</v>
      </c>
      <c r="T1197" t="s">
        <v>415</v>
      </c>
      <c r="U1197" t="s">
        <v>43</v>
      </c>
      <c r="V1197" t="s">
        <v>10576</v>
      </c>
      <c r="W1197" t="s">
        <v>10577</v>
      </c>
      <c r="Y1197" t="str">
        <f>HYPERLINK("https://recruiter.shine.com/resume/download/?resumeid=gAAAAABbk2UM3KDWpBrnO53MGWHSSOu5T9bUE5TP08Csw4rkF-RD1_yDqilfDrevD5sd1ShcjRzwXLvavTb2PqI25ZeJP2TMIWZCb3jR9Iv1PSi-G6iXoc8YrTHstEKwUk6rOeqgXU7VK3AEMLXh3TLyXkLnEPhXsJtrFLEMbfP2kji7TpmuFSQ=")</f>
        <v>https://recruiter.shine.com/resume/download/?resumeid=gAAAAABbk2UM3KDWpBrnO53MGWHSSOu5T9bUE5TP08Csw4rkF-RD1_yDqilfDrevD5sd1ShcjRzwXLvavTb2PqI25ZeJP2TMIWZCb3jR9Iv1PSi-G6iXoc8YrTHstEKwUk6rOeqgXU7VK3AEMLXh3TLyXkLnEPhXsJtrFLEMbfP2kji7TpmuFSQ=</v>
      </c>
    </row>
    <row r="1198" spans="1:25" ht="39.950000000000003" customHeight="1">
      <c r="A1198">
        <v>1194</v>
      </c>
      <c r="B1198" t="s">
        <v>10578</v>
      </c>
      <c r="C1198" t="s">
        <v>10579</v>
      </c>
      <c r="D1198" t="s">
        <v>10580</v>
      </c>
      <c r="E1198" t="s">
        <v>10581</v>
      </c>
      <c r="F1198" t="s">
        <v>29</v>
      </c>
      <c r="G1198" t="s">
        <v>29</v>
      </c>
      <c r="H1198" t="s">
        <v>31</v>
      </c>
      <c r="I1198" t="s">
        <v>168</v>
      </c>
      <c r="J1198" t="s">
        <v>288</v>
      </c>
      <c r="K1198" t="s">
        <v>10582</v>
      </c>
      <c r="L1198" t="s">
        <v>88</v>
      </c>
      <c r="M1198" t="s">
        <v>54</v>
      </c>
      <c r="N1198" t="s">
        <v>355</v>
      </c>
      <c r="O1198" t="s">
        <v>572</v>
      </c>
      <c r="P1198" t="s">
        <v>57</v>
      </c>
      <c r="Q1198" t="s">
        <v>699</v>
      </c>
      <c r="R1198" t="s">
        <v>59</v>
      </c>
      <c r="S1198" t="s">
        <v>1031</v>
      </c>
      <c r="T1198" t="s">
        <v>2358</v>
      </c>
      <c r="U1198" t="s">
        <v>43</v>
      </c>
      <c r="V1198" t="s">
        <v>10583</v>
      </c>
      <c r="W1198" t="s">
        <v>10584</v>
      </c>
      <c r="Y1198" t="str">
        <f>HYPERLINK("https://recruiter.shine.com/resume/download/?resumeid=gAAAAABbk2UOiWRW-uTRgGkxnPyjAtiS1kldD2Lg3pDdnzp64dcXGnB5gTn-_5zCDLo58gjiTuPX4KqbEyfSNFJ1JEcD5NDhaiRamNe-B8fX6DdKBzoyQz0C06zisbHBG04YaX0nwbtFnGDHqwjBkFMoh_WEeHTzNQ==")</f>
        <v>https://recruiter.shine.com/resume/download/?resumeid=gAAAAABbk2UOiWRW-uTRgGkxnPyjAtiS1kldD2Lg3pDdnzp64dcXGnB5gTn-_5zCDLo58gjiTuPX4KqbEyfSNFJ1JEcD5NDhaiRamNe-B8fX6DdKBzoyQz0C06zisbHBG04YaX0nwbtFnGDHqwjBkFMoh_WEeHTzNQ==</v>
      </c>
    </row>
    <row r="1199" spans="1:25" ht="39.950000000000003" customHeight="1">
      <c r="A1199">
        <v>1195</v>
      </c>
      <c r="B1199" t="s">
        <v>10585</v>
      </c>
      <c r="C1199" t="s">
        <v>10586</v>
      </c>
      <c r="D1199" t="s">
        <v>10587</v>
      </c>
      <c r="E1199" t="s">
        <v>10588</v>
      </c>
      <c r="F1199" t="s">
        <v>29</v>
      </c>
      <c r="G1199" t="s">
        <v>29</v>
      </c>
      <c r="H1199" t="s">
        <v>31</v>
      </c>
      <c r="I1199" t="s">
        <v>5148</v>
      </c>
      <c r="J1199" t="s">
        <v>9807</v>
      </c>
      <c r="K1199" t="s">
        <v>706</v>
      </c>
      <c r="L1199" t="s">
        <v>290</v>
      </c>
      <c r="M1199" t="s">
        <v>238</v>
      </c>
      <c r="N1199" t="s">
        <v>10589</v>
      </c>
      <c r="O1199" t="s">
        <v>38</v>
      </c>
      <c r="P1199" t="s">
        <v>39</v>
      </c>
      <c r="Q1199" t="s">
        <v>90</v>
      </c>
      <c r="R1199" t="s">
        <v>292</v>
      </c>
      <c r="S1199" t="s">
        <v>10590</v>
      </c>
      <c r="T1199" t="s">
        <v>429</v>
      </c>
      <c r="U1199" t="s">
        <v>43</v>
      </c>
      <c r="V1199" t="s">
        <v>10591</v>
      </c>
      <c r="W1199" t="s">
        <v>10592</v>
      </c>
      <c r="Y1199" t="str">
        <f>HYPERLINK("https://recruiter.shine.com/resume/download/?resumeid=gAAAAABbk2UL85PFIIKU6XXADviCE5pSAM_9BzrIyQIQJGR_O9wVPiXR7mpL8_mUEhBN0zkBgnth2KqeztX-juAuXn44veYKEkigJSBqV870u9mDkyBrDXlMSxTRC1yGEsPTBy52oASScKbJVdc6Tj24s4ES-UZxhZ_2g4RjPHeNEFlh28L5lk4=")</f>
        <v>https://recruiter.shine.com/resume/download/?resumeid=gAAAAABbk2UL85PFIIKU6XXADviCE5pSAM_9BzrIyQIQJGR_O9wVPiXR7mpL8_mUEhBN0zkBgnth2KqeztX-juAuXn44veYKEkigJSBqV870u9mDkyBrDXlMSxTRC1yGEsPTBy52oASScKbJVdc6Tj24s4ES-UZxhZ_2g4RjPHeNEFlh28L5lk4=</v>
      </c>
    </row>
    <row r="1200" spans="1:25" ht="39.950000000000003" customHeight="1">
      <c r="A1200">
        <v>1196</v>
      </c>
      <c r="B1200" t="s">
        <v>10593</v>
      </c>
      <c r="C1200" t="s">
        <v>10594</v>
      </c>
      <c r="D1200" t="s">
        <v>10595</v>
      </c>
      <c r="E1200" t="s">
        <v>10596</v>
      </c>
      <c r="F1200" t="s">
        <v>249</v>
      </c>
      <c r="G1200" t="s">
        <v>249</v>
      </c>
      <c r="H1200" t="s">
        <v>234</v>
      </c>
      <c r="I1200" t="s">
        <v>196</v>
      </c>
      <c r="J1200" t="s">
        <v>8422</v>
      </c>
      <c r="K1200" t="s">
        <v>10597</v>
      </c>
      <c r="L1200" t="s">
        <v>2199</v>
      </c>
      <c r="M1200" t="s">
        <v>487</v>
      </c>
      <c r="N1200" t="s">
        <v>10598</v>
      </c>
      <c r="O1200" t="s">
        <v>186</v>
      </c>
      <c r="Q1200" t="s">
        <v>123</v>
      </c>
      <c r="R1200" t="s">
        <v>124</v>
      </c>
      <c r="S1200" t="s">
        <v>188</v>
      </c>
      <c r="T1200" t="s">
        <v>93</v>
      </c>
      <c r="U1200" t="s">
        <v>43</v>
      </c>
      <c r="V1200" t="s">
        <v>10599</v>
      </c>
      <c r="W1200" t="s">
        <v>10599</v>
      </c>
      <c r="Y1200" t="str">
        <f>HYPERLINK("https://recruiter.shine.com/resume/download/?resumeid=gAAAAABbk2UMhA9dSL6TLKASbTbHdtFTUrR8B4eT3PCBOxNiiOfd_8nCJVxLBWpfk1rNKFyuoA1q7oMCgVKQaqMANu2AMSoAKt_i6sEVNGSftNPAnVl66t9ftE-juHmMY-accfX8W7MzcvCI7aAPhXei03TF-H51SMXQNm7FnHIrKSORX2BU4_c=")</f>
        <v>https://recruiter.shine.com/resume/download/?resumeid=gAAAAABbk2UMhA9dSL6TLKASbTbHdtFTUrR8B4eT3PCBOxNiiOfd_8nCJVxLBWpfk1rNKFyuoA1q7oMCgVKQaqMANu2AMSoAKt_i6sEVNGSftNPAnVl66t9ftE-juHmMY-accfX8W7MzcvCI7aAPhXei03TF-H51SMXQNm7FnHIrKSORX2BU4_c=</v>
      </c>
    </row>
    <row r="1201" spans="1:25" ht="39.950000000000003" customHeight="1">
      <c r="A1201">
        <v>1197</v>
      </c>
      <c r="B1201" t="s">
        <v>10600</v>
      </c>
      <c r="C1201" t="s">
        <v>10601</v>
      </c>
      <c r="D1201" t="s">
        <v>10602</v>
      </c>
      <c r="E1201" t="s">
        <v>10603</v>
      </c>
      <c r="F1201" t="s">
        <v>29</v>
      </c>
      <c r="H1201" t="s">
        <v>31</v>
      </c>
      <c r="I1201" t="s">
        <v>2354</v>
      </c>
      <c r="J1201" t="s">
        <v>9807</v>
      </c>
      <c r="K1201" t="s">
        <v>10604</v>
      </c>
      <c r="L1201" t="s">
        <v>7345</v>
      </c>
      <c r="M1201" t="s">
        <v>757</v>
      </c>
      <c r="N1201" t="s">
        <v>10605</v>
      </c>
      <c r="O1201" t="s">
        <v>558</v>
      </c>
      <c r="P1201" t="s">
        <v>940</v>
      </c>
      <c r="Q1201" t="s">
        <v>365</v>
      </c>
      <c r="R1201" t="s">
        <v>10606</v>
      </c>
      <c r="S1201" t="s">
        <v>10607</v>
      </c>
      <c r="T1201" t="s">
        <v>1921</v>
      </c>
      <c r="U1201" t="s">
        <v>127</v>
      </c>
      <c r="V1201" t="s">
        <v>10608</v>
      </c>
      <c r="W1201" t="s">
        <v>10609</v>
      </c>
      <c r="Y1201" t="str">
        <f>HYPERLINK("https://recruiter.shine.com/resume/download/?resumeid=gAAAAABbk2UOPWBBPUYMsrdU0iF7LqcfGfCLe9AwY60eOgbJiBTEWcOio4RPyk1PdYuvgCxHjJt-M347pG4Hi-Lt_y6-YbA6wXOWDwf7oDrWY7rxw9AD1Gj7qlOxYvTG4y1dR87TDSGbmCHIXUrpEzSTFeVcne_CAg==")</f>
        <v>https://recruiter.shine.com/resume/download/?resumeid=gAAAAABbk2UOPWBBPUYMsrdU0iF7LqcfGfCLe9AwY60eOgbJiBTEWcOio4RPyk1PdYuvgCxHjJt-M347pG4Hi-Lt_y6-YbA6wXOWDwf7oDrWY7rxw9AD1Gj7qlOxYvTG4y1dR87TDSGbmCHIXUrpEzSTFeVcne_CAg==</v>
      </c>
    </row>
    <row r="1202" spans="1:25" ht="39.950000000000003" customHeight="1">
      <c r="A1202">
        <v>1198</v>
      </c>
      <c r="B1202" t="s">
        <v>10610</v>
      </c>
      <c r="C1202" t="s">
        <v>130</v>
      </c>
      <c r="D1202" t="s">
        <v>10611</v>
      </c>
      <c r="E1202" t="s">
        <v>10612</v>
      </c>
      <c r="F1202" t="s">
        <v>29</v>
      </c>
      <c r="G1202" t="s">
        <v>29</v>
      </c>
      <c r="H1202" t="s">
        <v>31</v>
      </c>
      <c r="I1202" t="s">
        <v>7471</v>
      </c>
      <c r="J1202" t="s">
        <v>408</v>
      </c>
      <c r="K1202" t="s">
        <v>10613</v>
      </c>
      <c r="L1202" t="s">
        <v>301</v>
      </c>
      <c r="M1202" t="s">
        <v>105</v>
      </c>
      <c r="N1202" t="s">
        <v>10614</v>
      </c>
      <c r="O1202" t="s">
        <v>56</v>
      </c>
      <c r="P1202" t="s">
        <v>140</v>
      </c>
      <c r="Q1202" t="s">
        <v>158</v>
      </c>
      <c r="R1202" t="s">
        <v>41</v>
      </c>
      <c r="S1202" t="s">
        <v>10615</v>
      </c>
      <c r="T1202" t="s">
        <v>429</v>
      </c>
      <c r="U1202" t="s">
        <v>43</v>
      </c>
      <c r="V1202" t="s">
        <v>10616</v>
      </c>
      <c r="W1202" t="s">
        <v>10617</v>
      </c>
      <c r="Y1202" t="str">
        <f>HYPERLINK("https://recruiter.shine.com/resume/download/?resumeid=gAAAAABbk2ULbge1_JPMzqczWaD4IDmSZZ0t6H1gICrxWJsYGXYIcg-Q60mFhgHKvYdk_3c5i1OggA6OizqB1xdlqCUuojMGIGCxGDpDM9aT26CxAH1vbH-SPG1Rkv0JaDkiE3RU-Epr6aDI4Qbu39OTb3cyMUIz9Q==")</f>
        <v>https://recruiter.shine.com/resume/download/?resumeid=gAAAAABbk2ULbge1_JPMzqczWaD4IDmSZZ0t6H1gICrxWJsYGXYIcg-Q60mFhgHKvYdk_3c5i1OggA6OizqB1xdlqCUuojMGIGCxGDpDM9aT26CxAH1vbH-SPG1Rkv0JaDkiE3RU-Epr6aDI4Qbu39OTb3cyMUIz9Q==</v>
      </c>
    </row>
    <row r="1203" spans="1:25" ht="39.950000000000003" customHeight="1">
      <c r="A1203">
        <v>1199</v>
      </c>
      <c r="B1203" t="s">
        <v>10618</v>
      </c>
      <c r="C1203" t="s">
        <v>10619</v>
      </c>
      <c r="D1203" t="s">
        <v>10620</v>
      </c>
      <c r="E1203" t="s">
        <v>10621</v>
      </c>
      <c r="F1203" t="s">
        <v>29</v>
      </c>
      <c r="G1203" t="s">
        <v>2854</v>
      </c>
      <c r="H1203" t="s">
        <v>31</v>
      </c>
      <c r="I1203" t="s">
        <v>208</v>
      </c>
      <c r="J1203" t="s">
        <v>6039</v>
      </c>
      <c r="K1203" t="s">
        <v>221</v>
      </c>
      <c r="L1203" t="s">
        <v>88</v>
      </c>
      <c r="M1203" t="s">
        <v>238</v>
      </c>
      <c r="N1203" t="s">
        <v>10622</v>
      </c>
      <c r="O1203" t="s">
        <v>186</v>
      </c>
      <c r="P1203" t="s">
        <v>73</v>
      </c>
      <c r="Q1203" t="s">
        <v>123</v>
      </c>
      <c r="R1203" t="s">
        <v>124</v>
      </c>
      <c r="S1203" t="s">
        <v>10623</v>
      </c>
      <c r="T1203" t="s">
        <v>227</v>
      </c>
      <c r="U1203" t="s">
        <v>94</v>
      </c>
      <c r="V1203" t="s">
        <v>10624</v>
      </c>
      <c r="W1203" t="s">
        <v>10625</v>
      </c>
      <c r="Y1203" t="str">
        <f>HYPERLINK("https://recruiter.shine.com/resume/download/?resumeid=gAAAAABbk2UNAUQBJ2Jp2Fsyg2yA7yyhuDMGCZnekwDE3aPGEC2w_BIKYaKH0PfCExeODVwMdM4CMHPN8MqxKCwU6ALtqk6UFcS-Qg2hj4l-vXqFcqvjVtqW2Rh2rvsnLd5T0OC9ixA-fVkKMvP7XBZxGaR-T_EfpZ56U6R6HNsma4caNJ4SQ04=")</f>
        <v>https://recruiter.shine.com/resume/download/?resumeid=gAAAAABbk2UNAUQBJ2Jp2Fsyg2yA7yyhuDMGCZnekwDE3aPGEC2w_BIKYaKH0PfCExeODVwMdM4CMHPN8MqxKCwU6ALtqk6UFcS-Qg2hj4l-vXqFcqvjVtqW2Rh2rvsnLd5T0OC9ixA-fVkKMvP7XBZxGaR-T_EfpZ56U6R6HNsma4caNJ4SQ04=</v>
      </c>
    </row>
    <row r="1204" spans="1:25" ht="39.950000000000003" customHeight="1">
      <c r="A1204">
        <v>1200</v>
      </c>
      <c r="B1204" t="s">
        <v>10626</v>
      </c>
      <c r="C1204" t="s">
        <v>3262</v>
      </c>
      <c r="D1204" t="s">
        <v>10627</v>
      </c>
      <c r="E1204" t="s">
        <v>3264</v>
      </c>
      <c r="F1204" t="s">
        <v>29</v>
      </c>
      <c r="G1204" t="s">
        <v>29</v>
      </c>
      <c r="H1204" t="s">
        <v>31</v>
      </c>
      <c r="I1204" t="s">
        <v>287</v>
      </c>
      <c r="J1204" t="s">
        <v>705</v>
      </c>
      <c r="K1204" t="s">
        <v>10628</v>
      </c>
      <c r="L1204" t="s">
        <v>2199</v>
      </c>
      <c r="M1204" t="s">
        <v>105</v>
      </c>
      <c r="N1204" t="s">
        <v>10629</v>
      </c>
      <c r="O1204" t="s">
        <v>38</v>
      </c>
      <c r="P1204" t="s">
        <v>39</v>
      </c>
      <c r="Q1204" t="s">
        <v>783</v>
      </c>
      <c r="R1204" t="s">
        <v>10630</v>
      </c>
      <c r="S1204" t="s">
        <v>10631</v>
      </c>
      <c r="T1204" t="s">
        <v>625</v>
      </c>
      <c r="U1204" t="s">
        <v>43</v>
      </c>
      <c r="V1204" t="s">
        <v>10632</v>
      </c>
      <c r="W1204" t="s">
        <v>10633</v>
      </c>
      <c r="Y1204" t="str">
        <f>HYPERLINK("https://recruiter.shine.com/resume/download/?resumeid=gAAAAABbk2UOW4k2O8y7wl0zcgxrp2guZCwsfX8J_oyG_qVoFWgBG-s7r2hig4PEHsQ8Q2aUNUTZ8N9MdV-7x2mssTSmenTc4KMP8Bt6oSrTQutTf5lxqkpRlmS_oEhavfud3MY27WA2ryvn_ZBzrGBRSPxfZDHU79QpBorP-MJIXHlW7cpeDMI=")</f>
        <v>https://recruiter.shine.com/resume/download/?resumeid=gAAAAABbk2UOW4k2O8y7wl0zcgxrp2guZCwsfX8J_oyG_qVoFWgBG-s7r2hig4PEHsQ8Q2aUNUTZ8N9MdV-7x2mssTSmenTc4KMP8Bt6oSrTQutTf5lxqkpRlmS_oEhavfud3MY27WA2ryvn_ZBzrGBRSPxfZDHU79QpBorP-MJIXHlW7cpeDMI=</v>
      </c>
    </row>
    <row r="1205" spans="1:25" ht="39.950000000000003" customHeight="1">
      <c r="A1205">
        <v>1201</v>
      </c>
      <c r="B1205" t="s">
        <v>10634</v>
      </c>
      <c r="C1205" t="s">
        <v>10635</v>
      </c>
      <c r="D1205" t="s">
        <v>10636</v>
      </c>
      <c r="E1205" t="s">
        <v>10637</v>
      </c>
      <c r="F1205" t="s">
        <v>29</v>
      </c>
      <c r="G1205" t="s">
        <v>29</v>
      </c>
      <c r="H1205" t="s">
        <v>31</v>
      </c>
      <c r="I1205" t="s">
        <v>1826</v>
      </c>
      <c r="J1205" t="s">
        <v>135</v>
      </c>
      <c r="K1205" t="s">
        <v>10638</v>
      </c>
      <c r="L1205" t="s">
        <v>184</v>
      </c>
      <c r="M1205" t="s">
        <v>238</v>
      </c>
      <c r="N1205" t="s">
        <v>10639</v>
      </c>
      <c r="O1205" t="s">
        <v>585</v>
      </c>
      <c r="P1205" t="s">
        <v>39</v>
      </c>
      <c r="Q1205" t="s">
        <v>90</v>
      </c>
      <c r="R1205" t="s">
        <v>292</v>
      </c>
      <c r="S1205" t="s">
        <v>10640</v>
      </c>
      <c r="T1205" t="s">
        <v>110</v>
      </c>
      <c r="U1205" t="s">
        <v>43</v>
      </c>
      <c r="V1205" t="s">
        <v>10641</v>
      </c>
      <c r="W1205" t="s">
        <v>10642</v>
      </c>
      <c r="Y1205" t="str">
        <f>HYPERLINK("https://recruiter.shine.com/resume/download/?resumeid=gAAAAABbk2UL7oqNMg1FYVJZWJfBClXgBa0lqr90B5_4UsfwXP4efCCgbVCy9X0cXm2b35XQwlWKlMp8mslyAtvEkIMFxa-GOPnTY_Ke6TYBmnlApa_lM5LfRO8hz-aG3In52656Muk2Oi09BjDWXQEwZ2wv1U0JUA==")</f>
        <v>https://recruiter.shine.com/resume/download/?resumeid=gAAAAABbk2UL7oqNMg1FYVJZWJfBClXgBa0lqr90B5_4UsfwXP4efCCgbVCy9X0cXm2b35XQwlWKlMp8mslyAtvEkIMFxa-GOPnTY_Ke6TYBmnlApa_lM5LfRO8hz-aG3In52656Muk2Oi09BjDWXQEwZ2wv1U0JUA==</v>
      </c>
    </row>
    <row r="1206" spans="1:25" ht="39.950000000000003" customHeight="1">
      <c r="A1206">
        <v>1202</v>
      </c>
      <c r="B1206" t="s">
        <v>10643</v>
      </c>
      <c r="C1206" t="s">
        <v>9769</v>
      </c>
      <c r="D1206" t="s">
        <v>10644</v>
      </c>
      <c r="E1206" t="s">
        <v>10645</v>
      </c>
      <c r="F1206" t="s">
        <v>29</v>
      </c>
      <c r="G1206" t="s">
        <v>10646</v>
      </c>
      <c r="H1206" t="s">
        <v>31</v>
      </c>
      <c r="I1206" t="s">
        <v>714</v>
      </c>
      <c r="J1206" t="s">
        <v>169</v>
      </c>
      <c r="K1206" t="s">
        <v>10647</v>
      </c>
      <c r="L1206" t="s">
        <v>3525</v>
      </c>
      <c r="M1206" t="s">
        <v>1356</v>
      </c>
      <c r="N1206" t="s">
        <v>10648</v>
      </c>
      <c r="O1206" t="s">
        <v>157</v>
      </c>
      <c r="P1206" t="s">
        <v>39</v>
      </c>
      <c r="Q1206" t="s">
        <v>365</v>
      </c>
      <c r="R1206" t="s">
        <v>2230</v>
      </c>
      <c r="S1206" t="s">
        <v>10649</v>
      </c>
      <c r="T1206" t="s">
        <v>399</v>
      </c>
      <c r="U1206" t="s">
        <v>43</v>
      </c>
      <c r="V1206" t="s">
        <v>10650</v>
      </c>
      <c r="W1206" t="s">
        <v>10651</v>
      </c>
      <c r="Y1206" t="str">
        <f>HYPERLINK("https://recruiter.shine.com/resume/download/?resumeid=gAAAAABbk2UMu4d5S036Uz7KU1argAh7y74SNWpL28B742VZ0Lt0AffHcqgEQCncfnGqBC9Athm4aYYozpH-Sn8JF9hNT3BUNpN2sgyp2zAI5HfxKDTllQrisGSCjzTnV4_2dwPWgrzY_omxE6IXqhHKD5egNbORJG3BOtIowXiLX8Il3fIiuHc=")</f>
        <v>https://recruiter.shine.com/resume/download/?resumeid=gAAAAABbk2UMu4d5S036Uz7KU1argAh7y74SNWpL28B742VZ0Lt0AffHcqgEQCncfnGqBC9Athm4aYYozpH-Sn8JF9hNT3BUNpN2sgyp2zAI5HfxKDTllQrisGSCjzTnV4_2dwPWgrzY_omxE6IXqhHKD5egNbORJG3BOtIowXiLX8Il3fIiuHc=</v>
      </c>
    </row>
    <row r="1207" spans="1:25" ht="39.950000000000003" customHeight="1">
      <c r="A1207">
        <v>1203</v>
      </c>
      <c r="B1207" t="s">
        <v>10652</v>
      </c>
      <c r="D1207" t="s">
        <v>10653</v>
      </c>
      <c r="E1207" t="s">
        <v>10654</v>
      </c>
      <c r="F1207" t="s">
        <v>858</v>
      </c>
      <c r="G1207" t="s">
        <v>6411</v>
      </c>
      <c r="H1207" t="s">
        <v>234</v>
      </c>
      <c r="I1207" t="s">
        <v>714</v>
      </c>
      <c r="J1207" t="s">
        <v>781</v>
      </c>
      <c r="K1207" t="s">
        <v>10655</v>
      </c>
      <c r="L1207" t="s">
        <v>184</v>
      </c>
      <c r="M1207" t="s">
        <v>36</v>
      </c>
      <c r="N1207" t="s">
        <v>10656</v>
      </c>
      <c r="O1207" t="s">
        <v>157</v>
      </c>
      <c r="Q1207" t="s">
        <v>240</v>
      </c>
      <c r="R1207" t="s">
        <v>241</v>
      </c>
      <c r="S1207" t="s">
        <v>1796</v>
      </c>
      <c r="T1207" t="s">
        <v>110</v>
      </c>
      <c r="U1207" t="s">
        <v>43</v>
      </c>
      <c r="V1207" t="s">
        <v>10657</v>
      </c>
      <c r="W1207" t="s">
        <v>10657</v>
      </c>
      <c r="Y1207" t="str">
        <f>HYPERLINK("https://recruiter.shine.com/resume/download/?resumeid=gAAAAABbk2UOYmbFbsSgLlSSCZykr39roxwaxaIgruBzdAl4azoV0Ull0e5sMf66ZMvkeNsQpu7nocF_XYJLIKbj9_7v6PnkxR8n35mDOgDJ8qPxwqCAjYPdLfRfsXUqPRP9XhVpcaD5RbnnzO-s_N_vElBbpMlo3x4CSCj8z9mxzcGNi4tt8-Y=")</f>
        <v>https://recruiter.shine.com/resume/download/?resumeid=gAAAAABbk2UOYmbFbsSgLlSSCZykr39roxwaxaIgruBzdAl4azoV0Ull0e5sMf66ZMvkeNsQpu7nocF_XYJLIKbj9_7v6PnkxR8n35mDOgDJ8qPxwqCAjYPdLfRfsXUqPRP9XhVpcaD5RbnnzO-s_N_vElBbpMlo3x4CSCj8z9mxzcGNi4tt8-Y=</v>
      </c>
    </row>
    <row r="1208" spans="1:25" ht="39.950000000000003" customHeight="1">
      <c r="A1208">
        <v>1204</v>
      </c>
      <c r="B1208" t="s">
        <v>10658</v>
      </c>
      <c r="C1208" t="s">
        <v>10659</v>
      </c>
      <c r="D1208" t="s">
        <v>10660</v>
      </c>
      <c r="E1208" t="s">
        <v>10661</v>
      </c>
      <c r="F1208" t="s">
        <v>29</v>
      </c>
      <c r="G1208" t="s">
        <v>1008</v>
      </c>
      <c r="H1208" t="s">
        <v>31</v>
      </c>
      <c r="I1208" t="s">
        <v>134</v>
      </c>
      <c r="J1208" t="s">
        <v>580</v>
      </c>
      <c r="K1208" t="s">
        <v>10662</v>
      </c>
      <c r="L1208" t="s">
        <v>2814</v>
      </c>
      <c r="M1208" t="s">
        <v>2814</v>
      </c>
      <c r="N1208" t="s">
        <v>10663</v>
      </c>
      <c r="O1208" t="s">
        <v>186</v>
      </c>
      <c r="Q1208" t="s">
        <v>158</v>
      </c>
      <c r="R1208" t="s">
        <v>124</v>
      </c>
      <c r="S1208" t="s">
        <v>10664</v>
      </c>
      <c r="T1208" t="s">
        <v>415</v>
      </c>
      <c r="U1208" t="s">
        <v>43</v>
      </c>
      <c r="V1208" t="s">
        <v>10665</v>
      </c>
      <c r="W1208" t="s">
        <v>10666</v>
      </c>
      <c r="Y1208" t="str">
        <f>HYPERLINK("https://recruiter.shine.com/resume/download/?resumeid=gAAAAABbk2ULk5AvBiBpRRGffv2qAsmlmJxlubL6egfdUf__50O9aLU-c7flrPnysDsNl3wnvKm_Fal9M7zjvphAP1VvE06I8V87MBHJzLVVVN1dYuMCpCF68sutWT-PovIkt6XBxATbfAOVWj2LrFzh1pErpX7fNw==")</f>
        <v>https://recruiter.shine.com/resume/download/?resumeid=gAAAAABbk2ULk5AvBiBpRRGffv2qAsmlmJxlubL6egfdUf__50O9aLU-c7flrPnysDsNl3wnvKm_Fal9M7zjvphAP1VvE06I8V87MBHJzLVVVN1dYuMCpCF68sutWT-PovIkt6XBxATbfAOVWj2LrFzh1pErpX7fNw==</v>
      </c>
    </row>
    <row r="1209" spans="1:25" ht="39.950000000000003" customHeight="1">
      <c r="A1209">
        <v>1205</v>
      </c>
      <c r="B1209" t="s">
        <v>10667</v>
      </c>
      <c r="C1209" t="s">
        <v>10668</v>
      </c>
      <c r="D1209" t="s">
        <v>10669</v>
      </c>
      <c r="E1209" t="s">
        <v>10670</v>
      </c>
      <c r="F1209" t="s">
        <v>29</v>
      </c>
      <c r="G1209" t="s">
        <v>10671</v>
      </c>
      <c r="H1209" t="s">
        <v>234</v>
      </c>
      <c r="I1209" t="s">
        <v>362</v>
      </c>
      <c r="J1209" t="s">
        <v>135</v>
      </c>
      <c r="L1209" t="s">
        <v>363</v>
      </c>
      <c r="M1209" t="s">
        <v>364</v>
      </c>
      <c r="Q1209" t="s">
        <v>4871</v>
      </c>
      <c r="R1209" t="s">
        <v>546</v>
      </c>
      <c r="S1209" t="s">
        <v>10672</v>
      </c>
      <c r="T1209" t="s">
        <v>429</v>
      </c>
      <c r="U1209" t="s">
        <v>43</v>
      </c>
      <c r="V1209" t="s">
        <v>10673</v>
      </c>
      <c r="W1209" t="s">
        <v>10674</v>
      </c>
      <c r="Y1209" t="str">
        <f>HYPERLINK("https://recruiter.shine.com/resume/download/?resumeid=gAAAAABbk2UMzwkjrzB5ePf-_9suHuY1Y99OFVnUR5Q8DCejCDDLJrCb1CdTEzgFGQiHWJ87mn4tjz-WGIoXxAopHNrNCJVU0qC5JFHYWIptDz2z0FgkKmDFXEWVz2-XRRNEMYcQZlkYQDa6tPaLp5YpJz4xOCXcshUvEaVHSWXq817nqA5k4Js=")</f>
        <v>https://recruiter.shine.com/resume/download/?resumeid=gAAAAABbk2UMzwkjrzB5ePf-_9suHuY1Y99OFVnUR5Q8DCejCDDLJrCb1CdTEzgFGQiHWJ87mn4tjz-WGIoXxAopHNrNCJVU0qC5JFHYWIptDz2z0FgkKmDFXEWVz2-XRRNEMYcQZlkYQDa6tPaLp5YpJz4xOCXcshUvEaVHSWXq817nqA5k4Js=</v>
      </c>
    </row>
    <row r="1210" spans="1:25" ht="39.950000000000003" customHeight="1">
      <c r="A1210">
        <v>1206</v>
      </c>
      <c r="B1210" t="s">
        <v>10675</v>
      </c>
      <c r="C1210" t="s">
        <v>10676</v>
      </c>
      <c r="D1210" t="s">
        <v>10677</v>
      </c>
      <c r="E1210" t="s">
        <v>10678</v>
      </c>
      <c r="F1210" t="s">
        <v>29</v>
      </c>
      <c r="G1210" t="s">
        <v>10679</v>
      </c>
      <c r="H1210" t="s">
        <v>31</v>
      </c>
      <c r="I1210" t="s">
        <v>208</v>
      </c>
      <c r="J1210" t="s">
        <v>51</v>
      </c>
      <c r="K1210" t="s">
        <v>8877</v>
      </c>
      <c r="L1210" t="s">
        <v>88</v>
      </c>
      <c r="M1210" t="s">
        <v>463</v>
      </c>
      <c r="N1210" t="s">
        <v>10680</v>
      </c>
      <c r="O1210" t="s">
        <v>56</v>
      </c>
      <c r="P1210" t="s">
        <v>140</v>
      </c>
      <c r="Q1210" t="s">
        <v>40</v>
      </c>
      <c r="R1210" t="s">
        <v>2364</v>
      </c>
      <c r="S1210" t="s">
        <v>10681</v>
      </c>
      <c r="T1210" t="s">
        <v>61</v>
      </c>
      <c r="U1210" t="s">
        <v>127</v>
      </c>
      <c r="V1210" t="s">
        <v>10682</v>
      </c>
      <c r="W1210" t="s">
        <v>10682</v>
      </c>
      <c r="Y1210" t="str">
        <f>HYPERLINK("https://recruiter.shine.com/resume/download/?resumeid=gAAAAABbk2UNA5pG-wvkdFTwZN9OsZo4V6ASTUbS2h_CrzW-XGci0wfh6myjN_tHhgkikKDzrOZgQIGfH59KrKhGzwi0BAHlFln3nq1JgK24bGA9lYzLM8aHznjiOX1g_59_U-TeIwoF-pMMav1PlZt0CfOSopRV0pShrMXf58YTRlLgkzFKgSQ=")</f>
        <v>https://recruiter.shine.com/resume/download/?resumeid=gAAAAABbk2UNA5pG-wvkdFTwZN9OsZo4V6ASTUbS2h_CrzW-XGci0wfh6myjN_tHhgkikKDzrOZgQIGfH59KrKhGzwi0BAHlFln3nq1JgK24bGA9lYzLM8aHznjiOX1g_59_U-TeIwoF-pMMav1PlZt0CfOSopRV0pShrMXf58YTRlLgkzFKgSQ=</v>
      </c>
    </row>
    <row r="1211" spans="1:25" ht="39.950000000000003" customHeight="1">
      <c r="A1211">
        <v>1207</v>
      </c>
      <c r="B1211" t="s">
        <v>10683</v>
      </c>
      <c r="C1211" t="s">
        <v>10684</v>
      </c>
      <c r="D1211" t="s">
        <v>10685</v>
      </c>
      <c r="E1211" t="s">
        <v>10686</v>
      </c>
      <c r="F1211" t="s">
        <v>29</v>
      </c>
      <c r="G1211" t="s">
        <v>29</v>
      </c>
      <c r="H1211" t="s">
        <v>31</v>
      </c>
      <c r="I1211" t="s">
        <v>860</v>
      </c>
      <c r="J1211" t="s">
        <v>1050</v>
      </c>
      <c r="K1211" t="s">
        <v>10687</v>
      </c>
      <c r="L1211" t="s">
        <v>486</v>
      </c>
      <c r="M1211" t="s">
        <v>487</v>
      </c>
      <c r="N1211" t="s">
        <v>10688</v>
      </c>
      <c r="O1211" t="s">
        <v>157</v>
      </c>
      <c r="P1211" t="s">
        <v>39</v>
      </c>
      <c r="Q1211" t="s">
        <v>123</v>
      </c>
      <c r="R1211" t="s">
        <v>124</v>
      </c>
      <c r="S1211" t="s">
        <v>188</v>
      </c>
      <c r="U1211" t="s">
        <v>43</v>
      </c>
      <c r="V1211" t="s">
        <v>10689</v>
      </c>
      <c r="W1211" t="s">
        <v>10689</v>
      </c>
      <c r="Y1211" t="str">
        <f>HYPERLINK("https://recruiter.shine.com/resume/download/?resumeid=gAAAAABbk2ULPIkU6aggX8uoSnhwGD2AzS6fCPex6aY707GgRrkXtWf_Ig5RlDvl0xMfmwomr-znc9sBa6i2T2zfN6HBILKEOMMEta2dLHkY35NRk3xAin17EgodkV_bNOgoNKriB3h0KhUjy_zgeuHXEDIBvtxP-A==")</f>
        <v>https://recruiter.shine.com/resume/download/?resumeid=gAAAAABbk2ULPIkU6aggX8uoSnhwGD2AzS6fCPex6aY707GgRrkXtWf_Ig5RlDvl0xMfmwomr-znc9sBa6i2T2zfN6HBILKEOMMEta2dLHkY35NRk3xAin17EgodkV_bNOgoNKriB3h0KhUjy_zgeuHXEDIBvtxP-A==</v>
      </c>
    </row>
    <row r="1212" spans="1:25" ht="39.950000000000003" customHeight="1">
      <c r="A1212">
        <v>1208</v>
      </c>
      <c r="B1212" t="s">
        <v>10690</v>
      </c>
      <c r="C1212" t="s">
        <v>10691</v>
      </c>
      <c r="D1212" t="s">
        <v>10692</v>
      </c>
      <c r="E1212" t="s">
        <v>10693</v>
      </c>
      <c r="F1212" t="s">
        <v>29</v>
      </c>
      <c r="G1212" t="s">
        <v>10694</v>
      </c>
      <c r="H1212" t="s">
        <v>31</v>
      </c>
      <c r="I1212" t="s">
        <v>5815</v>
      </c>
      <c r="J1212" t="s">
        <v>153</v>
      </c>
      <c r="K1212" t="s">
        <v>10695</v>
      </c>
      <c r="L1212" t="s">
        <v>266</v>
      </c>
      <c r="M1212" t="s">
        <v>105</v>
      </c>
      <c r="N1212" t="s">
        <v>156</v>
      </c>
      <c r="O1212" t="s">
        <v>157</v>
      </c>
      <c r="P1212" t="s">
        <v>73</v>
      </c>
      <c r="Q1212" t="s">
        <v>158</v>
      </c>
      <c r="R1212" t="s">
        <v>159</v>
      </c>
      <c r="S1212" t="s">
        <v>10696</v>
      </c>
      <c r="T1212" t="s">
        <v>304</v>
      </c>
      <c r="U1212" t="s">
        <v>43</v>
      </c>
      <c r="V1212" t="s">
        <v>10697</v>
      </c>
      <c r="W1212" t="s">
        <v>10697</v>
      </c>
      <c r="Y1212" t="str">
        <f>HYPERLINK("https://recruiter.shine.com/resume/download/?resumeid=gAAAAABbk2UNuVZvirl2kLxZAu2QDf-7vEoPCrjIhiWzeZBtdgsaBfsUXvQ5A4wpZoRQV3uqZkRd5Z7gn4U_diKyj8Xweh7xszB_UgyI9oxJBbQ0OlNmNdK8EzkAmgO7PyLNfVkGN_ON0k80aR7j_HpOslxRAJ2KHw==")</f>
        <v>https://recruiter.shine.com/resume/download/?resumeid=gAAAAABbk2UNuVZvirl2kLxZAu2QDf-7vEoPCrjIhiWzeZBtdgsaBfsUXvQ5A4wpZoRQV3uqZkRd5Z7gn4U_diKyj8Xweh7xszB_UgyI9oxJBbQ0OlNmNdK8EzkAmgO7PyLNfVkGN_ON0k80aR7j_HpOslxRAJ2KHw==</v>
      </c>
    </row>
    <row r="1213" spans="1:25" ht="39.950000000000003" customHeight="1">
      <c r="A1213">
        <v>1209</v>
      </c>
      <c r="B1213" t="s">
        <v>10698</v>
      </c>
      <c r="D1213" t="s">
        <v>10699</v>
      </c>
      <c r="E1213" t="s">
        <v>10700</v>
      </c>
      <c r="F1213" t="s">
        <v>29</v>
      </c>
      <c r="H1213" t="s">
        <v>31</v>
      </c>
      <c r="I1213" t="s">
        <v>68</v>
      </c>
      <c r="J1213" t="s">
        <v>3591</v>
      </c>
      <c r="K1213" t="s">
        <v>10701</v>
      </c>
      <c r="L1213" t="s">
        <v>184</v>
      </c>
      <c r="M1213" t="s">
        <v>105</v>
      </c>
      <c r="N1213" t="s">
        <v>156</v>
      </c>
      <c r="O1213" t="s">
        <v>186</v>
      </c>
      <c r="Q1213" t="s">
        <v>123</v>
      </c>
      <c r="R1213" t="s">
        <v>124</v>
      </c>
      <c r="S1213" t="s">
        <v>3737</v>
      </c>
      <c r="T1213" t="s">
        <v>93</v>
      </c>
      <c r="U1213" t="s">
        <v>127</v>
      </c>
      <c r="V1213" t="s">
        <v>10702</v>
      </c>
      <c r="W1213" t="s">
        <v>10703</v>
      </c>
      <c r="Y1213" t="str">
        <f>HYPERLINK("https://recruiter.shine.com/resume/download/?resumeid=gAAAAABbk2UNud8DrVT7BB-20Ez0h7T2Qg-BgTCBzjSOGNU85cH9lq2qI-8AYta6u8Yv32rj_qFHxKD2RwQdErKRH9mO8eKAvIWc5tNLeBBC8GwlTI0mEuoN4pb1Y0_-8nyma54y-2kY2SDmGW3EmuSXDYXJzPgNoDUKtKf7-oNTffRKl1wMZVw=")</f>
        <v>https://recruiter.shine.com/resume/download/?resumeid=gAAAAABbk2UNud8DrVT7BB-20Ez0h7T2Qg-BgTCBzjSOGNU85cH9lq2qI-8AYta6u8Yv32rj_qFHxKD2RwQdErKRH9mO8eKAvIWc5tNLeBBC8GwlTI0mEuoN4pb1Y0_-8nyma54y-2kY2SDmGW3EmuSXDYXJzPgNoDUKtKf7-oNTffRKl1wMZVw=</v>
      </c>
    </row>
    <row r="1214" spans="1:25" ht="39.950000000000003" customHeight="1">
      <c r="A1214">
        <v>1210</v>
      </c>
      <c r="B1214" t="s">
        <v>10704</v>
      </c>
      <c r="C1214" t="s">
        <v>3290</v>
      </c>
      <c r="D1214" t="s">
        <v>10705</v>
      </c>
      <c r="E1214" t="s">
        <v>10706</v>
      </c>
      <c r="F1214" t="s">
        <v>29</v>
      </c>
      <c r="G1214" t="s">
        <v>10707</v>
      </c>
      <c r="H1214" t="s">
        <v>31</v>
      </c>
      <c r="I1214" t="s">
        <v>1185</v>
      </c>
      <c r="J1214" t="s">
        <v>209</v>
      </c>
      <c r="K1214" t="s">
        <v>10708</v>
      </c>
      <c r="L1214" t="s">
        <v>266</v>
      </c>
      <c r="M1214" t="s">
        <v>684</v>
      </c>
      <c r="N1214" t="s">
        <v>10709</v>
      </c>
      <c r="O1214" t="s">
        <v>38</v>
      </c>
      <c r="P1214" t="s">
        <v>140</v>
      </c>
      <c r="Q1214" t="s">
        <v>107</v>
      </c>
      <c r="R1214" t="s">
        <v>341</v>
      </c>
      <c r="S1214" t="s">
        <v>10710</v>
      </c>
      <c r="T1214" t="s">
        <v>110</v>
      </c>
      <c r="U1214" t="s">
        <v>43</v>
      </c>
      <c r="V1214" t="s">
        <v>10711</v>
      </c>
      <c r="W1214" t="s">
        <v>10712</v>
      </c>
      <c r="Y1214" t="str">
        <f>HYPERLINK("https://recruiter.shine.com/resume/download/?resumeid=gAAAAABbk2UKaK_JvDhsQI-e_PkR7Q4vMM6nmMydFfpNBXympTKuzuKt3z665mziKLHZUaBDTPMYmzyzEIhDJ-Y8W_DquHLpdjpZdIJWGknjQrc7Tev37D5OEyCOh7_5gQHKGlrgzwg0lCw1V9AMslCTWnh5m6nxLQ==")</f>
        <v>https://recruiter.shine.com/resume/download/?resumeid=gAAAAABbk2UKaK_JvDhsQI-e_PkR7Q4vMM6nmMydFfpNBXympTKuzuKt3z665mziKLHZUaBDTPMYmzyzEIhDJ-Y8W_DquHLpdjpZdIJWGknjQrc7Tev37D5OEyCOh7_5gQHKGlrgzwg0lCw1V9AMslCTWnh5m6nxLQ==</v>
      </c>
    </row>
    <row r="1215" spans="1:25" ht="39.950000000000003" customHeight="1">
      <c r="A1215">
        <v>1211</v>
      </c>
      <c r="B1215" t="s">
        <v>10713</v>
      </c>
      <c r="C1215" t="s">
        <v>10714</v>
      </c>
      <c r="D1215" t="s">
        <v>10715</v>
      </c>
      <c r="E1215" t="s">
        <v>10716</v>
      </c>
      <c r="F1215" t="s">
        <v>249</v>
      </c>
      <c r="G1215" t="s">
        <v>100</v>
      </c>
      <c r="H1215" t="s">
        <v>31</v>
      </c>
      <c r="I1215" t="s">
        <v>791</v>
      </c>
      <c r="J1215" t="s">
        <v>235</v>
      </c>
      <c r="K1215" t="s">
        <v>9907</v>
      </c>
      <c r="L1215" t="s">
        <v>462</v>
      </c>
      <c r="M1215" t="s">
        <v>105</v>
      </c>
      <c r="N1215" t="s">
        <v>10717</v>
      </c>
      <c r="O1215" t="s">
        <v>1041</v>
      </c>
      <c r="P1215" t="s">
        <v>57</v>
      </c>
      <c r="Q1215" t="s">
        <v>123</v>
      </c>
      <c r="R1215" t="s">
        <v>124</v>
      </c>
      <c r="S1215" t="s">
        <v>188</v>
      </c>
      <c r="T1215" t="s">
        <v>887</v>
      </c>
      <c r="U1215" t="s">
        <v>43</v>
      </c>
      <c r="V1215" t="s">
        <v>10718</v>
      </c>
      <c r="W1215" t="s">
        <v>10719</v>
      </c>
      <c r="Y1215" t="str">
        <f>HYPERLINK("https://recruiter.shine.com/resume/download/?resumeid=gAAAAABbk2UMEVwUcmHl_XpX_5SdgEhmOGg_5q9uwBB8vijgkkA2ZI2KsY9zNbTmuNRdqCi0yLwaRU0fR9YBaQJGNWeTO3BdY6gYBuukvS5T62RU4sQdwTCsbmdiW6_M2_2AEx12CIaq31Qe1eNVJRPm69f1QKrU_g==")</f>
        <v>https://recruiter.shine.com/resume/download/?resumeid=gAAAAABbk2UMEVwUcmHl_XpX_5SdgEhmOGg_5q9uwBB8vijgkkA2ZI2KsY9zNbTmuNRdqCi0yLwaRU0fR9YBaQJGNWeTO3BdY6gYBuukvS5T62RU4sQdwTCsbmdiW6_M2_2AEx12CIaq31Qe1eNVJRPm69f1QKrU_g==</v>
      </c>
    </row>
    <row r="1216" spans="1:25" ht="39.950000000000003" customHeight="1">
      <c r="A1216">
        <v>1212</v>
      </c>
      <c r="B1216" t="s">
        <v>10720</v>
      </c>
      <c r="C1216" t="s">
        <v>10721</v>
      </c>
      <c r="D1216" t="s">
        <v>10722</v>
      </c>
      <c r="E1216" t="s">
        <v>10723</v>
      </c>
      <c r="F1216" t="s">
        <v>249</v>
      </c>
      <c r="G1216" t="s">
        <v>10724</v>
      </c>
      <c r="H1216" t="s">
        <v>31</v>
      </c>
      <c r="I1216" t="s">
        <v>362</v>
      </c>
      <c r="J1216" t="s">
        <v>135</v>
      </c>
      <c r="L1216" t="s">
        <v>363</v>
      </c>
      <c r="M1216" t="s">
        <v>364</v>
      </c>
      <c r="Q1216" t="s">
        <v>107</v>
      </c>
      <c r="R1216" t="s">
        <v>546</v>
      </c>
      <c r="S1216" t="s">
        <v>10725</v>
      </c>
      <c r="T1216" t="s">
        <v>257</v>
      </c>
      <c r="U1216" t="s">
        <v>127</v>
      </c>
      <c r="V1216" t="s">
        <v>10726</v>
      </c>
      <c r="W1216" t="s">
        <v>10727</v>
      </c>
      <c r="Y1216" t="str">
        <f>HYPERLINK("https://recruiter.shine.com/resume/download/?resumeid=gAAAAABbk2UNmgcj9mP9xUm6Pm9DFqxxlqmdLbwNxMR51UMw_9sGuSxhmuiX3INlgkphZKpEokjXS1c0u7_t4f9CUSkiBESJKKA-_Nj1wU7_YdvKdtwmkU-Mx8ipr6iVifNsR_v_Xi3RghTZrFEssW4fg-_qNbKvD7i8Qh9Ql9pVups5IIVCC7M=")</f>
        <v>https://recruiter.shine.com/resume/download/?resumeid=gAAAAABbk2UNmgcj9mP9xUm6Pm9DFqxxlqmdLbwNxMR51UMw_9sGuSxhmuiX3INlgkphZKpEokjXS1c0u7_t4f9CUSkiBESJKKA-_Nj1wU7_YdvKdtwmkU-Mx8ipr6iVifNsR_v_Xi3RghTZrFEssW4fg-_qNbKvD7i8Qh9Ql9pVups5IIVCC7M=</v>
      </c>
    </row>
    <row r="1217" spans="1:25" ht="39.950000000000003" customHeight="1">
      <c r="A1217">
        <v>1213</v>
      </c>
      <c r="B1217" t="s">
        <v>10728</v>
      </c>
      <c r="C1217" t="s">
        <v>10729</v>
      </c>
      <c r="D1217" t="s">
        <v>10730</v>
      </c>
      <c r="E1217" t="s">
        <v>10731</v>
      </c>
      <c r="F1217" t="s">
        <v>29</v>
      </c>
      <c r="G1217" t="s">
        <v>29</v>
      </c>
      <c r="H1217" t="s">
        <v>31</v>
      </c>
      <c r="I1217" t="s">
        <v>714</v>
      </c>
      <c r="J1217" t="s">
        <v>118</v>
      </c>
      <c r="K1217" t="s">
        <v>1888</v>
      </c>
      <c r="L1217" t="s">
        <v>2690</v>
      </c>
      <c r="M1217" t="s">
        <v>315</v>
      </c>
      <c r="N1217" t="s">
        <v>10732</v>
      </c>
      <c r="O1217" t="s">
        <v>804</v>
      </c>
      <c r="P1217" t="s">
        <v>57</v>
      </c>
      <c r="Q1217" t="s">
        <v>412</v>
      </c>
      <c r="R1217" t="s">
        <v>4492</v>
      </c>
      <c r="S1217" t="s">
        <v>10733</v>
      </c>
      <c r="T1217" t="s">
        <v>175</v>
      </c>
      <c r="U1217" t="s">
        <v>43</v>
      </c>
      <c r="V1217" t="s">
        <v>10734</v>
      </c>
      <c r="W1217" t="s">
        <v>10735</v>
      </c>
      <c r="Y1217" t="str">
        <f>HYPERLINK("https://recruiter.shine.com/resume/download/?resumeid=gAAAAABbk2UL-WYKoxQvxSZLjRqMXBuD5H0Hww3b2aiJUBzvYeY7cf7JCA2ojEzExREGr6R4kRDaGhu8gSPBMBsuL3BcNuhqILm6rvbLHMVQhzsdiD6dUqxbPTz91_5oG0tU95O16QYKeD-Av18S3pSGOCO5-N-E1nFFi-bvC74AZSaY7JZG6ek=")</f>
        <v>https://recruiter.shine.com/resume/download/?resumeid=gAAAAABbk2UL-WYKoxQvxSZLjRqMXBuD5H0Hww3b2aiJUBzvYeY7cf7JCA2ojEzExREGr6R4kRDaGhu8gSPBMBsuL3BcNuhqILm6rvbLHMVQhzsdiD6dUqxbPTz91_5oG0tU95O16QYKeD-Av18S3pSGOCO5-N-E1nFFi-bvC74AZSaY7JZG6ek=</v>
      </c>
    </row>
    <row r="1218" spans="1:25" ht="39.950000000000003" customHeight="1">
      <c r="A1218">
        <v>1214</v>
      </c>
      <c r="B1218" t="s">
        <v>5826</v>
      </c>
      <c r="C1218" t="s">
        <v>4837</v>
      </c>
      <c r="D1218" t="s">
        <v>5828</v>
      </c>
      <c r="E1218" t="s">
        <v>5828</v>
      </c>
      <c r="F1218" t="s">
        <v>29</v>
      </c>
      <c r="G1218" t="s">
        <v>67</v>
      </c>
      <c r="H1218" t="s">
        <v>31</v>
      </c>
      <c r="I1218" t="s">
        <v>530</v>
      </c>
      <c r="J1218" t="s">
        <v>10736</v>
      </c>
      <c r="K1218" t="s">
        <v>5829</v>
      </c>
      <c r="L1218" t="s">
        <v>290</v>
      </c>
      <c r="M1218" t="s">
        <v>238</v>
      </c>
      <c r="N1218" t="s">
        <v>5828</v>
      </c>
      <c r="O1218" t="s">
        <v>186</v>
      </c>
      <c r="P1218" t="s">
        <v>57</v>
      </c>
      <c r="Q1218" t="s">
        <v>90</v>
      </c>
      <c r="R1218" t="s">
        <v>1676</v>
      </c>
      <c r="S1218" t="s">
        <v>10737</v>
      </c>
      <c r="T1218" t="s">
        <v>625</v>
      </c>
      <c r="U1218" t="s">
        <v>43</v>
      </c>
      <c r="V1218" t="s">
        <v>10738</v>
      </c>
      <c r="W1218" t="s">
        <v>10739</v>
      </c>
      <c r="Y1218" t="str">
        <f>HYPERLINK("Hidden")</f>
        <v>Hidden</v>
      </c>
    </row>
    <row r="1219" spans="1:25" ht="39.950000000000003" customHeight="1">
      <c r="A1219">
        <v>1215</v>
      </c>
      <c r="B1219" t="s">
        <v>10740</v>
      </c>
      <c r="C1219" t="s">
        <v>10741</v>
      </c>
      <c r="D1219" t="s">
        <v>10742</v>
      </c>
      <c r="E1219" t="s">
        <v>10743</v>
      </c>
      <c r="F1219" t="s">
        <v>29</v>
      </c>
      <c r="H1219" t="s">
        <v>31</v>
      </c>
      <c r="I1219" t="s">
        <v>362</v>
      </c>
      <c r="J1219" t="s">
        <v>135</v>
      </c>
      <c r="L1219" t="s">
        <v>363</v>
      </c>
      <c r="M1219" t="s">
        <v>364</v>
      </c>
      <c r="Q1219" t="s">
        <v>699</v>
      </c>
      <c r="R1219" t="s">
        <v>10744</v>
      </c>
      <c r="S1219" t="s">
        <v>188</v>
      </c>
      <c r="T1219" t="s">
        <v>625</v>
      </c>
      <c r="U1219" t="s">
        <v>127</v>
      </c>
      <c r="V1219" t="s">
        <v>10745</v>
      </c>
      <c r="W1219" t="s">
        <v>10746</v>
      </c>
      <c r="Y1219" t="str">
        <f>HYPERLINK("https://recruiter.shine.com/resume/download/?resumeid=gAAAAABbk2UN8e2e-N9khqgCvzTryDCIpNpIL-qauAjVvYq9K3TbxlHHs6Mhnr32eCU4kVXPVrXy7Mhvtk-34pG37Gpo3XHXjOimWN_-vZYtPMrBtU3XREO6Bzsn9y_XmsXhPOH6ll4__m0tsCiwHifeEgaCCjx8KtZOT-iaOw0ec1r_O46RRgE=")</f>
        <v>https://recruiter.shine.com/resume/download/?resumeid=gAAAAABbk2UN8e2e-N9khqgCvzTryDCIpNpIL-qauAjVvYq9K3TbxlHHs6Mhnr32eCU4kVXPVrXy7Mhvtk-34pG37Gpo3XHXjOimWN_-vZYtPMrBtU3XREO6Bzsn9y_XmsXhPOH6ll4__m0tsCiwHifeEgaCCjx8KtZOT-iaOw0ec1r_O46RRgE=</v>
      </c>
    </row>
    <row r="1220" spans="1:25" ht="39.950000000000003" customHeight="1">
      <c r="A1220">
        <v>1216</v>
      </c>
      <c r="B1220" t="s">
        <v>10747</v>
      </c>
      <c r="C1220" t="s">
        <v>10748</v>
      </c>
      <c r="D1220" t="s">
        <v>10749</v>
      </c>
      <c r="E1220" t="s">
        <v>10750</v>
      </c>
      <c r="F1220" t="s">
        <v>29</v>
      </c>
      <c r="G1220" t="s">
        <v>67</v>
      </c>
      <c r="H1220" t="s">
        <v>31</v>
      </c>
      <c r="I1220" t="s">
        <v>825</v>
      </c>
      <c r="J1220" t="s">
        <v>506</v>
      </c>
      <c r="K1220" t="s">
        <v>198</v>
      </c>
      <c r="L1220" t="s">
        <v>266</v>
      </c>
      <c r="M1220" t="s">
        <v>105</v>
      </c>
      <c r="N1220" t="s">
        <v>7740</v>
      </c>
      <c r="O1220" t="s">
        <v>38</v>
      </c>
      <c r="P1220" t="s">
        <v>57</v>
      </c>
      <c r="Q1220" t="s">
        <v>107</v>
      </c>
      <c r="R1220" t="s">
        <v>108</v>
      </c>
      <c r="S1220" t="s">
        <v>10751</v>
      </c>
      <c r="T1220" t="s">
        <v>61</v>
      </c>
      <c r="U1220" t="s">
        <v>43</v>
      </c>
      <c r="V1220" t="s">
        <v>10752</v>
      </c>
      <c r="W1220" t="s">
        <v>10753</v>
      </c>
      <c r="Y1220" t="str">
        <f>HYPERLINK("https://recruiter.shine.com/resume/download/?resumeid=gAAAAABbk2UKQE6-Wbgo9_Kvfx-7tLdrWzD6ntfCqZcn3X1wVDoZXa22DXNkDv1I_vgbJs8b-woiTTKZHa8f3e80TlMAoSLUyPkbCTRPh9BhMZ75-NlxG0LDnyHWGEmvelrMlfS29C9xcsx52L_JhiWX1Ih4oyhh4A==")</f>
        <v>https://recruiter.shine.com/resume/download/?resumeid=gAAAAABbk2UKQE6-Wbgo9_Kvfx-7tLdrWzD6ntfCqZcn3X1wVDoZXa22DXNkDv1I_vgbJs8b-woiTTKZHa8f3e80TlMAoSLUyPkbCTRPh9BhMZ75-NlxG0LDnyHWGEmvelrMlfS29C9xcsx52L_JhiWX1Ih4oyhh4A==</v>
      </c>
    </row>
    <row r="1221" spans="1:25" ht="39.950000000000003" customHeight="1">
      <c r="A1221">
        <v>1217</v>
      </c>
      <c r="B1221" t="s">
        <v>10754</v>
      </c>
      <c r="C1221" t="s">
        <v>10755</v>
      </c>
      <c r="D1221" t="s">
        <v>10756</v>
      </c>
      <c r="E1221" t="s">
        <v>10757</v>
      </c>
      <c r="F1221" t="s">
        <v>29</v>
      </c>
      <c r="G1221" t="s">
        <v>2902</v>
      </c>
      <c r="H1221" t="s">
        <v>31</v>
      </c>
      <c r="I1221" t="s">
        <v>8946</v>
      </c>
      <c r="J1221" t="s">
        <v>801</v>
      </c>
      <c r="K1221" t="s">
        <v>10758</v>
      </c>
      <c r="L1221" t="s">
        <v>155</v>
      </c>
      <c r="M1221" t="s">
        <v>105</v>
      </c>
      <c r="N1221" t="s">
        <v>37</v>
      </c>
      <c r="O1221" t="s">
        <v>1041</v>
      </c>
      <c r="P1221" t="s">
        <v>57</v>
      </c>
      <c r="Q1221" t="s">
        <v>158</v>
      </c>
      <c r="R1221" t="s">
        <v>559</v>
      </c>
      <c r="S1221" t="s">
        <v>816</v>
      </c>
      <c r="T1221" t="s">
        <v>415</v>
      </c>
      <c r="U1221" t="s">
        <v>43</v>
      </c>
      <c r="V1221" t="s">
        <v>10759</v>
      </c>
      <c r="W1221" t="s">
        <v>10760</v>
      </c>
      <c r="Y1221" t="str">
        <f>HYPERLINK("https://recruiter.shine.com/resume/download/?resumeid=gAAAAABbk2UNRprm8KOOnh19fQg0hIn5i1IXjpzZx-D08gQiGbLPh_D0_1WsFmHsDIHCClsxYO21ztYP3XFZhEa4D1RO_KYEpeoPreBbmrjpC59h7X1NolpufERNtcffmReTLUqcUQy8Q3yx8y3fqcuimMy4z4ZnoQ==")</f>
        <v>https://recruiter.shine.com/resume/download/?resumeid=gAAAAABbk2UNRprm8KOOnh19fQg0hIn5i1IXjpzZx-D08gQiGbLPh_D0_1WsFmHsDIHCClsxYO21ztYP3XFZhEa4D1RO_KYEpeoPreBbmrjpC59h7X1NolpufERNtcffmReTLUqcUQy8Q3yx8y3fqcuimMy4z4ZnoQ==</v>
      </c>
    </row>
    <row r="1222" spans="1:25" ht="39.950000000000003" customHeight="1">
      <c r="A1222">
        <v>1218</v>
      </c>
      <c r="B1222" t="s">
        <v>10761</v>
      </c>
      <c r="D1222" t="s">
        <v>10762</v>
      </c>
      <c r="E1222" t="s">
        <v>10763</v>
      </c>
      <c r="F1222" t="s">
        <v>29</v>
      </c>
      <c r="G1222" t="s">
        <v>1008</v>
      </c>
      <c r="H1222" t="s">
        <v>31</v>
      </c>
      <c r="I1222" t="s">
        <v>3180</v>
      </c>
      <c r="J1222" t="s">
        <v>169</v>
      </c>
      <c r="K1222" t="s">
        <v>10764</v>
      </c>
      <c r="L1222" t="s">
        <v>266</v>
      </c>
      <c r="M1222" t="s">
        <v>105</v>
      </c>
      <c r="N1222" t="s">
        <v>10765</v>
      </c>
      <c r="O1222" t="s">
        <v>56</v>
      </c>
      <c r="Q1222" t="s">
        <v>158</v>
      </c>
      <c r="R1222" t="s">
        <v>341</v>
      </c>
      <c r="S1222" t="s">
        <v>10766</v>
      </c>
      <c r="T1222" t="s">
        <v>2554</v>
      </c>
      <c r="U1222" t="s">
        <v>127</v>
      </c>
      <c r="V1222" t="s">
        <v>10767</v>
      </c>
      <c r="W1222" t="s">
        <v>10768</v>
      </c>
      <c r="Y1222" t="str">
        <f>HYPERLINK("https://recruiter.shine.com/resume/download/?resumeid=gAAAAABbk2UN1rrzjcgupejBX6cvKyFNRnzWP6fGKBG6IbpGi_rzWWtkhx0sAMc3Uw0tuKEfkQ-mwDIDcq-DlVX8D9b5_hp8bjnmvPoeAqZyDyJTyIJb6lqPvC6FRDR8QoTFBHu0Deh8bfQRR2gLW8H-N3feOhnwgQ==")</f>
        <v>https://recruiter.shine.com/resume/download/?resumeid=gAAAAABbk2UN1rrzjcgupejBX6cvKyFNRnzWP6fGKBG6IbpGi_rzWWtkhx0sAMc3Uw0tuKEfkQ-mwDIDcq-DlVX8D9b5_hp8bjnmvPoeAqZyDyJTyIJb6lqPvC6FRDR8QoTFBHu0Deh8bfQRR2gLW8H-N3feOhnwgQ==</v>
      </c>
    </row>
    <row r="1223" spans="1:25" ht="39.950000000000003" customHeight="1">
      <c r="A1223">
        <v>1219</v>
      </c>
      <c r="B1223" t="s">
        <v>10769</v>
      </c>
      <c r="C1223" t="s">
        <v>10770</v>
      </c>
      <c r="D1223" t="s">
        <v>10771</v>
      </c>
      <c r="E1223" t="s">
        <v>10772</v>
      </c>
      <c r="F1223" t="s">
        <v>29</v>
      </c>
      <c r="G1223" t="s">
        <v>67</v>
      </c>
      <c r="H1223" t="s">
        <v>31</v>
      </c>
      <c r="I1223" t="s">
        <v>825</v>
      </c>
      <c r="J1223" t="s">
        <v>408</v>
      </c>
      <c r="K1223" t="s">
        <v>10773</v>
      </c>
      <c r="L1223" t="s">
        <v>2249</v>
      </c>
      <c r="M1223" t="s">
        <v>172</v>
      </c>
      <c r="N1223" t="s">
        <v>10774</v>
      </c>
      <c r="O1223" t="s">
        <v>1041</v>
      </c>
      <c r="P1223" t="s">
        <v>140</v>
      </c>
      <c r="Q1223" t="s">
        <v>90</v>
      </c>
      <c r="R1223" t="s">
        <v>1627</v>
      </c>
      <c r="S1223" t="s">
        <v>10775</v>
      </c>
      <c r="T1223" t="s">
        <v>625</v>
      </c>
      <c r="U1223" t="s">
        <v>94</v>
      </c>
      <c r="V1223" t="s">
        <v>10776</v>
      </c>
      <c r="W1223" t="s">
        <v>10776</v>
      </c>
      <c r="Y1223" t="str">
        <f>HYPERLINK("https://recruiter.shine.com/resume/download/?resumeid=gAAAAABbk2UK3C_PJDhTXdaYa-eJ34M23G-UrzriO5FuWrS8i48husCfnxp_ONzaKq7IzaKOqdyPXVB3rU_vfzkusxL51stfWTI65irWG27ErV7mHAZbZZghN86MTQgdXjfSd3wF2H8EFOqxxcw-N-jzQ6DNyaEwEg==")</f>
        <v>https://recruiter.shine.com/resume/download/?resumeid=gAAAAABbk2UK3C_PJDhTXdaYa-eJ34M23G-UrzriO5FuWrS8i48husCfnxp_ONzaKq7IzaKOqdyPXVB3rU_vfzkusxL51stfWTI65irWG27ErV7mHAZbZZghN86MTQgdXjfSd3wF2H8EFOqxxcw-N-jzQ6DNyaEwEg==</v>
      </c>
    </row>
    <row r="1224" spans="1:25" ht="39.950000000000003" customHeight="1">
      <c r="A1224">
        <v>1220</v>
      </c>
      <c r="B1224" t="s">
        <v>10777</v>
      </c>
      <c r="C1224" t="s">
        <v>5109</v>
      </c>
      <c r="D1224" t="s">
        <v>10778</v>
      </c>
      <c r="E1224" t="s">
        <v>10779</v>
      </c>
      <c r="F1224" t="s">
        <v>29</v>
      </c>
      <c r="G1224" t="s">
        <v>10780</v>
      </c>
      <c r="H1224" t="s">
        <v>31</v>
      </c>
      <c r="I1224" t="s">
        <v>1038</v>
      </c>
      <c r="J1224" t="s">
        <v>871</v>
      </c>
      <c r="K1224" t="s">
        <v>10781</v>
      </c>
      <c r="L1224" t="s">
        <v>462</v>
      </c>
      <c r="M1224" t="s">
        <v>684</v>
      </c>
      <c r="N1224" t="s">
        <v>10782</v>
      </c>
      <c r="O1224" t="s">
        <v>56</v>
      </c>
      <c r="P1224" t="s">
        <v>39</v>
      </c>
      <c r="Q1224" t="s">
        <v>365</v>
      </c>
      <c r="R1224" t="s">
        <v>41</v>
      </c>
      <c r="S1224" t="s">
        <v>10783</v>
      </c>
      <c r="T1224" t="s">
        <v>399</v>
      </c>
      <c r="U1224" t="s">
        <v>43</v>
      </c>
      <c r="V1224" t="s">
        <v>10784</v>
      </c>
      <c r="W1224" t="s">
        <v>10785</v>
      </c>
      <c r="Y1224" t="str">
        <f>HYPERLINK("https://recruiter.shine.com/resume/download/?resumeid=gAAAAABbk2UN90MoITV91k_LQHocobDFUcql9Q-FwzeuwZ-6BBNtN5gjvzrXh099gnJkp7xefBkkBI2KsZqNeLQlE1XUAvk8YLMCvoF4_W7AC9lITBqQ6ZAtwkw1MTDkinGa8g2Xa0C-TGn07Lo6GpwdzK3LRq_t7xBbHFKuu16PndtILE4v4z4=")</f>
        <v>https://recruiter.shine.com/resume/download/?resumeid=gAAAAABbk2UN90MoITV91k_LQHocobDFUcql9Q-FwzeuwZ-6BBNtN5gjvzrXh099gnJkp7xefBkkBI2KsZqNeLQlE1XUAvk8YLMCvoF4_W7AC9lITBqQ6ZAtwkw1MTDkinGa8g2Xa0C-TGn07Lo6GpwdzK3LRq_t7xBbHFKuu16PndtILE4v4z4=</v>
      </c>
    </row>
    <row r="1225" spans="1:25" ht="39.950000000000003" customHeight="1">
      <c r="A1225">
        <v>1221</v>
      </c>
      <c r="B1225" t="s">
        <v>10786</v>
      </c>
      <c r="D1225" t="s">
        <v>10787</v>
      </c>
      <c r="E1225" t="s">
        <v>10788</v>
      </c>
      <c r="F1225" t="s">
        <v>29</v>
      </c>
      <c r="H1225" t="s">
        <v>31</v>
      </c>
      <c r="I1225" t="s">
        <v>362</v>
      </c>
      <c r="J1225" t="s">
        <v>135</v>
      </c>
      <c r="L1225" t="s">
        <v>363</v>
      </c>
      <c r="M1225" t="s">
        <v>364</v>
      </c>
      <c r="Q1225" t="s">
        <v>365</v>
      </c>
      <c r="R1225" t="s">
        <v>124</v>
      </c>
      <c r="S1225" t="s">
        <v>10789</v>
      </c>
      <c r="T1225" t="s">
        <v>625</v>
      </c>
      <c r="U1225" t="s">
        <v>127</v>
      </c>
      <c r="V1225" t="s">
        <v>10790</v>
      </c>
      <c r="W1225" t="s">
        <v>10791</v>
      </c>
      <c r="Y1225" t="str">
        <f>HYPERLINK("https://recruiter.shine.com/resume/download/?resumeid=gAAAAABbk2UNydwjKHbplEC0IZ4afI-DKRp6T2TmMF5agw89dtSUAZOuGnvb1TPqSVUOS7ZhsMzZLV-yMcJVv07CFVn-Ptl3m-nlp9SemxCGY8jiIpMJ_arSAUsJ7fRC6Iv6d94n8MLmIYeJ9YDPbAO4_2riY9tbI2HCFHA49aQrE66QHjASGVE=")</f>
        <v>https://recruiter.shine.com/resume/download/?resumeid=gAAAAABbk2UNydwjKHbplEC0IZ4afI-DKRp6T2TmMF5agw89dtSUAZOuGnvb1TPqSVUOS7ZhsMzZLV-yMcJVv07CFVn-Ptl3m-nlp9SemxCGY8jiIpMJ_arSAUsJ7fRC6Iv6d94n8MLmIYeJ9YDPbAO4_2riY9tbI2HCFHA49aQrE66QHjASGVE=</v>
      </c>
    </row>
    <row r="1226" spans="1:25" ht="39.950000000000003" customHeight="1">
      <c r="A1226">
        <v>1222</v>
      </c>
      <c r="B1226" t="s">
        <v>10792</v>
      </c>
      <c r="C1226" t="s">
        <v>10793</v>
      </c>
      <c r="D1226" t="s">
        <v>10794</v>
      </c>
      <c r="E1226" t="s">
        <v>10795</v>
      </c>
      <c r="F1226" t="s">
        <v>29</v>
      </c>
      <c r="G1226" t="s">
        <v>29</v>
      </c>
      <c r="H1226" t="s">
        <v>31</v>
      </c>
      <c r="I1226" t="s">
        <v>860</v>
      </c>
      <c r="J1226" t="s">
        <v>801</v>
      </c>
      <c r="K1226" t="s">
        <v>2607</v>
      </c>
      <c r="L1226" t="s">
        <v>88</v>
      </c>
      <c r="M1226" t="s">
        <v>884</v>
      </c>
      <c r="N1226" t="s">
        <v>10796</v>
      </c>
      <c r="O1226" t="s">
        <v>186</v>
      </c>
      <c r="P1226" t="s">
        <v>57</v>
      </c>
      <c r="Q1226" t="s">
        <v>158</v>
      </c>
      <c r="R1226" t="s">
        <v>2346</v>
      </c>
      <c r="S1226" t="s">
        <v>10797</v>
      </c>
      <c r="T1226" t="s">
        <v>561</v>
      </c>
      <c r="U1226" t="s">
        <v>43</v>
      </c>
      <c r="V1226" t="s">
        <v>10798</v>
      </c>
      <c r="W1226" t="s">
        <v>10799</v>
      </c>
      <c r="Y1226" t="str">
        <f>HYPERLINK("https://recruiter.shine.com/resume/download/?resumeid=gAAAAABbk2UKBsbN41-JMuJMlJgvFRH61dKDighQ1GMHJGVjvHe-Qdrc3EanqIRmMq7fk4s-zie2yBV3QBccdRaIVmUcbrFiBzMvR4E64uPMOc9k4-XeYh-a2Jb5CZCMBm4oYOucbkMJ-TuD6uq4SzySs5mORBXE9CPR3IKNMIautGIr_JeBGI0=")</f>
        <v>https://recruiter.shine.com/resume/download/?resumeid=gAAAAABbk2UKBsbN41-JMuJMlJgvFRH61dKDighQ1GMHJGVjvHe-Qdrc3EanqIRmMq7fk4s-zie2yBV3QBccdRaIVmUcbrFiBzMvR4E64uPMOc9k4-XeYh-a2Jb5CZCMBm4oYOucbkMJ-TuD6uq4SzySs5mORBXE9CPR3IKNMIautGIr_JeBGI0=</v>
      </c>
    </row>
    <row r="1227" spans="1:25" ht="39.950000000000003" customHeight="1">
      <c r="A1227">
        <v>1223</v>
      </c>
      <c r="B1227" t="s">
        <v>10800</v>
      </c>
      <c r="C1227" t="s">
        <v>10801</v>
      </c>
      <c r="D1227" t="s">
        <v>10802</v>
      </c>
      <c r="E1227" t="s">
        <v>10803</v>
      </c>
      <c r="F1227" t="s">
        <v>29</v>
      </c>
      <c r="G1227" t="s">
        <v>10804</v>
      </c>
      <c r="H1227" t="s">
        <v>31</v>
      </c>
      <c r="I1227" t="s">
        <v>32</v>
      </c>
      <c r="J1227" t="s">
        <v>135</v>
      </c>
      <c r="K1227" t="s">
        <v>10805</v>
      </c>
      <c r="L1227" t="s">
        <v>2534</v>
      </c>
      <c r="M1227" t="s">
        <v>105</v>
      </c>
      <c r="N1227" t="s">
        <v>10806</v>
      </c>
      <c r="O1227" t="s">
        <v>585</v>
      </c>
      <c r="Q1227" t="s">
        <v>107</v>
      </c>
      <c r="R1227" t="s">
        <v>559</v>
      </c>
      <c r="S1227" t="s">
        <v>2905</v>
      </c>
      <c r="T1227" t="s">
        <v>1200</v>
      </c>
      <c r="U1227" t="s">
        <v>43</v>
      </c>
      <c r="V1227" t="s">
        <v>10807</v>
      </c>
      <c r="W1227" t="s">
        <v>10808</v>
      </c>
      <c r="Y1227" t="str">
        <f>HYPERLINK("https://recruiter.shine.com/resume/download/?resumeid=gAAAAABbk2UMfUN6TXFaI89K8oE5KYf5qVvJhAIuf19oyn2sVq0Wl5-NVahcR13PTg5eGdmi5pimGoxN4bJmH12OSmdDfTBTJx3ez4xe8sKgqNp8rj9dAObXFMw0w5eZID8UbIXarNDQhCxnMV4SvI4E7lik4VR5b37irF__w1btWUoWo460YXY=")</f>
        <v>https://recruiter.shine.com/resume/download/?resumeid=gAAAAABbk2UMfUN6TXFaI89K8oE5KYf5qVvJhAIuf19oyn2sVq0Wl5-NVahcR13PTg5eGdmi5pimGoxN4bJmH12OSmdDfTBTJx3ez4xe8sKgqNp8rj9dAObXFMw0w5eZID8UbIXarNDQhCxnMV4SvI4E7lik4VR5b37irF__w1btWUoWo460YXY=</v>
      </c>
    </row>
    <row r="1228" spans="1:25" ht="39.950000000000003" customHeight="1">
      <c r="A1228">
        <v>1224</v>
      </c>
      <c r="B1228" t="s">
        <v>10809</v>
      </c>
      <c r="C1228" t="s">
        <v>10810</v>
      </c>
      <c r="D1228" t="s">
        <v>10811</v>
      </c>
      <c r="E1228" t="s">
        <v>10812</v>
      </c>
      <c r="F1228" t="s">
        <v>29</v>
      </c>
      <c r="G1228" t="s">
        <v>67</v>
      </c>
      <c r="H1228" t="s">
        <v>234</v>
      </c>
      <c r="I1228" t="s">
        <v>10813</v>
      </c>
      <c r="J1228" t="s">
        <v>352</v>
      </c>
      <c r="K1228" t="s">
        <v>10814</v>
      </c>
      <c r="L1228" t="s">
        <v>184</v>
      </c>
      <c r="M1228" t="s">
        <v>105</v>
      </c>
      <c r="N1228" t="s">
        <v>10815</v>
      </c>
      <c r="O1228" t="s">
        <v>224</v>
      </c>
      <c r="P1228" t="s">
        <v>73</v>
      </c>
      <c r="Q1228" t="s">
        <v>90</v>
      </c>
      <c r="R1228" t="s">
        <v>292</v>
      </c>
      <c r="S1228" t="s">
        <v>10816</v>
      </c>
      <c r="T1228" t="s">
        <v>441</v>
      </c>
      <c r="U1228" t="s">
        <v>43</v>
      </c>
      <c r="V1228" t="s">
        <v>10817</v>
      </c>
      <c r="W1228" t="s">
        <v>10818</v>
      </c>
      <c r="Y1228" t="str">
        <f>HYPERLINK("https://recruiter.shine.com/resume/download/?resumeid=gAAAAABbk2UNda1V6U4fK2KMIrLMBRom-IzS-jcQMs2uu6hbhNblr-YEBAFVslLhjOghyT3fEWSAGzhOcMmKs947y7hGDebcS57zfJyI1LDvIzTzmhtbFLAgEj0bJWa5h9hut2arQFN9QoIvzI4tz575hVGVdTL142Qpv9p73y3zC6NL1-Oeuhk=")</f>
        <v>https://recruiter.shine.com/resume/download/?resumeid=gAAAAABbk2UNda1V6U4fK2KMIrLMBRom-IzS-jcQMs2uu6hbhNblr-YEBAFVslLhjOghyT3fEWSAGzhOcMmKs947y7hGDebcS57zfJyI1LDvIzTzmhtbFLAgEj0bJWa5h9hut2arQFN9QoIvzI4tz575hVGVdTL142Qpv9p73y3zC6NL1-Oeuhk=</v>
      </c>
    </row>
    <row r="1229" spans="1:25" ht="39.950000000000003" customHeight="1">
      <c r="A1229">
        <v>1225</v>
      </c>
      <c r="B1229" t="s">
        <v>10819</v>
      </c>
      <c r="C1229" t="s">
        <v>10820</v>
      </c>
      <c r="D1229" t="s">
        <v>10821</v>
      </c>
      <c r="E1229" t="s">
        <v>10822</v>
      </c>
      <c r="F1229" t="s">
        <v>29</v>
      </c>
      <c r="G1229" t="s">
        <v>10823</v>
      </c>
      <c r="H1229" t="s">
        <v>31</v>
      </c>
      <c r="I1229" t="s">
        <v>134</v>
      </c>
      <c r="J1229" t="s">
        <v>801</v>
      </c>
      <c r="K1229" t="s">
        <v>10824</v>
      </c>
      <c r="L1229" t="s">
        <v>199</v>
      </c>
      <c r="M1229" t="s">
        <v>54</v>
      </c>
      <c r="N1229" t="s">
        <v>5032</v>
      </c>
      <c r="O1229" t="s">
        <v>157</v>
      </c>
      <c r="P1229" t="s">
        <v>39</v>
      </c>
      <c r="Q1229" t="s">
        <v>107</v>
      </c>
      <c r="R1229" t="s">
        <v>2346</v>
      </c>
      <c r="S1229" t="s">
        <v>10825</v>
      </c>
      <c r="T1229" t="s">
        <v>429</v>
      </c>
      <c r="U1229" t="s">
        <v>43</v>
      </c>
      <c r="V1229" t="s">
        <v>10826</v>
      </c>
      <c r="W1229" t="s">
        <v>10827</v>
      </c>
      <c r="Y1229" t="str">
        <f>HYPERLINK("https://recruiter.shine.com/resume/download/?resumeid=gAAAAABbk2UL3w05XWjTmNOq9C2w7WZoj3VV1OKOBGcJQNBEyUxUTwUMg5p2K6ZCAN2z76ZynlqeT-nJUMNkUyxXXYELp8wqWMtlRi4dsUYubmuLobMzTLeS_NnU-icHsL0ZEnjTJ7UlMc4EebiKdj-3L8ATS_IPPg==")</f>
        <v>https://recruiter.shine.com/resume/download/?resumeid=gAAAAABbk2UL3w05XWjTmNOq9C2w7WZoj3VV1OKOBGcJQNBEyUxUTwUMg5p2K6ZCAN2z76ZynlqeT-nJUMNkUyxXXYELp8wqWMtlRi4dsUYubmuLobMzTLeS_NnU-icHsL0ZEnjTJ7UlMc4EebiKdj-3L8ATS_IPPg==</v>
      </c>
    </row>
    <row r="1230" spans="1:25" ht="39.950000000000003" customHeight="1">
      <c r="A1230">
        <v>1226</v>
      </c>
      <c r="B1230" t="s">
        <v>10828</v>
      </c>
      <c r="C1230" t="s">
        <v>10829</v>
      </c>
      <c r="D1230" t="s">
        <v>10830</v>
      </c>
      <c r="E1230" t="s">
        <v>10831</v>
      </c>
      <c r="F1230" t="s">
        <v>29</v>
      </c>
      <c r="G1230" t="s">
        <v>2854</v>
      </c>
      <c r="H1230" t="s">
        <v>31</v>
      </c>
      <c r="I1230" t="s">
        <v>134</v>
      </c>
      <c r="J1230" t="s">
        <v>153</v>
      </c>
      <c r="K1230" t="s">
        <v>10832</v>
      </c>
      <c r="L1230" t="s">
        <v>266</v>
      </c>
      <c r="M1230" t="s">
        <v>105</v>
      </c>
      <c r="N1230" t="s">
        <v>156</v>
      </c>
      <c r="O1230" t="s">
        <v>585</v>
      </c>
      <c r="Q1230" t="s">
        <v>158</v>
      </c>
      <c r="R1230" t="s">
        <v>159</v>
      </c>
      <c r="S1230" t="s">
        <v>10833</v>
      </c>
      <c r="T1230" t="s">
        <v>304</v>
      </c>
      <c r="U1230" t="s">
        <v>43</v>
      </c>
      <c r="V1230" t="s">
        <v>10834</v>
      </c>
      <c r="W1230" t="s">
        <v>10835</v>
      </c>
      <c r="Y1230" t="str">
        <f>HYPERLINK("https://recruiter.shine.com/resume/download/?resumeid=gAAAAABbk2UMFGtSTnmlUB1-TDiZSbydEeG8xAIfWBbXv6HDdDJi0UeeK1gNFDztH8c3T32axxHvhcPyp0kwZ5bgm6B_p-XsZqa0fz4INbAW7QHZAzY1ChQzUVtx4WcDBTrAbFjUxBXUPv4eLu4k__gms4iihumWOA==")</f>
        <v>https://recruiter.shine.com/resume/download/?resumeid=gAAAAABbk2UMFGtSTnmlUB1-TDiZSbydEeG8xAIfWBbXv6HDdDJi0UeeK1gNFDztH8c3T32axxHvhcPyp0kwZ5bgm6B_p-XsZqa0fz4INbAW7QHZAzY1ChQzUVtx4WcDBTrAbFjUxBXUPv4eLu4k__gms4iihumWOA==</v>
      </c>
    </row>
    <row r="1231" spans="1:25" ht="39.950000000000003" customHeight="1">
      <c r="A1231">
        <v>1227</v>
      </c>
      <c r="B1231" t="s">
        <v>10836</v>
      </c>
      <c r="D1231" t="s">
        <v>10837</v>
      </c>
      <c r="E1231" t="s">
        <v>10838</v>
      </c>
      <c r="F1231" t="s">
        <v>29</v>
      </c>
      <c r="H1231" t="s">
        <v>234</v>
      </c>
      <c r="I1231" t="s">
        <v>362</v>
      </c>
      <c r="J1231" t="s">
        <v>135</v>
      </c>
      <c r="L1231" t="s">
        <v>363</v>
      </c>
      <c r="M1231" t="s">
        <v>364</v>
      </c>
      <c r="Q1231" t="s">
        <v>123</v>
      </c>
      <c r="R1231" t="s">
        <v>124</v>
      </c>
      <c r="S1231" t="s">
        <v>10839</v>
      </c>
      <c r="T1231" t="s">
        <v>625</v>
      </c>
      <c r="U1231" t="s">
        <v>127</v>
      </c>
      <c r="V1231" t="s">
        <v>10840</v>
      </c>
      <c r="W1231" t="s">
        <v>10841</v>
      </c>
      <c r="Y1231" t="str">
        <f>HYPERLINK("https://recruiter.shine.com/resume/download/?resumeid=gAAAAABbk2UN8QMsPmZl9B95WiEc_dWF1JJSW0YYKGeA5tS7lU_LfA3cLIXdR024wk8FfoOfyx4JI_DyFJqMWV-vsMedzpI-nTWIgZMb40-2WOR83VNaqusjJWSn3RWxdqIdiP8D59yq_B5hJX_BrGD4KOdISfYcP3JdeOZiXSDwFjXSj3sV7gQ=")</f>
        <v>https://recruiter.shine.com/resume/download/?resumeid=gAAAAABbk2UN8QMsPmZl9B95WiEc_dWF1JJSW0YYKGeA5tS7lU_LfA3cLIXdR024wk8FfoOfyx4JI_DyFJqMWV-vsMedzpI-nTWIgZMb40-2WOR83VNaqusjJWSn3RWxdqIdiP8D59yq_B5hJX_BrGD4KOdISfYcP3JdeOZiXSDwFjXSj3sV7gQ=</v>
      </c>
    </row>
    <row r="1232" spans="1:25" ht="39.950000000000003" customHeight="1">
      <c r="A1232">
        <v>1228</v>
      </c>
      <c r="B1232" t="s">
        <v>10842</v>
      </c>
      <c r="C1232" t="s">
        <v>10843</v>
      </c>
      <c r="D1232" t="s">
        <v>10844</v>
      </c>
      <c r="E1232" t="s">
        <v>10845</v>
      </c>
      <c r="F1232" t="s">
        <v>29</v>
      </c>
      <c r="G1232" t="s">
        <v>10846</v>
      </c>
      <c r="H1232" t="s">
        <v>31</v>
      </c>
      <c r="I1232" t="s">
        <v>7471</v>
      </c>
      <c r="J1232" t="s">
        <v>801</v>
      </c>
      <c r="K1232" t="s">
        <v>10847</v>
      </c>
      <c r="L1232" t="s">
        <v>266</v>
      </c>
      <c r="M1232" t="s">
        <v>105</v>
      </c>
      <c r="N1232" t="s">
        <v>10848</v>
      </c>
      <c r="O1232" t="s">
        <v>38</v>
      </c>
      <c r="P1232" t="s">
        <v>73</v>
      </c>
      <c r="Q1232" t="s">
        <v>158</v>
      </c>
      <c r="R1232" t="s">
        <v>559</v>
      </c>
      <c r="S1232" t="s">
        <v>10849</v>
      </c>
      <c r="T1232" t="s">
        <v>110</v>
      </c>
      <c r="U1232" t="s">
        <v>127</v>
      </c>
      <c r="V1232" t="s">
        <v>10850</v>
      </c>
      <c r="W1232" t="s">
        <v>10851</v>
      </c>
      <c r="Y1232" t="str">
        <f>HYPERLINK("https://recruiter.shine.com/resume/download/?resumeid=gAAAAABbk2ULa9Nd0KBc4QLhtkcqv5C8txLPtBeZFcEWJ6Rwd0Vv71f44872XaBZIthdM2RtesRAa45L9qXODFjAGdOtT54yGZit4YCqqcTsG91vy7RlFhBmn9RUzwdkYJa9BrrglsmuncK6yyvwmxKlC0bOE-H6Qw==")</f>
        <v>https://recruiter.shine.com/resume/download/?resumeid=gAAAAABbk2ULa9Nd0KBc4QLhtkcqv5C8txLPtBeZFcEWJ6Rwd0Vv71f44872XaBZIthdM2RtesRAa45L9qXODFjAGdOtT54yGZit4YCqqcTsG91vy7RlFhBmn9RUzwdkYJa9BrrglsmuncK6yyvwmxKlC0bOE-H6Qw==</v>
      </c>
    </row>
    <row r="1233" spans="1:25" ht="39.950000000000003" customHeight="1">
      <c r="A1233">
        <v>1229</v>
      </c>
      <c r="B1233" t="s">
        <v>10852</v>
      </c>
      <c r="D1233" t="s">
        <v>10853</v>
      </c>
      <c r="E1233" t="s">
        <v>10854</v>
      </c>
      <c r="F1233" t="s">
        <v>29</v>
      </c>
      <c r="G1233" t="s">
        <v>29</v>
      </c>
      <c r="H1233" t="s">
        <v>31</v>
      </c>
      <c r="I1233" t="s">
        <v>362</v>
      </c>
      <c r="J1233" t="s">
        <v>135</v>
      </c>
      <c r="K1233" t="s">
        <v>10855</v>
      </c>
      <c r="L1233" t="s">
        <v>794</v>
      </c>
      <c r="M1233" t="s">
        <v>684</v>
      </c>
      <c r="N1233" t="s">
        <v>10856</v>
      </c>
      <c r="O1233" t="s">
        <v>186</v>
      </c>
      <c r="Q1233" t="s">
        <v>107</v>
      </c>
      <c r="R1233" t="s">
        <v>225</v>
      </c>
      <c r="S1233" t="s">
        <v>10857</v>
      </c>
      <c r="T1233" t="s">
        <v>429</v>
      </c>
      <c r="U1233" t="s">
        <v>43</v>
      </c>
      <c r="V1233" t="s">
        <v>10858</v>
      </c>
      <c r="W1233" t="s">
        <v>10859</v>
      </c>
      <c r="Y1233" t="str">
        <f>HYPERLINK("https://recruiter.shine.com/resume/download/?resumeid=gAAAAABbk2UMm8tiSjSmIsKm10arxXj_6EHxtc0g7h9_GDg5p3X9cOFQIM8Z1GDbFqsrBVUkKQw9zXfeKxmONkWJMcKJpEUoPD8Q2Yic6j84ZJEXwSAlTGacAbHrm9ahCiQ3dx5c-RuN6xwr2EEU01sFHSdReAawkw==")</f>
        <v>https://recruiter.shine.com/resume/download/?resumeid=gAAAAABbk2UMm8tiSjSmIsKm10arxXj_6EHxtc0g7h9_GDg5p3X9cOFQIM8Z1GDbFqsrBVUkKQw9zXfeKxmONkWJMcKJpEUoPD8Q2Yic6j84ZJEXwSAlTGacAbHrm9ahCiQ3dx5c-RuN6xwr2EEU01sFHSdReAawkw==</v>
      </c>
    </row>
    <row r="1234" spans="1:25" ht="39.950000000000003" customHeight="1">
      <c r="A1234">
        <v>1230</v>
      </c>
      <c r="B1234" t="s">
        <v>10860</v>
      </c>
      <c r="C1234" t="s">
        <v>10861</v>
      </c>
      <c r="D1234" t="s">
        <v>10862</v>
      </c>
      <c r="E1234" t="s">
        <v>10863</v>
      </c>
      <c r="F1234" t="s">
        <v>29</v>
      </c>
      <c r="G1234" t="s">
        <v>29</v>
      </c>
      <c r="H1234" t="s">
        <v>234</v>
      </c>
      <c r="I1234" t="s">
        <v>998</v>
      </c>
      <c r="J1234" t="s">
        <v>1742</v>
      </c>
      <c r="K1234" t="s">
        <v>10864</v>
      </c>
      <c r="L1234" t="s">
        <v>10865</v>
      </c>
      <c r="M1234" t="s">
        <v>121</v>
      </c>
      <c r="N1234" t="s">
        <v>10866</v>
      </c>
      <c r="O1234" t="s">
        <v>38</v>
      </c>
      <c r="P1234" t="s">
        <v>140</v>
      </c>
      <c r="Q1234" t="s">
        <v>90</v>
      </c>
      <c r="R1234" t="s">
        <v>292</v>
      </c>
      <c r="S1234" t="s">
        <v>188</v>
      </c>
      <c r="T1234" t="s">
        <v>429</v>
      </c>
      <c r="U1234" t="s">
        <v>127</v>
      </c>
      <c r="V1234" t="s">
        <v>10867</v>
      </c>
      <c r="W1234" t="s">
        <v>10868</v>
      </c>
      <c r="Y1234" t="str">
        <f>HYPERLINK("https://recruiter.shine.com/resume/download/?resumeid=gAAAAABbk2UNmg0xJ-jslJLg3WoZT1fjDvz49OW_8BOyxvlJ4THKv_6Vpk_fluyxDXade6Nq0ZePWrtQ64zEcC1zhWD_DJzZHCW0jwgM464poGRwn0T8Ph1MQOCw9joZ_sHNpDZ0L9LCdyBvn3GChQwluVp9eLZRDw==")</f>
        <v>https://recruiter.shine.com/resume/download/?resumeid=gAAAAABbk2UNmg0xJ-jslJLg3WoZT1fjDvz49OW_8BOyxvlJ4THKv_6Vpk_fluyxDXade6Nq0ZePWrtQ64zEcC1zhWD_DJzZHCW0jwgM464poGRwn0T8Ph1MQOCw9joZ_sHNpDZ0L9LCdyBvn3GChQwluVp9eLZRDw==</v>
      </c>
    </row>
    <row r="1235" spans="1:25" ht="39.950000000000003" customHeight="1">
      <c r="A1235">
        <v>1231</v>
      </c>
      <c r="B1235" t="s">
        <v>10869</v>
      </c>
      <c r="D1235" t="s">
        <v>10870</v>
      </c>
      <c r="E1235" t="s">
        <v>10871</v>
      </c>
      <c r="F1235" t="s">
        <v>29</v>
      </c>
      <c r="G1235" t="s">
        <v>29</v>
      </c>
      <c r="H1235" t="s">
        <v>31</v>
      </c>
      <c r="I1235" t="s">
        <v>32</v>
      </c>
      <c r="J1235" t="s">
        <v>10156</v>
      </c>
      <c r="K1235" t="s">
        <v>337</v>
      </c>
      <c r="L1235" t="s">
        <v>2534</v>
      </c>
      <c r="M1235" t="s">
        <v>105</v>
      </c>
      <c r="N1235" t="s">
        <v>9073</v>
      </c>
      <c r="O1235" t="s">
        <v>848</v>
      </c>
      <c r="Q1235" t="s">
        <v>107</v>
      </c>
      <c r="R1235" t="s">
        <v>2346</v>
      </c>
      <c r="S1235" t="s">
        <v>10872</v>
      </c>
      <c r="U1235" t="s">
        <v>43</v>
      </c>
      <c r="V1235" t="s">
        <v>10873</v>
      </c>
      <c r="W1235" t="s">
        <v>10874</v>
      </c>
      <c r="Y1235" t="str">
        <f>HYPERLINK("https://recruiter.shine.com/resume/download/?resumeid=gAAAAABbk2UKFBb6BLN_cbVg7ygvAK4sZWVrxYk22A3IKvRDkQIYnjStNeAL8NutLlVQ_XV7iDJEhT7Z00q1CdyuNYy76wUr230rdPtNViR6cMg2r1Kkc0SqD7qC4C9gGNFkzU4rpeiJRuN1tnKWpbEGWzKRLF2G8EH_pvNXJvo8wYvm3imgFXI=")</f>
        <v>https://recruiter.shine.com/resume/download/?resumeid=gAAAAABbk2UKFBb6BLN_cbVg7ygvAK4sZWVrxYk22A3IKvRDkQIYnjStNeAL8NutLlVQ_XV7iDJEhT7Z00q1CdyuNYy76wUr230rdPtNViR6cMg2r1Kkc0SqD7qC4C9gGNFkzU4rpeiJRuN1tnKWpbEGWzKRLF2G8EH_pvNXJvo8wYvm3imgFXI=</v>
      </c>
    </row>
    <row r="1236" spans="1:25" ht="39.950000000000003" customHeight="1">
      <c r="A1236">
        <v>1232</v>
      </c>
      <c r="B1236" t="s">
        <v>10875</v>
      </c>
      <c r="C1236" t="s">
        <v>10876</v>
      </c>
      <c r="D1236" t="s">
        <v>10877</v>
      </c>
      <c r="E1236" t="s">
        <v>10878</v>
      </c>
      <c r="F1236" t="s">
        <v>29</v>
      </c>
      <c r="G1236" t="s">
        <v>10879</v>
      </c>
      <c r="H1236" t="s">
        <v>31</v>
      </c>
      <c r="I1236" t="s">
        <v>4840</v>
      </c>
      <c r="J1236" t="s">
        <v>517</v>
      </c>
      <c r="K1236" t="s">
        <v>154</v>
      </c>
      <c r="L1236" t="s">
        <v>354</v>
      </c>
      <c r="M1236" t="s">
        <v>105</v>
      </c>
      <c r="N1236" t="s">
        <v>10880</v>
      </c>
      <c r="O1236" t="s">
        <v>56</v>
      </c>
      <c r="P1236" t="s">
        <v>940</v>
      </c>
      <c r="Q1236" t="s">
        <v>107</v>
      </c>
      <c r="R1236" t="s">
        <v>559</v>
      </c>
      <c r="S1236" t="s">
        <v>10881</v>
      </c>
      <c r="T1236" t="s">
        <v>429</v>
      </c>
      <c r="U1236" t="s">
        <v>43</v>
      </c>
      <c r="V1236" t="s">
        <v>10882</v>
      </c>
      <c r="W1236" t="s">
        <v>10883</v>
      </c>
      <c r="Y1236" t="str">
        <f>HYPERLINK("https://recruiter.shine.com/resume/download/?resumeid=gAAAAABbk2UMCmdkkfZDmX-ePWxNjJvcMNArKffh_BIT1pjKWicZl-bQHnJBet7qk8YSmrVbopS0VcgE4BZ1YiqPR-fhPemBuvrXzd8QQZaXaZtWtr_rhIGJEpbupPh8Du7ZQeJHQ1I1e1SZS6oznYrtZ9EIoXV_Pw==")</f>
        <v>https://recruiter.shine.com/resume/download/?resumeid=gAAAAABbk2UMCmdkkfZDmX-ePWxNjJvcMNArKffh_BIT1pjKWicZl-bQHnJBet7qk8YSmrVbopS0VcgE4BZ1YiqPR-fhPemBuvrXzd8QQZaXaZtWtr_rhIGJEpbupPh8Du7ZQeJHQ1I1e1SZS6oznYrtZ9EIoXV_Pw==</v>
      </c>
    </row>
    <row r="1237" spans="1:25" ht="39.950000000000003" customHeight="1">
      <c r="A1237">
        <v>1233</v>
      </c>
      <c r="B1237" t="s">
        <v>10884</v>
      </c>
      <c r="C1237" t="s">
        <v>10885</v>
      </c>
      <c r="D1237" t="s">
        <v>10886</v>
      </c>
      <c r="E1237" t="s">
        <v>10887</v>
      </c>
      <c r="F1237" t="s">
        <v>29</v>
      </c>
      <c r="H1237" t="s">
        <v>31</v>
      </c>
      <c r="I1237" t="s">
        <v>362</v>
      </c>
      <c r="J1237" t="s">
        <v>135</v>
      </c>
      <c r="L1237" t="s">
        <v>363</v>
      </c>
      <c r="M1237" t="s">
        <v>364</v>
      </c>
      <c r="P1237" t="s">
        <v>940</v>
      </c>
      <c r="Q1237" t="s">
        <v>40</v>
      </c>
      <c r="R1237" t="s">
        <v>829</v>
      </c>
      <c r="S1237" t="s">
        <v>188</v>
      </c>
      <c r="T1237" t="s">
        <v>161</v>
      </c>
      <c r="U1237" t="s">
        <v>127</v>
      </c>
      <c r="V1237" t="s">
        <v>10888</v>
      </c>
      <c r="W1237" t="s">
        <v>10889</v>
      </c>
      <c r="Y1237" t="str">
        <f>HYPERLINK("https://recruiter.shine.com/resume/download/?resumeid=gAAAAABbk2UO4vHbWRw77V49xedGKAeq9dfiD5v7--uF2c9Of_47SlhxOPJXSy2lHu9tqmLM8AF0wXUVY1HFTSVor28YhLR9t9QGE7yvm1Vnnkd4QcpFrk_BZ1kI7gn-RCl865vMtEtUMtomdhdpLFrMwI4ExjJu4lqZoKPcNERCuhVyXeGvM38=")</f>
        <v>https://recruiter.shine.com/resume/download/?resumeid=gAAAAABbk2UO4vHbWRw77V49xedGKAeq9dfiD5v7--uF2c9Of_47SlhxOPJXSy2lHu9tqmLM8AF0wXUVY1HFTSVor28YhLR9t9QGE7yvm1Vnnkd4QcpFrk_BZ1kI7gn-RCl865vMtEtUMtomdhdpLFrMwI4ExjJu4lqZoKPcNERCuhVyXeGvM38=</v>
      </c>
    </row>
    <row r="1238" spans="1:25" ht="39.950000000000003" customHeight="1">
      <c r="A1238">
        <v>1234</v>
      </c>
      <c r="B1238" t="s">
        <v>10890</v>
      </c>
      <c r="C1238" t="s">
        <v>10891</v>
      </c>
      <c r="D1238" t="s">
        <v>10892</v>
      </c>
      <c r="E1238" t="s">
        <v>10893</v>
      </c>
      <c r="F1238" t="s">
        <v>29</v>
      </c>
      <c r="G1238" t="s">
        <v>29</v>
      </c>
      <c r="H1238" t="s">
        <v>31</v>
      </c>
      <c r="I1238" t="s">
        <v>85</v>
      </c>
      <c r="J1238" t="s">
        <v>153</v>
      </c>
      <c r="K1238" t="s">
        <v>10894</v>
      </c>
      <c r="L1238" t="s">
        <v>596</v>
      </c>
      <c r="M1238" t="s">
        <v>707</v>
      </c>
      <c r="N1238" t="s">
        <v>2229</v>
      </c>
      <c r="O1238" t="s">
        <v>759</v>
      </c>
      <c r="P1238" t="s">
        <v>39</v>
      </c>
      <c r="Q1238" t="s">
        <v>107</v>
      </c>
      <c r="R1238" t="s">
        <v>864</v>
      </c>
      <c r="S1238" t="s">
        <v>10895</v>
      </c>
      <c r="T1238" t="s">
        <v>441</v>
      </c>
      <c r="U1238" t="s">
        <v>43</v>
      </c>
      <c r="V1238" t="s">
        <v>10896</v>
      </c>
      <c r="W1238" t="s">
        <v>10897</v>
      </c>
      <c r="Y1238" t="str">
        <f>HYPERLINK("https://recruiter.shine.com/resume/download/?resumeid=gAAAAABbk2ULxGfcIUQ4rLFNqj-Jsneo1QzgjA6eyxSxIC1kOVF4KhOyLMdkn4vFaQ69aIHFOkR1Klq5YJxKRPJrM3JUlb1EJFpJcztZLrWd_2WsBE8FNFEbk4FykI6m78_33o5QNPBaWOh5A60sMl3CWM3s9cEU2g==")</f>
        <v>https://recruiter.shine.com/resume/download/?resumeid=gAAAAABbk2ULxGfcIUQ4rLFNqj-Jsneo1QzgjA6eyxSxIC1kOVF4KhOyLMdkn4vFaQ69aIHFOkR1Klq5YJxKRPJrM3JUlb1EJFpJcztZLrWd_2WsBE8FNFEbk4FykI6m78_33o5QNPBaWOh5A60sMl3CWM3s9cEU2g==</v>
      </c>
    </row>
    <row r="1239" spans="1:25" ht="39.950000000000003" customHeight="1">
      <c r="A1239">
        <v>1235</v>
      </c>
      <c r="B1239" t="s">
        <v>10898</v>
      </c>
      <c r="C1239" t="s">
        <v>10899</v>
      </c>
      <c r="D1239" t="s">
        <v>10900</v>
      </c>
      <c r="E1239" t="s">
        <v>10901</v>
      </c>
      <c r="F1239" t="s">
        <v>29</v>
      </c>
      <c r="G1239" t="s">
        <v>9025</v>
      </c>
      <c r="H1239" t="s">
        <v>31</v>
      </c>
      <c r="I1239" t="s">
        <v>10902</v>
      </c>
      <c r="J1239" t="s">
        <v>5987</v>
      </c>
      <c r="K1239" t="s">
        <v>10903</v>
      </c>
      <c r="L1239" t="s">
        <v>5296</v>
      </c>
      <c r="M1239" t="s">
        <v>36</v>
      </c>
      <c r="N1239" t="s">
        <v>10904</v>
      </c>
      <c r="O1239" t="s">
        <v>157</v>
      </c>
      <c r="Q1239" t="s">
        <v>90</v>
      </c>
      <c r="R1239" t="s">
        <v>91</v>
      </c>
      <c r="S1239" t="s">
        <v>10905</v>
      </c>
      <c r="T1239" t="s">
        <v>687</v>
      </c>
      <c r="U1239" t="s">
        <v>43</v>
      </c>
      <c r="V1239" t="s">
        <v>10906</v>
      </c>
      <c r="W1239" t="s">
        <v>10907</v>
      </c>
      <c r="Y1239" t="str">
        <f>HYPERLINK("https://recruiter.shine.com/resume/download/?resumeid=gAAAAABbk2UMTO2cragwTkNWn76l7njMne-bcU6SkC4Kt6umrmiBRxIrGFF6FXZnU80MLXVkOLoODAkFl4dw6y87duEEd8jnnM4IoTH0UefB_Azm6IGh9G_5rYefxXVVZw52jWlD8QkJyiYjHsmOzZ1pXCgz7pluLw==")</f>
        <v>https://recruiter.shine.com/resume/download/?resumeid=gAAAAABbk2UMTO2cragwTkNWn76l7njMne-bcU6SkC4Kt6umrmiBRxIrGFF6FXZnU80MLXVkOLoODAkFl4dw6y87duEEd8jnnM4IoTH0UefB_Azm6IGh9G_5rYefxXVVZw52jWlD8QkJyiYjHsmOzZ1pXCgz7pluLw==</v>
      </c>
    </row>
    <row r="1240" spans="1:25" ht="39.950000000000003" customHeight="1">
      <c r="A1240">
        <v>1236</v>
      </c>
      <c r="B1240" t="s">
        <v>10908</v>
      </c>
      <c r="D1240" t="s">
        <v>10909</v>
      </c>
      <c r="E1240" t="s">
        <v>10910</v>
      </c>
      <c r="F1240" t="s">
        <v>29</v>
      </c>
      <c r="H1240" t="s">
        <v>234</v>
      </c>
      <c r="I1240" t="s">
        <v>362</v>
      </c>
      <c r="J1240" t="s">
        <v>135</v>
      </c>
      <c r="L1240" t="s">
        <v>363</v>
      </c>
      <c r="M1240" t="s">
        <v>364</v>
      </c>
      <c r="Q1240" t="s">
        <v>107</v>
      </c>
      <c r="R1240" t="s">
        <v>864</v>
      </c>
      <c r="S1240" t="s">
        <v>188</v>
      </c>
      <c r="T1240" t="s">
        <v>625</v>
      </c>
      <c r="U1240" t="s">
        <v>127</v>
      </c>
      <c r="V1240" t="s">
        <v>10911</v>
      </c>
      <c r="W1240" t="s">
        <v>10911</v>
      </c>
      <c r="Y1240" t="str">
        <f>HYPERLINK("https://recruiter.shine.com/resume/download/?resumeid=gAAAAABbk2UOcPx8PeT4b5lb2JM4pt7LFTE--Qzu_HvE9Ki2_MPQDSVFfNe-ISN-js11aB0x1q_wODVFMDh_Y-FsZkxV8r5kAQIdl09DdTuYMAYct5teh3JdNvYmZvNQEqD_qmQaUkeu9yi9OtjsC3S2oO5mNfn82G-py2YD-fVAraqjA0roshc=")</f>
        <v>https://recruiter.shine.com/resume/download/?resumeid=gAAAAABbk2UOcPx8PeT4b5lb2JM4pt7LFTE--Qzu_HvE9Ki2_MPQDSVFfNe-ISN-js11aB0x1q_wODVFMDh_Y-FsZkxV8r5kAQIdl09DdTuYMAYct5teh3JdNvYmZvNQEqD_qmQaUkeu9yi9OtjsC3S2oO5mNfn82G-py2YD-fVAraqjA0roshc=</v>
      </c>
    </row>
    <row r="1241" spans="1:25" ht="39.950000000000003" customHeight="1">
      <c r="A1241">
        <v>1237</v>
      </c>
      <c r="B1241" t="s">
        <v>10912</v>
      </c>
      <c r="C1241" t="s">
        <v>10913</v>
      </c>
      <c r="D1241" t="s">
        <v>10914</v>
      </c>
      <c r="E1241" t="s">
        <v>10915</v>
      </c>
      <c r="F1241" t="s">
        <v>29</v>
      </c>
      <c r="G1241" t="s">
        <v>29</v>
      </c>
      <c r="H1241" t="s">
        <v>31</v>
      </c>
      <c r="I1241" t="s">
        <v>1038</v>
      </c>
      <c r="J1241" t="s">
        <v>781</v>
      </c>
      <c r="K1241" t="s">
        <v>5007</v>
      </c>
      <c r="L1241" t="s">
        <v>266</v>
      </c>
      <c r="M1241" t="s">
        <v>105</v>
      </c>
      <c r="N1241" t="s">
        <v>10916</v>
      </c>
      <c r="O1241" t="s">
        <v>186</v>
      </c>
      <c r="P1241" t="s">
        <v>57</v>
      </c>
      <c r="Q1241" t="s">
        <v>74</v>
      </c>
      <c r="R1241" t="s">
        <v>159</v>
      </c>
      <c r="S1241" t="s">
        <v>10917</v>
      </c>
      <c r="T1241" t="s">
        <v>77</v>
      </c>
      <c r="U1241" t="s">
        <v>43</v>
      </c>
      <c r="V1241" t="s">
        <v>10918</v>
      </c>
      <c r="W1241" t="s">
        <v>10919</v>
      </c>
      <c r="Y1241" t="str">
        <f>HYPERLINK("https://recruiter.shine.com/resume/download/?resumeid=gAAAAABbk2ULSzPFBue9zMVUkA_ZkNeyR6BkE1ZDN_Az03PV94J87w4eSL4vQNfboWxFhbMUpmwAc7HIa9FndrzVsp5CL0-r3PvpUCCrYiMB_YbxFfKEv_k32NTasdNEIGSCeuXtKqjviQvdGsVzJkWr93pqncLJCg==")</f>
        <v>https://recruiter.shine.com/resume/download/?resumeid=gAAAAABbk2ULSzPFBue9zMVUkA_ZkNeyR6BkE1ZDN_Az03PV94J87w4eSL4vQNfboWxFhbMUpmwAc7HIa9FndrzVsp5CL0-r3PvpUCCrYiMB_YbxFfKEv_k32NTasdNEIGSCeuXtKqjviQvdGsVzJkWr93pqncLJCg==</v>
      </c>
    </row>
    <row r="1242" spans="1:25" ht="39.950000000000003" customHeight="1">
      <c r="A1242">
        <v>1238</v>
      </c>
      <c r="B1242" t="s">
        <v>10920</v>
      </c>
      <c r="C1242" t="s">
        <v>10921</v>
      </c>
      <c r="D1242" t="s">
        <v>10922</v>
      </c>
      <c r="E1242" t="s">
        <v>10923</v>
      </c>
      <c r="F1242" t="s">
        <v>29</v>
      </c>
      <c r="G1242" t="s">
        <v>29</v>
      </c>
      <c r="H1242" t="s">
        <v>31</v>
      </c>
      <c r="I1242" t="s">
        <v>1474</v>
      </c>
      <c r="J1242" t="s">
        <v>51</v>
      </c>
      <c r="K1242" t="s">
        <v>10924</v>
      </c>
      <c r="L1242" t="s">
        <v>290</v>
      </c>
      <c r="M1242" t="s">
        <v>238</v>
      </c>
      <c r="N1242" t="s">
        <v>2076</v>
      </c>
      <c r="O1242" t="s">
        <v>186</v>
      </c>
      <c r="Q1242" t="s">
        <v>187</v>
      </c>
      <c r="R1242" t="s">
        <v>124</v>
      </c>
      <c r="S1242" t="s">
        <v>10925</v>
      </c>
      <c r="T1242" t="s">
        <v>625</v>
      </c>
      <c r="U1242" t="s">
        <v>43</v>
      </c>
      <c r="V1242" t="s">
        <v>10926</v>
      </c>
      <c r="W1242" t="s">
        <v>10927</v>
      </c>
      <c r="Y1242" t="str">
        <f>HYPERLINK("https://recruiter.shine.com/resume/download/?resumeid=gAAAAABbk2UNXKnfEGSWxUK6FKdoVoCYHuwRDOWAt8XhITJXFukUn8bynsLF3yY20mQNrYcm7JQbHvyvW3qoFErxACE70EsiOa15yA8PUoKsmE1q2uIXxfkafddYvm-gpkjOPSmzVc0YlLT4LFVkLwXCj8Aldcbqod9ZXVb8r21KnQdwUWYx2lU=")</f>
        <v>https://recruiter.shine.com/resume/download/?resumeid=gAAAAABbk2UNXKnfEGSWxUK6FKdoVoCYHuwRDOWAt8XhITJXFukUn8bynsLF3yY20mQNrYcm7JQbHvyvW3qoFErxACE70EsiOa15yA8PUoKsmE1q2uIXxfkafddYvm-gpkjOPSmzVc0YlLT4LFVkLwXCj8Aldcbqod9ZXVb8r21KnQdwUWYx2lU=</v>
      </c>
    </row>
    <row r="1243" spans="1:25" ht="39.950000000000003" customHeight="1">
      <c r="A1243">
        <v>1239</v>
      </c>
      <c r="B1243" t="s">
        <v>10928</v>
      </c>
      <c r="D1243" t="s">
        <v>10929</v>
      </c>
      <c r="E1243" t="s">
        <v>10930</v>
      </c>
      <c r="F1243" t="s">
        <v>29</v>
      </c>
      <c r="H1243" t="s">
        <v>31</v>
      </c>
      <c r="I1243" t="s">
        <v>568</v>
      </c>
      <c r="J1243" t="s">
        <v>1742</v>
      </c>
      <c r="K1243" t="s">
        <v>10931</v>
      </c>
      <c r="L1243" t="s">
        <v>266</v>
      </c>
      <c r="M1243" t="s">
        <v>105</v>
      </c>
      <c r="N1243" t="s">
        <v>10932</v>
      </c>
      <c r="O1243" t="s">
        <v>38</v>
      </c>
      <c r="Q1243" t="s">
        <v>74</v>
      </c>
      <c r="R1243" t="s">
        <v>2346</v>
      </c>
      <c r="S1243" t="s">
        <v>10933</v>
      </c>
      <c r="T1243" t="s">
        <v>144</v>
      </c>
      <c r="U1243" t="s">
        <v>127</v>
      </c>
      <c r="V1243" t="s">
        <v>10934</v>
      </c>
      <c r="W1243" t="s">
        <v>10935</v>
      </c>
      <c r="Y1243" t="str">
        <f>HYPERLINK("https://recruiter.shine.com/resume/download/?resumeid=gAAAAABbk2UOQSrK-hxoRgWC4pYafu7TH5hMDCJ5ovQjQUNiOPAGhqqBBgFsQ4b2NRWpNxn9-ARKFEv8T1QEwsU83CkeYoZsZuHvhu71XxPvjl3r3oi5DfBgmr50e-SudtanvC0VW8xn1KAaENNNbMeARY3ocH4ZaA==")</f>
        <v>https://recruiter.shine.com/resume/download/?resumeid=gAAAAABbk2UOQSrK-hxoRgWC4pYafu7TH5hMDCJ5ovQjQUNiOPAGhqqBBgFsQ4b2NRWpNxn9-ARKFEv8T1QEwsU83CkeYoZsZuHvhu71XxPvjl3r3oi5DfBgmr50e-SudtanvC0VW8xn1KAaENNNbMeARY3ocH4ZaA==</v>
      </c>
    </row>
    <row r="1244" spans="1:25" ht="39.950000000000003" customHeight="1">
      <c r="A1244">
        <v>1240</v>
      </c>
      <c r="B1244" t="s">
        <v>10936</v>
      </c>
      <c r="D1244" t="s">
        <v>10937</v>
      </c>
      <c r="E1244" t="s">
        <v>10938</v>
      </c>
      <c r="F1244" t="s">
        <v>29</v>
      </c>
      <c r="G1244" t="s">
        <v>1008</v>
      </c>
      <c r="H1244" t="s">
        <v>31</v>
      </c>
      <c r="I1244" t="s">
        <v>7773</v>
      </c>
      <c r="J1244" t="s">
        <v>1081</v>
      </c>
      <c r="K1244" t="s">
        <v>10939</v>
      </c>
      <c r="L1244" t="s">
        <v>266</v>
      </c>
      <c r="M1244" t="s">
        <v>105</v>
      </c>
      <c r="N1244" t="s">
        <v>10940</v>
      </c>
      <c r="O1244" t="s">
        <v>759</v>
      </c>
      <c r="P1244" t="s">
        <v>57</v>
      </c>
      <c r="Q1244" t="s">
        <v>158</v>
      </c>
      <c r="R1244" t="s">
        <v>159</v>
      </c>
      <c r="S1244" t="s">
        <v>10941</v>
      </c>
      <c r="T1244" t="s">
        <v>687</v>
      </c>
      <c r="U1244" t="s">
        <v>43</v>
      </c>
      <c r="V1244" t="s">
        <v>10942</v>
      </c>
      <c r="W1244" t="s">
        <v>10943</v>
      </c>
      <c r="Y1244" t="str">
        <f>HYPERLINK("https://recruiter.shine.com/resume/download/?resumeid=gAAAAABbk2ULyNN8vHdKFj5Y8sBZZdslEXb4VR_c2aUkpgOujOT3GTTfHYQl297duyo2VWl6S2Dx9Vn6KubqlIq_ph-jJ5cGqfS2JMBpc95Ejq_hRYU8lGpLEJtl1er7EKST5sAVJOfCeteitFadwZmFDVOG6ILcCA8BZuMkdBBpjY1xPNObmQk=")</f>
        <v>https://recruiter.shine.com/resume/download/?resumeid=gAAAAABbk2ULyNN8vHdKFj5Y8sBZZdslEXb4VR_c2aUkpgOujOT3GTTfHYQl297duyo2VWl6S2Dx9Vn6KubqlIq_ph-jJ5cGqfS2JMBpc95Ejq_hRYU8lGpLEJtl1er7EKST5sAVJOfCeteitFadwZmFDVOG6ILcCA8BZuMkdBBpjY1xPNObmQk=</v>
      </c>
    </row>
    <row r="1245" spans="1:25" ht="39.950000000000003" customHeight="1">
      <c r="A1245">
        <v>1241</v>
      </c>
      <c r="B1245" t="s">
        <v>10944</v>
      </c>
      <c r="D1245" t="s">
        <v>10945</v>
      </c>
      <c r="E1245" t="s">
        <v>10946</v>
      </c>
      <c r="F1245" t="s">
        <v>249</v>
      </c>
      <c r="G1245" t="s">
        <v>249</v>
      </c>
      <c r="H1245" t="s">
        <v>234</v>
      </c>
      <c r="I1245" t="s">
        <v>32</v>
      </c>
      <c r="J1245" t="s">
        <v>312</v>
      </c>
      <c r="K1245" t="s">
        <v>10947</v>
      </c>
      <c r="L1245" t="s">
        <v>8295</v>
      </c>
      <c r="M1245" t="s">
        <v>36</v>
      </c>
      <c r="N1245" t="s">
        <v>10948</v>
      </c>
      <c r="O1245" t="s">
        <v>224</v>
      </c>
      <c r="P1245" t="s">
        <v>57</v>
      </c>
      <c r="Q1245" t="s">
        <v>158</v>
      </c>
      <c r="R1245" t="s">
        <v>41</v>
      </c>
      <c r="S1245" t="s">
        <v>188</v>
      </c>
      <c r="T1245" t="s">
        <v>281</v>
      </c>
      <c r="U1245" t="s">
        <v>43</v>
      </c>
      <c r="V1245" t="s">
        <v>10949</v>
      </c>
      <c r="W1245" t="s">
        <v>10950</v>
      </c>
      <c r="Y1245" t="str">
        <f>HYPERLINK("https://recruiter.shine.com/resume/download/?resumeid=gAAAAABbk2UMN2q3dQ2eoQYwNyeND6VdPmiyd127V3FTVzJJjpjHAwleuIqHnX0YzsIN_yXFy2PvMyBGPPfTLj2IFXy809_7a2BaxBsbYHL5RsfjgbTietnwK647bgT3fBAdoED3moDSjG4IK6-7CStYInPiT3f1_Q==")</f>
        <v>https://recruiter.shine.com/resume/download/?resumeid=gAAAAABbk2UMN2q3dQ2eoQYwNyeND6VdPmiyd127V3FTVzJJjpjHAwleuIqHnX0YzsIN_yXFy2PvMyBGPPfTLj2IFXy809_7a2BaxBsbYHL5RsfjgbTietnwK647bgT3fBAdoED3moDSjG4IK6-7CStYInPiT3f1_Q==</v>
      </c>
    </row>
    <row r="1246" spans="1:25" ht="39.950000000000003" customHeight="1">
      <c r="A1246">
        <v>1242</v>
      </c>
      <c r="B1246" t="s">
        <v>10951</v>
      </c>
      <c r="C1246" t="s">
        <v>10952</v>
      </c>
      <c r="D1246" t="s">
        <v>10953</v>
      </c>
      <c r="E1246" t="s">
        <v>10954</v>
      </c>
      <c r="F1246" t="s">
        <v>29</v>
      </c>
      <c r="G1246" t="s">
        <v>2006</v>
      </c>
      <c r="H1246" t="s">
        <v>31</v>
      </c>
      <c r="I1246" t="s">
        <v>2188</v>
      </c>
      <c r="J1246" t="s">
        <v>135</v>
      </c>
      <c r="K1246" t="s">
        <v>10955</v>
      </c>
      <c r="L1246" t="s">
        <v>354</v>
      </c>
      <c r="M1246" t="s">
        <v>36</v>
      </c>
      <c r="N1246" t="s">
        <v>10956</v>
      </c>
      <c r="O1246" t="s">
        <v>186</v>
      </c>
      <c r="Q1246" t="s">
        <v>107</v>
      </c>
      <c r="R1246" t="s">
        <v>341</v>
      </c>
      <c r="S1246" t="s">
        <v>188</v>
      </c>
      <c r="T1246" t="s">
        <v>625</v>
      </c>
      <c r="U1246" t="s">
        <v>43</v>
      </c>
      <c r="V1246" t="s">
        <v>10957</v>
      </c>
      <c r="W1246" t="s">
        <v>10957</v>
      </c>
      <c r="Y1246" t="str">
        <f>HYPERLINK("https://recruiter.shine.com/resume/download/?resumeid=gAAAAABbk2UN-dmRhhtsk7UgQk-55bhp0eTiuqlQjJybuKLocvxjVIfBz7MHlmbmzRsdcyH2dvdepRgtoI8U8lrcC5_4wzRxA__uCF8YmsxutotF9kakKcqcnRQxs24zq0OxZF5CSLfPJRwZJ8vKNKbjpTRlUripGCUxuvFDILurWxLbyDHbT4U=")</f>
        <v>https://recruiter.shine.com/resume/download/?resumeid=gAAAAABbk2UN-dmRhhtsk7UgQk-55bhp0eTiuqlQjJybuKLocvxjVIfBz7MHlmbmzRsdcyH2dvdepRgtoI8U8lrcC5_4wzRxA__uCF8YmsxutotF9kakKcqcnRQxs24zq0OxZF5CSLfPJRwZJ8vKNKbjpTRlUripGCUxuvFDILurWxLbyDHbT4U=</v>
      </c>
    </row>
    <row r="1247" spans="1:25" ht="39.950000000000003" customHeight="1">
      <c r="A1247">
        <v>1243</v>
      </c>
      <c r="B1247" t="s">
        <v>10958</v>
      </c>
      <c r="C1247" t="s">
        <v>10959</v>
      </c>
      <c r="D1247" t="s">
        <v>10960</v>
      </c>
      <c r="E1247" t="s">
        <v>10961</v>
      </c>
      <c r="F1247" t="s">
        <v>29</v>
      </c>
      <c r="G1247" t="s">
        <v>29</v>
      </c>
      <c r="H1247" t="s">
        <v>234</v>
      </c>
      <c r="I1247" t="s">
        <v>7142</v>
      </c>
      <c r="J1247" t="s">
        <v>1785</v>
      </c>
      <c r="K1247" t="s">
        <v>10962</v>
      </c>
      <c r="L1247" t="s">
        <v>266</v>
      </c>
      <c r="M1247" t="s">
        <v>684</v>
      </c>
      <c r="N1247" t="s">
        <v>10963</v>
      </c>
      <c r="O1247" t="s">
        <v>1392</v>
      </c>
      <c r="P1247" t="s">
        <v>201</v>
      </c>
      <c r="Q1247" t="s">
        <v>158</v>
      </c>
      <c r="R1247" t="s">
        <v>341</v>
      </c>
      <c r="S1247" t="s">
        <v>10964</v>
      </c>
      <c r="T1247" t="s">
        <v>2358</v>
      </c>
      <c r="U1247" t="s">
        <v>43</v>
      </c>
      <c r="V1247" t="s">
        <v>10965</v>
      </c>
      <c r="W1247" t="s">
        <v>10966</v>
      </c>
      <c r="Y1247" t="str">
        <f>HYPERLINK("https://recruiter.shine.com/resume/download/?resumeid=gAAAAABbk2UKTxtLebFtLm7LYTR7EvFPQhqu-pKQF-Tajg5GWGTPtElRulsgvkoqQmLgjlOvSPutB6ZfHh13ebya9c_DkqhEUxzKnvvxcsocYe2LQCC7lyQxqoTsKxzDIMmhVnpCr3irFvKc1vgp410jsesi94LWONMEkkdyX8bg4DgXekyDyUw=")</f>
        <v>https://recruiter.shine.com/resume/download/?resumeid=gAAAAABbk2UKTxtLebFtLm7LYTR7EvFPQhqu-pKQF-Tajg5GWGTPtElRulsgvkoqQmLgjlOvSPutB6ZfHh13ebya9c_DkqhEUxzKnvvxcsocYe2LQCC7lyQxqoTsKxzDIMmhVnpCr3irFvKc1vgp410jsesi94LWONMEkkdyX8bg4DgXekyDyUw=</v>
      </c>
    </row>
    <row r="1248" spans="1:25" ht="39.950000000000003" customHeight="1">
      <c r="A1248">
        <v>1244</v>
      </c>
      <c r="B1248" t="s">
        <v>10967</v>
      </c>
      <c r="D1248" t="s">
        <v>10968</v>
      </c>
      <c r="E1248" t="s">
        <v>10969</v>
      </c>
      <c r="F1248" t="s">
        <v>29</v>
      </c>
      <c r="G1248" t="s">
        <v>29</v>
      </c>
      <c r="H1248" t="s">
        <v>31</v>
      </c>
      <c r="I1248" t="s">
        <v>6048</v>
      </c>
      <c r="J1248" t="s">
        <v>135</v>
      </c>
      <c r="K1248" t="s">
        <v>10970</v>
      </c>
      <c r="L1248" t="s">
        <v>314</v>
      </c>
      <c r="M1248" t="s">
        <v>684</v>
      </c>
      <c r="N1248" t="s">
        <v>10971</v>
      </c>
      <c r="O1248" t="s">
        <v>186</v>
      </c>
      <c r="Q1248" t="s">
        <v>123</v>
      </c>
      <c r="R1248" t="s">
        <v>124</v>
      </c>
      <c r="S1248" t="s">
        <v>748</v>
      </c>
      <c r="T1248" t="s">
        <v>144</v>
      </c>
      <c r="U1248" t="s">
        <v>43</v>
      </c>
      <c r="V1248" t="s">
        <v>10972</v>
      </c>
      <c r="W1248" t="s">
        <v>10973</v>
      </c>
      <c r="Y1248" t="str">
        <f>HYPERLINK("https://recruiter.shine.com/resume/download/?resumeid=gAAAAABbk2UMp-GHkObmAjxCi9u9988NFcPYIlL85VKu1kdhr0-yujOZ5q1S04s1RlO31LXZZhDPLBHZ3ybXyHFniMVnaMNW0QrORE_Ta_WEqYptdyPWikCPDTfI_MJGYAon0BS5_8J0BqqoPuZ-YE0vHg23Sz7FeyIVz6ZbPg5iUrstBb1FzJo=")</f>
        <v>https://recruiter.shine.com/resume/download/?resumeid=gAAAAABbk2UMp-GHkObmAjxCi9u9988NFcPYIlL85VKu1kdhr0-yujOZ5q1S04s1RlO31LXZZhDPLBHZ3ybXyHFniMVnaMNW0QrORE_Ta_WEqYptdyPWikCPDTfI_MJGYAon0BS5_8J0BqqoPuZ-YE0vHg23Sz7FeyIVz6ZbPg5iUrstBb1FzJo=</v>
      </c>
    </row>
    <row r="1249" spans="1:25" ht="39.950000000000003" customHeight="1">
      <c r="A1249">
        <v>1245</v>
      </c>
      <c r="B1249" t="s">
        <v>10974</v>
      </c>
      <c r="C1249" t="s">
        <v>10975</v>
      </c>
      <c r="D1249" t="s">
        <v>10976</v>
      </c>
      <c r="E1249" t="s">
        <v>10977</v>
      </c>
      <c r="F1249" t="s">
        <v>29</v>
      </c>
      <c r="H1249" t="s">
        <v>31</v>
      </c>
      <c r="I1249" t="s">
        <v>1265</v>
      </c>
      <c r="J1249" t="s">
        <v>4580</v>
      </c>
      <c r="K1249" t="s">
        <v>10978</v>
      </c>
      <c r="L1249" t="s">
        <v>314</v>
      </c>
      <c r="M1249" t="s">
        <v>138</v>
      </c>
      <c r="N1249" t="s">
        <v>10979</v>
      </c>
      <c r="O1249" t="s">
        <v>572</v>
      </c>
      <c r="Q1249" t="s">
        <v>123</v>
      </c>
      <c r="R1249" t="s">
        <v>124</v>
      </c>
      <c r="S1249" t="s">
        <v>10725</v>
      </c>
      <c r="T1249" t="s">
        <v>561</v>
      </c>
      <c r="U1249" t="s">
        <v>127</v>
      </c>
      <c r="V1249" t="s">
        <v>10980</v>
      </c>
      <c r="W1249" t="s">
        <v>10981</v>
      </c>
      <c r="Y1249" t="str">
        <f>HYPERLINK("https://recruiter.shine.com/resume/download/?resumeid=gAAAAABbk2UNYcNqBwx_ifxzd1-6sjSDdfUmzP2_tJP2Qngh2408MrASFb-dudz3z19VyxjhL5DOk_20K7TycRlJ9tLNVyDra_B9khSRA5CwVe7FsPvZLgtCgiDmfiFK4E0DknkJqIvnU8LOB7Kt4srIQYsbr9TRkw==")</f>
        <v>https://recruiter.shine.com/resume/download/?resumeid=gAAAAABbk2UNYcNqBwx_ifxzd1-6sjSDdfUmzP2_tJP2Qngh2408MrASFb-dudz3z19VyxjhL5DOk_20K7TycRlJ9tLNVyDra_B9khSRA5CwVe7FsPvZLgtCgiDmfiFK4E0DknkJqIvnU8LOB7Kt4srIQYsbr9TRkw==</v>
      </c>
    </row>
    <row r="1250" spans="1:25" ht="39.950000000000003" customHeight="1">
      <c r="A1250">
        <v>1246</v>
      </c>
      <c r="B1250" t="s">
        <v>10982</v>
      </c>
      <c r="C1250" t="s">
        <v>2725</v>
      </c>
      <c r="D1250" t="s">
        <v>10983</v>
      </c>
      <c r="E1250" t="s">
        <v>10984</v>
      </c>
      <c r="F1250" t="s">
        <v>29</v>
      </c>
      <c r="G1250" t="s">
        <v>2129</v>
      </c>
      <c r="H1250" t="s">
        <v>31</v>
      </c>
      <c r="I1250" t="s">
        <v>8946</v>
      </c>
      <c r="J1250" t="s">
        <v>10512</v>
      </c>
      <c r="K1250" t="s">
        <v>10985</v>
      </c>
      <c r="L1250" t="s">
        <v>1390</v>
      </c>
      <c r="M1250" t="s">
        <v>36</v>
      </c>
      <c r="N1250" t="s">
        <v>10986</v>
      </c>
      <c r="O1250" t="s">
        <v>56</v>
      </c>
      <c r="P1250" t="s">
        <v>57</v>
      </c>
      <c r="Q1250" t="s">
        <v>107</v>
      </c>
      <c r="R1250" t="s">
        <v>864</v>
      </c>
      <c r="S1250" t="s">
        <v>10987</v>
      </c>
      <c r="T1250" t="s">
        <v>144</v>
      </c>
      <c r="U1250" t="s">
        <v>43</v>
      </c>
      <c r="V1250" t="s">
        <v>10988</v>
      </c>
      <c r="W1250" t="s">
        <v>10989</v>
      </c>
      <c r="Y1250" t="str">
        <f>HYPERLINK("https://recruiter.shine.com/resume/download/?resumeid=gAAAAABbk2ULWNI9OLYUbsFN2RyCmrTaq5Oi4yeWZ-8V_RwmUVugKmXNfZqujgVqPWS6IGEIRw5mnixr2R-PHjzGWyraCYkhpD90QKLVqCm7Sv5-VOvaw9z0SvG33WR5nOmT5ekG22sg")</f>
        <v>https://recruiter.shine.com/resume/download/?resumeid=gAAAAABbk2ULWNI9OLYUbsFN2RyCmrTaq5Oi4yeWZ-8V_RwmUVugKmXNfZqujgVqPWS6IGEIRw5mnixr2R-PHjzGWyraCYkhpD90QKLVqCm7Sv5-VOvaw9z0SvG33WR5nOmT5ekG22sg</v>
      </c>
    </row>
    <row r="1251" spans="1:25" ht="39.950000000000003" customHeight="1">
      <c r="A1251">
        <v>1247</v>
      </c>
      <c r="B1251" t="s">
        <v>10990</v>
      </c>
      <c r="C1251" t="s">
        <v>10991</v>
      </c>
      <c r="D1251" t="s">
        <v>10992</v>
      </c>
      <c r="E1251" t="s">
        <v>10993</v>
      </c>
      <c r="F1251" t="s">
        <v>29</v>
      </c>
      <c r="G1251" t="s">
        <v>1008</v>
      </c>
      <c r="H1251" t="s">
        <v>31</v>
      </c>
      <c r="I1251" t="s">
        <v>998</v>
      </c>
      <c r="J1251" t="s">
        <v>135</v>
      </c>
      <c r="K1251" t="s">
        <v>10994</v>
      </c>
      <c r="L1251" t="s">
        <v>199</v>
      </c>
      <c r="M1251" t="s">
        <v>36</v>
      </c>
      <c r="N1251" t="s">
        <v>10995</v>
      </c>
      <c r="O1251" t="s">
        <v>224</v>
      </c>
      <c r="P1251" t="s">
        <v>57</v>
      </c>
      <c r="Q1251" t="s">
        <v>783</v>
      </c>
      <c r="R1251" t="s">
        <v>2230</v>
      </c>
      <c r="S1251" t="s">
        <v>10996</v>
      </c>
      <c r="T1251" t="s">
        <v>429</v>
      </c>
      <c r="U1251" t="s">
        <v>43</v>
      </c>
      <c r="V1251" t="s">
        <v>10997</v>
      </c>
      <c r="W1251" t="s">
        <v>10997</v>
      </c>
      <c r="Y1251" t="str">
        <f>HYPERLINK("https://recruiter.shine.com/resume/download/?resumeid=gAAAAABbk2UNKvXPSkdCxEAddkHjbvsro3MQN99dToruiyL5CZXfKKxcxXwbVCcjcm4lX2K8FXQ9sb4_0EzZCyOH7xmJqxe6vXJibeMf4obnRQnYAxy2NcyN37PPuyg51LfHWNsve3R6dF9ybD6cz19gobeQqsLzK21MW21lAoFWonfwnzuZ8GY=")</f>
        <v>https://recruiter.shine.com/resume/download/?resumeid=gAAAAABbk2UNKvXPSkdCxEAddkHjbvsro3MQN99dToruiyL5CZXfKKxcxXwbVCcjcm4lX2K8FXQ9sb4_0EzZCyOH7xmJqxe6vXJibeMf4obnRQnYAxy2NcyN37PPuyg51LfHWNsve3R6dF9ybD6cz19gobeQqsLzK21MW21lAoFWonfwnzuZ8GY=</v>
      </c>
    </row>
    <row r="1252" spans="1:25" ht="39.950000000000003" customHeight="1">
      <c r="A1252">
        <v>1248</v>
      </c>
      <c r="B1252" t="s">
        <v>10998</v>
      </c>
      <c r="C1252" t="s">
        <v>10999</v>
      </c>
      <c r="D1252" t="s">
        <v>11000</v>
      </c>
      <c r="E1252" t="s">
        <v>11001</v>
      </c>
      <c r="F1252" t="s">
        <v>29</v>
      </c>
      <c r="G1252" t="s">
        <v>11002</v>
      </c>
      <c r="H1252" t="s">
        <v>31</v>
      </c>
      <c r="I1252" t="s">
        <v>1419</v>
      </c>
      <c r="J1252" t="s">
        <v>6133</v>
      </c>
      <c r="K1252" t="s">
        <v>11003</v>
      </c>
      <c r="L1252" t="s">
        <v>794</v>
      </c>
      <c r="M1252" t="s">
        <v>105</v>
      </c>
      <c r="N1252" t="s">
        <v>11004</v>
      </c>
      <c r="O1252" t="s">
        <v>186</v>
      </c>
      <c r="P1252" t="s">
        <v>140</v>
      </c>
      <c r="Q1252" t="s">
        <v>41</v>
      </c>
      <c r="R1252" t="s">
        <v>11005</v>
      </c>
      <c r="S1252" t="s">
        <v>11006</v>
      </c>
      <c r="T1252" t="s">
        <v>93</v>
      </c>
      <c r="U1252" t="s">
        <v>43</v>
      </c>
      <c r="V1252" t="s">
        <v>11007</v>
      </c>
      <c r="W1252" t="s">
        <v>11007</v>
      </c>
      <c r="Y1252" t="str">
        <f>HYPERLINK("https://recruiter.shine.com/resume/download/?resumeid=gAAAAABbk2UOdZvX53q4wGIcY-QF0LfON-QYu9MzMSFy5fXjhEaZxbky7scEFrcvOv2coS29yk5XDH8UuoCsLhtP_TZuqMHmPetRSmhamMjO4PKB_QWgqw_F5TXLt2ubNyFiM3KJpNq4tJI0oKLSvxRx9rvkIqod8g==")</f>
        <v>https://recruiter.shine.com/resume/download/?resumeid=gAAAAABbk2UOdZvX53q4wGIcY-QF0LfON-QYu9MzMSFy5fXjhEaZxbky7scEFrcvOv2coS29yk5XDH8UuoCsLhtP_TZuqMHmPetRSmhamMjO4PKB_QWgqw_F5TXLt2ubNyFiM3KJpNq4tJI0oKLSvxRx9rvkIqod8g==</v>
      </c>
    </row>
    <row r="1253" spans="1:25" ht="39.950000000000003" customHeight="1">
      <c r="A1253">
        <v>1249</v>
      </c>
      <c r="B1253" t="s">
        <v>11008</v>
      </c>
      <c r="C1253" t="s">
        <v>11009</v>
      </c>
      <c r="D1253" t="s">
        <v>11010</v>
      </c>
      <c r="E1253" t="s">
        <v>11011</v>
      </c>
      <c r="F1253" t="s">
        <v>29</v>
      </c>
      <c r="G1253" t="s">
        <v>67</v>
      </c>
      <c r="H1253" t="s">
        <v>31</v>
      </c>
      <c r="I1253" t="s">
        <v>152</v>
      </c>
      <c r="J1253" t="s">
        <v>1742</v>
      </c>
      <c r="K1253" t="s">
        <v>11012</v>
      </c>
      <c r="L1253" t="s">
        <v>155</v>
      </c>
      <c r="M1253" t="s">
        <v>105</v>
      </c>
      <c r="N1253" t="s">
        <v>11013</v>
      </c>
      <c r="O1253" t="s">
        <v>56</v>
      </c>
      <c r="P1253" t="s">
        <v>771</v>
      </c>
      <c r="Q1253" t="s">
        <v>107</v>
      </c>
      <c r="R1253" t="s">
        <v>341</v>
      </c>
      <c r="S1253" t="s">
        <v>11014</v>
      </c>
      <c r="T1253" t="s">
        <v>110</v>
      </c>
      <c r="U1253" t="s">
        <v>94</v>
      </c>
      <c r="V1253" t="s">
        <v>11015</v>
      </c>
      <c r="W1253" t="s">
        <v>11016</v>
      </c>
      <c r="Y1253" t="str">
        <f>HYPERLINK("https://recruiter.shine.com/resume/download/?resumeid=gAAAAABbk2UKxBS_vrUGvVHI1uGfBUShd-DM4s3mQv0m_krI6PZyENI3JD9UuPsAHdtsLsbo-YhUlhm5FjzwsMoNhdEHR9b5vsj9ZhFlxshfRMUrRgDoBGErHh-r8vR5TOkJEhpF0yXuNIKkgLhp-bAWltvE2fpIBI8bvgzeUAHL8ahC1fOutjI=")</f>
        <v>https://recruiter.shine.com/resume/download/?resumeid=gAAAAABbk2UKxBS_vrUGvVHI1uGfBUShd-DM4s3mQv0m_krI6PZyENI3JD9UuPsAHdtsLsbo-YhUlhm5FjzwsMoNhdEHR9b5vsj9ZhFlxshfRMUrRgDoBGErHh-r8vR5TOkJEhpF0yXuNIKkgLhp-bAWltvE2fpIBI8bvgzeUAHL8ahC1fOutjI=</v>
      </c>
    </row>
    <row r="1254" spans="1:25" ht="39.950000000000003" customHeight="1">
      <c r="A1254">
        <v>1250</v>
      </c>
      <c r="B1254" t="s">
        <v>11017</v>
      </c>
      <c r="C1254" t="s">
        <v>11018</v>
      </c>
      <c r="D1254" t="s">
        <v>11019</v>
      </c>
      <c r="E1254" t="s">
        <v>11020</v>
      </c>
      <c r="F1254" t="s">
        <v>29</v>
      </c>
      <c r="G1254" t="s">
        <v>100</v>
      </c>
      <c r="H1254" t="s">
        <v>31</v>
      </c>
      <c r="I1254" t="s">
        <v>6048</v>
      </c>
      <c r="J1254" t="s">
        <v>801</v>
      </c>
      <c r="K1254" t="s">
        <v>11021</v>
      </c>
      <c r="L1254" t="s">
        <v>338</v>
      </c>
      <c r="M1254" t="s">
        <v>36</v>
      </c>
      <c r="N1254" t="s">
        <v>11022</v>
      </c>
      <c r="O1254" t="s">
        <v>56</v>
      </c>
      <c r="P1254" t="s">
        <v>57</v>
      </c>
      <c r="Q1254" t="s">
        <v>90</v>
      </c>
      <c r="R1254" t="s">
        <v>317</v>
      </c>
      <c r="S1254" t="s">
        <v>11023</v>
      </c>
      <c r="T1254" t="s">
        <v>257</v>
      </c>
      <c r="U1254" t="s">
        <v>43</v>
      </c>
      <c r="V1254" t="s">
        <v>11024</v>
      </c>
      <c r="W1254" t="s">
        <v>11024</v>
      </c>
      <c r="Y1254" t="str">
        <f>HYPERLINK("https://recruiter.shine.com/resume/download/?resumeid=gAAAAABbk2UNCtVfC4rTFWX6RHxxPuWsHFYtgYfVOVayP2n6_RPMos-MsQGaN5Jiy-qWxtAGjcXmA3lQYvwkXAonfMU4zu1MdXMMxjhEHsFpoN8XzVhqAgeckiMRllIl2rNT3ir9LUMxM-1Uwly95UU7cQVe5s9tXtDdAuF-v0ssBX0ivfxndZ0=")</f>
        <v>https://recruiter.shine.com/resume/download/?resumeid=gAAAAABbk2UNCtVfC4rTFWX6RHxxPuWsHFYtgYfVOVayP2n6_RPMos-MsQGaN5Jiy-qWxtAGjcXmA3lQYvwkXAonfMU4zu1MdXMMxjhEHsFpoN8XzVhqAgeckiMRllIl2rNT3ir9LUMxM-1Uwly95UU7cQVe5s9tXtDdAuF-v0ssBX0ivfxndZ0=</v>
      </c>
    </row>
    <row r="1255" spans="1:25" ht="39.950000000000003" customHeight="1">
      <c r="A1255">
        <v>1251</v>
      </c>
      <c r="B1255" t="s">
        <v>11025</v>
      </c>
      <c r="D1255" t="s">
        <v>11026</v>
      </c>
      <c r="E1255" t="s">
        <v>11027</v>
      </c>
      <c r="F1255" t="s">
        <v>29</v>
      </c>
      <c r="G1255" t="s">
        <v>67</v>
      </c>
      <c r="H1255" t="s">
        <v>31</v>
      </c>
      <c r="I1255" t="s">
        <v>362</v>
      </c>
      <c r="J1255" t="s">
        <v>135</v>
      </c>
      <c r="L1255" t="s">
        <v>363</v>
      </c>
      <c r="M1255" t="s">
        <v>364</v>
      </c>
      <c r="Q1255" t="s">
        <v>107</v>
      </c>
      <c r="R1255" t="s">
        <v>2302</v>
      </c>
      <c r="S1255" t="s">
        <v>11028</v>
      </c>
      <c r="T1255" t="s">
        <v>625</v>
      </c>
      <c r="U1255" t="s">
        <v>43</v>
      </c>
      <c r="V1255" t="s">
        <v>11029</v>
      </c>
      <c r="W1255" t="s">
        <v>11030</v>
      </c>
    </row>
    <row r="1256" spans="1:25" ht="39.950000000000003" customHeight="1">
      <c r="A1256">
        <v>1252</v>
      </c>
      <c r="B1256" t="s">
        <v>11031</v>
      </c>
      <c r="C1256" t="s">
        <v>629</v>
      </c>
      <c r="D1256" t="s">
        <v>11032</v>
      </c>
      <c r="E1256" t="s">
        <v>11033</v>
      </c>
      <c r="F1256" t="s">
        <v>29</v>
      </c>
      <c r="G1256" t="s">
        <v>11034</v>
      </c>
      <c r="H1256" t="s">
        <v>31</v>
      </c>
      <c r="I1256" t="s">
        <v>6326</v>
      </c>
      <c r="J1256" t="s">
        <v>801</v>
      </c>
      <c r="K1256" t="s">
        <v>11035</v>
      </c>
      <c r="L1256" t="s">
        <v>155</v>
      </c>
      <c r="M1256" t="s">
        <v>105</v>
      </c>
      <c r="N1256" t="s">
        <v>11036</v>
      </c>
      <c r="O1256" t="s">
        <v>186</v>
      </c>
      <c r="Q1256" t="s">
        <v>90</v>
      </c>
      <c r="R1256" t="s">
        <v>317</v>
      </c>
      <c r="S1256" t="s">
        <v>3963</v>
      </c>
      <c r="T1256" t="s">
        <v>61</v>
      </c>
      <c r="U1256" t="s">
        <v>127</v>
      </c>
      <c r="V1256" t="s">
        <v>11037</v>
      </c>
      <c r="W1256" t="s">
        <v>11038</v>
      </c>
      <c r="Y1256" t="str">
        <f>HYPERLINK("https://recruiter.shine.com/resume/download/?resumeid=gAAAAABbk2ULeK2u3AGJOF_n8fxlAZYzmANKIADx8gKUz5sRiMA1ZhAVBEO9jMKPE13QY_TUH0YM0KLFY_9SYbDOfMr4kBPrSO7eE60PSt6dEqyikhwkzfc-hM_GI8y69J6JrFbhwTCO")</f>
        <v>https://recruiter.shine.com/resume/download/?resumeid=gAAAAABbk2ULeK2u3AGJOF_n8fxlAZYzmANKIADx8gKUz5sRiMA1ZhAVBEO9jMKPE13QY_TUH0YM0KLFY_9SYbDOfMr4kBPrSO7eE60PSt6dEqyikhwkzfc-hM_GI8y69J6JrFbhwTCO</v>
      </c>
    </row>
    <row r="1257" spans="1:25" ht="39.950000000000003" customHeight="1">
      <c r="A1257">
        <v>1253</v>
      </c>
      <c r="B1257" t="s">
        <v>11039</v>
      </c>
      <c r="D1257" t="s">
        <v>11040</v>
      </c>
      <c r="E1257" t="s">
        <v>11041</v>
      </c>
      <c r="F1257" t="s">
        <v>29</v>
      </c>
      <c r="G1257" t="s">
        <v>29</v>
      </c>
      <c r="H1257" t="s">
        <v>234</v>
      </c>
      <c r="I1257" t="s">
        <v>998</v>
      </c>
      <c r="J1257" t="s">
        <v>51</v>
      </c>
      <c r="K1257" t="s">
        <v>595</v>
      </c>
      <c r="L1257" t="s">
        <v>596</v>
      </c>
      <c r="M1257" t="s">
        <v>1663</v>
      </c>
      <c r="N1257" t="s">
        <v>11042</v>
      </c>
      <c r="O1257" t="s">
        <v>224</v>
      </c>
      <c r="Q1257" t="s">
        <v>90</v>
      </c>
      <c r="R1257" t="s">
        <v>465</v>
      </c>
      <c r="S1257" t="s">
        <v>11043</v>
      </c>
      <c r="T1257" t="s">
        <v>61</v>
      </c>
      <c r="U1257" t="s">
        <v>43</v>
      </c>
      <c r="V1257" t="s">
        <v>11044</v>
      </c>
      <c r="W1257" t="s">
        <v>11045</v>
      </c>
      <c r="Y1257" t="str">
        <f>HYPERLINK("https://recruiter.shine.com/resume/download/?resumeid=gAAAAABbk2UMmN4JR2aBOdSTApFZmfLF2iNE-Sss9nlF8le-h-TnRxCSIIybSlWFfXYaLTAciAKhCo6Ii5nNikflFUgwGFwDD0rDEySFl_eHTBHMb_L23F0_SmXi8MQWVYs3aG06YDrkx0jhX9kuFza7sOSMykqrF5Yh3ola7ubKaQOn3w5DRmw=")</f>
        <v>https://recruiter.shine.com/resume/download/?resumeid=gAAAAABbk2UMmN4JR2aBOdSTApFZmfLF2iNE-Sss9nlF8le-h-TnRxCSIIybSlWFfXYaLTAciAKhCo6Ii5nNikflFUgwGFwDD0rDEySFl_eHTBHMb_L23F0_SmXi8MQWVYs3aG06YDrkx0jhX9kuFza7sOSMykqrF5Yh3ola7ubKaQOn3w5DRmw=</v>
      </c>
    </row>
    <row r="1258" spans="1:25" ht="39.950000000000003" customHeight="1">
      <c r="A1258">
        <v>1254</v>
      </c>
      <c r="B1258" t="s">
        <v>11046</v>
      </c>
      <c r="D1258" t="s">
        <v>11047</v>
      </c>
      <c r="E1258" t="s">
        <v>11048</v>
      </c>
      <c r="F1258" t="s">
        <v>29</v>
      </c>
      <c r="H1258" t="s">
        <v>234</v>
      </c>
      <c r="I1258" t="s">
        <v>362</v>
      </c>
      <c r="J1258" t="s">
        <v>135</v>
      </c>
      <c r="L1258" t="s">
        <v>363</v>
      </c>
      <c r="M1258" t="s">
        <v>364</v>
      </c>
      <c r="Q1258" t="s">
        <v>123</v>
      </c>
      <c r="R1258" t="s">
        <v>124</v>
      </c>
      <c r="S1258" t="s">
        <v>11049</v>
      </c>
      <c r="T1258" t="s">
        <v>304</v>
      </c>
      <c r="U1258" t="s">
        <v>127</v>
      </c>
      <c r="V1258" t="s">
        <v>11050</v>
      </c>
      <c r="W1258" t="s">
        <v>11051</v>
      </c>
      <c r="Y1258" t="str">
        <f>HYPERLINK("https://recruiter.shine.com/resume/download/?resumeid=gAAAAABbk2UODkBLKFdfhVypPAKnnMNiICpaE1eBz-cFJvkNtpMnW9aEtwQ8TnPpaGxe3UH2IRYSITNBxlBDtXCvd-VpOHJwrNmPoixuddPkLvefb5DwZq3lko20eIMdMy5kTCYhRX6idYCf0LlqKIbkTTxH9qHHPnqGQe4_QCLD7yLeQ9l8tSE=")</f>
        <v>https://recruiter.shine.com/resume/download/?resumeid=gAAAAABbk2UODkBLKFdfhVypPAKnnMNiICpaE1eBz-cFJvkNtpMnW9aEtwQ8TnPpaGxe3UH2IRYSITNBxlBDtXCvd-VpOHJwrNmPoixuddPkLvefb5DwZq3lko20eIMdMy5kTCYhRX6idYCf0LlqKIbkTTxH9qHHPnqGQe4_QCLD7yLeQ9l8tSE=</v>
      </c>
    </row>
    <row r="1259" spans="1:25" ht="39.950000000000003" customHeight="1">
      <c r="A1259">
        <v>1255</v>
      </c>
      <c r="B1259" t="s">
        <v>11052</v>
      </c>
      <c r="D1259" t="s">
        <v>11053</v>
      </c>
      <c r="E1259" t="s">
        <v>11054</v>
      </c>
      <c r="F1259" t="s">
        <v>29</v>
      </c>
      <c r="G1259" t="s">
        <v>29</v>
      </c>
      <c r="H1259" t="s">
        <v>234</v>
      </c>
      <c r="I1259" t="s">
        <v>860</v>
      </c>
      <c r="J1259" t="s">
        <v>517</v>
      </c>
      <c r="K1259" t="s">
        <v>11055</v>
      </c>
      <c r="L1259" t="s">
        <v>970</v>
      </c>
      <c r="M1259" t="s">
        <v>121</v>
      </c>
      <c r="N1259" t="s">
        <v>11056</v>
      </c>
      <c r="O1259" t="s">
        <v>186</v>
      </c>
      <c r="P1259" t="s">
        <v>57</v>
      </c>
      <c r="Q1259" t="s">
        <v>412</v>
      </c>
      <c r="R1259" t="s">
        <v>413</v>
      </c>
      <c r="S1259" t="s">
        <v>11057</v>
      </c>
      <c r="U1259" t="s">
        <v>43</v>
      </c>
      <c r="V1259" t="s">
        <v>11058</v>
      </c>
      <c r="W1259" t="s">
        <v>11059</v>
      </c>
      <c r="Y1259" t="str">
        <f>HYPERLINK("https://recruiter.shine.com/resume/download/?resumeid=gAAAAABbk2UKd2V83-vvsQUOlefYWMWF2X0qKXKZ6X4-HLwwkRVSnUuVCzyXjw-VgOPi7_4cYvSnEbfmqpEpI4P5x-2MK_9xux3ueFkEX6c7yuYf0ETDYJs8T7Vo5R5y0eamyjhKP6YZRse1NnVB-pDQh6CrGJu9xgTzNX1a1-ZVUdOrMOQgvhI=")</f>
        <v>https://recruiter.shine.com/resume/download/?resumeid=gAAAAABbk2UKd2V83-vvsQUOlefYWMWF2X0qKXKZ6X4-HLwwkRVSnUuVCzyXjw-VgOPi7_4cYvSnEbfmqpEpI4P5x-2MK_9xux3ueFkEX6c7yuYf0ETDYJs8T7Vo5R5y0eamyjhKP6YZRse1NnVB-pDQh6CrGJu9xgTzNX1a1-ZVUdOrMOQgvhI=</v>
      </c>
    </row>
    <row r="1260" spans="1:25" ht="39.950000000000003" customHeight="1">
      <c r="A1260">
        <v>1256</v>
      </c>
      <c r="B1260" t="s">
        <v>11060</v>
      </c>
      <c r="C1260" t="s">
        <v>11061</v>
      </c>
      <c r="D1260" t="s">
        <v>11062</v>
      </c>
      <c r="E1260" t="s">
        <v>11063</v>
      </c>
      <c r="F1260" t="s">
        <v>29</v>
      </c>
      <c r="G1260" t="s">
        <v>11064</v>
      </c>
      <c r="H1260" t="s">
        <v>31</v>
      </c>
      <c r="I1260" t="s">
        <v>32</v>
      </c>
      <c r="J1260" t="s">
        <v>3602</v>
      </c>
      <c r="K1260" t="s">
        <v>11065</v>
      </c>
      <c r="L1260" t="s">
        <v>266</v>
      </c>
      <c r="M1260" t="s">
        <v>105</v>
      </c>
      <c r="N1260" t="s">
        <v>11066</v>
      </c>
      <c r="O1260" t="s">
        <v>157</v>
      </c>
      <c r="P1260" t="s">
        <v>201</v>
      </c>
      <c r="Q1260" t="s">
        <v>158</v>
      </c>
      <c r="R1260" t="s">
        <v>559</v>
      </c>
      <c r="S1260" t="s">
        <v>11067</v>
      </c>
      <c r="T1260" t="s">
        <v>429</v>
      </c>
      <c r="U1260" t="s">
        <v>127</v>
      </c>
      <c r="V1260" t="s">
        <v>11068</v>
      </c>
      <c r="W1260" t="s">
        <v>11069</v>
      </c>
      <c r="Y1260" t="str">
        <f>HYPERLINK("https://recruiter.shine.com/resume/download/?resumeid=gAAAAABbk2UNzwvaQCd4a1BYevMVRgc4Un_lwEB8nQQpk-rv4EqjArKY_fNTl0HIWr1DHQwQ8jMYa7b590QHM7NSxttNRdBYR4eg0D1oT6YsiOIV40flSL7qyYVooZVkXYe9VZfvCHV96VbAKcRy61gFENnq4JRCZw==")</f>
        <v>https://recruiter.shine.com/resume/download/?resumeid=gAAAAABbk2UNzwvaQCd4a1BYevMVRgc4Un_lwEB8nQQpk-rv4EqjArKY_fNTl0HIWr1DHQwQ8jMYa7b590QHM7NSxttNRdBYR4eg0D1oT6YsiOIV40flSL7qyYVooZVkXYe9VZfvCHV96VbAKcRy61gFENnq4JRCZw==</v>
      </c>
    </row>
    <row r="1261" spans="1:25" ht="39.950000000000003" customHeight="1">
      <c r="A1261">
        <v>1257</v>
      </c>
      <c r="B1261" t="s">
        <v>11070</v>
      </c>
      <c r="D1261" t="s">
        <v>11071</v>
      </c>
      <c r="E1261" t="s">
        <v>11072</v>
      </c>
      <c r="F1261" t="s">
        <v>29</v>
      </c>
      <c r="G1261" t="s">
        <v>1803</v>
      </c>
      <c r="H1261" t="s">
        <v>31</v>
      </c>
      <c r="I1261" t="s">
        <v>196</v>
      </c>
      <c r="J1261" t="s">
        <v>51</v>
      </c>
      <c r="K1261" t="s">
        <v>11073</v>
      </c>
      <c r="L1261" t="s">
        <v>596</v>
      </c>
      <c r="M1261" t="s">
        <v>684</v>
      </c>
      <c r="N1261" t="s">
        <v>11074</v>
      </c>
      <c r="O1261" t="s">
        <v>224</v>
      </c>
      <c r="Q1261" t="s">
        <v>107</v>
      </c>
      <c r="R1261" t="s">
        <v>341</v>
      </c>
      <c r="S1261" t="s">
        <v>11075</v>
      </c>
      <c r="T1261" t="s">
        <v>441</v>
      </c>
      <c r="U1261" t="s">
        <v>43</v>
      </c>
      <c r="V1261" t="s">
        <v>11076</v>
      </c>
      <c r="W1261" t="s">
        <v>11076</v>
      </c>
      <c r="Y1261" t="str">
        <f>HYPERLINK("https://recruiter.shine.com/resume/download/?resumeid=gAAAAABbk2UNnlNV6_a4riUcoQPBNKVb4uDjN5uINV1U3boFgXq0qSsPKMZMRJ09E2YwYPKut171vuDEQDr4wLLHFOIOGWJbqRE68q3reigC3rb8t3Y4P3LFD5vbSaD0_yeIbVYC3G5HjdfArEFPbNY0jdVB6vuUt4L8Q3d5D0MEiGPSSij5BlQ=")</f>
        <v>https://recruiter.shine.com/resume/download/?resumeid=gAAAAABbk2UNnlNV6_a4riUcoQPBNKVb4uDjN5uINV1U3boFgXq0qSsPKMZMRJ09E2YwYPKut171vuDEQDr4wLLHFOIOGWJbqRE68q3reigC3rb8t3Y4P3LFD5vbSaD0_yeIbVYC3G5HjdfArEFPbNY0jdVB6vuUt4L8Q3d5D0MEiGPSSij5BlQ=</v>
      </c>
    </row>
    <row r="1262" spans="1:25" ht="39.950000000000003" customHeight="1">
      <c r="A1262">
        <v>1258</v>
      </c>
      <c r="B1262" t="s">
        <v>11077</v>
      </c>
      <c r="C1262" t="s">
        <v>11078</v>
      </c>
      <c r="D1262" t="s">
        <v>11079</v>
      </c>
      <c r="E1262" t="s">
        <v>11080</v>
      </c>
      <c r="F1262" t="s">
        <v>29</v>
      </c>
      <c r="G1262" t="s">
        <v>29</v>
      </c>
      <c r="H1262" t="s">
        <v>31</v>
      </c>
      <c r="I1262" t="s">
        <v>168</v>
      </c>
      <c r="J1262" t="s">
        <v>299</v>
      </c>
      <c r="K1262" t="s">
        <v>11081</v>
      </c>
      <c r="L1262" t="s">
        <v>35</v>
      </c>
      <c r="M1262" t="s">
        <v>5640</v>
      </c>
      <c r="N1262" t="s">
        <v>11082</v>
      </c>
      <c r="O1262" t="s">
        <v>3810</v>
      </c>
      <c r="P1262" t="s">
        <v>57</v>
      </c>
      <c r="Q1262" t="s">
        <v>40</v>
      </c>
      <c r="R1262" t="s">
        <v>41</v>
      </c>
      <c r="S1262" t="s">
        <v>2919</v>
      </c>
      <c r="T1262" t="s">
        <v>175</v>
      </c>
      <c r="U1262" t="s">
        <v>43</v>
      </c>
      <c r="V1262" t="s">
        <v>11083</v>
      </c>
      <c r="W1262" t="s">
        <v>11084</v>
      </c>
      <c r="Y1262" t="str">
        <f>HYPERLINK("https://recruiter.shine.com/resume/download/?resumeid=gAAAAABbk2ULbit1ghQXwDKOlG3QqJ1s9cLYHh4aUA1Ge5RDxKn82ZOFjy8l_icze_Vra_Nlj-FKZtPW5WtqMvkWSx04uPRkBgFAF5socLKQGKQA7mvafY_rbSRY_A99-kBYKJd4RBFOYPLE8nVh6C9bwofZtkqkPJft9tOupPM_x4-ScI_YHBI=")</f>
        <v>https://recruiter.shine.com/resume/download/?resumeid=gAAAAABbk2ULbit1ghQXwDKOlG3QqJ1s9cLYHh4aUA1Ge5RDxKn82ZOFjy8l_icze_Vra_Nlj-FKZtPW5WtqMvkWSx04uPRkBgFAF5socLKQGKQA7mvafY_rbSRY_A99-kBYKJd4RBFOYPLE8nVh6C9bwofZtkqkPJft9tOupPM_x4-ScI_YHBI=</v>
      </c>
    </row>
    <row r="1263" spans="1:25" ht="39.950000000000003" customHeight="1">
      <c r="A1263">
        <v>1259</v>
      </c>
      <c r="B1263" t="s">
        <v>11085</v>
      </c>
      <c r="C1263" t="s">
        <v>11086</v>
      </c>
      <c r="D1263" t="s">
        <v>11087</v>
      </c>
      <c r="E1263" t="s">
        <v>11088</v>
      </c>
      <c r="F1263" t="s">
        <v>29</v>
      </c>
      <c r="G1263" t="s">
        <v>29</v>
      </c>
      <c r="H1263" t="s">
        <v>234</v>
      </c>
      <c r="I1263" t="s">
        <v>32</v>
      </c>
      <c r="J1263" t="s">
        <v>336</v>
      </c>
      <c r="K1263" t="s">
        <v>813</v>
      </c>
      <c r="L1263" t="s">
        <v>1487</v>
      </c>
      <c r="M1263" t="s">
        <v>172</v>
      </c>
      <c r="N1263" t="s">
        <v>11089</v>
      </c>
      <c r="O1263" t="s">
        <v>56</v>
      </c>
      <c r="P1263" t="s">
        <v>39</v>
      </c>
      <c r="Q1263" t="s">
        <v>412</v>
      </c>
      <c r="R1263" t="s">
        <v>829</v>
      </c>
      <c r="S1263" t="s">
        <v>11090</v>
      </c>
      <c r="T1263" t="s">
        <v>1842</v>
      </c>
      <c r="U1263" t="s">
        <v>43</v>
      </c>
      <c r="V1263" t="s">
        <v>11091</v>
      </c>
      <c r="W1263" t="s">
        <v>11092</v>
      </c>
      <c r="Y1263" t="str">
        <f>HYPERLINK("https://recruiter.shine.com/resume/download/?resumeid=gAAAAABbk2UMvlceh6rhGkUl-JhY2eNvgmQL_GGkUQuXpmIUeLuFU-MWfM7aEgXn6if4FmfOWigdcTKlMQFFwX09_ORzEaKZ-sSe_EvdyjZ-WGa3mlwHHQQHDLIYc4TmGugtyJM2W026be2Aqh7qmmPzP3eyuFx9Uw==")</f>
        <v>https://recruiter.shine.com/resume/download/?resumeid=gAAAAABbk2UMvlceh6rhGkUl-JhY2eNvgmQL_GGkUQuXpmIUeLuFU-MWfM7aEgXn6if4FmfOWigdcTKlMQFFwX09_ORzEaKZ-sSe_EvdyjZ-WGa3mlwHHQQHDLIYc4TmGugtyJM2W026be2Aqh7qmmPzP3eyuFx9Uw==</v>
      </c>
    </row>
    <row r="1264" spans="1:25" ht="39.950000000000003" customHeight="1">
      <c r="A1264">
        <v>1260</v>
      </c>
      <c r="B1264" t="s">
        <v>11093</v>
      </c>
      <c r="C1264" t="s">
        <v>11094</v>
      </c>
      <c r="D1264" t="s">
        <v>11095</v>
      </c>
      <c r="E1264" t="s">
        <v>11096</v>
      </c>
      <c r="F1264" t="s">
        <v>858</v>
      </c>
      <c r="H1264" t="s">
        <v>31</v>
      </c>
      <c r="I1264" t="s">
        <v>2354</v>
      </c>
      <c r="J1264" t="s">
        <v>715</v>
      </c>
      <c r="K1264" t="s">
        <v>2702</v>
      </c>
      <c r="L1264" t="s">
        <v>199</v>
      </c>
      <c r="M1264" t="s">
        <v>36</v>
      </c>
      <c r="N1264" t="s">
        <v>11097</v>
      </c>
      <c r="O1264" t="s">
        <v>3583</v>
      </c>
      <c r="P1264" t="s">
        <v>73</v>
      </c>
      <c r="Q1264" t="s">
        <v>158</v>
      </c>
      <c r="R1264" t="s">
        <v>341</v>
      </c>
      <c r="S1264" t="s">
        <v>11098</v>
      </c>
      <c r="T1264" t="s">
        <v>93</v>
      </c>
      <c r="U1264" t="s">
        <v>43</v>
      </c>
      <c r="V1264" t="s">
        <v>11099</v>
      </c>
      <c r="W1264" t="s">
        <v>11100</v>
      </c>
      <c r="Y1264" t="str">
        <f>HYPERLINK("https://recruiter.shine.com/resume/download/?resumeid=gAAAAABbk2UOOluInCuGWC5f0V38ETsT7KTSawaxCBqHXUpKAX4qpa0iLQkPd2qvSdh_nXv7rTwAzusbUth6fMGxn-zKx21Y-TmG_BxYtVhCVWmQckEjirDOc57pYrunseT4RzpFKLIXo2gASpbrC0gQQeXOtsF108lG7YgOhn7FQi6UDheLXmg=")</f>
        <v>https://recruiter.shine.com/resume/download/?resumeid=gAAAAABbk2UOOluInCuGWC5f0V38ETsT7KTSawaxCBqHXUpKAX4qpa0iLQkPd2qvSdh_nXv7rTwAzusbUth6fMGxn-zKx21Y-TmG_BxYtVhCVWmQckEjirDOc57pYrunseT4RzpFKLIXo2gASpbrC0gQQeXOtsF108lG7YgOhn7FQi6UDheLXmg=</v>
      </c>
    </row>
    <row r="1265" spans="1:25" ht="39.950000000000003" customHeight="1">
      <c r="A1265">
        <v>1261</v>
      </c>
      <c r="B1265" t="s">
        <v>11101</v>
      </c>
      <c r="C1265" t="s">
        <v>512</v>
      </c>
      <c r="D1265" t="s">
        <v>11102</v>
      </c>
      <c r="E1265" t="s">
        <v>11103</v>
      </c>
      <c r="F1265" t="s">
        <v>29</v>
      </c>
      <c r="G1265" t="s">
        <v>11104</v>
      </c>
      <c r="H1265" t="s">
        <v>31</v>
      </c>
      <c r="I1265" t="s">
        <v>2025</v>
      </c>
      <c r="J1265" t="s">
        <v>506</v>
      </c>
      <c r="K1265" t="s">
        <v>6987</v>
      </c>
      <c r="L1265" t="s">
        <v>266</v>
      </c>
      <c r="M1265" t="s">
        <v>105</v>
      </c>
      <c r="N1265" t="s">
        <v>11105</v>
      </c>
      <c r="O1265" t="s">
        <v>186</v>
      </c>
      <c r="P1265" t="s">
        <v>771</v>
      </c>
      <c r="Q1265" t="s">
        <v>107</v>
      </c>
      <c r="R1265" t="s">
        <v>341</v>
      </c>
      <c r="S1265" t="s">
        <v>11106</v>
      </c>
      <c r="T1265" t="s">
        <v>61</v>
      </c>
      <c r="U1265" t="s">
        <v>43</v>
      </c>
      <c r="V1265" t="s">
        <v>11107</v>
      </c>
      <c r="W1265" t="s">
        <v>11108</v>
      </c>
      <c r="Y1265" t="str">
        <f>HYPERLINK("https://recruiter.shine.com/resume/download/?resumeid=gAAAAABbk2UKljSxU1PA1DK30x6GWJuwQAL5fYUjQCY3Bj_FBF9Mk3qSThHwJ0TSYuDkJPVH2_nXV4kWqnXrcCikLk7KvnUkCJOcZAp0QLkyb8xW4QLLJsJqPYL4ZsDXbteQKAdeCmrWPYKCj7dw2sCMV_3jtDkQOw==")</f>
        <v>https://recruiter.shine.com/resume/download/?resumeid=gAAAAABbk2UKljSxU1PA1DK30x6GWJuwQAL5fYUjQCY3Bj_FBF9Mk3qSThHwJ0TSYuDkJPVH2_nXV4kWqnXrcCikLk7KvnUkCJOcZAp0QLkyb8xW4QLLJsJqPYL4ZsDXbteQKAdeCmrWPYKCj7dw2sCMV_3jtDkQOw==</v>
      </c>
    </row>
    <row r="1266" spans="1:25" ht="39.950000000000003" customHeight="1">
      <c r="A1266">
        <v>1262</v>
      </c>
      <c r="B1266" t="s">
        <v>11109</v>
      </c>
      <c r="C1266" t="s">
        <v>11110</v>
      </c>
      <c r="D1266" t="s">
        <v>11111</v>
      </c>
      <c r="E1266" t="s">
        <v>11112</v>
      </c>
      <c r="F1266" t="s">
        <v>29</v>
      </c>
      <c r="G1266" t="s">
        <v>29</v>
      </c>
      <c r="H1266" t="s">
        <v>31</v>
      </c>
      <c r="I1266" t="s">
        <v>436</v>
      </c>
      <c r="J1266" t="s">
        <v>51</v>
      </c>
      <c r="K1266" t="s">
        <v>11113</v>
      </c>
      <c r="L1266" t="s">
        <v>301</v>
      </c>
      <c r="M1266" t="s">
        <v>105</v>
      </c>
      <c r="N1266" t="s">
        <v>11114</v>
      </c>
      <c r="O1266" t="s">
        <v>186</v>
      </c>
      <c r="P1266" t="s">
        <v>140</v>
      </c>
      <c r="Q1266" t="s">
        <v>40</v>
      </c>
      <c r="R1266" t="s">
        <v>476</v>
      </c>
      <c r="S1266" t="s">
        <v>11115</v>
      </c>
      <c r="T1266" t="s">
        <v>110</v>
      </c>
      <c r="U1266" t="s">
        <v>43</v>
      </c>
      <c r="V1266" t="s">
        <v>11116</v>
      </c>
      <c r="W1266" t="s">
        <v>11117</v>
      </c>
      <c r="Y1266" t="str">
        <f>HYPERLINK("https://recruiter.shine.com/resume/download/?resumeid=gAAAAABbk2UMH5sPvxR-OSUcifZ_q743Ivuvl_ssiobPmIPh84_YF-G412YGXrZlVFKagUALPCOSsyptiFVvw8ESUoUC15GGiNRr7cQQ-enfBWZNAe-HTztfbV9NhQ1I1JBIoW74KfRup7-t5D5ZXXOCydfUA_2Eig==")</f>
        <v>https://recruiter.shine.com/resume/download/?resumeid=gAAAAABbk2UMH5sPvxR-OSUcifZ_q743Ivuvl_ssiobPmIPh84_YF-G412YGXrZlVFKagUALPCOSsyptiFVvw8ESUoUC15GGiNRr7cQQ-enfBWZNAe-HTztfbV9NhQ1I1JBIoW74KfRup7-t5D5ZXXOCydfUA_2Eig==</v>
      </c>
    </row>
    <row r="1267" spans="1:25" ht="39.950000000000003" customHeight="1">
      <c r="A1267">
        <v>1263</v>
      </c>
      <c r="B1267" t="s">
        <v>11118</v>
      </c>
      <c r="D1267" t="s">
        <v>11119</v>
      </c>
      <c r="E1267" t="s">
        <v>11120</v>
      </c>
      <c r="F1267" t="s">
        <v>29</v>
      </c>
      <c r="G1267" t="s">
        <v>11121</v>
      </c>
      <c r="H1267" t="s">
        <v>31</v>
      </c>
      <c r="I1267" t="s">
        <v>362</v>
      </c>
      <c r="J1267" t="s">
        <v>135</v>
      </c>
      <c r="L1267" t="s">
        <v>363</v>
      </c>
      <c r="M1267" t="s">
        <v>364</v>
      </c>
      <c r="P1267" t="s">
        <v>57</v>
      </c>
      <c r="Q1267" t="s">
        <v>107</v>
      </c>
      <c r="R1267" t="s">
        <v>341</v>
      </c>
      <c r="S1267" t="s">
        <v>11122</v>
      </c>
      <c r="T1267" t="s">
        <v>625</v>
      </c>
      <c r="U1267" t="s">
        <v>43</v>
      </c>
      <c r="V1267" t="s">
        <v>11123</v>
      </c>
      <c r="W1267" t="s">
        <v>11124</v>
      </c>
      <c r="Y1267" t="str">
        <f>HYPERLINK("https://recruiter.shine.com/resume/download/?resumeid=gAAAAABbk2UNSqsnjxlxh2bKTHq4HhWkDJ0z0Xn4M76Onv_asfAB7MdfVpk5TkJ8ZveFo5-KzxwVdrD01fJc5NA-sGV0SB9jXPv5Jn8f1QFRgPg61Mq8U9grNPyX6D9m-D8QOcIyKhe3qGy8g-0_Kfmg2y_qAd0h5YjRawkzAXO9YbJ8cFUlXkY=")</f>
        <v>https://recruiter.shine.com/resume/download/?resumeid=gAAAAABbk2UNSqsnjxlxh2bKTHq4HhWkDJ0z0Xn4M76Onv_asfAB7MdfVpk5TkJ8ZveFo5-KzxwVdrD01fJc5NA-sGV0SB9jXPv5Jn8f1QFRgPg61Mq8U9grNPyX6D9m-D8QOcIyKhe3qGy8g-0_Kfmg2y_qAd0h5YjRawkzAXO9YbJ8cFUlXkY=</v>
      </c>
    </row>
    <row r="1268" spans="1:25" ht="39.950000000000003" customHeight="1">
      <c r="A1268">
        <v>1264</v>
      </c>
      <c r="B1268" t="s">
        <v>11125</v>
      </c>
      <c r="C1268" t="s">
        <v>11126</v>
      </c>
      <c r="D1268" t="s">
        <v>11127</v>
      </c>
      <c r="E1268" t="s">
        <v>11128</v>
      </c>
      <c r="F1268" t="s">
        <v>29</v>
      </c>
      <c r="G1268" t="s">
        <v>29</v>
      </c>
      <c r="H1268" t="s">
        <v>31</v>
      </c>
      <c r="I1268" t="s">
        <v>1542</v>
      </c>
      <c r="J1268" t="s">
        <v>1294</v>
      </c>
      <c r="K1268" t="s">
        <v>11129</v>
      </c>
      <c r="L1268" t="s">
        <v>88</v>
      </c>
      <c r="M1268" t="s">
        <v>2133</v>
      </c>
      <c r="N1268" t="s">
        <v>11130</v>
      </c>
      <c r="O1268" t="s">
        <v>56</v>
      </c>
      <c r="Q1268" t="s">
        <v>123</v>
      </c>
      <c r="R1268" t="s">
        <v>124</v>
      </c>
      <c r="S1268" t="s">
        <v>188</v>
      </c>
      <c r="T1268" t="s">
        <v>1921</v>
      </c>
      <c r="U1268" t="s">
        <v>43</v>
      </c>
      <c r="V1268" t="s">
        <v>11131</v>
      </c>
      <c r="W1268" t="s">
        <v>11132</v>
      </c>
      <c r="Y1268" t="str">
        <f>HYPERLINK("https://recruiter.shine.com/resume/download/?resumeid=gAAAAABbk2UL-PcDJitOjFE_y-QvecOKjsHLOj2snnK_Dt2Ep7ttScTco7EaGj92rpXzGxVC0-VkPIB6iOcHcsXEsxNomPY01lfC_J9p4MBdDDfhdYIQQ4oq6hDNmvvdN9HVUdWi81O1z_ysTGnO723LSV7XfJmMnFuMEOizPmDXkWJD8hO4e7g=")</f>
        <v>https://recruiter.shine.com/resume/download/?resumeid=gAAAAABbk2UL-PcDJitOjFE_y-QvecOKjsHLOj2snnK_Dt2Ep7ttScTco7EaGj92rpXzGxVC0-VkPIB6iOcHcsXEsxNomPY01lfC_J9p4MBdDDfhdYIQQ4oq6hDNmvvdN9HVUdWi81O1z_ysTGnO723LSV7XfJmMnFuMEOizPmDXkWJD8hO4e7g=</v>
      </c>
    </row>
    <row r="1269" spans="1:25" ht="39.950000000000003" customHeight="1">
      <c r="A1269">
        <v>1265</v>
      </c>
      <c r="B1269" t="s">
        <v>11133</v>
      </c>
      <c r="C1269" t="s">
        <v>11134</v>
      </c>
      <c r="D1269" t="s">
        <v>11135</v>
      </c>
      <c r="E1269" t="s">
        <v>11136</v>
      </c>
      <c r="F1269" t="s">
        <v>249</v>
      </c>
      <c r="G1269" t="s">
        <v>249</v>
      </c>
      <c r="H1269" t="s">
        <v>31</v>
      </c>
      <c r="I1269" t="s">
        <v>11137</v>
      </c>
      <c r="J1269" t="s">
        <v>135</v>
      </c>
      <c r="K1269" t="s">
        <v>7854</v>
      </c>
      <c r="L1269" t="s">
        <v>301</v>
      </c>
      <c r="M1269" t="s">
        <v>684</v>
      </c>
      <c r="N1269" t="s">
        <v>11138</v>
      </c>
      <c r="O1269" t="s">
        <v>186</v>
      </c>
      <c r="Q1269" t="s">
        <v>158</v>
      </c>
      <c r="R1269" t="s">
        <v>41</v>
      </c>
      <c r="S1269" t="s">
        <v>11139</v>
      </c>
      <c r="T1269" t="s">
        <v>429</v>
      </c>
      <c r="U1269" t="s">
        <v>43</v>
      </c>
      <c r="V1269" t="s">
        <v>11140</v>
      </c>
      <c r="W1269" t="s">
        <v>11141</v>
      </c>
      <c r="Y1269" t="str">
        <f>HYPERLINK("https://recruiter.shine.com/resume/download/?resumeid=gAAAAABbk2UMr0qg6w2IgpuYZFv8bMnuwwCsJPFTk7dkNPky5nAETLpNaCiY3419Uija6wQ1Vy5xYVoI0zES3iSHfLD1OmKwPhenIYOUfBO-VGxMoHu6uJX7GTIg6Gg69iVKLvjIxt9BZkxhJRKoEfNARncWY7b0XlNfg106trQltEwGe76aZUM=")</f>
        <v>https://recruiter.shine.com/resume/download/?resumeid=gAAAAABbk2UMr0qg6w2IgpuYZFv8bMnuwwCsJPFTk7dkNPky5nAETLpNaCiY3419Uija6wQ1Vy5xYVoI0zES3iSHfLD1OmKwPhenIYOUfBO-VGxMoHu6uJX7GTIg6Gg69iVKLvjIxt9BZkxhJRKoEfNARncWY7b0XlNfg106trQltEwGe76aZUM=</v>
      </c>
    </row>
    <row r="1270" spans="1:25" ht="39.950000000000003" customHeight="1">
      <c r="A1270">
        <v>1266</v>
      </c>
      <c r="B1270" t="s">
        <v>11142</v>
      </c>
      <c r="C1270" t="s">
        <v>11143</v>
      </c>
      <c r="D1270" t="s">
        <v>11144</v>
      </c>
      <c r="E1270" t="s">
        <v>11145</v>
      </c>
      <c r="F1270" t="s">
        <v>29</v>
      </c>
      <c r="G1270" t="s">
        <v>67</v>
      </c>
      <c r="H1270" t="s">
        <v>31</v>
      </c>
      <c r="I1270" t="s">
        <v>362</v>
      </c>
      <c r="J1270" t="s">
        <v>135</v>
      </c>
      <c r="L1270" t="s">
        <v>363</v>
      </c>
      <c r="M1270" t="s">
        <v>364</v>
      </c>
      <c r="Q1270" t="s">
        <v>107</v>
      </c>
      <c r="R1270" t="s">
        <v>341</v>
      </c>
      <c r="S1270" t="s">
        <v>2516</v>
      </c>
      <c r="T1270" t="s">
        <v>5180</v>
      </c>
      <c r="U1270" t="s">
        <v>43</v>
      </c>
      <c r="V1270" t="s">
        <v>11146</v>
      </c>
      <c r="W1270" t="s">
        <v>11146</v>
      </c>
      <c r="Y1270" t="str">
        <f>HYPERLINK("https://recruiter.shine.com/resume/download/?resumeid=gAAAAABbk2UNpsM49o0oftF1QpOlSQ_EZm0iyO5eJ2r4fkPsdHEnnLT4UCEtatkTi_CTSdP-3MLJOsSqRZ-bM9uccYumli1Cn75Dzh6vCEGmqsakd4fHhmMBhhC9rxSDkLKGkTa62nsR3LP-w6wQahQourtUrKZ_35nTyOhqBnZ1p2d84gaNTx0=")</f>
        <v>https://recruiter.shine.com/resume/download/?resumeid=gAAAAABbk2UNpsM49o0oftF1QpOlSQ_EZm0iyO5eJ2r4fkPsdHEnnLT4UCEtatkTi_CTSdP-3MLJOsSqRZ-bM9uccYumli1Cn75Dzh6vCEGmqsakd4fHhmMBhhC9rxSDkLKGkTa62nsR3LP-w6wQahQourtUrKZ_35nTyOhqBnZ1p2d84gaNTx0=</v>
      </c>
    </row>
    <row r="1271" spans="1:25" ht="39.950000000000003" customHeight="1">
      <c r="A1271">
        <v>1267</v>
      </c>
      <c r="B1271" t="s">
        <v>11147</v>
      </c>
      <c r="C1271" t="s">
        <v>11148</v>
      </c>
      <c r="D1271" t="s">
        <v>11149</v>
      </c>
      <c r="E1271" t="s">
        <v>11150</v>
      </c>
      <c r="F1271" t="s">
        <v>29</v>
      </c>
      <c r="G1271" t="s">
        <v>29</v>
      </c>
      <c r="H1271" t="s">
        <v>31</v>
      </c>
      <c r="I1271" t="s">
        <v>791</v>
      </c>
      <c r="J1271" t="s">
        <v>408</v>
      </c>
      <c r="K1271" t="s">
        <v>5164</v>
      </c>
      <c r="L1271" t="s">
        <v>199</v>
      </c>
      <c r="M1271" t="s">
        <v>36</v>
      </c>
      <c r="N1271" t="s">
        <v>5032</v>
      </c>
      <c r="O1271" t="s">
        <v>56</v>
      </c>
      <c r="P1271" t="s">
        <v>57</v>
      </c>
      <c r="Q1271" t="s">
        <v>699</v>
      </c>
      <c r="R1271" t="s">
        <v>59</v>
      </c>
      <c r="S1271" t="s">
        <v>11151</v>
      </c>
      <c r="T1271" t="s">
        <v>161</v>
      </c>
      <c r="U1271" t="s">
        <v>43</v>
      </c>
      <c r="V1271" t="s">
        <v>11152</v>
      </c>
      <c r="W1271" t="s">
        <v>11153</v>
      </c>
      <c r="Y1271" t="str">
        <f>HYPERLINK("https://recruiter.shine.com/resume/download/?resumeid=gAAAAABbk2ULIgz16wKAyGulH4NjtU1eBpBGDSQAi0vgRHuPFeDLujN-Aqag9R1jvVSq75LwAv4AvZCbXDr4JOg1jJkupMYSHGgXQiAeJGZSRuDmM1J6BUGVrHRsLZHzWPW5OHKXII-YneUqfnP3TTA9DbwVdEBblBDn5790G8covTK4K2nOKPQ=")</f>
        <v>https://recruiter.shine.com/resume/download/?resumeid=gAAAAABbk2ULIgz16wKAyGulH4NjtU1eBpBGDSQAi0vgRHuPFeDLujN-Aqag9R1jvVSq75LwAv4AvZCbXDr4JOg1jJkupMYSHGgXQiAeJGZSRuDmM1J6BUGVrHRsLZHzWPW5OHKXII-YneUqfnP3TTA9DbwVdEBblBDn5790G8covTK4K2nOKPQ=</v>
      </c>
    </row>
    <row r="1272" spans="1:25" ht="39.950000000000003" customHeight="1">
      <c r="A1272">
        <v>1268</v>
      </c>
      <c r="B1272" t="s">
        <v>11154</v>
      </c>
      <c r="C1272" t="s">
        <v>11155</v>
      </c>
      <c r="D1272" t="s">
        <v>11156</v>
      </c>
      <c r="E1272" t="s">
        <v>11157</v>
      </c>
      <c r="F1272" t="s">
        <v>29</v>
      </c>
      <c r="G1272" t="s">
        <v>11158</v>
      </c>
      <c r="H1272" t="s">
        <v>31</v>
      </c>
      <c r="I1272" t="s">
        <v>604</v>
      </c>
      <c r="J1272" t="s">
        <v>312</v>
      </c>
      <c r="K1272" t="s">
        <v>11159</v>
      </c>
      <c r="L1272" t="s">
        <v>664</v>
      </c>
      <c r="M1272" t="s">
        <v>36</v>
      </c>
      <c r="N1272" t="s">
        <v>11160</v>
      </c>
      <c r="O1272" t="s">
        <v>56</v>
      </c>
      <c r="P1272" t="s">
        <v>940</v>
      </c>
      <c r="Q1272" t="s">
        <v>107</v>
      </c>
      <c r="R1272" t="s">
        <v>341</v>
      </c>
      <c r="S1272" t="s">
        <v>11161</v>
      </c>
      <c r="T1272" t="s">
        <v>110</v>
      </c>
      <c r="U1272" t="s">
        <v>43</v>
      </c>
      <c r="V1272" t="s">
        <v>11162</v>
      </c>
      <c r="W1272" t="s">
        <v>11163</v>
      </c>
      <c r="Y1272" t="str">
        <f>HYPERLINK("https://recruiter.shine.com/resume/download/?resumeid=gAAAAABbk2UMO_EVkEEptQaIpJ1-WOp7sxjrqqA-tjf5A0yTnaC4NAfZas4Odu_zlq8rUX4mWpNPypWQU-b1WD5tMrNyaSbCeGMOejFVWFB20tF-OWGXj1zy3yXO5SNWjjGu8okVQ5bI9aB0nA4KZCm2bK3kMWJtwibqeAMqOHt_QdkK5nq_nHk=")</f>
        <v>https://recruiter.shine.com/resume/download/?resumeid=gAAAAABbk2UMO_EVkEEptQaIpJ1-WOp7sxjrqqA-tjf5A0yTnaC4NAfZas4Odu_zlq8rUX4mWpNPypWQU-b1WD5tMrNyaSbCeGMOejFVWFB20tF-OWGXj1zy3yXO5SNWjjGu8okVQ5bI9aB0nA4KZCm2bK3kMWJtwibqeAMqOHt_QdkK5nq_nHk=</v>
      </c>
    </row>
    <row r="1273" spans="1:25" ht="39.950000000000003" customHeight="1">
      <c r="A1273">
        <v>1269</v>
      </c>
      <c r="B1273" t="s">
        <v>11164</v>
      </c>
      <c r="C1273" t="s">
        <v>11165</v>
      </c>
      <c r="D1273" t="s">
        <v>11166</v>
      </c>
      <c r="E1273" t="s">
        <v>11167</v>
      </c>
      <c r="F1273" t="s">
        <v>29</v>
      </c>
      <c r="G1273" t="s">
        <v>67</v>
      </c>
      <c r="H1273" t="s">
        <v>31</v>
      </c>
      <c r="I1273" t="s">
        <v>196</v>
      </c>
      <c r="J1273" t="s">
        <v>506</v>
      </c>
      <c r="K1273" t="s">
        <v>11168</v>
      </c>
      <c r="L1273" t="s">
        <v>155</v>
      </c>
      <c r="M1273" t="s">
        <v>105</v>
      </c>
      <c r="N1273" t="s">
        <v>11169</v>
      </c>
      <c r="O1273" t="s">
        <v>224</v>
      </c>
      <c r="Q1273" t="s">
        <v>107</v>
      </c>
      <c r="R1273" t="s">
        <v>559</v>
      </c>
      <c r="S1273" t="s">
        <v>11170</v>
      </c>
      <c r="T1273" t="s">
        <v>441</v>
      </c>
      <c r="U1273" t="s">
        <v>43</v>
      </c>
      <c r="V1273" t="s">
        <v>11171</v>
      </c>
      <c r="W1273" t="s">
        <v>11172</v>
      </c>
      <c r="Y1273" t="str">
        <f>HYPERLINK("https://recruiter.shine.com/resume/download/?resumeid=gAAAAABbk2UNEWt-BuZ6fE2yfhqo6UQZB2Q7WUdmD8r78cfAdeQv5nbo-aiB_nb7v94kiVwjgT0JgeuqnUs1q0Nt9L5a_s2EUw9PZRaYixyeLs8FlhJIpRaoA2jJf06MiBhVcOFnhW44ImYQANFaFdBnX7K3hx806vs6d-jJd-0EwnSXYkiRAMI=")</f>
        <v>https://recruiter.shine.com/resume/download/?resumeid=gAAAAABbk2UNEWt-BuZ6fE2yfhqo6UQZB2Q7WUdmD8r78cfAdeQv5nbo-aiB_nb7v94kiVwjgT0JgeuqnUs1q0Nt9L5a_s2EUw9PZRaYixyeLs8FlhJIpRaoA2jJf06MiBhVcOFnhW44ImYQANFaFdBnX7K3hx806vs6d-jJd-0EwnSXYkiRAMI=</v>
      </c>
    </row>
    <row r="1274" spans="1:25" ht="39.950000000000003" customHeight="1">
      <c r="A1274">
        <v>1270</v>
      </c>
      <c r="B1274" t="s">
        <v>11173</v>
      </c>
      <c r="C1274" t="s">
        <v>11155</v>
      </c>
      <c r="D1274" t="s">
        <v>11174</v>
      </c>
      <c r="E1274" t="s">
        <v>11175</v>
      </c>
      <c r="F1274" t="s">
        <v>29</v>
      </c>
      <c r="G1274" t="s">
        <v>11176</v>
      </c>
      <c r="H1274" t="s">
        <v>31</v>
      </c>
      <c r="I1274" t="s">
        <v>860</v>
      </c>
      <c r="J1274" t="s">
        <v>408</v>
      </c>
      <c r="K1274" t="s">
        <v>11177</v>
      </c>
      <c r="L1274" t="s">
        <v>1390</v>
      </c>
      <c r="M1274" t="s">
        <v>105</v>
      </c>
      <c r="N1274" t="s">
        <v>11178</v>
      </c>
      <c r="O1274" t="s">
        <v>56</v>
      </c>
      <c r="P1274" t="s">
        <v>268</v>
      </c>
      <c r="Q1274" t="s">
        <v>107</v>
      </c>
      <c r="R1274" t="s">
        <v>341</v>
      </c>
      <c r="S1274" t="s">
        <v>11179</v>
      </c>
      <c r="T1274" t="s">
        <v>110</v>
      </c>
      <c r="U1274" t="s">
        <v>43</v>
      </c>
      <c r="V1274" t="s">
        <v>11180</v>
      </c>
      <c r="W1274" t="s">
        <v>11181</v>
      </c>
      <c r="Y1274" t="str">
        <f>HYPERLINK("https://recruiter.shine.com/resume/download/?resumeid=gAAAAABbk2ULk9XPtigpkBMmbLSGj_oZP2rTfhTb-gkQI4N-SMw59yhUrQrX6cFahNO_6bWMg0DnMhaM5XIky9G6xrQjLTwBdhxVINxH76V4RqkcoNc827UC2SPVaEvTlXrhVDsPk1buZSLsDONKZxlRcgeTYE5NUQ==")</f>
        <v>https://recruiter.shine.com/resume/download/?resumeid=gAAAAABbk2ULk9XPtigpkBMmbLSGj_oZP2rTfhTb-gkQI4N-SMw59yhUrQrX6cFahNO_6bWMg0DnMhaM5XIky9G6xrQjLTwBdhxVINxH76V4RqkcoNc827UC2SPVaEvTlXrhVDsPk1buZSLsDONKZxlRcgeTYE5NUQ==</v>
      </c>
    </row>
    <row r="1275" spans="1:25" ht="39.950000000000003" customHeight="1">
      <c r="A1275">
        <v>1271</v>
      </c>
      <c r="B1275" t="s">
        <v>11182</v>
      </c>
      <c r="C1275" t="s">
        <v>11183</v>
      </c>
      <c r="D1275" t="s">
        <v>11184</v>
      </c>
      <c r="E1275" t="s">
        <v>11185</v>
      </c>
      <c r="F1275" t="s">
        <v>29</v>
      </c>
      <c r="G1275" t="s">
        <v>29</v>
      </c>
      <c r="H1275" t="s">
        <v>31</v>
      </c>
      <c r="I1275" t="s">
        <v>2354</v>
      </c>
      <c r="J1275" t="s">
        <v>781</v>
      </c>
      <c r="K1275" t="s">
        <v>11186</v>
      </c>
      <c r="L1275" t="s">
        <v>596</v>
      </c>
      <c r="M1275" t="s">
        <v>684</v>
      </c>
      <c r="N1275" t="s">
        <v>11187</v>
      </c>
      <c r="O1275" t="s">
        <v>804</v>
      </c>
      <c r="P1275" t="s">
        <v>140</v>
      </c>
      <c r="Q1275" t="s">
        <v>365</v>
      </c>
      <c r="R1275" t="s">
        <v>2230</v>
      </c>
      <c r="S1275" t="s">
        <v>7069</v>
      </c>
      <c r="T1275" t="s">
        <v>429</v>
      </c>
      <c r="U1275" t="s">
        <v>43</v>
      </c>
      <c r="V1275" t="s">
        <v>11188</v>
      </c>
      <c r="W1275" t="s">
        <v>11189</v>
      </c>
      <c r="Y1275" t="str">
        <f>HYPERLINK("https://recruiter.shine.com/resume/download/?resumeid=gAAAAABbk2UM4sIw4Xu9CFet_4j_RLv92ZqyM91zO4MronM45P5uotWoP3ZvVs3pGtlO_D9hIstKrTh_WXbBluSz7v-zpEebeKwY0iKsKznQeSRBt0FeKm5ZET1XGvpa-Saz5iZGoXJI8-ZimoCTPW8UsE9t3T4zWw==")</f>
        <v>https://recruiter.shine.com/resume/download/?resumeid=gAAAAABbk2UM4sIw4Xu9CFet_4j_RLv92ZqyM91zO4MronM45P5uotWoP3ZvVs3pGtlO_D9hIstKrTh_WXbBluSz7v-zpEebeKwY0iKsKznQeSRBt0FeKm5ZET1XGvpa-Saz5iZGoXJI8-ZimoCTPW8UsE9t3T4zWw==</v>
      </c>
    </row>
    <row r="1276" spans="1:25" ht="39.950000000000003" customHeight="1">
      <c r="A1276">
        <v>1272</v>
      </c>
      <c r="B1276" t="s">
        <v>11190</v>
      </c>
      <c r="C1276" t="s">
        <v>11191</v>
      </c>
      <c r="D1276" t="s">
        <v>11192</v>
      </c>
      <c r="E1276" t="s">
        <v>11193</v>
      </c>
      <c r="F1276" t="s">
        <v>29</v>
      </c>
      <c r="G1276" t="s">
        <v>1008</v>
      </c>
      <c r="H1276" t="s">
        <v>31</v>
      </c>
      <c r="I1276" t="s">
        <v>2354</v>
      </c>
      <c r="J1276" t="s">
        <v>11194</v>
      </c>
      <c r="K1276" t="s">
        <v>11195</v>
      </c>
      <c r="L1276" t="s">
        <v>2834</v>
      </c>
      <c r="M1276" t="s">
        <v>2835</v>
      </c>
      <c r="N1276" t="s">
        <v>2229</v>
      </c>
      <c r="O1276" t="s">
        <v>1392</v>
      </c>
      <c r="Q1276" t="s">
        <v>699</v>
      </c>
      <c r="R1276" t="s">
        <v>11196</v>
      </c>
      <c r="S1276" t="s">
        <v>11197</v>
      </c>
      <c r="T1276" t="s">
        <v>126</v>
      </c>
      <c r="U1276" t="s">
        <v>127</v>
      </c>
      <c r="V1276" t="s">
        <v>11198</v>
      </c>
      <c r="W1276" t="s">
        <v>11199</v>
      </c>
      <c r="Y1276" t="str">
        <f>HYPERLINK("https://recruiter.shine.com/resume/download/?resumeid=gAAAAABbk2UOGGw9Qs_oYTE93QM-OAEdz-WStBVo-9sZGS7FD2rtVPIWaEuKFc2qqoEJzCg9qZtnGtoRVBqU8623Qk_aip4BCWcZvw40Dp-VWTH4Lmu4-xAzU4RwRD95V3vQB3S598Zo6BZv42Y3nLx60dcNnRJi_g==")</f>
        <v>https://recruiter.shine.com/resume/download/?resumeid=gAAAAABbk2UOGGw9Qs_oYTE93QM-OAEdz-WStBVo-9sZGS7FD2rtVPIWaEuKFc2qqoEJzCg9qZtnGtoRVBqU8623Qk_aip4BCWcZvw40Dp-VWTH4Lmu4-xAzU4RwRD95V3vQB3S598Zo6BZv42Y3nLx60dcNnRJi_g==</v>
      </c>
    </row>
    <row r="1277" spans="1:25" ht="39.950000000000003" customHeight="1">
      <c r="A1277">
        <v>1273</v>
      </c>
      <c r="B1277" t="s">
        <v>11200</v>
      </c>
      <c r="C1277" t="s">
        <v>11201</v>
      </c>
      <c r="D1277" t="s">
        <v>11202</v>
      </c>
      <c r="E1277" t="s">
        <v>11203</v>
      </c>
      <c r="F1277" t="s">
        <v>29</v>
      </c>
      <c r="G1277" t="s">
        <v>67</v>
      </c>
      <c r="H1277" t="s">
        <v>234</v>
      </c>
      <c r="I1277" t="s">
        <v>714</v>
      </c>
      <c r="J1277" t="s">
        <v>169</v>
      </c>
      <c r="K1277" t="s">
        <v>1255</v>
      </c>
      <c r="L1277" t="s">
        <v>1255</v>
      </c>
      <c r="M1277" t="s">
        <v>121</v>
      </c>
      <c r="N1277" t="s">
        <v>11204</v>
      </c>
      <c r="O1277" t="s">
        <v>56</v>
      </c>
      <c r="P1277" t="s">
        <v>39</v>
      </c>
      <c r="Q1277" t="s">
        <v>4157</v>
      </c>
      <c r="R1277" t="s">
        <v>1255</v>
      </c>
      <c r="S1277" t="s">
        <v>6245</v>
      </c>
      <c r="T1277" t="s">
        <v>227</v>
      </c>
      <c r="U1277" t="s">
        <v>127</v>
      </c>
      <c r="V1277" t="s">
        <v>11205</v>
      </c>
      <c r="W1277" t="s">
        <v>11206</v>
      </c>
      <c r="Y1277" t="str">
        <f>HYPERLINK("https://recruiter.shine.com/resume/download/?resumeid=gAAAAABbk2ULAGLdF9vzBA061PZ3bSvgYKx3GErH53V_5XasUCPuUNEVKay4FJmYoq_8u9Fu5r-0knAZV1gwt5qKCbGYl7j7J3RV_oRCcR46ezvtgDgBZeK95-EpzGv-rt1P8ILUTsr4oSjC1A8vQZkhduRhoGjeQXg-Bk9T9fObsH0_cvtU0Bs=")</f>
        <v>https://recruiter.shine.com/resume/download/?resumeid=gAAAAABbk2ULAGLdF9vzBA061PZ3bSvgYKx3GErH53V_5XasUCPuUNEVKay4FJmYoq_8u9Fu5r-0knAZV1gwt5qKCbGYl7j7J3RV_oRCcR46ezvtgDgBZeK95-EpzGv-rt1P8ILUTsr4oSjC1A8vQZkhduRhoGjeQXg-Bk9T9fObsH0_cvtU0Bs=</v>
      </c>
    </row>
    <row r="1278" spans="1:25" ht="39.950000000000003" customHeight="1">
      <c r="A1278">
        <v>1274</v>
      </c>
      <c r="B1278" t="s">
        <v>11207</v>
      </c>
      <c r="C1278" t="s">
        <v>11208</v>
      </c>
      <c r="D1278" t="s">
        <v>11209</v>
      </c>
      <c r="E1278" t="s">
        <v>11210</v>
      </c>
      <c r="F1278" t="s">
        <v>29</v>
      </c>
      <c r="G1278" t="s">
        <v>29</v>
      </c>
      <c r="H1278" t="s">
        <v>31</v>
      </c>
      <c r="I1278" t="s">
        <v>117</v>
      </c>
      <c r="J1278" t="s">
        <v>1816</v>
      </c>
      <c r="K1278" t="s">
        <v>11211</v>
      </c>
      <c r="L1278" t="s">
        <v>120</v>
      </c>
      <c r="M1278" t="s">
        <v>1356</v>
      </c>
      <c r="N1278" t="s">
        <v>11212</v>
      </c>
      <c r="O1278" t="s">
        <v>1041</v>
      </c>
      <c r="P1278" t="s">
        <v>140</v>
      </c>
      <c r="Q1278" t="s">
        <v>699</v>
      </c>
      <c r="R1278" t="s">
        <v>4783</v>
      </c>
      <c r="S1278" t="s">
        <v>188</v>
      </c>
      <c r="T1278" t="s">
        <v>144</v>
      </c>
      <c r="U1278" t="s">
        <v>43</v>
      </c>
      <c r="V1278" t="s">
        <v>11213</v>
      </c>
      <c r="W1278" t="s">
        <v>11214</v>
      </c>
      <c r="Y1278" t="str">
        <f>HYPERLINK("https://recruiter.shine.com/resume/download/?resumeid=gAAAAABbk2UMdIMZMvCPTf7ndmQiz3qQKh3alSXe-z4JPYRlhd2s93NyfQf1euMlxV-BylCbGX6M0oYIQSRC7D1Q9kHQPs3OQes3j7rA6IYEDJTtJCPrQUsCgdA59x9B1vCh2Rq2JhdMqr4pl7cbEQqMid944k0tvw==")</f>
        <v>https://recruiter.shine.com/resume/download/?resumeid=gAAAAABbk2UMdIMZMvCPTf7ndmQiz3qQKh3alSXe-z4JPYRlhd2s93NyfQf1euMlxV-BylCbGX6M0oYIQSRC7D1Q9kHQPs3OQes3j7rA6IYEDJTtJCPrQUsCgdA59x9B1vCh2Rq2JhdMqr4pl7cbEQqMid944k0tvw==</v>
      </c>
    </row>
    <row r="1279" spans="1:25" ht="39.950000000000003" customHeight="1">
      <c r="A1279">
        <v>1275</v>
      </c>
      <c r="B1279" t="s">
        <v>11215</v>
      </c>
      <c r="C1279" t="s">
        <v>11216</v>
      </c>
      <c r="D1279" t="s">
        <v>11217</v>
      </c>
      <c r="E1279" t="s">
        <v>11218</v>
      </c>
      <c r="F1279" t="s">
        <v>29</v>
      </c>
      <c r="G1279" t="s">
        <v>29</v>
      </c>
      <c r="H1279" t="s">
        <v>31</v>
      </c>
      <c r="I1279" t="s">
        <v>1122</v>
      </c>
      <c r="J1279" t="s">
        <v>7234</v>
      </c>
      <c r="K1279" t="s">
        <v>11219</v>
      </c>
      <c r="L1279" t="s">
        <v>794</v>
      </c>
      <c r="M1279" t="s">
        <v>684</v>
      </c>
      <c r="N1279" t="s">
        <v>11220</v>
      </c>
      <c r="O1279" t="s">
        <v>38</v>
      </c>
      <c r="P1279" t="s">
        <v>73</v>
      </c>
      <c r="Q1279" t="s">
        <v>783</v>
      </c>
      <c r="R1279" t="s">
        <v>341</v>
      </c>
      <c r="S1279" t="s">
        <v>11221</v>
      </c>
      <c r="T1279" t="s">
        <v>429</v>
      </c>
      <c r="U1279" t="s">
        <v>43</v>
      </c>
      <c r="V1279" t="s">
        <v>11222</v>
      </c>
      <c r="W1279" t="s">
        <v>11223</v>
      </c>
      <c r="Y1279" t="str">
        <f>HYPERLINK("https://recruiter.shine.com/resume/download/?resumeid=gAAAAABbk2UO0nyE7ICRkBoq1t3ZhWxGh_NTanljEeTXgynyP7XOPgeor67DBYbU1OsYKedkz3gvhAdjcOOMPeca4Q1k4kd40HaDHhTP71vXPNhmrXf1lJAgYXOBtYWg2Ae0CRaac8biWxLtYQy1_hAFPAhLfDxLh_FxRyoS6zfLx1GcMkJL1Nc=")</f>
        <v>https://recruiter.shine.com/resume/download/?resumeid=gAAAAABbk2UO0nyE7ICRkBoq1t3ZhWxGh_NTanljEeTXgynyP7XOPgeor67DBYbU1OsYKedkz3gvhAdjcOOMPeca4Q1k4kd40HaDHhTP71vXPNhmrXf1lJAgYXOBtYWg2Ae0CRaac8biWxLtYQy1_hAFPAhLfDxLh_FxRyoS6zfLx1GcMkJL1Nc=</v>
      </c>
    </row>
    <row r="1280" spans="1:25" ht="39.950000000000003" customHeight="1">
      <c r="A1280">
        <v>1276</v>
      </c>
      <c r="B1280" t="s">
        <v>11224</v>
      </c>
      <c r="C1280" t="s">
        <v>6767</v>
      </c>
      <c r="D1280" t="s">
        <v>11225</v>
      </c>
      <c r="E1280" t="s">
        <v>11226</v>
      </c>
      <c r="F1280" t="s">
        <v>29</v>
      </c>
      <c r="G1280" t="s">
        <v>29</v>
      </c>
      <c r="H1280" t="s">
        <v>31</v>
      </c>
      <c r="I1280" t="s">
        <v>825</v>
      </c>
      <c r="J1280" t="s">
        <v>781</v>
      </c>
      <c r="K1280" t="s">
        <v>11113</v>
      </c>
      <c r="L1280" t="s">
        <v>301</v>
      </c>
      <c r="M1280" t="s">
        <v>684</v>
      </c>
      <c r="N1280" t="s">
        <v>11227</v>
      </c>
      <c r="O1280" t="s">
        <v>56</v>
      </c>
      <c r="P1280" t="s">
        <v>140</v>
      </c>
      <c r="Q1280" t="s">
        <v>365</v>
      </c>
      <c r="R1280" t="s">
        <v>2230</v>
      </c>
      <c r="S1280" t="s">
        <v>11228</v>
      </c>
      <c r="U1280" t="s">
        <v>43</v>
      </c>
      <c r="V1280" t="s">
        <v>11229</v>
      </c>
      <c r="W1280" t="s">
        <v>11230</v>
      </c>
      <c r="Y1280" t="str">
        <f>HYPERLINK("https://recruiter.shine.com/resume/download/?resumeid=gAAAAABbk2UKjjM4ILHccqjmeB01R7sN0MazSkq7dwWLtODcbtEDr_N65afZ7uXUYfkoi5Ojo3-f9s8HncUbCKskQJcBPonxhYZp9fJUlpcWomniu6Sh2V7FIWBEaVqSlnbirNWTSlJX-IiqWokMgbtjXP6RMAd9D-EVU76PAyiHefyoIimtgcw=")</f>
        <v>https://recruiter.shine.com/resume/download/?resumeid=gAAAAABbk2UKjjM4ILHccqjmeB01R7sN0MazSkq7dwWLtODcbtEDr_N65afZ7uXUYfkoi5Ojo3-f9s8HncUbCKskQJcBPonxhYZp9fJUlpcWomniu6Sh2V7FIWBEaVqSlnbirNWTSlJX-IiqWokMgbtjXP6RMAd9D-EVU76PAyiHefyoIimtgcw=</v>
      </c>
    </row>
    <row r="1281" spans="1:25" ht="39.950000000000003" customHeight="1">
      <c r="A1281">
        <v>1277</v>
      </c>
      <c r="B1281" t="s">
        <v>11231</v>
      </c>
      <c r="D1281" t="s">
        <v>11232</v>
      </c>
      <c r="E1281" t="s">
        <v>11233</v>
      </c>
      <c r="F1281" t="s">
        <v>858</v>
      </c>
      <c r="G1281" t="s">
        <v>858</v>
      </c>
      <c r="H1281" t="s">
        <v>31</v>
      </c>
      <c r="I1281" t="s">
        <v>4620</v>
      </c>
      <c r="J1281" t="s">
        <v>408</v>
      </c>
      <c r="K1281" t="s">
        <v>11234</v>
      </c>
      <c r="L1281" t="s">
        <v>794</v>
      </c>
      <c r="M1281" t="s">
        <v>684</v>
      </c>
      <c r="N1281" t="s">
        <v>11235</v>
      </c>
      <c r="O1281" t="s">
        <v>56</v>
      </c>
      <c r="Q1281" t="s">
        <v>158</v>
      </c>
      <c r="R1281" t="s">
        <v>41</v>
      </c>
      <c r="S1281" t="s">
        <v>11236</v>
      </c>
      <c r="T1281" t="s">
        <v>144</v>
      </c>
      <c r="U1281" t="s">
        <v>43</v>
      </c>
      <c r="V1281" t="s">
        <v>11237</v>
      </c>
      <c r="W1281" t="s">
        <v>11238</v>
      </c>
      <c r="Y1281" t="str">
        <f>HYPERLINK("https://recruiter.shine.com/resume/download/?resumeid=gAAAAABbk2UMxGfFYmghxV7ZIAThqjqKMCU-bPISwHSK4FwW9ptVe0h2MS1hn5C_6O3dYYMWkRphU9hxtOzaOWPOgqrSFLPjgxh128FEGT4Y4FQ8JIGAbIe7XAWFXG4flP4UmcIeE4UC7lEeyt3G3-oUhiMrwvVkM2p4GYKnUMQ5JUzo0Xz-P6M=")</f>
        <v>https://recruiter.shine.com/resume/download/?resumeid=gAAAAABbk2UMxGfFYmghxV7ZIAThqjqKMCU-bPISwHSK4FwW9ptVe0h2MS1hn5C_6O3dYYMWkRphU9hxtOzaOWPOgqrSFLPjgxh128FEGT4Y4FQ8JIGAbIe7XAWFXG4flP4UmcIeE4UC7lEeyt3G3-oUhiMrwvVkM2p4GYKnUMQ5JUzo0Xz-P6M=</v>
      </c>
    </row>
    <row r="1282" spans="1:25" ht="39.950000000000003" customHeight="1">
      <c r="A1282">
        <v>1278</v>
      </c>
      <c r="B1282" t="s">
        <v>11239</v>
      </c>
      <c r="C1282" t="s">
        <v>11240</v>
      </c>
      <c r="D1282" t="s">
        <v>11241</v>
      </c>
      <c r="E1282" t="s">
        <v>11242</v>
      </c>
      <c r="F1282" t="s">
        <v>29</v>
      </c>
      <c r="G1282" t="s">
        <v>1815</v>
      </c>
      <c r="H1282" t="s">
        <v>31</v>
      </c>
      <c r="I1282" t="s">
        <v>362</v>
      </c>
      <c r="J1282" t="s">
        <v>135</v>
      </c>
      <c r="L1282" t="s">
        <v>363</v>
      </c>
      <c r="M1282" t="s">
        <v>364</v>
      </c>
      <c r="Q1282" t="s">
        <v>107</v>
      </c>
      <c r="R1282" t="s">
        <v>864</v>
      </c>
      <c r="S1282" t="s">
        <v>11243</v>
      </c>
      <c r="T1282" t="s">
        <v>625</v>
      </c>
      <c r="U1282" t="s">
        <v>127</v>
      </c>
      <c r="V1282" t="s">
        <v>11244</v>
      </c>
      <c r="W1282" t="s">
        <v>11245</v>
      </c>
      <c r="Y1282" t="str">
        <f>HYPERLINK("https://recruiter.shine.com/resume/download/?resumeid=gAAAAABbk2UNJKa5AkAf-MtH-RVsMthnWPK6vRGnW6G-PPWb46Nl8TckDH1_Utx39G35VBJWXdCWy2Spqph2BQEuTTIxi_KsyxlbOb0K8DlckVtpwZ_paonb3iMoh0w6PhkGidbxFIpz2QmxIdE9s9dkb3bh0RAL8B8ZBq_n4JwaQpJHuiZm3n8=")</f>
        <v>https://recruiter.shine.com/resume/download/?resumeid=gAAAAABbk2UNJKa5AkAf-MtH-RVsMthnWPK6vRGnW6G-PPWb46Nl8TckDH1_Utx39G35VBJWXdCWy2Spqph2BQEuTTIxi_KsyxlbOb0K8DlckVtpwZ_paonb3iMoh0w6PhkGidbxFIpz2QmxIdE9s9dkb3bh0RAL8B8ZBq_n4JwaQpJHuiZm3n8=</v>
      </c>
    </row>
    <row r="1283" spans="1:25" ht="39.950000000000003" customHeight="1">
      <c r="A1283">
        <v>1279</v>
      </c>
      <c r="B1283" t="s">
        <v>11246</v>
      </c>
      <c r="C1283" t="s">
        <v>11247</v>
      </c>
      <c r="D1283" t="s">
        <v>11248</v>
      </c>
      <c r="E1283" t="s">
        <v>11249</v>
      </c>
      <c r="F1283" t="s">
        <v>29</v>
      </c>
      <c r="G1283" t="s">
        <v>29</v>
      </c>
      <c r="H1283" t="s">
        <v>234</v>
      </c>
      <c r="I1283" t="s">
        <v>362</v>
      </c>
      <c r="J1283" t="s">
        <v>135</v>
      </c>
      <c r="L1283" t="s">
        <v>363</v>
      </c>
      <c r="M1283" t="s">
        <v>364</v>
      </c>
      <c r="Q1283" t="s">
        <v>90</v>
      </c>
      <c r="R1283" t="s">
        <v>427</v>
      </c>
      <c r="S1283" t="s">
        <v>11250</v>
      </c>
      <c r="T1283" t="s">
        <v>126</v>
      </c>
      <c r="U1283" t="s">
        <v>43</v>
      </c>
      <c r="V1283" t="s">
        <v>11251</v>
      </c>
      <c r="W1283" t="s">
        <v>11252</v>
      </c>
      <c r="Y1283" t="str">
        <f>HYPERLINK("https://recruiter.shine.com/resume/download/?resumeid=gAAAAABbk2UK14U0C6Z38UiiNAkR7FqXu9_ChpGTjhh-MFG8q57pnG-L_yyC3MwuxIdA_77bsSuG1r6iJrg00FEpPBB_iGugja_f7a4gqa75wn0ut8soIp-NUBqA4TDBaIeiQhlLgE34Qz7KJ2TVRA0MAeho9i_R8WwFGE1dK86KxbqRDTjqm-s=")</f>
        <v>https://recruiter.shine.com/resume/download/?resumeid=gAAAAABbk2UK14U0C6Z38UiiNAkR7FqXu9_ChpGTjhh-MFG8q57pnG-L_yyC3MwuxIdA_77bsSuG1r6iJrg00FEpPBB_iGugja_f7a4gqa75wn0ut8soIp-NUBqA4TDBaIeiQhlLgE34Qz7KJ2TVRA0MAeho9i_R8WwFGE1dK86KxbqRDTjqm-s=</v>
      </c>
    </row>
    <row r="1284" spans="1:25" ht="39.950000000000003" customHeight="1">
      <c r="A1284">
        <v>1280</v>
      </c>
      <c r="B1284" t="s">
        <v>11253</v>
      </c>
      <c r="C1284" t="s">
        <v>7258</v>
      </c>
      <c r="D1284" t="s">
        <v>11254</v>
      </c>
      <c r="E1284" t="s">
        <v>11255</v>
      </c>
      <c r="F1284" t="s">
        <v>29</v>
      </c>
      <c r="G1284" t="s">
        <v>29</v>
      </c>
      <c r="H1284" t="s">
        <v>31</v>
      </c>
      <c r="I1284" t="s">
        <v>568</v>
      </c>
      <c r="J1284" t="s">
        <v>251</v>
      </c>
      <c r="K1284" t="s">
        <v>1609</v>
      </c>
      <c r="L1284" t="s">
        <v>104</v>
      </c>
      <c r="M1284" t="s">
        <v>105</v>
      </c>
      <c r="N1284" t="s">
        <v>11256</v>
      </c>
      <c r="O1284" t="s">
        <v>224</v>
      </c>
      <c r="P1284" t="s">
        <v>57</v>
      </c>
      <c r="Q1284" t="s">
        <v>107</v>
      </c>
      <c r="R1284" t="s">
        <v>75</v>
      </c>
      <c r="S1284" t="s">
        <v>11257</v>
      </c>
      <c r="T1284" t="s">
        <v>773</v>
      </c>
      <c r="U1284" t="s">
        <v>43</v>
      </c>
      <c r="V1284" t="s">
        <v>11258</v>
      </c>
      <c r="W1284" t="s">
        <v>11259</v>
      </c>
      <c r="Y1284" t="str">
        <f>HYPERLINK("https://recruiter.shine.com/resume/download/?resumeid=gAAAAABbk2UN_nrAWLIs-0wY_sGswbmCDE_MFPHA29fBpX0Kh_rjcR8gPzsHNGsa-UXj_Ben4S7FL1wCy0Wq2U4bxuUw8YkiH75FVn119BcjLkuCJwr1KTOfwAZH3foqLq2ObXeU6sBiAYfux0sBZtoxqB-obUrLaZFCq3DHmrIgxNwacN2_xa4=")</f>
        <v>https://recruiter.shine.com/resume/download/?resumeid=gAAAAABbk2UN_nrAWLIs-0wY_sGswbmCDE_MFPHA29fBpX0Kh_rjcR8gPzsHNGsa-UXj_Ben4S7FL1wCy0Wq2U4bxuUw8YkiH75FVn119BcjLkuCJwr1KTOfwAZH3foqLq2ObXeU6sBiAYfux0sBZtoxqB-obUrLaZFCq3DHmrIgxNwacN2_xa4=</v>
      </c>
    </row>
    <row r="1285" spans="1:25" ht="39.950000000000003" customHeight="1">
      <c r="A1285">
        <v>1281</v>
      </c>
      <c r="B1285" t="s">
        <v>11260</v>
      </c>
      <c r="C1285" t="s">
        <v>11261</v>
      </c>
      <c r="D1285" t="s">
        <v>11262</v>
      </c>
      <c r="E1285" t="s">
        <v>11263</v>
      </c>
      <c r="F1285" t="s">
        <v>29</v>
      </c>
      <c r="H1285" t="s">
        <v>31</v>
      </c>
      <c r="I1285" t="s">
        <v>1038</v>
      </c>
      <c r="J1285" t="s">
        <v>1722</v>
      </c>
      <c r="K1285" t="s">
        <v>8877</v>
      </c>
      <c r="L1285" t="s">
        <v>5296</v>
      </c>
      <c r="M1285" t="s">
        <v>395</v>
      </c>
      <c r="N1285" t="s">
        <v>11264</v>
      </c>
      <c r="O1285" t="s">
        <v>2301</v>
      </c>
      <c r="Q1285" t="s">
        <v>123</v>
      </c>
      <c r="R1285" t="s">
        <v>124</v>
      </c>
      <c r="S1285" t="s">
        <v>11265</v>
      </c>
      <c r="T1285" t="s">
        <v>161</v>
      </c>
      <c r="U1285" t="s">
        <v>127</v>
      </c>
      <c r="V1285" t="s">
        <v>11266</v>
      </c>
      <c r="W1285" t="s">
        <v>11267</v>
      </c>
      <c r="Y1285" t="str">
        <f>HYPERLINK("https://recruiter.shine.com/resume/download/?resumeid=gAAAAABbk2UNk3Ca8h_C6RBbzJNAT4VzsYIk2yYMuSxuAXY4Fr-sr3D_K5BC9PIOsn5uBTVnwon-GphlrYI6riTnGlX2LybkYvw0mGtQpSblAG-0KiTnYGnem5IVj7YgqYS4q-smz5hScLcy-FCIqbshO6nEi9ZGJw==")</f>
        <v>https://recruiter.shine.com/resume/download/?resumeid=gAAAAABbk2UNk3Ca8h_C6RBbzJNAT4VzsYIk2yYMuSxuAXY4Fr-sr3D_K5BC9PIOsn5uBTVnwon-GphlrYI6riTnGlX2LybkYvw0mGtQpSblAG-0KiTnYGnem5IVj7YgqYS4q-smz5hScLcy-FCIqbshO6nEi9ZGJw==</v>
      </c>
    </row>
    <row r="1286" spans="1:25" ht="39.950000000000003" customHeight="1">
      <c r="A1286">
        <v>1282</v>
      </c>
      <c r="B1286" t="s">
        <v>11268</v>
      </c>
      <c r="D1286" t="s">
        <v>11269</v>
      </c>
      <c r="E1286" t="s">
        <v>11270</v>
      </c>
      <c r="F1286" t="s">
        <v>29</v>
      </c>
      <c r="G1286" t="s">
        <v>11271</v>
      </c>
      <c r="H1286" t="s">
        <v>31</v>
      </c>
      <c r="I1286" t="s">
        <v>168</v>
      </c>
      <c r="J1286" t="s">
        <v>935</v>
      </c>
      <c r="K1286" t="s">
        <v>11272</v>
      </c>
      <c r="L1286" t="s">
        <v>88</v>
      </c>
      <c r="M1286" t="s">
        <v>884</v>
      </c>
      <c r="N1286" t="s">
        <v>11273</v>
      </c>
      <c r="O1286" t="s">
        <v>56</v>
      </c>
      <c r="Q1286" t="s">
        <v>107</v>
      </c>
      <c r="R1286" t="s">
        <v>341</v>
      </c>
      <c r="S1286" t="s">
        <v>11274</v>
      </c>
      <c r="U1286" t="s">
        <v>43</v>
      </c>
      <c r="V1286" t="s">
        <v>11275</v>
      </c>
      <c r="W1286" t="s">
        <v>11276</v>
      </c>
      <c r="Y1286" t="str">
        <f>HYPERLINK("https://recruiter.shine.com/resume/download/?resumeid=gAAAAABbk2UK_OOJt8PKMBYaTqUzXMawX0edR0NnPg4ztG4Zfu0Qm5Qoniq7vlSfvdbIoJL-yVkVWiYdO0XkZ1YLRuVi_yOcHBjTRHKcqE7EQv1mjxMDAtnt9GayP6nrsZsGT7oC9SuiprwU6hGxMqKnD6CEohumOw==")</f>
        <v>https://recruiter.shine.com/resume/download/?resumeid=gAAAAABbk2UK_OOJt8PKMBYaTqUzXMawX0edR0NnPg4ztG4Zfu0Qm5Qoniq7vlSfvdbIoJL-yVkVWiYdO0XkZ1YLRuVi_yOcHBjTRHKcqE7EQv1mjxMDAtnt9GayP6nrsZsGT7oC9SuiprwU6hGxMqKnD6CEohumOw==</v>
      </c>
    </row>
    <row r="1287" spans="1:25" ht="39.950000000000003" customHeight="1">
      <c r="A1287">
        <v>1283</v>
      </c>
      <c r="B1287" t="s">
        <v>11277</v>
      </c>
      <c r="D1287" t="s">
        <v>11278</v>
      </c>
      <c r="E1287" t="s">
        <v>11279</v>
      </c>
      <c r="F1287" t="s">
        <v>29</v>
      </c>
      <c r="G1287" t="s">
        <v>29</v>
      </c>
      <c r="H1287" t="s">
        <v>31</v>
      </c>
      <c r="I1287" t="s">
        <v>825</v>
      </c>
      <c r="J1287" t="s">
        <v>408</v>
      </c>
      <c r="K1287" t="s">
        <v>2607</v>
      </c>
      <c r="L1287" t="s">
        <v>88</v>
      </c>
      <c r="M1287" t="s">
        <v>36</v>
      </c>
      <c r="N1287" t="s">
        <v>11280</v>
      </c>
      <c r="O1287" t="s">
        <v>157</v>
      </c>
      <c r="Q1287" t="s">
        <v>90</v>
      </c>
      <c r="R1287" t="s">
        <v>427</v>
      </c>
      <c r="S1287" t="s">
        <v>11281</v>
      </c>
      <c r="T1287" t="s">
        <v>687</v>
      </c>
      <c r="U1287" t="s">
        <v>43</v>
      </c>
      <c r="V1287" t="s">
        <v>11282</v>
      </c>
      <c r="W1287" t="s">
        <v>11283</v>
      </c>
      <c r="Y1287" t="str">
        <f>HYPERLINK("https://recruiter.shine.com/resume/download/?resumeid=gAAAAABbk2UMB_eF_Ws9xLka4URz_7LMDYm1ANBnoPl24oA_Mt-TEDbSVlNKV8XB7tNcPWd4RMlebBjkA6kleACzkPGy07ie89axDaeH9bK_A7mcrhElv6Q7ib8yvuiiB6TNt15Ti_ywlvk6JrblKg81YM9ZXpne6Q==")</f>
        <v>https://recruiter.shine.com/resume/download/?resumeid=gAAAAABbk2UMB_eF_Ws9xLka4URz_7LMDYm1ANBnoPl24oA_Mt-TEDbSVlNKV8XB7tNcPWd4RMlebBjkA6kleACzkPGy07ie89axDaeH9bK_A7mcrhElv6Q7ib8yvuiiB6TNt15Ti_ywlvk6JrblKg81YM9ZXpne6Q==</v>
      </c>
    </row>
    <row r="1288" spans="1:25" ht="39.950000000000003" customHeight="1">
      <c r="A1288">
        <v>1284</v>
      </c>
      <c r="B1288" t="s">
        <v>11284</v>
      </c>
      <c r="C1288" t="s">
        <v>11285</v>
      </c>
      <c r="D1288" t="s">
        <v>11286</v>
      </c>
      <c r="E1288" t="s">
        <v>11287</v>
      </c>
      <c r="F1288" t="s">
        <v>29</v>
      </c>
      <c r="G1288" t="s">
        <v>67</v>
      </c>
      <c r="H1288" t="s">
        <v>234</v>
      </c>
      <c r="I1288" t="s">
        <v>362</v>
      </c>
      <c r="J1288" t="s">
        <v>135</v>
      </c>
      <c r="L1288" t="s">
        <v>363</v>
      </c>
      <c r="M1288" t="s">
        <v>364</v>
      </c>
      <c r="Q1288" t="s">
        <v>107</v>
      </c>
      <c r="R1288" t="s">
        <v>159</v>
      </c>
      <c r="S1288" t="s">
        <v>11288</v>
      </c>
      <c r="T1288" t="s">
        <v>257</v>
      </c>
      <c r="U1288" t="s">
        <v>127</v>
      </c>
      <c r="V1288" t="s">
        <v>11289</v>
      </c>
      <c r="W1288" t="s">
        <v>11290</v>
      </c>
      <c r="Y1288" t="str">
        <f>HYPERLINK("https://recruiter.shine.com/resume/download/?resumeid=gAAAAABbk2UOqVZ-GN-Y-2sOjuhCWY3sBQ8iKjuzw9ePBePb2A2d2vcHPcsUpfAHZQpdo8JERWpRcZmttyoh0d6z-BbINkcZ33xRVHjWvFhjt_FEFqjvFfn85-05vo_0_7Z5qgTGT1wvSLFWoFC0axO4-QMc1nc0n5K1UTcFjG6VMR6M5RKgLMo=")</f>
        <v>https://recruiter.shine.com/resume/download/?resumeid=gAAAAABbk2UOqVZ-GN-Y-2sOjuhCWY3sBQ8iKjuzw9ePBePb2A2d2vcHPcsUpfAHZQpdo8JERWpRcZmttyoh0d6z-BbINkcZ33xRVHjWvFhjt_FEFqjvFfn85-05vo_0_7Z5qgTGT1wvSLFWoFC0axO4-QMc1nc0n5K1UTcFjG6VMR6M5RKgLMo=</v>
      </c>
    </row>
    <row r="1289" spans="1:25" ht="39.950000000000003" customHeight="1">
      <c r="A1289">
        <v>1285</v>
      </c>
      <c r="B1289" t="s">
        <v>11291</v>
      </c>
      <c r="C1289" t="s">
        <v>11292</v>
      </c>
      <c r="D1289" t="s">
        <v>11293</v>
      </c>
      <c r="E1289" t="s">
        <v>11294</v>
      </c>
      <c r="F1289" t="s">
        <v>29</v>
      </c>
      <c r="G1289" t="s">
        <v>29</v>
      </c>
      <c r="H1289" t="s">
        <v>31</v>
      </c>
      <c r="I1289" t="s">
        <v>11295</v>
      </c>
      <c r="J1289" t="s">
        <v>235</v>
      </c>
      <c r="K1289" t="s">
        <v>10647</v>
      </c>
      <c r="L1289" t="s">
        <v>3525</v>
      </c>
      <c r="M1289" t="s">
        <v>1356</v>
      </c>
      <c r="N1289" t="s">
        <v>11296</v>
      </c>
      <c r="O1289" t="s">
        <v>224</v>
      </c>
      <c r="P1289" t="s">
        <v>57</v>
      </c>
      <c r="Q1289" t="s">
        <v>158</v>
      </c>
      <c r="R1289" t="s">
        <v>142</v>
      </c>
      <c r="S1289" t="s">
        <v>11297</v>
      </c>
      <c r="T1289" t="s">
        <v>77</v>
      </c>
      <c r="U1289" t="s">
        <v>43</v>
      </c>
      <c r="V1289" t="s">
        <v>11298</v>
      </c>
      <c r="W1289" t="s">
        <v>11299</v>
      </c>
      <c r="Y1289" t="str">
        <f>HYPERLINK("https://recruiter.shine.com/resume/download/?resumeid=gAAAAABbk2ULbFykqya6LC_b_toeJEwgHC1QMbQpp8FU1Nsai-uEu5v4fkvA5UWtVgbHpS_sWMlkXXEefmK7SBarLg2LmiQMxl7yyHjh7959ANPXDrRAJWdl1WHGX8_WJ2ka9fVlZmB7z5UPb6srAcaVTuKJx9fQKA==")</f>
        <v>https://recruiter.shine.com/resume/download/?resumeid=gAAAAABbk2ULbFykqya6LC_b_toeJEwgHC1QMbQpp8FU1Nsai-uEu5v4fkvA5UWtVgbHpS_sWMlkXXEefmK7SBarLg2LmiQMxl7yyHjh7959ANPXDrRAJWdl1WHGX8_WJ2ka9fVlZmB7z5UPb6srAcaVTuKJx9fQKA==</v>
      </c>
    </row>
    <row r="1290" spans="1:25" ht="39.950000000000003" customHeight="1">
      <c r="A1290">
        <v>1286</v>
      </c>
      <c r="B1290" t="s">
        <v>11300</v>
      </c>
      <c r="D1290" t="s">
        <v>11301</v>
      </c>
      <c r="E1290" t="s">
        <v>11302</v>
      </c>
      <c r="F1290" t="s">
        <v>29</v>
      </c>
      <c r="G1290" t="s">
        <v>29</v>
      </c>
      <c r="I1290" t="s">
        <v>208</v>
      </c>
      <c r="J1290" t="s">
        <v>6133</v>
      </c>
      <c r="K1290" t="s">
        <v>11303</v>
      </c>
      <c r="L1290" t="s">
        <v>184</v>
      </c>
      <c r="M1290" t="s">
        <v>105</v>
      </c>
      <c r="N1290" t="s">
        <v>11304</v>
      </c>
      <c r="O1290" t="s">
        <v>186</v>
      </c>
      <c r="P1290" t="s">
        <v>57</v>
      </c>
      <c r="Q1290" t="s">
        <v>123</v>
      </c>
      <c r="R1290" t="s">
        <v>124</v>
      </c>
      <c r="S1290" t="s">
        <v>188</v>
      </c>
      <c r="T1290" t="s">
        <v>161</v>
      </c>
      <c r="U1290" t="s">
        <v>127</v>
      </c>
      <c r="V1290" t="s">
        <v>11305</v>
      </c>
      <c r="W1290" t="s">
        <v>11306</v>
      </c>
      <c r="Y1290" t="str">
        <f>HYPERLINK("https://recruiter.shine.com/resume/download/?resumeid=gAAAAABbk2UMfVIkzg64IWSpbibgTPpNDdx81osZDTnIfbrffskM_BheV8gTNzTmHNe-pzNaK-Vn6HdOMWjAWtH4jNcI9OZbB60Zp1HpyPtptHQO-DZyBfzKct6J8D1mY0C8IMsr8hXd")</f>
        <v>https://recruiter.shine.com/resume/download/?resumeid=gAAAAABbk2UMfVIkzg64IWSpbibgTPpNDdx81osZDTnIfbrffskM_BheV8gTNzTmHNe-pzNaK-Vn6HdOMWjAWtH4jNcI9OZbB60Zp1HpyPtptHQO-DZyBfzKct6J8D1mY0C8IMsr8hXd</v>
      </c>
    </row>
    <row r="1291" spans="1:25" ht="39.950000000000003" customHeight="1">
      <c r="A1291">
        <v>1287</v>
      </c>
      <c r="B1291" t="s">
        <v>11307</v>
      </c>
      <c r="D1291" t="s">
        <v>11308</v>
      </c>
      <c r="E1291" t="s">
        <v>11309</v>
      </c>
      <c r="F1291" t="s">
        <v>29</v>
      </c>
      <c r="H1291" t="s">
        <v>31</v>
      </c>
      <c r="I1291" t="s">
        <v>134</v>
      </c>
      <c r="J1291" t="s">
        <v>3071</v>
      </c>
      <c r="K1291" t="s">
        <v>11310</v>
      </c>
      <c r="L1291" t="s">
        <v>653</v>
      </c>
      <c r="M1291" t="s">
        <v>121</v>
      </c>
      <c r="N1291" t="s">
        <v>520</v>
      </c>
      <c r="O1291" t="s">
        <v>475</v>
      </c>
      <c r="Q1291" t="s">
        <v>123</v>
      </c>
      <c r="R1291" t="s">
        <v>124</v>
      </c>
      <c r="S1291" t="s">
        <v>3199</v>
      </c>
      <c r="T1291" t="s">
        <v>144</v>
      </c>
      <c r="U1291" t="s">
        <v>127</v>
      </c>
      <c r="V1291" t="s">
        <v>11311</v>
      </c>
      <c r="W1291" t="s">
        <v>11311</v>
      </c>
      <c r="Y1291" t="str">
        <f>HYPERLINK("https://recruiter.shine.com/resume/download/?resumeid=gAAAAABbk2UNFlVA8XipqzXtH3z0iaRyQQMehdC2AkYtghfeOOEHd6tSabbxnx2EwEnXydBApWtpLkrq5bQoH28xLyPCPTGu5FRbjac_zTiqnij5TINjKmihWc30l4VztE0NRnP1Js1YmVNHIXN7Uzg0Y0q49AcG3-Ax6Cb4FxVgmqlp1dJjDx0=")</f>
        <v>https://recruiter.shine.com/resume/download/?resumeid=gAAAAABbk2UNFlVA8XipqzXtH3z0iaRyQQMehdC2AkYtghfeOOEHd6tSabbxnx2EwEnXydBApWtpLkrq5bQoH28xLyPCPTGu5FRbjac_zTiqnij5TINjKmihWc30l4VztE0NRnP1Js1YmVNHIXN7Uzg0Y0q49AcG3-Ax6Cb4FxVgmqlp1dJjDx0=</v>
      </c>
    </row>
    <row r="1292" spans="1:25" ht="39.950000000000003" customHeight="1">
      <c r="A1292">
        <v>1288</v>
      </c>
      <c r="B1292" t="s">
        <v>11312</v>
      </c>
      <c r="D1292" t="s">
        <v>11313</v>
      </c>
      <c r="E1292" t="s">
        <v>11314</v>
      </c>
      <c r="F1292" t="s">
        <v>29</v>
      </c>
      <c r="G1292" t="s">
        <v>29</v>
      </c>
      <c r="H1292" t="s">
        <v>31</v>
      </c>
      <c r="I1292" t="s">
        <v>208</v>
      </c>
      <c r="J1292" t="s">
        <v>393</v>
      </c>
      <c r="K1292" t="s">
        <v>11315</v>
      </c>
      <c r="L1292" t="s">
        <v>199</v>
      </c>
      <c r="M1292" t="s">
        <v>884</v>
      </c>
      <c r="N1292" t="s">
        <v>11316</v>
      </c>
      <c r="O1292" t="s">
        <v>186</v>
      </c>
      <c r="P1292" t="s">
        <v>73</v>
      </c>
      <c r="Q1292" t="s">
        <v>107</v>
      </c>
      <c r="R1292" t="s">
        <v>2346</v>
      </c>
      <c r="S1292" t="s">
        <v>11317</v>
      </c>
      <c r="T1292" t="s">
        <v>1921</v>
      </c>
      <c r="U1292" t="s">
        <v>43</v>
      </c>
      <c r="V1292" t="s">
        <v>11318</v>
      </c>
      <c r="W1292" t="s">
        <v>11319</v>
      </c>
      <c r="Y1292" t="str">
        <f>HYPERLINK("https://recruiter.shine.com/resume/download/?resumeid=gAAAAABbk2UKED7pUoPAcPUqr4ROLtQVKj0x_lEwZgrU4W1egXRR3wSVP0IV80H7dF8IAvxGGSEojU2kavtU7Xczvjh0atE2zcZDzktL8RShEv_GXsnJEKL5LQvi2xRVdHzdOw3nv8NOEh1KUxRmFWuLUhWC1s69QA==")</f>
        <v>https://recruiter.shine.com/resume/download/?resumeid=gAAAAABbk2UKED7pUoPAcPUqr4ROLtQVKj0x_lEwZgrU4W1egXRR3wSVP0IV80H7dF8IAvxGGSEojU2kavtU7Xczvjh0atE2zcZDzktL8RShEv_GXsnJEKL5LQvi2xRVdHzdOw3nv8NOEh1KUxRmFWuLUhWC1s69QA==</v>
      </c>
    </row>
    <row r="1293" spans="1:25" ht="39.950000000000003" customHeight="1">
      <c r="A1293">
        <v>1289</v>
      </c>
      <c r="B1293" t="s">
        <v>11320</v>
      </c>
      <c r="C1293" t="s">
        <v>11321</v>
      </c>
      <c r="D1293" t="s">
        <v>11322</v>
      </c>
      <c r="E1293" t="s">
        <v>11323</v>
      </c>
      <c r="F1293" t="s">
        <v>29</v>
      </c>
      <c r="G1293" t="s">
        <v>29</v>
      </c>
      <c r="H1293" t="s">
        <v>31</v>
      </c>
      <c r="I1293" t="s">
        <v>362</v>
      </c>
      <c r="J1293" t="s">
        <v>135</v>
      </c>
      <c r="L1293" t="s">
        <v>363</v>
      </c>
      <c r="M1293" t="s">
        <v>364</v>
      </c>
      <c r="Q1293" t="s">
        <v>107</v>
      </c>
      <c r="R1293" t="s">
        <v>864</v>
      </c>
      <c r="S1293" t="s">
        <v>11324</v>
      </c>
      <c r="T1293" t="s">
        <v>126</v>
      </c>
      <c r="U1293" t="s">
        <v>43</v>
      </c>
      <c r="V1293" t="s">
        <v>11325</v>
      </c>
      <c r="W1293" t="s">
        <v>11326</v>
      </c>
      <c r="Y1293" t="str">
        <f>HYPERLINK("https://recruiter.shine.com/resume/download/?resumeid=gAAAAABbk2UMoEyoMgbv8ck5eEKDVOGzIYFumVtio0rhad4G7-lc-FsjxRhGKsryuh36i58k1rEUncRX2CnqXnpTeSlV6Kvlm6GuPzmCXtPLqVc1mrSlIM-xGSeDuuQSnvUrtwyAzSoToNoJu6FfOJWQ9Y71O6NOWBV2tX4pGu-e6LKRPZ5q080=")</f>
        <v>https://recruiter.shine.com/resume/download/?resumeid=gAAAAABbk2UMoEyoMgbv8ck5eEKDVOGzIYFumVtio0rhad4G7-lc-FsjxRhGKsryuh36i58k1rEUncRX2CnqXnpTeSlV6Kvlm6GuPzmCXtPLqVc1mrSlIM-xGSeDuuQSnvUrtwyAzSoToNoJu6FfOJWQ9Y71O6NOWBV2tX4pGu-e6LKRPZ5q080=</v>
      </c>
    </row>
    <row r="1294" spans="1:25" ht="39.950000000000003" customHeight="1">
      <c r="A1294">
        <v>1290</v>
      </c>
      <c r="B1294" t="s">
        <v>11327</v>
      </c>
      <c r="D1294" t="s">
        <v>11328</v>
      </c>
      <c r="E1294" t="s">
        <v>11329</v>
      </c>
      <c r="F1294" t="s">
        <v>29</v>
      </c>
      <c r="H1294" t="s">
        <v>31</v>
      </c>
      <c r="I1294" t="s">
        <v>32</v>
      </c>
      <c r="J1294" t="s">
        <v>11330</v>
      </c>
      <c r="K1294" t="s">
        <v>11331</v>
      </c>
      <c r="L1294" t="s">
        <v>314</v>
      </c>
      <c r="M1294" t="s">
        <v>1356</v>
      </c>
      <c r="N1294" t="s">
        <v>11332</v>
      </c>
      <c r="O1294" t="s">
        <v>848</v>
      </c>
      <c r="Q1294" t="s">
        <v>41</v>
      </c>
      <c r="R1294" t="s">
        <v>11333</v>
      </c>
      <c r="S1294" t="s">
        <v>3248</v>
      </c>
      <c r="T1294" t="s">
        <v>257</v>
      </c>
      <c r="U1294" t="s">
        <v>43</v>
      </c>
      <c r="V1294" t="s">
        <v>11334</v>
      </c>
      <c r="W1294" t="s">
        <v>11334</v>
      </c>
      <c r="Y1294" t="str">
        <f>HYPERLINK("https://recruiter.shine.com/resume/download/?resumeid=gAAAAABbk2UOVy5MfS-F1hxMur2ctVyOg5r0VyZYpQ5JrJH60hZ1xBxMysMBXDtAGIgA_QZb5tC7GeJnHQ3whUWwXkG0q_Au1Tn1CIGxz4sSbzUMDALeJSGt_yoflRZ95kC4k8g0UrweBKd_9hXHGmQSmM7a0NWH8_0S4dLnmM9EVlDkhlNivDI=")</f>
        <v>https://recruiter.shine.com/resume/download/?resumeid=gAAAAABbk2UOVy5MfS-F1hxMur2ctVyOg5r0VyZYpQ5JrJH60hZ1xBxMysMBXDtAGIgA_QZb5tC7GeJnHQ3whUWwXkG0q_Au1Tn1CIGxz4sSbzUMDALeJSGt_yoflRZ95kC4k8g0UrweBKd_9hXHGmQSmM7a0NWH8_0S4dLnmM9EVlDkhlNivDI=</v>
      </c>
    </row>
    <row r="1295" spans="1:25" ht="39.950000000000003" customHeight="1">
      <c r="A1295">
        <v>1291</v>
      </c>
      <c r="B1295" t="s">
        <v>11335</v>
      </c>
      <c r="C1295" t="s">
        <v>11336</v>
      </c>
      <c r="D1295" t="s">
        <v>11337</v>
      </c>
      <c r="E1295" t="s">
        <v>11338</v>
      </c>
      <c r="F1295" t="s">
        <v>29</v>
      </c>
      <c r="G1295" t="s">
        <v>11339</v>
      </c>
      <c r="H1295" t="s">
        <v>31</v>
      </c>
      <c r="I1295" t="s">
        <v>2074</v>
      </c>
      <c r="J1295" t="s">
        <v>3451</v>
      </c>
      <c r="K1295" t="s">
        <v>11340</v>
      </c>
      <c r="L1295" t="s">
        <v>4146</v>
      </c>
      <c r="M1295" t="s">
        <v>757</v>
      </c>
      <c r="N1295" t="s">
        <v>11341</v>
      </c>
      <c r="O1295" t="s">
        <v>186</v>
      </c>
      <c r="P1295" t="s">
        <v>140</v>
      </c>
      <c r="Q1295" t="s">
        <v>123</v>
      </c>
      <c r="R1295" t="s">
        <v>124</v>
      </c>
      <c r="S1295" t="s">
        <v>10352</v>
      </c>
      <c r="T1295" t="s">
        <v>1137</v>
      </c>
      <c r="U1295" t="s">
        <v>43</v>
      </c>
      <c r="V1295" t="s">
        <v>11342</v>
      </c>
      <c r="W1295" t="s">
        <v>11343</v>
      </c>
      <c r="Y1295" t="str">
        <f>HYPERLINK("https://recruiter.shine.com/resume/download/?resumeid=gAAAAABbk2UKMThfA9Mxd_JD_eEDTtjfNRdrDrZwz7LurC9nJDlX45CCjM-mLr7uQuEze3PB_4UCkElQxA_6DBFSZ7yeGuWfq-lE2vaImayOHgF_IHLk6p6oTEmuU-s3_sXJm-h-mroyR-KaGmKjX7i1Mi-UBam4NQ==")</f>
        <v>https://recruiter.shine.com/resume/download/?resumeid=gAAAAABbk2UKMThfA9Mxd_JD_eEDTtjfNRdrDrZwz7LurC9nJDlX45CCjM-mLr7uQuEze3PB_4UCkElQxA_6DBFSZ7yeGuWfq-lE2vaImayOHgF_IHLk6p6oTEmuU-s3_sXJm-h-mroyR-KaGmKjX7i1Mi-UBam4NQ==</v>
      </c>
    </row>
    <row r="1296" spans="1:25" ht="39.950000000000003" customHeight="1">
      <c r="A1296">
        <v>1292</v>
      </c>
      <c r="B1296" t="s">
        <v>11344</v>
      </c>
      <c r="D1296" t="s">
        <v>11345</v>
      </c>
      <c r="E1296" t="s">
        <v>11346</v>
      </c>
      <c r="F1296" t="s">
        <v>249</v>
      </c>
      <c r="G1296" t="s">
        <v>249</v>
      </c>
      <c r="H1296" t="s">
        <v>31</v>
      </c>
      <c r="I1296" t="s">
        <v>11347</v>
      </c>
      <c r="J1296" t="s">
        <v>3071</v>
      </c>
      <c r="K1296" t="s">
        <v>11348</v>
      </c>
      <c r="L1296" t="s">
        <v>596</v>
      </c>
      <c r="M1296" t="s">
        <v>684</v>
      </c>
      <c r="N1296" t="s">
        <v>11349</v>
      </c>
      <c r="O1296" t="s">
        <v>585</v>
      </c>
      <c r="Q1296" t="s">
        <v>158</v>
      </c>
      <c r="R1296" t="s">
        <v>108</v>
      </c>
      <c r="S1296" t="s">
        <v>11350</v>
      </c>
      <c r="T1296" t="s">
        <v>227</v>
      </c>
      <c r="U1296" t="s">
        <v>43</v>
      </c>
      <c r="V1296" t="s">
        <v>11351</v>
      </c>
      <c r="W1296" t="s">
        <v>11352</v>
      </c>
      <c r="Y1296" t="str">
        <f>HYPERLINK("https://recruiter.shine.com/resume/download/?resumeid=gAAAAABbk2UMIHeO03pAS_Tus9ECCYpwGzL13F1bAATveWbcu3Yr3SEkK7E1uSWJ7DPfla0cvOs-6qvXLUQ5x9OJ0DXmcnRzv1ABuIatGceFDfQMLoug8gu2pHkYqQUg4RKFZPUkqC1RTgmkByyG7iQUgzrkD4WuEw==")</f>
        <v>https://recruiter.shine.com/resume/download/?resumeid=gAAAAABbk2UMIHeO03pAS_Tus9ECCYpwGzL13F1bAATveWbcu3Yr3SEkK7E1uSWJ7DPfla0cvOs-6qvXLUQ5x9OJ0DXmcnRzv1ABuIatGceFDfQMLoug8gu2pHkYqQUg4RKFZPUkqC1RTgmkByyG7iQUgzrkD4WuEw==</v>
      </c>
    </row>
    <row r="1297" spans="1:25" ht="39.950000000000003" customHeight="1">
      <c r="A1297">
        <v>1293</v>
      </c>
      <c r="B1297" t="s">
        <v>11353</v>
      </c>
      <c r="D1297" t="s">
        <v>11354</v>
      </c>
      <c r="E1297" t="s">
        <v>11355</v>
      </c>
      <c r="F1297" t="s">
        <v>29</v>
      </c>
      <c r="H1297" t="s">
        <v>31</v>
      </c>
      <c r="I1297" t="s">
        <v>1155</v>
      </c>
      <c r="J1297" t="s">
        <v>531</v>
      </c>
      <c r="K1297" t="s">
        <v>11356</v>
      </c>
      <c r="L1297" t="s">
        <v>5296</v>
      </c>
      <c r="M1297" t="s">
        <v>238</v>
      </c>
      <c r="N1297" t="s">
        <v>11357</v>
      </c>
      <c r="O1297" t="s">
        <v>585</v>
      </c>
      <c r="Q1297" t="s">
        <v>40</v>
      </c>
      <c r="R1297" t="s">
        <v>5585</v>
      </c>
      <c r="S1297" t="s">
        <v>11358</v>
      </c>
      <c r="T1297" t="s">
        <v>773</v>
      </c>
      <c r="U1297" t="s">
        <v>127</v>
      </c>
      <c r="V1297" t="s">
        <v>11359</v>
      </c>
      <c r="W1297" t="s">
        <v>11360</v>
      </c>
      <c r="Y1297" t="str">
        <f>HYPERLINK("https://recruiter.shine.com/resume/download/?resumeid=gAAAAABbk2UOgc8hJZC61_JsmilPKlJLqVGDMkASeJ48k1GJAwcxlK02o5ufw_Ul2pjwTGEibcsRIuJ_yTuMV8sKYAMnBORzZY9kweHl1SpY4q0k1ZPvjaN-O8DLbDtqf_w0grXWHxb1HFcgXfh_zvLaDt7-ZYTQUQ==")</f>
        <v>https://recruiter.shine.com/resume/download/?resumeid=gAAAAABbk2UOgc8hJZC61_JsmilPKlJLqVGDMkASeJ48k1GJAwcxlK02o5ufw_Ul2pjwTGEibcsRIuJ_yTuMV8sKYAMnBORzZY9kweHl1SpY4q0k1ZPvjaN-O8DLbDtqf_w0grXWHxb1HFcgXfh_zvLaDt7-ZYTQUQ==</v>
      </c>
    </row>
    <row r="1298" spans="1:25" ht="39.950000000000003" customHeight="1">
      <c r="A1298">
        <v>1294</v>
      </c>
      <c r="B1298" t="s">
        <v>11361</v>
      </c>
      <c r="D1298" t="s">
        <v>11362</v>
      </c>
      <c r="E1298" t="s">
        <v>11363</v>
      </c>
      <c r="F1298" t="s">
        <v>29</v>
      </c>
      <c r="G1298" t="s">
        <v>11364</v>
      </c>
      <c r="H1298" t="s">
        <v>31</v>
      </c>
      <c r="I1298" t="s">
        <v>134</v>
      </c>
      <c r="J1298" t="s">
        <v>9304</v>
      </c>
      <c r="K1298" t="s">
        <v>11365</v>
      </c>
      <c r="L1298" t="s">
        <v>266</v>
      </c>
      <c r="M1298" t="s">
        <v>339</v>
      </c>
      <c r="N1298" t="s">
        <v>11366</v>
      </c>
      <c r="O1298" t="s">
        <v>38</v>
      </c>
      <c r="Q1298" t="s">
        <v>90</v>
      </c>
      <c r="R1298" t="s">
        <v>427</v>
      </c>
      <c r="S1298" t="s">
        <v>11367</v>
      </c>
      <c r="T1298" t="s">
        <v>304</v>
      </c>
      <c r="U1298" t="s">
        <v>43</v>
      </c>
      <c r="V1298" t="s">
        <v>11368</v>
      </c>
      <c r="W1298" t="s">
        <v>11368</v>
      </c>
      <c r="Y1298" t="str">
        <f>HYPERLINK("https://recruiter.shine.com/resume/download/?resumeid=gAAAAABbk2UL3lEngS9nHH_YzUYI8m9QzPJtb3z3nAR_RtKjuQHqL2jNJ-jkzXkQDKC2CdifSDmfgM5i6pGeIaFeSQEZ9WN1eWGLIL8cqcPPw2A6rIe_b-DUFcHk5j96rHuTggCXl0xkNMp85ksAkcdiYrqYBlSWug==")</f>
        <v>https://recruiter.shine.com/resume/download/?resumeid=gAAAAABbk2UL3lEngS9nHH_YzUYI8m9QzPJtb3z3nAR_RtKjuQHqL2jNJ-jkzXkQDKC2CdifSDmfgM5i6pGeIaFeSQEZ9WN1eWGLIL8cqcPPw2A6rIe_b-DUFcHk5j96rHuTggCXl0xkNMp85ksAkcdiYrqYBlSWug==</v>
      </c>
    </row>
    <row r="1299" spans="1:25" ht="39.950000000000003" customHeight="1">
      <c r="A1299">
        <v>1295</v>
      </c>
      <c r="B1299" t="s">
        <v>11369</v>
      </c>
      <c r="D1299" t="s">
        <v>11370</v>
      </c>
      <c r="E1299" t="s">
        <v>11371</v>
      </c>
      <c r="F1299" t="s">
        <v>29</v>
      </c>
      <c r="G1299" t="s">
        <v>29</v>
      </c>
      <c r="H1299" t="s">
        <v>31</v>
      </c>
      <c r="I1299" t="s">
        <v>860</v>
      </c>
      <c r="J1299" t="s">
        <v>801</v>
      </c>
      <c r="K1299" t="s">
        <v>11372</v>
      </c>
      <c r="L1299" t="s">
        <v>2690</v>
      </c>
      <c r="M1299" t="s">
        <v>315</v>
      </c>
      <c r="N1299" t="s">
        <v>11373</v>
      </c>
      <c r="O1299" t="s">
        <v>38</v>
      </c>
      <c r="Q1299" t="s">
        <v>74</v>
      </c>
      <c r="R1299" t="s">
        <v>642</v>
      </c>
      <c r="S1299" t="s">
        <v>11374</v>
      </c>
      <c r="T1299" t="s">
        <v>144</v>
      </c>
      <c r="U1299" t="s">
        <v>43</v>
      </c>
      <c r="V1299" t="s">
        <v>11375</v>
      </c>
      <c r="W1299" t="s">
        <v>11376</v>
      </c>
      <c r="Y1299" t="str">
        <f>HYPERLINK("https://recruiter.shine.com/resume/download/?resumeid=gAAAAABbk2UMbbJeSlcHz5eBtuk2GKrZGmHTDyujB6LTPQl0V_af9TENv2tPDbUCNeXYMyowcfthUsbBeKRi2fU_X507r4a2k45fwsVmex7WajdNv5sanVfSgYO_zEyP-3_vfV-7UjodMbJO0QUatZrBLkU91Yx9WA==")</f>
        <v>https://recruiter.shine.com/resume/download/?resumeid=gAAAAABbk2UMbbJeSlcHz5eBtuk2GKrZGmHTDyujB6LTPQl0V_af9TENv2tPDbUCNeXYMyowcfthUsbBeKRi2fU_X507r4a2k45fwsVmex7WajdNv5sanVfSgYO_zEyP-3_vfV-7UjodMbJO0QUatZrBLkU91Yx9WA==</v>
      </c>
    </row>
    <row r="1300" spans="1:25" ht="39.950000000000003" customHeight="1">
      <c r="A1300">
        <v>1296</v>
      </c>
      <c r="B1300" t="s">
        <v>11377</v>
      </c>
      <c r="D1300" t="s">
        <v>11378</v>
      </c>
      <c r="E1300" t="s">
        <v>11379</v>
      </c>
      <c r="F1300" t="s">
        <v>29</v>
      </c>
      <c r="H1300" t="s">
        <v>234</v>
      </c>
      <c r="I1300" t="s">
        <v>362</v>
      </c>
      <c r="J1300" t="s">
        <v>135</v>
      </c>
      <c r="L1300" t="s">
        <v>363</v>
      </c>
      <c r="M1300" t="s">
        <v>364</v>
      </c>
      <c r="Q1300" t="s">
        <v>41</v>
      </c>
      <c r="R1300" t="s">
        <v>11380</v>
      </c>
      <c r="S1300" t="s">
        <v>11381</v>
      </c>
      <c r="T1300" t="s">
        <v>257</v>
      </c>
      <c r="U1300" t="s">
        <v>127</v>
      </c>
      <c r="V1300" t="s">
        <v>11382</v>
      </c>
      <c r="W1300" t="s">
        <v>11383</v>
      </c>
      <c r="Y1300" t="str">
        <f>HYPERLINK("https://recruiter.shine.com/resume/download/?resumeid=gAAAAABbk2UNact1DdWdagbmFa0HBC1Ck7LbuR6ENDUBVYENnXTyYvRMYAz0lt8wepCQECmCCdnYe8hFQb8Y4B9xlj5NBgtiYOIYFU52KauHMjnGhMESHZklNoNPVUJQhdAEowmcaxvamRf5N7tyM2vOXdFnrKJIDpbHGcIb2LiPVUHlNJyYOoE=")</f>
        <v>https://recruiter.shine.com/resume/download/?resumeid=gAAAAABbk2UNact1DdWdagbmFa0HBC1Ck7LbuR6ENDUBVYENnXTyYvRMYAz0lt8wepCQECmCCdnYe8hFQb8Y4B9xlj5NBgtiYOIYFU52KauHMjnGhMESHZklNoNPVUJQhdAEowmcaxvamRf5N7tyM2vOXdFnrKJIDpbHGcIb2LiPVUHlNJyYOoE=</v>
      </c>
    </row>
    <row r="1301" spans="1:25" ht="39.950000000000003" customHeight="1">
      <c r="A1301">
        <v>1297</v>
      </c>
      <c r="B1301" t="s">
        <v>11384</v>
      </c>
      <c r="C1301" t="s">
        <v>11385</v>
      </c>
      <c r="D1301" t="s">
        <v>11386</v>
      </c>
      <c r="E1301" t="s">
        <v>11387</v>
      </c>
      <c r="F1301" t="s">
        <v>29</v>
      </c>
      <c r="G1301" t="s">
        <v>67</v>
      </c>
      <c r="H1301" t="s">
        <v>31</v>
      </c>
      <c r="I1301" t="s">
        <v>2074</v>
      </c>
      <c r="J1301" t="s">
        <v>715</v>
      </c>
      <c r="K1301" t="s">
        <v>980</v>
      </c>
      <c r="L1301" t="s">
        <v>486</v>
      </c>
      <c r="M1301" t="s">
        <v>395</v>
      </c>
      <c r="N1301" t="s">
        <v>11388</v>
      </c>
      <c r="O1301" t="s">
        <v>38</v>
      </c>
      <c r="P1301" t="s">
        <v>39</v>
      </c>
      <c r="Q1301" t="s">
        <v>74</v>
      </c>
      <c r="R1301" t="s">
        <v>864</v>
      </c>
      <c r="S1301" t="s">
        <v>1053</v>
      </c>
      <c r="T1301" t="s">
        <v>415</v>
      </c>
      <c r="U1301" t="s">
        <v>127</v>
      </c>
      <c r="V1301" t="s">
        <v>11389</v>
      </c>
      <c r="W1301" t="s">
        <v>11389</v>
      </c>
      <c r="Y1301" t="str">
        <f>HYPERLINK("https://recruiter.shine.com/resume/download/?resumeid=gAAAAABbk2UKGWfdJE7xE2JOjLwd2fMjPWodzd84OmnWA9Teje-N7UsiIyKO4GR8SPazo3Ov2HptX9NnTnrm7Jr_ZG8e-OV3bs8LaHO0MrF9-uHqNwf5h6KGh2XXTTEqp5qVcefJFaVqtkn1FkILS7T1HfJqqvmNtw==")</f>
        <v>https://recruiter.shine.com/resume/download/?resumeid=gAAAAABbk2UKGWfdJE7xE2JOjLwd2fMjPWodzd84OmnWA9Teje-N7UsiIyKO4GR8SPazo3Ov2HptX9NnTnrm7Jr_ZG8e-OV3bs8LaHO0MrF9-uHqNwf5h6KGh2XXTTEqp5qVcefJFaVqtkn1FkILS7T1HfJqqvmNtw==</v>
      </c>
    </row>
    <row r="1302" spans="1:25" ht="39.950000000000003" customHeight="1">
      <c r="A1302">
        <v>1298</v>
      </c>
      <c r="B1302" t="s">
        <v>11390</v>
      </c>
      <c r="C1302" t="s">
        <v>11391</v>
      </c>
      <c r="D1302" t="s">
        <v>11392</v>
      </c>
      <c r="E1302" t="s">
        <v>11393</v>
      </c>
      <c r="F1302" t="s">
        <v>29</v>
      </c>
      <c r="G1302" t="s">
        <v>11394</v>
      </c>
      <c r="H1302" t="s">
        <v>31</v>
      </c>
      <c r="I1302" t="s">
        <v>1072</v>
      </c>
      <c r="J1302" t="s">
        <v>408</v>
      </c>
      <c r="K1302" t="s">
        <v>11395</v>
      </c>
      <c r="L1302" t="s">
        <v>1674</v>
      </c>
      <c r="M1302" t="s">
        <v>1124</v>
      </c>
      <c r="N1302" t="s">
        <v>11396</v>
      </c>
      <c r="O1302" t="s">
        <v>475</v>
      </c>
      <c r="P1302" t="s">
        <v>57</v>
      </c>
      <c r="Q1302" t="s">
        <v>90</v>
      </c>
      <c r="R1302" t="s">
        <v>317</v>
      </c>
      <c r="S1302" t="s">
        <v>11397</v>
      </c>
      <c r="T1302" t="s">
        <v>257</v>
      </c>
      <c r="U1302" t="s">
        <v>127</v>
      </c>
      <c r="V1302" t="s">
        <v>11398</v>
      </c>
      <c r="W1302" t="s">
        <v>11399</v>
      </c>
      <c r="Y1302" t="str">
        <f>HYPERLINK("https://recruiter.shine.com/resume/download/?resumeid=gAAAAABbk2UMfTUdGGzztk2YWwVeUPLBBYcLnDc-KhVd5ykXPtaYSOyADWSsg4JmVHtW5jorRZ2lU_h6EdxfU2AyAQDN6mjRgHqpmYxIWPNxU59sQq2SbPNbuLTTfwQWxPq97ieg83ytQMAQwVi5JmQ9abwDPcSTBUhAR-eH32b0lWxWRyOGfm4=")</f>
        <v>https://recruiter.shine.com/resume/download/?resumeid=gAAAAABbk2UMfTUdGGzztk2YWwVeUPLBBYcLnDc-KhVd5ykXPtaYSOyADWSsg4JmVHtW5jorRZ2lU_h6EdxfU2AyAQDN6mjRgHqpmYxIWPNxU59sQq2SbPNbuLTTfwQWxPq97ieg83ytQMAQwVi5JmQ9abwDPcSTBUhAR-eH32b0lWxWRyOGfm4=</v>
      </c>
    </row>
    <row r="1303" spans="1:25" ht="39.950000000000003" customHeight="1">
      <c r="A1303">
        <v>1299</v>
      </c>
      <c r="B1303" t="s">
        <v>11400</v>
      </c>
      <c r="D1303" t="s">
        <v>11401</v>
      </c>
      <c r="E1303" t="s">
        <v>11402</v>
      </c>
      <c r="F1303" t="s">
        <v>29</v>
      </c>
      <c r="H1303" t="s">
        <v>31</v>
      </c>
      <c r="I1303" t="s">
        <v>1038</v>
      </c>
      <c r="J1303" t="s">
        <v>3265</v>
      </c>
      <c r="K1303" t="s">
        <v>11403</v>
      </c>
      <c r="L1303" t="s">
        <v>2534</v>
      </c>
      <c r="M1303" t="s">
        <v>222</v>
      </c>
      <c r="N1303" t="s">
        <v>11404</v>
      </c>
      <c r="O1303" t="s">
        <v>224</v>
      </c>
      <c r="Q1303" t="s">
        <v>123</v>
      </c>
      <c r="R1303" t="s">
        <v>124</v>
      </c>
      <c r="S1303" t="s">
        <v>188</v>
      </c>
      <c r="T1303" t="s">
        <v>687</v>
      </c>
      <c r="U1303" t="s">
        <v>127</v>
      </c>
      <c r="V1303" t="s">
        <v>11405</v>
      </c>
      <c r="W1303" t="s">
        <v>11406</v>
      </c>
      <c r="Y1303" t="str">
        <f>HYPERLINK("https://recruiter.shine.com/resume/download/?resumeid=gAAAAABbk2UOu8vt-jzdd-kJKgWRaO6kaT3wJN66xTEpZ3QiQJTmEiQjC2HJB6ApVCif7BiWrYMVn53xekpCG_oqXgIsZKqbKxUbjnYMsJVLr6woyOroIgJAV2sroSaheDgfaxHq_8wRGOObe67kcKWKFqYF-Is0IG9HaibzNq2OKaX0UDV5YSQ=")</f>
        <v>https://recruiter.shine.com/resume/download/?resumeid=gAAAAABbk2UOu8vt-jzdd-kJKgWRaO6kaT3wJN66xTEpZ3QiQJTmEiQjC2HJB6ApVCif7BiWrYMVn53xekpCG_oqXgIsZKqbKxUbjnYMsJVLr6woyOroIgJAV2sroSaheDgfaxHq_8wRGOObe67kcKWKFqYF-Is0IG9HaibzNq2OKaX0UDV5YSQ=</v>
      </c>
    </row>
    <row r="1304" spans="1:25" ht="39.950000000000003" customHeight="1">
      <c r="A1304">
        <v>1300</v>
      </c>
      <c r="B1304" t="s">
        <v>11407</v>
      </c>
      <c r="C1304" t="s">
        <v>11408</v>
      </c>
      <c r="D1304" t="s">
        <v>11409</v>
      </c>
      <c r="E1304" t="s">
        <v>11410</v>
      </c>
      <c r="F1304" t="s">
        <v>29</v>
      </c>
      <c r="G1304" t="s">
        <v>11411</v>
      </c>
      <c r="H1304" t="s">
        <v>31</v>
      </c>
      <c r="I1304" t="s">
        <v>2843</v>
      </c>
      <c r="J1304" t="s">
        <v>4580</v>
      </c>
      <c r="K1304" t="s">
        <v>8159</v>
      </c>
      <c r="L1304" t="s">
        <v>171</v>
      </c>
      <c r="M1304" t="s">
        <v>238</v>
      </c>
      <c r="N1304" t="s">
        <v>11412</v>
      </c>
      <c r="O1304" t="s">
        <v>56</v>
      </c>
      <c r="P1304" t="s">
        <v>57</v>
      </c>
      <c r="Q1304" t="s">
        <v>1880</v>
      </c>
      <c r="R1304" t="s">
        <v>91</v>
      </c>
      <c r="S1304" t="s">
        <v>11413</v>
      </c>
      <c r="T1304" t="s">
        <v>257</v>
      </c>
      <c r="U1304" t="s">
        <v>94</v>
      </c>
      <c r="V1304" t="s">
        <v>11414</v>
      </c>
      <c r="W1304" t="s">
        <v>11415</v>
      </c>
      <c r="Y1304" t="str">
        <f>HYPERLINK("https://recruiter.shine.com/resume/download/?resumeid=gAAAAABbk2UK-fJtsqIqXDiSLSax25UZGKq-Js35uodMOKyqVx-eW6tkg3XnyresMxqxccuSJZ8O3lWAouxurxokbnjVV3KQFU8LGGsD_ZuP0ZgxUGP49qT3UV6Og7CnkUkK7VBd2zx9Yivur25UokgSbgP8Sl67LeWWIGhkdNickb0wIusizGE=")</f>
        <v>https://recruiter.shine.com/resume/download/?resumeid=gAAAAABbk2UK-fJtsqIqXDiSLSax25UZGKq-Js35uodMOKyqVx-eW6tkg3XnyresMxqxccuSJZ8O3lWAouxurxokbnjVV3KQFU8LGGsD_ZuP0ZgxUGP49qT3UV6Og7CnkUkK7VBd2zx9Yivur25UokgSbgP8Sl67LeWWIGhkdNickb0wIusizGE=</v>
      </c>
    </row>
    <row r="1305" spans="1:25" ht="39.950000000000003" customHeight="1">
      <c r="A1305">
        <v>1301</v>
      </c>
      <c r="B1305" t="s">
        <v>11416</v>
      </c>
      <c r="C1305" t="s">
        <v>11417</v>
      </c>
      <c r="D1305" t="s">
        <v>11418</v>
      </c>
      <c r="E1305" t="s">
        <v>11419</v>
      </c>
      <c r="F1305" t="s">
        <v>29</v>
      </c>
      <c r="G1305" t="s">
        <v>11420</v>
      </c>
      <c r="H1305" t="s">
        <v>31</v>
      </c>
      <c r="I1305" t="s">
        <v>1685</v>
      </c>
      <c r="J1305" t="s">
        <v>1133</v>
      </c>
      <c r="K1305" t="s">
        <v>1910</v>
      </c>
      <c r="L1305" t="s">
        <v>184</v>
      </c>
      <c r="M1305" t="s">
        <v>238</v>
      </c>
      <c r="N1305" t="s">
        <v>11421</v>
      </c>
      <c r="O1305" t="s">
        <v>585</v>
      </c>
      <c r="P1305" t="s">
        <v>73</v>
      </c>
      <c r="Q1305" t="s">
        <v>4157</v>
      </c>
      <c r="R1305" t="s">
        <v>1255</v>
      </c>
      <c r="S1305" t="s">
        <v>11422</v>
      </c>
      <c r="T1305" t="s">
        <v>61</v>
      </c>
      <c r="U1305" t="s">
        <v>43</v>
      </c>
      <c r="V1305" t="s">
        <v>11423</v>
      </c>
      <c r="W1305" t="s">
        <v>11424</v>
      </c>
      <c r="Y1305" t="str">
        <f>HYPERLINK("https://recruiter.shine.com/resume/download/?resumeid=gAAAAABbk2UMJwL3j9Q4nfsxw5QAcGsIVFO_gbaDmukZPjsq06-aUQ2ya0dXTwPYyqbsMikkH3ZNDU70faNVpEGgBPztRqiA0wgGPs3QOXYo4n75Ilu72A9snOp1ERhBZhXI5CrZiBgvxHVFQ7VvaI6bmv5i9ZQuyz7rMKSf7kVjLDSmH3wDo5M=")</f>
        <v>https://recruiter.shine.com/resume/download/?resumeid=gAAAAABbk2UMJwL3j9Q4nfsxw5QAcGsIVFO_gbaDmukZPjsq06-aUQ2ya0dXTwPYyqbsMikkH3ZNDU70faNVpEGgBPztRqiA0wgGPs3QOXYo4n75Ilu72A9snOp1ERhBZhXI5CrZiBgvxHVFQ7VvaI6bmv5i9ZQuyz7rMKSf7kVjLDSmH3wDo5M=</v>
      </c>
    </row>
    <row r="1306" spans="1:25" ht="39.950000000000003" customHeight="1">
      <c r="A1306">
        <v>1302</v>
      </c>
      <c r="B1306" t="s">
        <v>11425</v>
      </c>
      <c r="D1306" t="s">
        <v>11426</v>
      </c>
      <c r="E1306" t="s">
        <v>11427</v>
      </c>
      <c r="F1306" t="s">
        <v>29</v>
      </c>
      <c r="H1306" t="s">
        <v>234</v>
      </c>
      <c r="I1306" t="s">
        <v>2946</v>
      </c>
      <c r="J1306" t="s">
        <v>51</v>
      </c>
      <c r="K1306" t="s">
        <v>11428</v>
      </c>
      <c r="L1306" t="s">
        <v>2423</v>
      </c>
      <c r="M1306" t="s">
        <v>36</v>
      </c>
      <c r="N1306" t="s">
        <v>11429</v>
      </c>
      <c r="O1306" t="s">
        <v>1041</v>
      </c>
      <c r="Q1306" t="s">
        <v>40</v>
      </c>
      <c r="R1306" t="s">
        <v>476</v>
      </c>
      <c r="S1306" t="s">
        <v>11430</v>
      </c>
      <c r="T1306" t="s">
        <v>399</v>
      </c>
      <c r="U1306" t="s">
        <v>127</v>
      </c>
      <c r="V1306" t="s">
        <v>11431</v>
      </c>
      <c r="W1306" t="s">
        <v>11432</v>
      </c>
      <c r="Y1306" t="str">
        <f>HYPERLINK("https://recruiter.shine.com/resume/download/?resumeid=gAAAAABbk2UOcaDac_h2OHf6YzoYZY6PGYLXbLg9fi0Tjfzs-CtExzIOgGVU_6Dyz4xjVaHoGleNGne_QHZBzdb6B_y1jNJdERfksK3F7qHQ2PxScXpCc25G2YNzhR03gxHK5fWjQQ36pjfN8R7kOuVNdVG0QvitHg==")</f>
        <v>https://recruiter.shine.com/resume/download/?resumeid=gAAAAABbk2UOcaDac_h2OHf6YzoYZY6PGYLXbLg9fi0Tjfzs-CtExzIOgGVU_6Dyz4xjVaHoGleNGne_QHZBzdb6B_y1jNJdERfksK3F7qHQ2PxScXpCc25G2YNzhR03gxHK5fWjQQ36pjfN8R7kOuVNdVG0QvitHg==</v>
      </c>
    </row>
    <row r="1307" spans="1:25" ht="39.950000000000003" customHeight="1">
      <c r="A1307">
        <v>1303</v>
      </c>
      <c r="B1307" t="s">
        <v>11433</v>
      </c>
      <c r="C1307" t="s">
        <v>11434</v>
      </c>
      <c r="D1307" t="s">
        <v>11435</v>
      </c>
      <c r="E1307" t="s">
        <v>11436</v>
      </c>
      <c r="F1307" t="s">
        <v>29</v>
      </c>
      <c r="G1307" t="s">
        <v>29</v>
      </c>
      <c r="H1307" t="s">
        <v>31</v>
      </c>
      <c r="I1307" t="s">
        <v>1721</v>
      </c>
      <c r="J1307" t="s">
        <v>801</v>
      </c>
      <c r="K1307" t="s">
        <v>11437</v>
      </c>
      <c r="L1307" t="s">
        <v>290</v>
      </c>
      <c r="M1307" t="s">
        <v>238</v>
      </c>
      <c r="N1307" t="s">
        <v>11438</v>
      </c>
      <c r="O1307" t="s">
        <v>56</v>
      </c>
      <c r="P1307" t="s">
        <v>73</v>
      </c>
      <c r="Q1307" t="s">
        <v>123</v>
      </c>
      <c r="R1307" t="s">
        <v>124</v>
      </c>
      <c r="S1307" t="s">
        <v>6716</v>
      </c>
      <c r="U1307" t="s">
        <v>43</v>
      </c>
      <c r="V1307" t="s">
        <v>11439</v>
      </c>
      <c r="W1307" t="s">
        <v>11440</v>
      </c>
      <c r="Y1307" t="str">
        <f>HYPERLINK("https://recruiter.shine.com/resume/download/?resumeid=gAAAAABbk2UKdfA1uwT6GGAzZWOJCRjjtbshoREUqHbmZTG4J8oYYr8dDijRz0zIi3rbuBlSz73XLmdKIXAqCqP85NZjaYIkcXfx7V43Hgg1F1pW_Uj1OlF0U-1pTUvEu6f3GH8hEjuzwegZKBX4aEi5jwkphLQEKo7qWIzSB-2xb4FYurCEKys=")</f>
        <v>https://recruiter.shine.com/resume/download/?resumeid=gAAAAABbk2UKdfA1uwT6GGAzZWOJCRjjtbshoREUqHbmZTG4J8oYYr8dDijRz0zIi3rbuBlSz73XLmdKIXAqCqP85NZjaYIkcXfx7V43Hgg1F1pW_Uj1OlF0U-1pTUvEu6f3GH8hEjuzwegZKBX4aEi5jwkphLQEKo7qWIzSB-2xb4FYurCEKys=</v>
      </c>
    </row>
    <row r="1308" spans="1:25" ht="39.950000000000003" customHeight="1">
      <c r="A1308">
        <v>1304</v>
      </c>
      <c r="B1308" t="s">
        <v>11441</v>
      </c>
      <c r="C1308" t="s">
        <v>4561</v>
      </c>
      <c r="D1308" t="s">
        <v>11442</v>
      </c>
      <c r="E1308" t="s">
        <v>11443</v>
      </c>
      <c r="F1308" t="s">
        <v>29</v>
      </c>
      <c r="G1308" t="s">
        <v>29</v>
      </c>
      <c r="H1308" t="s">
        <v>31</v>
      </c>
      <c r="I1308" t="s">
        <v>836</v>
      </c>
      <c r="J1308" t="s">
        <v>8954</v>
      </c>
      <c r="K1308" t="s">
        <v>11444</v>
      </c>
      <c r="L1308" t="s">
        <v>794</v>
      </c>
      <c r="M1308" t="s">
        <v>684</v>
      </c>
      <c r="N1308" t="s">
        <v>11445</v>
      </c>
      <c r="O1308" t="s">
        <v>38</v>
      </c>
      <c r="P1308" t="s">
        <v>57</v>
      </c>
      <c r="Q1308" t="s">
        <v>58</v>
      </c>
      <c r="R1308" t="s">
        <v>1881</v>
      </c>
      <c r="S1308" t="s">
        <v>11446</v>
      </c>
      <c r="U1308" t="s">
        <v>43</v>
      </c>
      <c r="V1308" t="s">
        <v>11447</v>
      </c>
      <c r="W1308" t="s">
        <v>11448</v>
      </c>
      <c r="Y1308" t="str">
        <f>HYPERLINK("https://recruiter.shine.com/resume/download/?resumeid=gAAAAABbk2UNusg-7ZDaz3t307uSxg357nhertKLwKU_KfKB5EGItu8dJQWWApmDxEhavyXM0UZ2fJIilCysN5_uW212bzcComaKA1lmCMGNm22zeaQ7SzKj_0_IqRwtkQAtlFoZF6cH")</f>
        <v>https://recruiter.shine.com/resume/download/?resumeid=gAAAAABbk2UNusg-7ZDaz3t307uSxg357nhertKLwKU_KfKB5EGItu8dJQWWApmDxEhavyXM0UZ2fJIilCysN5_uW212bzcComaKA1lmCMGNm22zeaQ7SzKj_0_IqRwtkQAtlFoZF6cH</v>
      </c>
    </row>
    <row r="1309" spans="1:25" ht="39.950000000000003" customHeight="1">
      <c r="A1309">
        <v>1305</v>
      </c>
      <c r="B1309" t="s">
        <v>11449</v>
      </c>
      <c r="D1309" t="s">
        <v>11450</v>
      </c>
      <c r="E1309" t="s">
        <v>11451</v>
      </c>
      <c r="F1309" t="s">
        <v>29</v>
      </c>
      <c r="G1309" t="s">
        <v>780</v>
      </c>
      <c r="H1309" t="s">
        <v>31</v>
      </c>
      <c r="I1309" t="s">
        <v>1774</v>
      </c>
      <c r="J1309" t="s">
        <v>506</v>
      </c>
      <c r="K1309" t="s">
        <v>726</v>
      </c>
      <c r="L1309" t="s">
        <v>120</v>
      </c>
      <c r="M1309" t="s">
        <v>238</v>
      </c>
      <c r="N1309" t="s">
        <v>11452</v>
      </c>
      <c r="O1309" t="s">
        <v>186</v>
      </c>
      <c r="P1309" t="s">
        <v>39</v>
      </c>
      <c r="Q1309" t="s">
        <v>90</v>
      </c>
      <c r="R1309" t="s">
        <v>292</v>
      </c>
      <c r="S1309" t="s">
        <v>951</v>
      </c>
      <c r="T1309" t="s">
        <v>625</v>
      </c>
      <c r="U1309" t="s">
        <v>43</v>
      </c>
      <c r="V1309" t="s">
        <v>11453</v>
      </c>
      <c r="W1309" t="s">
        <v>11453</v>
      </c>
      <c r="Y1309" t="str">
        <f>HYPERLINK("https://recruiter.shine.com/resume/download/?resumeid=gAAAAABbk2UOPwd9M8mWTwuNkttPo-FFXOh7SbJWD8W_F1DYr00MVIYGnO2eM2V3WRn5QM19v9U19JVnsvAzK73TlTTctrb9_GObX6BxHoohAniH8IoGDAuSTOVbqKacsfSExnLQKSlvK3RntfchxW-1XMwvL2FffVY7SwSgEPXAEd9XTbqtZsE=")</f>
        <v>https://recruiter.shine.com/resume/download/?resumeid=gAAAAABbk2UOPwd9M8mWTwuNkttPo-FFXOh7SbJWD8W_F1DYr00MVIYGnO2eM2V3WRn5QM19v9U19JVnsvAzK73TlTTctrb9_GObX6BxHoohAniH8IoGDAuSTOVbqKacsfSExnLQKSlvK3RntfchxW-1XMwvL2FffVY7SwSgEPXAEd9XTbqtZsE=</v>
      </c>
    </row>
    <row r="1310" spans="1:25" ht="39.950000000000003" customHeight="1">
      <c r="A1310">
        <v>1306</v>
      </c>
      <c r="B1310" t="s">
        <v>11454</v>
      </c>
      <c r="C1310" t="s">
        <v>11455</v>
      </c>
      <c r="D1310" t="s">
        <v>11456</v>
      </c>
      <c r="E1310" t="s">
        <v>11457</v>
      </c>
      <c r="F1310" t="s">
        <v>29</v>
      </c>
      <c r="G1310" t="s">
        <v>11458</v>
      </c>
      <c r="H1310" t="s">
        <v>31</v>
      </c>
      <c r="I1310" t="s">
        <v>32</v>
      </c>
      <c r="J1310" t="s">
        <v>169</v>
      </c>
      <c r="K1310" t="s">
        <v>11459</v>
      </c>
      <c r="L1310" t="s">
        <v>794</v>
      </c>
      <c r="M1310" t="s">
        <v>684</v>
      </c>
      <c r="N1310" t="s">
        <v>11460</v>
      </c>
      <c r="O1310" t="s">
        <v>585</v>
      </c>
      <c r="P1310" t="s">
        <v>268</v>
      </c>
      <c r="Q1310" t="s">
        <v>1957</v>
      </c>
      <c r="R1310" t="s">
        <v>1379</v>
      </c>
      <c r="S1310" t="s">
        <v>2229</v>
      </c>
      <c r="T1310" t="s">
        <v>1921</v>
      </c>
      <c r="U1310" t="s">
        <v>43</v>
      </c>
      <c r="V1310" t="s">
        <v>11461</v>
      </c>
      <c r="W1310" t="s">
        <v>11462</v>
      </c>
      <c r="Y1310" t="str">
        <f>HYPERLINK("https://recruiter.shine.com/resume/download/?resumeid=gAAAAABbk2ULLruBIwcgSws1y-Lw8NoBWUR8rab4ztGhVDBDoXVUnLby06B-SkM_BjYptnaQx1YMBoOs3bvNA3E-TBwQNGYz2EJuc9IS3dTYFsokJKYEZHbGeHcqaYHjSaMucR8ux5fcaR8GBlTM5PMok86JDD-4-P4LEoWk1DoMksbYZakd5YU=")</f>
        <v>https://recruiter.shine.com/resume/download/?resumeid=gAAAAABbk2ULLruBIwcgSws1y-Lw8NoBWUR8rab4ztGhVDBDoXVUnLby06B-SkM_BjYptnaQx1YMBoOs3bvNA3E-TBwQNGYz2EJuc9IS3dTYFsokJKYEZHbGeHcqaYHjSaMucR8ux5fcaR8GBlTM5PMok86JDD-4-P4LEoWk1DoMksbYZakd5YU=</v>
      </c>
    </row>
    <row r="1311" spans="1:25" ht="39.950000000000003" customHeight="1">
      <c r="A1311">
        <v>1307</v>
      </c>
      <c r="B1311" t="s">
        <v>11463</v>
      </c>
      <c r="C1311" t="s">
        <v>11464</v>
      </c>
      <c r="D1311" t="s">
        <v>11465</v>
      </c>
      <c r="E1311" t="s">
        <v>11466</v>
      </c>
      <c r="F1311" t="s">
        <v>29</v>
      </c>
      <c r="G1311" t="s">
        <v>5196</v>
      </c>
      <c r="H1311" t="s">
        <v>31</v>
      </c>
      <c r="I1311" t="s">
        <v>2738</v>
      </c>
      <c r="J1311" t="s">
        <v>792</v>
      </c>
      <c r="K1311" t="s">
        <v>11467</v>
      </c>
      <c r="L1311" t="s">
        <v>155</v>
      </c>
      <c r="M1311" t="s">
        <v>707</v>
      </c>
      <c r="N1311" t="s">
        <v>11468</v>
      </c>
      <c r="O1311" t="s">
        <v>585</v>
      </c>
      <c r="P1311" t="s">
        <v>73</v>
      </c>
      <c r="Q1311" t="s">
        <v>107</v>
      </c>
      <c r="R1311" t="s">
        <v>864</v>
      </c>
      <c r="S1311" t="s">
        <v>11469</v>
      </c>
      <c r="T1311" t="s">
        <v>161</v>
      </c>
      <c r="U1311" t="s">
        <v>43</v>
      </c>
      <c r="V1311" t="s">
        <v>11470</v>
      </c>
      <c r="W1311" t="s">
        <v>11471</v>
      </c>
      <c r="Y1311" t="str">
        <f>HYPERLINK("https://recruiter.shine.com/resume/download/?resumeid=gAAAAABbk2UMxPW-jpnoqilKGU-yogIH-2wmHg3wLVeM7xkUP5EV6-Nis1AHjq2FoLiIw-D_YbfyVHEp3O_Hg5IjVijZ9sp2TJ-dd4WCA78k9QK9EhxYk7wbxwCVBHzVdiA-Zkgfr-7MR1i38sA9s5h_QSegCdtUAN68zPUUzYpue1TpkpZYFBQ=")</f>
        <v>https://recruiter.shine.com/resume/download/?resumeid=gAAAAABbk2UMxPW-jpnoqilKGU-yogIH-2wmHg3wLVeM7xkUP5EV6-Nis1AHjq2FoLiIw-D_YbfyVHEp3O_Hg5IjVijZ9sp2TJ-dd4WCA78k9QK9EhxYk7wbxwCVBHzVdiA-Zkgfr-7MR1i38sA9s5h_QSegCdtUAN68zPUUzYpue1TpkpZYFBQ=</v>
      </c>
    </row>
    <row r="1312" spans="1:25" ht="39.950000000000003" customHeight="1">
      <c r="A1312">
        <v>1308</v>
      </c>
      <c r="B1312" t="s">
        <v>11472</v>
      </c>
      <c r="D1312" t="s">
        <v>11473</v>
      </c>
      <c r="E1312" t="s">
        <v>11474</v>
      </c>
      <c r="F1312" t="s">
        <v>29</v>
      </c>
      <c r="H1312" t="s">
        <v>234</v>
      </c>
      <c r="I1312" t="s">
        <v>134</v>
      </c>
      <c r="J1312" t="s">
        <v>51</v>
      </c>
      <c r="K1312" t="s">
        <v>2645</v>
      </c>
      <c r="L1312" t="s">
        <v>2249</v>
      </c>
      <c r="M1312" t="s">
        <v>172</v>
      </c>
      <c r="N1312" t="s">
        <v>11475</v>
      </c>
      <c r="O1312" t="s">
        <v>224</v>
      </c>
      <c r="Q1312" t="s">
        <v>40</v>
      </c>
      <c r="R1312" t="s">
        <v>1257</v>
      </c>
      <c r="S1312" t="s">
        <v>11476</v>
      </c>
      <c r="T1312" t="s">
        <v>687</v>
      </c>
      <c r="U1312" t="s">
        <v>127</v>
      </c>
      <c r="V1312" t="s">
        <v>11477</v>
      </c>
      <c r="W1312" t="s">
        <v>11478</v>
      </c>
      <c r="Y1312" t="str">
        <f>HYPERLINK("https://recruiter.shine.com/resume/download/?resumeid=gAAAAABbk2UNr3CDQIt-3GGUgI7MibHJZ2rm_SlSzwMtrITu7ztZmDgNrivVM0Aq8P9XHySOc5NyL3C9c7S9VnXrnzi0UE3xz8Aa93CKDzWj87hpphhq4zDkZzngRljrFpE41cyo9pEQ8iQpC_yWAd77X16U32_9xxgNbyz0mxBOQbdV81WJYpk=")</f>
        <v>https://recruiter.shine.com/resume/download/?resumeid=gAAAAABbk2UNr3CDQIt-3GGUgI7MibHJZ2rm_SlSzwMtrITu7ztZmDgNrivVM0Aq8P9XHySOc5NyL3C9c7S9VnXrnzi0UE3xz8Aa93CKDzWj87hpphhq4zDkZzngRljrFpE41cyo9pEQ8iQpC_yWAd77X16U32_9xxgNbyz0mxBOQbdV81WJYpk=</v>
      </c>
    </row>
    <row r="1313" spans="1:25" ht="39.950000000000003" customHeight="1">
      <c r="A1313">
        <v>1309</v>
      </c>
      <c r="B1313" t="s">
        <v>11479</v>
      </c>
      <c r="D1313" t="s">
        <v>11480</v>
      </c>
      <c r="E1313" t="s">
        <v>11481</v>
      </c>
      <c r="F1313" t="s">
        <v>29</v>
      </c>
      <c r="G1313" t="s">
        <v>67</v>
      </c>
      <c r="H1313" t="s">
        <v>31</v>
      </c>
      <c r="I1313" t="s">
        <v>1774</v>
      </c>
      <c r="J1313" t="s">
        <v>336</v>
      </c>
      <c r="K1313" t="s">
        <v>2607</v>
      </c>
      <c r="L1313" t="s">
        <v>184</v>
      </c>
      <c r="M1313" t="s">
        <v>884</v>
      </c>
      <c r="N1313" t="s">
        <v>11482</v>
      </c>
      <c r="O1313" t="s">
        <v>186</v>
      </c>
      <c r="Q1313" t="s">
        <v>123</v>
      </c>
      <c r="R1313" t="s">
        <v>124</v>
      </c>
      <c r="S1313" t="s">
        <v>11483</v>
      </c>
      <c r="T1313" t="s">
        <v>441</v>
      </c>
      <c r="U1313" t="s">
        <v>43</v>
      </c>
      <c r="V1313" t="s">
        <v>11484</v>
      </c>
      <c r="W1313" t="s">
        <v>11484</v>
      </c>
      <c r="Y1313" t="str">
        <f>HYPERLINK("https://recruiter.shine.com/resume/download/?resumeid=gAAAAABbk2UL9YWRVemNA3C5J7QFe5pSIdqB3G9CKlsiTXIF8tLk0z51t5dznNhVl8fZY3frmLH-P6EvbBj8y_h4vAkvzvuTnR3imrPld3jXxIIeVWExi__0oSAMzY2HYLGqLfN_x0H0mfod8Uk1euqURVEq5BFOJ8OlXSMgC8DRb4SEP_lCD6M=")</f>
        <v>https://recruiter.shine.com/resume/download/?resumeid=gAAAAABbk2UL9YWRVemNA3C5J7QFe5pSIdqB3G9CKlsiTXIF8tLk0z51t5dznNhVl8fZY3frmLH-P6EvbBj8y_h4vAkvzvuTnR3imrPld3jXxIIeVWExi__0oSAMzY2HYLGqLfN_x0H0mfod8Uk1euqURVEq5BFOJ8OlXSMgC8DRb4SEP_lCD6M=</v>
      </c>
    </row>
    <row r="1314" spans="1:25" ht="39.950000000000003" customHeight="1">
      <c r="A1314">
        <v>1310</v>
      </c>
      <c r="B1314" t="s">
        <v>11485</v>
      </c>
      <c r="D1314" t="s">
        <v>11486</v>
      </c>
      <c r="E1314" t="s">
        <v>11487</v>
      </c>
      <c r="F1314" t="s">
        <v>29</v>
      </c>
      <c r="G1314" t="s">
        <v>29</v>
      </c>
      <c r="H1314" t="s">
        <v>31</v>
      </c>
      <c r="I1314" t="s">
        <v>516</v>
      </c>
      <c r="J1314" t="s">
        <v>3071</v>
      </c>
      <c r="K1314" t="s">
        <v>3390</v>
      </c>
      <c r="L1314" t="s">
        <v>3391</v>
      </c>
      <c r="M1314" t="s">
        <v>36</v>
      </c>
      <c r="N1314" t="s">
        <v>11488</v>
      </c>
      <c r="O1314" t="s">
        <v>157</v>
      </c>
      <c r="Q1314" t="s">
        <v>74</v>
      </c>
      <c r="R1314" t="s">
        <v>3391</v>
      </c>
      <c r="S1314" t="s">
        <v>11489</v>
      </c>
      <c r="T1314" t="s">
        <v>61</v>
      </c>
      <c r="U1314" t="s">
        <v>43</v>
      </c>
      <c r="V1314" t="s">
        <v>11490</v>
      </c>
      <c r="W1314" t="s">
        <v>11491</v>
      </c>
      <c r="Y1314" t="str">
        <f>HYPERLINK("https://recruiter.shine.com/resume/download/?resumeid=gAAAAABbk2UMK_KvXIF2rT2Q02-FYHUO8AsZ-CqD0I_zMYdaF0ydpzYs8rsGtTeyFjv3b3MPFVV_EQE9DMIEQA3x4mcXmcPWUB00XpbthDGy0G3-WR-3tSuaUDmYSCq19lKQd0OhXt2j25oZ-B0YCemMY-y8SAG42g==")</f>
        <v>https://recruiter.shine.com/resume/download/?resumeid=gAAAAABbk2UMK_KvXIF2rT2Q02-FYHUO8AsZ-CqD0I_zMYdaF0ydpzYs8rsGtTeyFjv3b3MPFVV_EQE9DMIEQA3x4mcXmcPWUB00XpbthDGy0G3-WR-3tSuaUDmYSCq19lKQd0OhXt2j25oZ-B0YCemMY-y8SAG42g==</v>
      </c>
    </row>
    <row r="1315" spans="1:25" ht="39.950000000000003" customHeight="1">
      <c r="A1315">
        <v>1311</v>
      </c>
      <c r="B1315" t="s">
        <v>11492</v>
      </c>
      <c r="D1315" t="s">
        <v>11493</v>
      </c>
      <c r="E1315" t="s">
        <v>11494</v>
      </c>
      <c r="F1315" t="s">
        <v>29</v>
      </c>
      <c r="H1315" t="s">
        <v>31</v>
      </c>
      <c r="I1315" t="s">
        <v>362</v>
      </c>
      <c r="J1315" t="s">
        <v>135</v>
      </c>
      <c r="L1315" t="s">
        <v>363</v>
      </c>
      <c r="M1315" t="s">
        <v>364</v>
      </c>
      <c r="Q1315" t="s">
        <v>90</v>
      </c>
      <c r="R1315" t="s">
        <v>317</v>
      </c>
      <c r="S1315" t="s">
        <v>1217</v>
      </c>
      <c r="T1315" t="s">
        <v>257</v>
      </c>
      <c r="U1315" t="s">
        <v>127</v>
      </c>
      <c r="V1315" t="s">
        <v>11495</v>
      </c>
      <c r="W1315" t="s">
        <v>11496</v>
      </c>
      <c r="Y1315" t="str">
        <f>HYPERLINK("https://recruiter.shine.com/resume/download/?resumeid=gAAAAABbk2UOXhUauEDm-o0HWlT9VO4uw0A1ztbeVAWrAPVhuKAel9qdzBUP_jd-9ZTIjYFQQABAm6DkF-NRady5zbPCUgBMIDuL3--BfniESrq_p8ELSjf9taGb2u-9LEj6vJy07eFGLbBgeQGQor1jXgjleebV2w==")</f>
        <v>https://recruiter.shine.com/resume/download/?resumeid=gAAAAABbk2UOXhUauEDm-o0HWlT9VO4uw0A1ztbeVAWrAPVhuKAel9qdzBUP_jd-9ZTIjYFQQABAm6DkF-NRady5zbPCUgBMIDuL3--BfniESrq_p8ELSjf9taGb2u-9LEj6vJy07eFGLbBgeQGQor1jXgjleebV2w==</v>
      </c>
    </row>
    <row r="1316" spans="1:25" ht="39.950000000000003" customHeight="1">
      <c r="A1316">
        <v>1312</v>
      </c>
      <c r="B1316" t="s">
        <v>11497</v>
      </c>
      <c r="C1316" t="s">
        <v>11498</v>
      </c>
      <c r="D1316" t="s">
        <v>11499</v>
      </c>
      <c r="E1316" t="s">
        <v>11500</v>
      </c>
      <c r="F1316" t="s">
        <v>29</v>
      </c>
      <c r="G1316" t="s">
        <v>11501</v>
      </c>
      <c r="H1316" t="s">
        <v>31</v>
      </c>
      <c r="I1316" t="s">
        <v>2354</v>
      </c>
      <c r="J1316" t="s">
        <v>781</v>
      </c>
      <c r="K1316" t="s">
        <v>11502</v>
      </c>
      <c r="L1316" t="s">
        <v>120</v>
      </c>
      <c r="M1316" t="s">
        <v>238</v>
      </c>
      <c r="N1316" t="s">
        <v>11503</v>
      </c>
      <c r="O1316" t="s">
        <v>38</v>
      </c>
      <c r="P1316" t="s">
        <v>39</v>
      </c>
      <c r="Q1316" t="s">
        <v>90</v>
      </c>
      <c r="R1316" t="s">
        <v>292</v>
      </c>
      <c r="S1316" t="s">
        <v>11504</v>
      </c>
      <c r="T1316" t="s">
        <v>415</v>
      </c>
      <c r="U1316" t="s">
        <v>127</v>
      </c>
      <c r="V1316" t="s">
        <v>11505</v>
      </c>
      <c r="W1316" t="s">
        <v>11506</v>
      </c>
      <c r="Y1316" t="str">
        <f>HYPERLINK("https://recruiter.shine.com/resume/download/?resumeid=gAAAAABbk2ULvunpHt3qShD4Jy9fn1nV5pbGnmciTtvF5rWp9K1znnDhpZ9v0nb6VtJUEAibGkcqiFj7uS8na1r1tZXp3CZacvHvrRUIZIjOyCPAR-CbnedqQGGJUmUOZmeT1wAaM9n5G77q8Ox5EgqM_yhqPVZDdw==")</f>
        <v>https://recruiter.shine.com/resume/download/?resumeid=gAAAAABbk2ULvunpHt3qShD4Jy9fn1nV5pbGnmciTtvF5rWp9K1znnDhpZ9v0nb6VtJUEAibGkcqiFj7uS8na1r1tZXp3CZacvHvrRUIZIjOyCPAR-CbnedqQGGJUmUOZmeT1wAaM9n5G77q8Ox5EgqM_yhqPVZDdw==</v>
      </c>
    </row>
    <row r="1317" spans="1:25" ht="39.950000000000003" customHeight="1">
      <c r="A1317">
        <v>1313</v>
      </c>
      <c r="B1317" t="s">
        <v>11507</v>
      </c>
      <c r="C1317" t="s">
        <v>1822</v>
      </c>
      <c r="D1317" t="s">
        <v>11508</v>
      </c>
      <c r="E1317" t="s">
        <v>11509</v>
      </c>
      <c r="F1317" t="s">
        <v>858</v>
      </c>
      <c r="G1317" t="s">
        <v>4123</v>
      </c>
      <c r="H1317" t="s">
        <v>31</v>
      </c>
      <c r="I1317" t="s">
        <v>196</v>
      </c>
      <c r="J1317" t="s">
        <v>7430</v>
      </c>
      <c r="K1317" t="s">
        <v>8921</v>
      </c>
      <c r="L1317" t="s">
        <v>266</v>
      </c>
      <c r="M1317" t="s">
        <v>684</v>
      </c>
      <c r="N1317" t="s">
        <v>7556</v>
      </c>
      <c r="O1317" t="s">
        <v>585</v>
      </c>
      <c r="P1317" t="s">
        <v>57</v>
      </c>
      <c r="Q1317" t="s">
        <v>74</v>
      </c>
      <c r="R1317" t="s">
        <v>341</v>
      </c>
      <c r="S1317" t="s">
        <v>2847</v>
      </c>
      <c r="T1317" t="s">
        <v>441</v>
      </c>
      <c r="U1317" t="s">
        <v>43</v>
      </c>
      <c r="V1317" t="s">
        <v>11510</v>
      </c>
      <c r="W1317" t="s">
        <v>11511</v>
      </c>
      <c r="Y1317" t="str">
        <f>HYPERLINK("https://recruiter.shine.com/resume/download/?resumeid=gAAAAABbk2UNK6QmY3Jd6V0wD9w-2PDB0408k7KYSeJhqaA_Rsr3zsJaYHALzD_-Q8GkslT5PlZpgpreJOfSHwHnVyKLTxwbxJyWvaxrh_Jo4vCl2-KUU2r9OgEsU_yQpGwKvB8jK8XNpH547_1k7IkdJiXeYy_gcCsTFTyKw0Z8bYHehBhI9Fg=")</f>
        <v>https://recruiter.shine.com/resume/download/?resumeid=gAAAAABbk2UNK6QmY3Jd6V0wD9w-2PDB0408k7KYSeJhqaA_Rsr3zsJaYHALzD_-Q8GkslT5PlZpgpreJOfSHwHnVyKLTxwbxJyWvaxrh_Jo4vCl2-KUU2r9OgEsU_yQpGwKvB8jK8XNpH547_1k7IkdJiXeYy_gcCsTFTyKw0Z8bYHehBhI9Fg=</v>
      </c>
    </row>
    <row r="1318" spans="1:25" ht="39.950000000000003" customHeight="1">
      <c r="A1318">
        <v>1314</v>
      </c>
      <c r="B1318" t="s">
        <v>11512</v>
      </c>
      <c r="C1318" t="s">
        <v>11513</v>
      </c>
      <c r="D1318" t="s">
        <v>11514</v>
      </c>
      <c r="E1318" t="s">
        <v>11515</v>
      </c>
      <c r="F1318" t="s">
        <v>29</v>
      </c>
      <c r="G1318" t="s">
        <v>29</v>
      </c>
      <c r="H1318" t="s">
        <v>234</v>
      </c>
      <c r="I1318" t="s">
        <v>836</v>
      </c>
      <c r="J1318" t="s">
        <v>781</v>
      </c>
      <c r="K1318" t="s">
        <v>11516</v>
      </c>
      <c r="L1318" t="s">
        <v>582</v>
      </c>
      <c r="M1318" t="s">
        <v>11517</v>
      </c>
      <c r="N1318" t="s">
        <v>11518</v>
      </c>
      <c r="O1318" t="s">
        <v>572</v>
      </c>
      <c r="Q1318" t="s">
        <v>90</v>
      </c>
      <c r="R1318" t="s">
        <v>292</v>
      </c>
      <c r="S1318" t="s">
        <v>11519</v>
      </c>
      <c r="T1318" t="s">
        <v>227</v>
      </c>
      <c r="U1318" t="s">
        <v>43</v>
      </c>
      <c r="V1318" t="s">
        <v>11520</v>
      </c>
      <c r="W1318" t="s">
        <v>11521</v>
      </c>
      <c r="Y1318" t="str">
        <f>HYPERLINK("https://recruiter.shine.com/resume/download/?resumeid=gAAAAABbk2UOlsXfTk6CQ0i7yaM0MEFlJ2-y9kNPYG9y2QGVvuPH2gOidpYHXs1zw9NOgbx-9DBpLdfxEJsbAXSqs5t8poIq3J3XStI7a_TjfQWJR7wRiC-NxYTFpi5ltxgF9aHt0bBjLy6MwR4Q54B-6YiphHKRzkvkXdDC2VvOjiT9AEmpsdk=")</f>
        <v>https://recruiter.shine.com/resume/download/?resumeid=gAAAAABbk2UOlsXfTk6CQ0i7yaM0MEFlJ2-y9kNPYG9y2QGVvuPH2gOidpYHXs1zw9NOgbx-9DBpLdfxEJsbAXSqs5t8poIq3J3XStI7a_TjfQWJR7wRiC-NxYTFpi5ltxgF9aHt0bBjLy6MwR4Q54B-6YiphHKRzkvkXdDC2VvOjiT9AEmpsdk=</v>
      </c>
    </row>
    <row r="1319" spans="1:25" ht="39.950000000000003" customHeight="1">
      <c r="A1319">
        <v>1315</v>
      </c>
      <c r="B1319" t="s">
        <v>11522</v>
      </c>
      <c r="C1319" t="s">
        <v>11523</v>
      </c>
      <c r="D1319" t="s">
        <v>11524</v>
      </c>
      <c r="E1319" t="s">
        <v>11525</v>
      </c>
      <c r="F1319" t="s">
        <v>29</v>
      </c>
      <c r="G1319" t="s">
        <v>29</v>
      </c>
      <c r="H1319" t="s">
        <v>234</v>
      </c>
      <c r="I1319" t="s">
        <v>958</v>
      </c>
      <c r="J1319" t="s">
        <v>861</v>
      </c>
      <c r="K1319" t="s">
        <v>11526</v>
      </c>
      <c r="L1319" t="s">
        <v>199</v>
      </c>
      <c r="M1319" t="s">
        <v>54</v>
      </c>
      <c r="N1319" t="s">
        <v>11527</v>
      </c>
      <c r="O1319" t="s">
        <v>186</v>
      </c>
      <c r="P1319" t="s">
        <v>201</v>
      </c>
      <c r="Q1319" t="s">
        <v>107</v>
      </c>
      <c r="R1319" t="s">
        <v>546</v>
      </c>
      <c r="S1319" t="s">
        <v>11528</v>
      </c>
      <c r="T1319" t="s">
        <v>61</v>
      </c>
      <c r="U1319" t="s">
        <v>43</v>
      </c>
      <c r="V1319" t="s">
        <v>11529</v>
      </c>
      <c r="W1319" t="s">
        <v>11530</v>
      </c>
      <c r="Y1319" t="str">
        <f>HYPERLINK("https://recruiter.shine.com/resume/download/?resumeid=gAAAAABbk2UL_080ocbahcaU9KlNdaa3STWQG1r3gjUgaeQX6MdTQkf3EHNP5V9rOafpW_uZ5M4ZYIiWWInnZy7KiR9UJkncQH5WzYGjqiTxHE3qHJV5_ctrDhdmnzM1q4rKCy8rM6Dyce6m7RdqRE589BCMNMLeO9cWZeU9Ydh66AsS28Tyu2E=")</f>
        <v>https://recruiter.shine.com/resume/download/?resumeid=gAAAAABbk2UL_080ocbahcaU9KlNdaa3STWQG1r3gjUgaeQX6MdTQkf3EHNP5V9rOafpW_uZ5M4ZYIiWWInnZy7KiR9UJkncQH5WzYGjqiTxHE3qHJV5_ctrDhdmnzM1q4rKCy8rM6Dyce6m7RdqRE589BCMNMLeO9cWZeU9Ydh66AsS28Tyu2E=</v>
      </c>
    </row>
    <row r="1320" spans="1:25" ht="39.950000000000003" customHeight="1">
      <c r="A1320">
        <v>1316</v>
      </c>
      <c r="B1320" t="s">
        <v>11531</v>
      </c>
      <c r="C1320" t="s">
        <v>10721</v>
      </c>
      <c r="D1320" t="s">
        <v>11532</v>
      </c>
      <c r="E1320" t="s">
        <v>10723</v>
      </c>
      <c r="F1320" t="s">
        <v>249</v>
      </c>
      <c r="G1320" t="s">
        <v>249</v>
      </c>
      <c r="H1320" t="s">
        <v>31</v>
      </c>
      <c r="I1320" t="s">
        <v>362</v>
      </c>
      <c r="J1320" t="s">
        <v>135</v>
      </c>
      <c r="L1320" t="s">
        <v>363</v>
      </c>
      <c r="M1320" t="s">
        <v>364</v>
      </c>
      <c r="Q1320" t="s">
        <v>107</v>
      </c>
      <c r="R1320" t="s">
        <v>546</v>
      </c>
      <c r="S1320" t="s">
        <v>11533</v>
      </c>
      <c r="T1320" t="s">
        <v>257</v>
      </c>
      <c r="U1320" t="s">
        <v>43</v>
      </c>
      <c r="V1320" t="s">
        <v>11534</v>
      </c>
      <c r="W1320" t="s">
        <v>11535</v>
      </c>
      <c r="Y1320" t="str">
        <f>HYPERLINK("https://recruiter.shine.com/resume/download/?resumeid=gAAAAABbk2UM7pHhWIReOMPJID2tgnLEgvw7qFpzxF2CksGctpZ1SKa8tMKAMYK0hfcfF5MWviGlkb25IBpp7NXBULyLpsZ2ZxLbRMWfchF9weZNVwwLbHu9kLLZvD_gqj1_0esWELbnG-22GjWHFaMXjfYF9Thw-SIQHjFU-U_oBrdEeRo0M_I=")</f>
        <v>https://recruiter.shine.com/resume/download/?resumeid=gAAAAABbk2UM7pHhWIReOMPJID2tgnLEgvw7qFpzxF2CksGctpZ1SKa8tMKAMYK0hfcfF5MWviGlkb25IBpp7NXBULyLpsZ2ZxLbRMWfchF9weZNVwwLbHu9kLLZvD_gqj1_0esWELbnG-22GjWHFaMXjfYF9Thw-SIQHjFU-U_oBrdEeRo0M_I=</v>
      </c>
    </row>
    <row r="1321" spans="1:25" ht="39.950000000000003" customHeight="1">
      <c r="A1321">
        <v>1317</v>
      </c>
      <c r="B1321" t="s">
        <v>11536</v>
      </c>
      <c r="D1321" t="s">
        <v>11537</v>
      </c>
      <c r="E1321" t="s">
        <v>11538</v>
      </c>
      <c r="F1321" t="s">
        <v>249</v>
      </c>
      <c r="G1321" t="s">
        <v>858</v>
      </c>
      <c r="H1321" t="s">
        <v>234</v>
      </c>
      <c r="I1321" t="s">
        <v>362</v>
      </c>
      <c r="J1321" t="s">
        <v>135</v>
      </c>
      <c r="L1321" t="s">
        <v>363</v>
      </c>
      <c r="M1321" t="s">
        <v>364</v>
      </c>
      <c r="Q1321" t="s">
        <v>4871</v>
      </c>
      <c r="R1321" t="s">
        <v>546</v>
      </c>
      <c r="S1321" t="s">
        <v>11539</v>
      </c>
      <c r="T1321" t="s">
        <v>625</v>
      </c>
      <c r="U1321" t="s">
        <v>43</v>
      </c>
      <c r="V1321" t="s">
        <v>11540</v>
      </c>
      <c r="W1321" t="s">
        <v>11540</v>
      </c>
      <c r="Y1321" t="str">
        <f>HYPERLINK("https://recruiter.shine.com/resume/download/?resumeid=gAAAAABbk2UNRLNWXurPAAmzIxhuNtpnrOZhVL1e5yL0g9Hm_Wxtkjuk0q4RjYo7VRh8cmOtbsYoh7GNiCwANXIzVKX7UOFSNuB2Pk6G5IM1DOSygDxzNZ0dA5nTe6Dh6U7F13qXiBr1Ema3yb3xxQBH2G5FNp92LQd94Nc3Ku_L1Qc6sB4qxJ4=")</f>
        <v>https://recruiter.shine.com/resume/download/?resumeid=gAAAAABbk2UNRLNWXurPAAmzIxhuNtpnrOZhVL1e5yL0g9Hm_Wxtkjuk0q4RjYo7VRh8cmOtbsYoh7GNiCwANXIzVKX7UOFSNuB2Pk6G5IM1DOSygDxzNZ0dA5nTe6Dh6U7F13qXiBr1Ema3yb3xxQBH2G5FNp92LQd94Nc3Ku_L1Qc6sB4qxJ4=</v>
      </c>
    </row>
    <row r="1322" spans="1:25" ht="39.950000000000003" customHeight="1">
      <c r="A1322">
        <v>1318</v>
      </c>
      <c r="B1322" t="s">
        <v>11541</v>
      </c>
      <c r="C1322" t="s">
        <v>11542</v>
      </c>
      <c r="D1322" t="s">
        <v>11543</v>
      </c>
      <c r="E1322" t="s">
        <v>11544</v>
      </c>
      <c r="F1322" t="s">
        <v>29</v>
      </c>
      <c r="G1322" t="s">
        <v>29</v>
      </c>
      <c r="H1322" t="s">
        <v>31</v>
      </c>
      <c r="I1322" t="s">
        <v>3981</v>
      </c>
      <c r="J1322" t="s">
        <v>2264</v>
      </c>
      <c r="K1322" t="s">
        <v>11545</v>
      </c>
      <c r="L1322" t="s">
        <v>462</v>
      </c>
      <c r="M1322" t="s">
        <v>684</v>
      </c>
      <c r="N1322" t="s">
        <v>11546</v>
      </c>
      <c r="O1322" t="s">
        <v>38</v>
      </c>
      <c r="P1322" t="s">
        <v>39</v>
      </c>
      <c r="Q1322" t="s">
        <v>90</v>
      </c>
      <c r="R1322" t="s">
        <v>465</v>
      </c>
      <c r="S1322" t="s">
        <v>11547</v>
      </c>
      <c r="T1322" t="s">
        <v>429</v>
      </c>
      <c r="U1322" t="s">
        <v>127</v>
      </c>
      <c r="V1322" t="s">
        <v>11548</v>
      </c>
      <c r="W1322" t="s">
        <v>11549</v>
      </c>
      <c r="Y1322" t="str">
        <f>HYPERLINK("https://recruiter.shine.com/resume/download/?resumeid=gAAAAABbk2UKV9MoEaf4em8Gq-QwuwDnCvP7mzrqeT1QdD_eZS4A1Y3nsTPQE37PUl5_UbZ8EDv4xHd3hDSiD-k5k75xLx0AqZUBckWAXwg7y-kOgM46b3ym-KKDG2xs33ll1pVSTZWVinMYwA5ycOrVe1Aol-Xdex0NUA0EsnEm53_lR1mUK3E=")</f>
        <v>https://recruiter.shine.com/resume/download/?resumeid=gAAAAABbk2UKV9MoEaf4em8Gq-QwuwDnCvP7mzrqeT1QdD_eZS4A1Y3nsTPQE37PUl5_UbZ8EDv4xHd3hDSiD-k5k75xLx0AqZUBckWAXwg7y-kOgM46b3ym-KKDG2xs33ll1pVSTZWVinMYwA5ycOrVe1Aol-Xdex0NUA0EsnEm53_lR1mUK3E=</v>
      </c>
    </row>
    <row r="1323" spans="1:25" ht="39.950000000000003" customHeight="1">
      <c r="A1323">
        <v>1319</v>
      </c>
      <c r="B1323" t="s">
        <v>11550</v>
      </c>
      <c r="C1323" t="s">
        <v>6973</v>
      </c>
      <c r="D1323" t="s">
        <v>11551</v>
      </c>
      <c r="E1323" t="s">
        <v>11552</v>
      </c>
      <c r="F1323" t="s">
        <v>29</v>
      </c>
      <c r="G1323" t="s">
        <v>11553</v>
      </c>
      <c r="H1323" t="s">
        <v>31</v>
      </c>
      <c r="I1323" t="s">
        <v>134</v>
      </c>
      <c r="J1323" t="s">
        <v>2701</v>
      </c>
      <c r="K1323" t="s">
        <v>11554</v>
      </c>
      <c r="L1323" t="s">
        <v>3767</v>
      </c>
      <c r="M1323" t="s">
        <v>1335</v>
      </c>
      <c r="N1323" t="s">
        <v>11555</v>
      </c>
      <c r="O1323" t="s">
        <v>186</v>
      </c>
      <c r="P1323" t="s">
        <v>57</v>
      </c>
      <c r="Q1323" t="s">
        <v>90</v>
      </c>
      <c r="R1323" t="s">
        <v>427</v>
      </c>
      <c r="S1323" t="s">
        <v>11556</v>
      </c>
      <c r="T1323" t="s">
        <v>304</v>
      </c>
      <c r="U1323" t="s">
        <v>43</v>
      </c>
      <c r="V1323" t="s">
        <v>11557</v>
      </c>
      <c r="W1323" t="s">
        <v>11558</v>
      </c>
      <c r="Y1323" t="str">
        <f>HYPERLINK("https://recruiter.shine.com/resume/download/?resumeid=gAAAAABbk2UMHGV8VYpH9ZlwK8vpdgdobe0BGLUsVSB8B40L8J-0Lrs0lJWta7C-eOp79wvR3qR9NAk5JfYf1LlLns7GtiL-UYWZLT0OGTWoZTVW2mYFCCrYsAS3PAgbNeOfCaT7jd0R5U7Ur1mtROvzsDOYoD_ewQ==")</f>
        <v>https://recruiter.shine.com/resume/download/?resumeid=gAAAAABbk2UMHGV8VYpH9ZlwK8vpdgdobe0BGLUsVSB8B40L8J-0Lrs0lJWta7C-eOp79wvR3qR9NAk5JfYf1LlLns7GtiL-UYWZLT0OGTWoZTVW2mYFCCrYsAS3PAgbNeOfCaT7jd0R5U7Ur1mtROvzsDOYoD_ewQ==</v>
      </c>
    </row>
    <row r="1324" spans="1:25" ht="39.950000000000003" customHeight="1">
      <c r="A1324">
        <v>1320</v>
      </c>
      <c r="B1324" t="s">
        <v>11559</v>
      </c>
      <c r="D1324" t="s">
        <v>11560</v>
      </c>
      <c r="E1324" t="s">
        <v>11561</v>
      </c>
      <c r="F1324" t="s">
        <v>29</v>
      </c>
      <c r="G1324" t="s">
        <v>29</v>
      </c>
      <c r="H1324" t="s">
        <v>31</v>
      </c>
      <c r="I1324" t="s">
        <v>2354</v>
      </c>
      <c r="J1324" t="s">
        <v>102</v>
      </c>
      <c r="K1324" t="s">
        <v>11562</v>
      </c>
      <c r="L1324" t="s">
        <v>4940</v>
      </c>
      <c r="M1324" t="s">
        <v>315</v>
      </c>
      <c r="N1324" t="s">
        <v>11563</v>
      </c>
      <c r="O1324" t="s">
        <v>186</v>
      </c>
      <c r="Q1324" t="s">
        <v>40</v>
      </c>
      <c r="R1324" t="s">
        <v>4783</v>
      </c>
      <c r="S1324" t="s">
        <v>11564</v>
      </c>
      <c r="T1324" t="s">
        <v>887</v>
      </c>
      <c r="U1324" t="s">
        <v>127</v>
      </c>
      <c r="V1324" t="s">
        <v>11565</v>
      </c>
      <c r="W1324" t="s">
        <v>11566</v>
      </c>
      <c r="Y1324" t="str">
        <f>HYPERLINK("https://recruiter.shine.com/resume/download/?resumeid=gAAAAABbk2UO3Ss0Fuayia-SSrSYmpCndRA7GGvoh7rvrOJfSyxHPeEmYxygNJtLShNQDg83qBKn87DZLg15cS12grOv397ZN1emLAI1kHrDgd1m2ju1ieDqGTIcr0R1fZf8Om3XU2j3D9cocWPhRLqO1eEOD7tFr4BTi89YGiYBGa__d5Naz2s=")</f>
        <v>https://recruiter.shine.com/resume/download/?resumeid=gAAAAABbk2UO3Ss0Fuayia-SSrSYmpCndRA7GGvoh7rvrOJfSyxHPeEmYxygNJtLShNQDg83qBKn87DZLg15cS12grOv397ZN1emLAI1kHrDgd1m2ju1ieDqGTIcr0R1fZf8Om3XU2j3D9cocWPhRLqO1eEOD7tFr4BTi89YGiYBGa__d5Naz2s=</v>
      </c>
    </row>
    <row r="1325" spans="1:25" ht="39.950000000000003" customHeight="1">
      <c r="A1325">
        <v>1321</v>
      </c>
      <c r="B1325" t="s">
        <v>11567</v>
      </c>
      <c r="C1325" t="s">
        <v>11568</v>
      </c>
      <c r="D1325" t="s">
        <v>11569</v>
      </c>
      <c r="E1325" t="s">
        <v>11570</v>
      </c>
      <c r="F1325" t="s">
        <v>29</v>
      </c>
      <c r="G1325" t="s">
        <v>100</v>
      </c>
      <c r="H1325" t="s">
        <v>31</v>
      </c>
      <c r="I1325" t="s">
        <v>168</v>
      </c>
      <c r="J1325" t="s">
        <v>11571</v>
      </c>
      <c r="K1325" t="s">
        <v>11572</v>
      </c>
      <c r="L1325" t="s">
        <v>88</v>
      </c>
      <c r="M1325" t="s">
        <v>238</v>
      </c>
      <c r="N1325" t="s">
        <v>239</v>
      </c>
      <c r="O1325" t="s">
        <v>1041</v>
      </c>
      <c r="P1325" t="s">
        <v>73</v>
      </c>
      <c r="Q1325" t="s">
        <v>90</v>
      </c>
      <c r="R1325" t="s">
        <v>91</v>
      </c>
      <c r="S1325" t="s">
        <v>11573</v>
      </c>
      <c r="T1325" t="s">
        <v>93</v>
      </c>
      <c r="U1325" t="s">
        <v>43</v>
      </c>
      <c r="V1325" t="s">
        <v>11574</v>
      </c>
      <c r="W1325" t="s">
        <v>11575</v>
      </c>
      <c r="Y1325" t="str">
        <f>HYPERLINK("https://recruiter.shine.com/resume/download/?resumeid=gAAAAABbk2UKC2tpYGeHuHR_2PxHatSdWl0N9gwNEqKsLxW37teHcoVViBtqaJBK0TGTCsZhS2M61A_zSRtXkyEPiCVuQqmpR06xofzkoYFTUq1pmjewAgyf2Yngh64OScqkiFOVZjbHKET4ax6DSRYCDpWHluUt4xlnXJALSfsCvmBMyuMww30=")</f>
        <v>https://recruiter.shine.com/resume/download/?resumeid=gAAAAABbk2UKC2tpYGeHuHR_2PxHatSdWl0N9gwNEqKsLxW37teHcoVViBtqaJBK0TGTCsZhS2M61A_zSRtXkyEPiCVuQqmpR06xofzkoYFTUq1pmjewAgyf2Yngh64OScqkiFOVZjbHKET4ax6DSRYCDpWHluUt4xlnXJALSfsCvmBMyuMww30=</v>
      </c>
    </row>
    <row r="1326" spans="1:25" ht="39.950000000000003" customHeight="1">
      <c r="A1326">
        <v>1322</v>
      </c>
      <c r="B1326" t="s">
        <v>11576</v>
      </c>
      <c r="C1326" t="s">
        <v>11577</v>
      </c>
      <c r="D1326" t="s">
        <v>11578</v>
      </c>
      <c r="E1326" t="s">
        <v>11579</v>
      </c>
      <c r="F1326" t="s">
        <v>29</v>
      </c>
      <c r="G1326" t="s">
        <v>29</v>
      </c>
      <c r="H1326" t="s">
        <v>31</v>
      </c>
      <c r="I1326" t="s">
        <v>9130</v>
      </c>
      <c r="J1326" t="s">
        <v>312</v>
      </c>
      <c r="K1326" t="s">
        <v>11580</v>
      </c>
      <c r="L1326" t="s">
        <v>199</v>
      </c>
      <c r="M1326" t="s">
        <v>36</v>
      </c>
      <c r="N1326" t="s">
        <v>156</v>
      </c>
      <c r="O1326" t="s">
        <v>804</v>
      </c>
      <c r="P1326" t="s">
        <v>73</v>
      </c>
      <c r="Q1326" t="s">
        <v>158</v>
      </c>
      <c r="R1326" t="s">
        <v>341</v>
      </c>
      <c r="S1326" t="s">
        <v>11581</v>
      </c>
      <c r="T1326" t="s">
        <v>227</v>
      </c>
      <c r="U1326" t="s">
        <v>43</v>
      </c>
      <c r="V1326" t="s">
        <v>11582</v>
      </c>
      <c r="W1326" t="s">
        <v>11583</v>
      </c>
      <c r="Y1326" t="str">
        <f>HYPERLINK("https://recruiter.shine.com/resume/download/?resumeid=gAAAAABbk2UNcBbQwV9isfFyg06Buxf-ubl-GbJaxrhOlK8o63v0wje6Km7n_yDH9KaoWhPf4mb0zFyXJst8GzuJuEfWMLY7rW9c7HiD5t4-yDcPJKFheqjp5BMHk2Z_C3izJgj19GC3jMQoXzPwjQXWHZx1FVPBU3I13GFNTMciBFa-8CnGvlw=")</f>
        <v>https://recruiter.shine.com/resume/download/?resumeid=gAAAAABbk2UNcBbQwV9isfFyg06Buxf-ubl-GbJaxrhOlK8o63v0wje6Km7n_yDH9KaoWhPf4mb0zFyXJst8GzuJuEfWMLY7rW9c7HiD5t4-yDcPJKFheqjp5BMHk2Z_C3izJgj19GC3jMQoXzPwjQXWHZx1FVPBU3I13GFNTMciBFa-8CnGvlw=</v>
      </c>
    </row>
    <row r="1327" spans="1:25" ht="39.950000000000003" customHeight="1">
      <c r="A1327">
        <v>1323</v>
      </c>
      <c r="B1327" t="s">
        <v>11584</v>
      </c>
      <c r="D1327" t="s">
        <v>11585</v>
      </c>
      <c r="E1327" t="s">
        <v>11586</v>
      </c>
      <c r="F1327" t="s">
        <v>29</v>
      </c>
      <c r="G1327" t="s">
        <v>67</v>
      </c>
      <c r="H1327" t="s">
        <v>234</v>
      </c>
      <c r="I1327" t="s">
        <v>860</v>
      </c>
      <c r="J1327" t="s">
        <v>745</v>
      </c>
      <c r="K1327" t="s">
        <v>11587</v>
      </c>
      <c r="L1327" t="s">
        <v>462</v>
      </c>
      <c r="M1327" t="s">
        <v>1446</v>
      </c>
      <c r="N1327" t="s">
        <v>11588</v>
      </c>
      <c r="O1327" t="s">
        <v>157</v>
      </c>
      <c r="Q1327" t="s">
        <v>187</v>
      </c>
      <c r="R1327" t="s">
        <v>124</v>
      </c>
      <c r="S1327" t="s">
        <v>188</v>
      </c>
      <c r="T1327" t="s">
        <v>126</v>
      </c>
      <c r="U1327" t="s">
        <v>43</v>
      </c>
      <c r="V1327" t="s">
        <v>11589</v>
      </c>
      <c r="W1327" t="s">
        <v>11590</v>
      </c>
      <c r="Y1327" t="str">
        <f>HYPERLINK("https://recruiter.shine.com/resume/download/?resumeid=gAAAAABbk2UNVeCCwDJ4NhVTSYL8xbIO9FlcUKodnYJCgx-97aUYiRQInzz9jsgxYVu1sgtw_tzM2x_f_laKE92JQmPp8DaAEGBtyHl4CJ_eb7O3J5fkBAgrg9JZe98IeEnJO5stQjKRDsJ5nJ_aLWPeXEGn6pVooQ==")</f>
        <v>https://recruiter.shine.com/resume/download/?resumeid=gAAAAABbk2UNVeCCwDJ4NhVTSYL8xbIO9FlcUKodnYJCgx-97aUYiRQInzz9jsgxYVu1sgtw_tzM2x_f_laKE92JQmPp8DaAEGBtyHl4CJ_eb7O3J5fkBAgrg9JZe98IeEnJO5stQjKRDsJ5nJ_aLWPeXEGn6pVooQ==</v>
      </c>
    </row>
    <row r="1328" spans="1:25" ht="39.950000000000003" customHeight="1">
      <c r="A1328">
        <v>1324</v>
      </c>
      <c r="B1328" t="s">
        <v>11591</v>
      </c>
      <c r="C1328" t="s">
        <v>11592</v>
      </c>
      <c r="D1328" t="s">
        <v>11593</v>
      </c>
      <c r="E1328" t="s">
        <v>11594</v>
      </c>
      <c r="F1328" t="s">
        <v>29</v>
      </c>
      <c r="G1328" t="s">
        <v>2006</v>
      </c>
      <c r="H1328" t="s">
        <v>31</v>
      </c>
      <c r="I1328" t="s">
        <v>2729</v>
      </c>
      <c r="J1328" t="s">
        <v>2701</v>
      </c>
      <c r="K1328" t="s">
        <v>11595</v>
      </c>
      <c r="L1328" t="s">
        <v>519</v>
      </c>
      <c r="M1328" t="s">
        <v>222</v>
      </c>
      <c r="N1328" t="s">
        <v>11596</v>
      </c>
      <c r="O1328" t="s">
        <v>157</v>
      </c>
      <c r="P1328" t="s">
        <v>201</v>
      </c>
      <c r="Q1328" t="s">
        <v>90</v>
      </c>
      <c r="R1328" t="s">
        <v>317</v>
      </c>
      <c r="S1328" t="s">
        <v>11597</v>
      </c>
      <c r="T1328" t="s">
        <v>110</v>
      </c>
      <c r="U1328" t="s">
        <v>43</v>
      </c>
      <c r="V1328" t="s">
        <v>11598</v>
      </c>
      <c r="W1328" t="s">
        <v>11599</v>
      </c>
      <c r="Y1328" t="str">
        <f>HYPERLINK("https://recruiter.shine.com/resume/download/?resumeid=gAAAAABbk2UKPN20nxCZ7YIoQA8xvxDjHDOxPtD_iOP6gM9Nf3qmJnuLUrPYYCQSwdOV153PssuAq8JsFcBlPOHkSAoRBa1ahb4RSyjSHJSJdUjJFOyYajPaek744upqMKdA8037Qzs5A6bnzNo_vOtOaCi-thovzp_RkJJMRfoy4NdUICiWBbg=")</f>
        <v>https://recruiter.shine.com/resume/download/?resumeid=gAAAAABbk2UKPN20nxCZ7YIoQA8xvxDjHDOxPtD_iOP6gM9Nf3qmJnuLUrPYYCQSwdOV153PssuAq8JsFcBlPOHkSAoRBa1ahb4RSyjSHJSJdUjJFOyYajPaek744upqMKdA8037Qzs5A6bnzNo_vOtOaCi-thovzp_RkJJMRfoy4NdUICiWBbg=</v>
      </c>
    </row>
    <row r="1329" spans="1:25" ht="39.950000000000003" customHeight="1">
      <c r="A1329">
        <v>1325</v>
      </c>
      <c r="B1329" t="s">
        <v>11600</v>
      </c>
      <c r="D1329" t="s">
        <v>11601</v>
      </c>
      <c r="E1329" t="s">
        <v>11602</v>
      </c>
      <c r="F1329" t="s">
        <v>29</v>
      </c>
      <c r="G1329" t="s">
        <v>11603</v>
      </c>
      <c r="H1329" t="s">
        <v>234</v>
      </c>
      <c r="I1329" t="s">
        <v>1774</v>
      </c>
      <c r="J1329" t="s">
        <v>781</v>
      </c>
      <c r="K1329" t="s">
        <v>11604</v>
      </c>
      <c r="L1329" t="s">
        <v>596</v>
      </c>
      <c r="M1329" t="s">
        <v>1335</v>
      </c>
      <c r="N1329" t="s">
        <v>11605</v>
      </c>
      <c r="O1329" t="s">
        <v>186</v>
      </c>
      <c r="Q1329" t="s">
        <v>158</v>
      </c>
      <c r="R1329" t="s">
        <v>341</v>
      </c>
      <c r="S1329" t="s">
        <v>11606</v>
      </c>
      <c r="T1329" t="s">
        <v>144</v>
      </c>
      <c r="U1329" t="s">
        <v>127</v>
      </c>
      <c r="V1329" t="s">
        <v>11607</v>
      </c>
      <c r="W1329" t="s">
        <v>11607</v>
      </c>
      <c r="Y1329" t="str">
        <f>HYPERLINK("https://recruiter.shine.com/resume/download/?resumeid=gAAAAABbk2UMudyFnVYqfJe0QILNEDHIqH8k9mcpd1ZiDOe6JUSwaCaq2qK2Tac3aDn5TzBJ9dh0D2qRzFwlxf7P8pvZErat6JxGodfEpI-Xd2WIJMhtIKlXEBL5N-krb-Tn5I6650b8C_CHhpQZCGDSxrcJf8UW5g==")</f>
        <v>https://recruiter.shine.com/resume/download/?resumeid=gAAAAABbk2UMudyFnVYqfJe0QILNEDHIqH8k9mcpd1ZiDOe6JUSwaCaq2qK2Tac3aDn5TzBJ9dh0D2qRzFwlxf7P8pvZErat6JxGodfEpI-Xd2WIJMhtIKlXEBL5N-krb-Tn5I6650b8C_CHhpQZCGDSxrcJf8UW5g==</v>
      </c>
    </row>
    <row r="1330" spans="1:25" ht="39.950000000000003" customHeight="1">
      <c r="A1330">
        <v>1326</v>
      </c>
      <c r="B1330" t="s">
        <v>11608</v>
      </c>
      <c r="D1330" t="s">
        <v>11609</v>
      </c>
      <c r="E1330" t="s">
        <v>11610</v>
      </c>
      <c r="F1330" t="s">
        <v>29</v>
      </c>
      <c r="G1330" t="s">
        <v>67</v>
      </c>
      <c r="H1330" t="s">
        <v>31</v>
      </c>
      <c r="I1330" t="s">
        <v>1419</v>
      </c>
      <c r="J1330" t="s">
        <v>1742</v>
      </c>
      <c r="K1330" t="s">
        <v>11611</v>
      </c>
      <c r="L1330" t="s">
        <v>184</v>
      </c>
      <c r="M1330" t="s">
        <v>1356</v>
      </c>
      <c r="N1330" t="s">
        <v>11612</v>
      </c>
      <c r="O1330" t="s">
        <v>38</v>
      </c>
      <c r="Q1330" t="s">
        <v>365</v>
      </c>
      <c r="R1330" t="s">
        <v>2230</v>
      </c>
      <c r="S1330" t="s">
        <v>188</v>
      </c>
      <c r="T1330" t="s">
        <v>93</v>
      </c>
      <c r="U1330" t="s">
        <v>43</v>
      </c>
      <c r="V1330" t="s">
        <v>11613</v>
      </c>
      <c r="W1330" t="s">
        <v>11614</v>
      </c>
      <c r="Y1330" t="str">
        <f>HYPERLINK("https://recruiter.shine.com/resume/download/?resumeid=gAAAAABbk2UNQeTp6vBc7OcV-mIvWTiynEZLOWwsjlI8NvO_MAnsLdJuE6oBnF_HVmqiAoUXU855ISCLXvUhlOZVBqJocpFkVh1c1MYjBvZWXulX5qagSFQqQRsSYZccd9sZg2PPpneGnPmDAjeBw8xdQlt4pRT24w==")</f>
        <v>https://recruiter.shine.com/resume/download/?resumeid=gAAAAABbk2UNQeTp6vBc7OcV-mIvWTiynEZLOWwsjlI8NvO_MAnsLdJuE6oBnF_HVmqiAoUXU855ISCLXvUhlOZVBqJocpFkVh1c1MYjBvZWXulX5qagSFQqQRsSYZccd9sZg2PPpneGnPmDAjeBw8xdQlt4pRT24w==</v>
      </c>
    </row>
    <row r="1331" spans="1:25" ht="39.950000000000003" customHeight="1">
      <c r="A1331">
        <v>1327</v>
      </c>
      <c r="B1331" t="s">
        <v>11615</v>
      </c>
      <c r="C1331" t="s">
        <v>11616</v>
      </c>
      <c r="D1331" t="s">
        <v>11617</v>
      </c>
      <c r="E1331" t="s">
        <v>11618</v>
      </c>
      <c r="F1331" t="s">
        <v>29</v>
      </c>
      <c r="G1331" t="s">
        <v>29</v>
      </c>
      <c r="H1331" t="s">
        <v>31</v>
      </c>
      <c r="I1331" t="s">
        <v>11619</v>
      </c>
      <c r="J1331" t="s">
        <v>11620</v>
      </c>
      <c r="K1331" t="s">
        <v>11621</v>
      </c>
      <c r="L1331" t="s">
        <v>155</v>
      </c>
      <c r="M1331" t="s">
        <v>105</v>
      </c>
      <c r="N1331" t="s">
        <v>1062</v>
      </c>
      <c r="O1331" t="s">
        <v>157</v>
      </c>
      <c r="P1331" t="s">
        <v>73</v>
      </c>
      <c r="Q1331" t="s">
        <v>158</v>
      </c>
      <c r="R1331" t="s">
        <v>341</v>
      </c>
      <c r="S1331" t="s">
        <v>11622</v>
      </c>
      <c r="U1331" t="s">
        <v>43</v>
      </c>
      <c r="V1331" t="s">
        <v>11623</v>
      </c>
      <c r="W1331" t="s">
        <v>11624</v>
      </c>
      <c r="Y1331" t="str">
        <f>HYPERLINK("https://recruiter.shine.com/resume/download/?resumeid=gAAAAABbk2ULQLULEOnxAgHKdprAAI78ss9qmm11IzPup3--uxHqfHQqvW948yXqugSCwVT7SjnLp9r3zHetwkRe4cgSm1IIT13qDAz0ZqWkwuzC8GXeDB5BFboPxBhJz37e7jXYiBbx_GVEPE_4t0rCX_XOTzZvrPO3X5TyBfLEBfoByXqHJ7Y=")</f>
        <v>https://recruiter.shine.com/resume/download/?resumeid=gAAAAABbk2ULQLULEOnxAgHKdprAAI78ss9qmm11IzPup3--uxHqfHQqvW948yXqugSCwVT7SjnLp9r3zHetwkRe4cgSm1IIT13qDAz0ZqWkwuzC8GXeDB5BFboPxBhJz37e7jXYiBbx_GVEPE_4t0rCX_XOTzZvrPO3X5TyBfLEBfoByXqHJ7Y=</v>
      </c>
    </row>
    <row r="1332" spans="1:25" ht="39.950000000000003" customHeight="1">
      <c r="A1332">
        <v>1328</v>
      </c>
      <c r="B1332" t="s">
        <v>11625</v>
      </c>
      <c r="D1332" t="s">
        <v>11626</v>
      </c>
      <c r="E1332" t="s">
        <v>11627</v>
      </c>
      <c r="F1332" t="s">
        <v>29</v>
      </c>
      <c r="G1332" t="s">
        <v>29</v>
      </c>
      <c r="H1332" t="s">
        <v>234</v>
      </c>
      <c r="I1332" t="s">
        <v>8946</v>
      </c>
      <c r="J1332" t="s">
        <v>745</v>
      </c>
      <c r="K1332" t="s">
        <v>11628</v>
      </c>
      <c r="L1332" t="s">
        <v>4146</v>
      </c>
      <c r="M1332" t="s">
        <v>757</v>
      </c>
      <c r="N1332" t="s">
        <v>11629</v>
      </c>
      <c r="O1332" t="s">
        <v>475</v>
      </c>
      <c r="Q1332" t="s">
        <v>90</v>
      </c>
      <c r="R1332" t="s">
        <v>91</v>
      </c>
      <c r="S1332" t="s">
        <v>11630</v>
      </c>
      <c r="T1332" t="s">
        <v>687</v>
      </c>
      <c r="U1332" t="s">
        <v>43</v>
      </c>
      <c r="V1332" t="s">
        <v>11631</v>
      </c>
      <c r="W1332" t="s">
        <v>11632</v>
      </c>
      <c r="Y1332" t="str">
        <f>HYPERLINK("https://recruiter.shine.com/resume/download/?resumeid=gAAAAABbk2UMXJXAyQuchJyMB2gYDJeId6vVYb3cu04-5mET-FaG1wT1nWufrtF0ibwb6GocJqPExRyOKRUleHaB7yxeAyOAlysv7c3oOSi3-x5Z6FnvLlVX4hWyyitC7IwuC1CPzpzDl0KyqYrx1KhUXHc0rgrmY6Dt8HzeM3g8X8QVhHgQvjc=")</f>
        <v>https://recruiter.shine.com/resume/download/?resumeid=gAAAAABbk2UMXJXAyQuchJyMB2gYDJeId6vVYb3cu04-5mET-FaG1wT1nWufrtF0ibwb6GocJqPExRyOKRUleHaB7yxeAyOAlysv7c3oOSi3-x5Z6FnvLlVX4hWyyitC7IwuC1CPzpzDl0KyqYrx1KhUXHc0rgrmY6Dt8HzeM3g8X8QVhHgQvjc=</v>
      </c>
    </row>
    <row r="1333" spans="1:25" ht="39.950000000000003" customHeight="1">
      <c r="A1333">
        <v>1329</v>
      </c>
      <c r="B1333" t="s">
        <v>11633</v>
      </c>
      <c r="C1333" t="s">
        <v>11634</v>
      </c>
      <c r="D1333" t="s">
        <v>11635</v>
      </c>
      <c r="E1333" t="s">
        <v>11636</v>
      </c>
      <c r="F1333" t="s">
        <v>29</v>
      </c>
      <c r="G1333" t="s">
        <v>2784</v>
      </c>
      <c r="H1333" t="s">
        <v>31</v>
      </c>
      <c r="I1333" t="s">
        <v>362</v>
      </c>
      <c r="J1333" t="s">
        <v>135</v>
      </c>
      <c r="L1333" t="s">
        <v>363</v>
      </c>
      <c r="M1333" t="s">
        <v>364</v>
      </c>
      <c r="Q1333" t="s">
        <v>699</v>
      </c>
      <c r="R1333" t="s">
        <v>546</v>
      </c>
      <c r="S1333" t="s">
        <v>11637</v>
      </c>
      <c r="T1333" t="s">
        <v>625</v>
      </c>
      <c r="U1333" t="s">
        <v>127</v>
      </c>
      <c r="V1333" t="s">
        <v>11638</v>
      </c>
      <c r="W1333" t="s">
        <v>11639</v>
      </c>
      <c r="Y1333" t="str">
        <f>HYPERLINK("https://recruiter.shine.com/resume/download/?resumeid=gAAAAABbk2UN8h52nVuMdd-ujiovPcnm7LK34IYfnh0DVAQgCwVSqqLushlt262PQZJVAMtbUyvwejlVKDDhpy7E2cJ8JP_Mp9ZPdEPzDhslKNOabhaKaRDiBr4t3kYYL-IDY7-Pq1pyaA7cjaGZcymRV6yGyT_WJtqG_BzNJ0nTsMGBY2XOE6A=")</f>
        <v>https://recruiter.shine.com/resume/download/?resumeid=gAAAAABbk2UN8h52nVuMdd-ujiovPcnm7LK34IYfnh0DVAQgCwVSqqLushlt262PQZJVAMtbUyvwejlVKDDhpy7E2cJ8JP_Mp9ZPdEPzDhslKNOabhaKaRDiBr4t3kYYL-IDY7-Pq1pyaA7cjaGZcymRV6yGyT_WJtqG_BzNJ0nTsMGBY2XOE6A=</v>
      </c>
    </row>
    <row r="1334" spans="1:25" ht="39.950000000000003" customHeight="1">
      <c r="A1334">
        <v>1330</v>
      </c>
      <c r="B1334" t="s">
        <v>11640</v>
      </c>
      <c r="D1334" t="s">
        <v>11641</v>
      </c>
      <c r="E1334" t="s">
        <v>11642</v>
      </c>
      <c r="F1334" t="s">
        <v>29</v>
      </c>
      <c r="G1334" t="s">
        <v>67</v>
      </c>
      <c r="H1334" t="s">
        <v>234</v>
      </c>
      <c r="I1334" t="s">
        <v>196</v>
      </c>
      <c r="J1334" t="s">
        <v>11643</v>
      </c>
      <c r="K1334" t="s">
        <v>11644</v>
      </c>
      <c r="L1334" t="s">
        <v>3757</v>
      </c>
      <c r="M1334" t="s">
        <v>1446</v>
      </c>
      <c r="N1334" t="s">
        <v>11645</v>
      </c>
      <c r="O1334" t="s">
        <v>186</v>
      </c>
      <c r="Q1334" t="s">
        <v>365</v>
      </c>
      <c r="R1334" t="s">
        <v>476</v>
      </c>
      <c r="S1334" t="s">
        <v>11646</v>
      </c>
      <c r="U1334" t="s">
        <v>43</v>
      </c>
      <c r="V1334" t="s">
        <v>11647</v>
      </c>
      <c r="W1334" t="s">
        <v>11648</v>
      </c>
      <c r="Y1334" t="str">
        <f>HYPERLINK("https://recruiter.shine.com/resume/download/?resumeid=gAAAAABbk2UL-Gq_EMwJBAfZBlKgFy5_LD4FIXgdPqqsnc_HVzw2GQo_qQ5Aaj9NUe_xCMJxvTGfQ4JhAZVbx2gbqXO0DvcHQ73mEq0OXm9clJhmcln6EA1-eYD3RekJpF-AGzu3VFMfhe-6AfQLuhhNWwYpM8dp5g==")</f>
        <v>https://recruiter.shine.com/resume/download/?resumeid=gAAAAABbk2UL-Gq_EMwJBAfZBlKgFy5_LD4FIXgdPqqsnc_HVzw2GQo_qQ5Aaj9NUe_xCMJxvTGfQ4JhAZVbx2gbqXO0DvcHQ73mEq0OXm9clJhmcln6EA1-eYD3RekJpF-AGzu3VFMfhe-6AfQLuhhNWwYpM8dp5g==</v>
      </c>
    </row>
    <row r="1335" spans="1:25" ht="39.950000000000003" customHeight="1">
      <c r="A1335">
        <v>1331</v>
      </c>
      <c r="B1335" t="s">
        <v>11649</v>
      </c>
      <c r="C1335" t="s">
        <v>3058</v>
      </c>
      <c r="D1335" t="s">
        <v>11650</v>
      </c>
      <c r="E1335" t="s">
        <v>11651</v>
      </c>
      <c r="F1335" t="s">
        <v>29</v>
      </c>
      <c r="G1335" t="s">
        <v>29</v>
      </c>
      <c r="H1335" t="s">
        <v>31</v>
      </c>
      <c r="I1335" t="s">
        <v>6301</v>
      </c>
      <c r="J1335" t="s">
        <v>11652</v>
      </c>
      <c r="K1335" t="s">
        <v>11653</v>
      </c>
      <c r="L1335" t="s">
        <v>290</v>
      </c>
      <c r="M1335" t="s">
        <v>238</v>
      </c>
      <c r="N1335" t="s">
        <v>1987</v>
      </c>
      <c r="O1335" t="s">
        <v>186</v>
      </c>
      <c r="P1335" t="s">
        <v>73</v>
      </c>
      <c r="Q1335" t="s">
        <v>90</v>
      </c>
      <c r="R1335" t="s">
        <v>427</v>
      </c>
      <c r="S1335" t="s">
        <v>11654</v>
      </c>
      <c r="T1335" t="s">
        <v>161</v>
      </c>
      <c r="U1335" t="s">
        <v>43</v>
      </c>
      <c r="V1335" t="s">
        <v>11655</v>
      </c>
      <c r="W1335" t="s">
        <v>11656</v>
      </c>
      <c r="Y1335" t="str">
        <f>HYPERLINK("https://recruiter.shine.com/resume/download/?resumeid=gAAAAABbk2UMH2Cp1nrcMD0Q4bcrTywj9NZSnnMP32ZegZ3jd89h6K43qEY6oAWk20_Q7StJa7TPDyfBS8tmsmSWJ9k8MZ7jBuVb_JGzpPwQhQrW6YvQSTEbXTcOLlkAEKa_pJJmqfiA0M3vB24KOStKNosOuLEI7g==")</f>
        <v>https://recruiter.shine.com/resume/download/?resumeid=gAAAAABbk2UMH2Cp1nrcMD0Q4bcrTywj9NZSnnMP32ZegZ3jd89h6K43qEY6oAWk20_Q7StJa7TPDyfBS8tmsmSWJ9k8MZ7jBuVb_JGzpPwQhQrW6YvQSTEbXTcOLlkAEKa_pJJmqfiA0M3vB24KOStKNosOuLEI7g==</v>
      </c>
    </row>
    <row r="1336" spans="1:25" ht="39.950000000000003" customHeight="1">
      <c r="A1336">
        <v>1332</v>
      </c>
      <c r="B1336" t="s">
        <v>11657</v>
      </c>
      <c r="D1336" t="s">
        <v>11658</v>
      </c>
      <c r="E1336" t="s">
        <v>11659</v>
      </c>
      <c r="F1336" t="s">
        <v>858</v>
      </c>
      <c r="H1336" t="s">
        <v>234</v>
      </c>
      <c r="I1336" t="s">
        <v>362</v>
      </c>
      <c r="J1336" t="s">
        <v>135</v>
      </c>
      <c r="L1336" t="s">
        <v>363</v>
      </c>
      <c r="M1336" t="s">
        <v>364</v>
      </c>
      <c r="Q1336" t="s">
        <v>699</v>
      </c>
      <c r="R1336" t="s">
        <v>11660</v>
      </c>
      <c r="S1336" t="s">
        <v>11661</v>
      </c>
      <c r="T1336" t="s">
        <v>257</v>
      </c>
      <c r="U1336" t="s">
        <v>127</v>
      </c>
      <c r="V1336" t="s">
        <v>11662</v>
      </c>
      <c r="W1336" t="s">
        <v>4576</v>
      </c>
      <c r="Y1336" t="str">
        <f>HYPERLINK("https://recruiter.shine.com/resume/download/?resumeid=gAAAAABbk2UOAI3n6QIh7ym0-0Gg6Xp1mpMJmMi3wPnXgQm_NxUvEDsUzyOeL15w8evegt7qtKdG6ZMcp-PRgCb8R0WGXf5A2rlBURNZGfqjXKhaH-og1nvxyTNdcQLq7KxdOVc18YAWxvGPA2ZmM0kv9g5Z6exBsg==")</f>
        <v>https://recruiter.shine.com/resume/download/?resumeid=gAAAAABbk2UOAI3n6QIh7ym0-0Gg6Xp1mpMJmMi3wPnXgQm_NxUvEDsUzyOeL15w8evegt7qtKdG6ZMcp-PRgCb8R0WGXf5A2rlBURNZGfqjXKhaH-og1nvxyTNdcQLq7KxdOVc18YAWxvGPA2ZmM0kv9g5Z6exBsg==</v>
      </c>
    </row>
    <row r="1337" spans="1:25" ht="39.950000000000003" customHeight="1">
      <c r="A1337">
        <v>1333</v>
      </c>
      <c r="B1337" t="s">
        <v>11663</v>
      </c>
      <c r="C1337" t="s">
        <v>11664</v>
      </c>
      <c r="D1337" t="s">
        <v>11665</v>
      </c>
      <c r="E1337" t="s">
        <v>11666</v>
      </c>
      <c r="F1337" t="s">
        <v>29</v>
      </c>
      <c r="G1337" t="s">
        <v>2129</v>
      </c>
      <c r="H1337" t="s">
        <v>31</v>
      </c>
      <c r="I1337" t="s">
        <v>2354</v>
      </c>
      <c r="J1337" t="s">
        <v>935</v>
      </c>
      <c r="K1337" t="s">
        <v>11667</v>
      </c>
      <c r="L1337" t="s">
        <v>301</v>
      </c>
      <c r="M1337" t="s">
        <v>884</v>
      </c>
      <c r="N1337" t="s">
        <v>11668</v>
      </c>
      <c r="O1337" t="s">
        <v>186</v>
      </c>
      <c r="P1337" t="s">
        <v>73</v>
      </c>
      <c r="Q1337" t="s">
        <v>783</v>
      </c>
      <c r="R1337" t="s">
        <v>7856</v>
      </c>
      <c r="S1337" t="s">
        <v>188</v>
      </c>
      <c r="T1337" t="s">
        <v>144</v>
      </c>
      <c r="U1337" t="s">
        <v>43</v>
      </c>
      <c r="V1337" t="s">
        <v>11669</v>
      </c>
      <c r="W1337" t="s">
        <v>11669</v>
      </c>
      <c r="Y1337" t="str">
        <f>HYPERLINK("https://recruiter.shine.com/resume/download/?resumeid=gAAAAABbk2ULYQX824ts-AXe2BMDznJV9nmy6tVtMPvTf90HmHv4RTbAQLK3PjNTIH-wztuGYpjSgGJBD1wo6vKJrL4_jpBmqAiQRwXgrCcdtv7tLu4Rt4ooY3oaL-nefcwi7Ni5xwO1cLvjzhrWiVpl6acM_V96bPljKMa3372wzEcKCuWLXto=")</f>
        <v>https://recruiter.shine.com/resume/download/?resumeid=gAAAAABbk2ULYQX824ts-AXe2BMDznJV9nmy6tVtMPvTf90HmHv4RTbAQLK3PjNTIH-wztuGYpjSgGJBD1wo6vKJrL4_jpBmqAiQRwXgrCcdtv7tLu4Rt4ooY3oaL-nefcwi7Ni5xwO1cLvjzhrWiVpl6acM_V96bPljKMa3372wzEcKCuWLXto=</v>
      </c>
    </row>
    <row r="1338" spans="1:25" ht="39.950000000000003" customHeight="1">
      <c r="A1338">
        <v>1334</v>
      </c>
      <c r="B1338" t="s">
        <v>11670</v>
      </c>
      <c r="C1338" t="s">
        <v>11671</v>
      </c>
      <c r="D1338" t="s">
        <v>11672</v>
      </c>
      <c r="E1338" t="s">
        <v>11673</v>
      </c>
      <c r="F1338" t="s">
        <v>29</v>
      </c>
      <c r="G1338" t="s">
        <v>67</v>
      </c>
      <c r="H1338" t="s">
        <v>31</v>
      </c>
      <c r="I1338" t="s">
        <v>168</v>
      </c>
      <c r="J1338" t="s">
        <v>715</v>
      </c>
      <c r="K1338" t="s">
        <v>11674</v>
      </c>
      <c r="L1338" t="s">
        <v>35</v>
      </c>
      <c r="M1338" t="s">
        <v>1083</v>
      </c>
      <c r="N1338" t="s">
        <v>11675</v>
      </c>
      <c r="O1338" t="s">
        <v>56</v>
      </c>
      <c r="P1338" t="s">
        <v>57</v>
      </c>
      <c r="Q1338" t="s">
        <v>40</v>
      </c>
      <c r="R1338" t="s">
        <v>11676</v>
      </c>
      <c r="S1338" t="s">
        <v>1053</v>
      </c>
      <c r="T1338" t="s">
        <v>61</v>
      </c>
      <c r="U1338" t="s">
        <v>127</v>
      </c>
      <c r="V1338" t="s">
        <v>11677</v>
      </c>
      <c r="W1338" t="s">
        <v>11677</v>
      </c>
      <c r="Y1338" t="str">
        <f>HYPERLINK("https://recruiter.shine.com/resume/download/?resumeid=gAAAAABbk2UMJd_pw-Rgc3mG9xIct3xqR6EqmnAVt-kanM-nJdDVNJ1Yb_9CyZKaG3NrAB6LQHMBoWmwW6yA6bWRnXLfri93NgP8VsPUELm9QtD6Yfo-k-zu9dg4z5fPIHeicKmmwVyHP3N8I7Sckc-yvrTVMabids0KvHi-8SzX0DjPkqKvjHU=")</f>
        <v>https://recruiter.shine.com/resume/download/?resumeid=gAAAAABbk2UMJd_pw-Rgc3mG9xIct3xqR6EqmnAVt-kanM-nJdDVNJ1Yb_9CyZKaG3NrAB6LQHMBoWmwW6yA6bWRnXLfri93NgP8VsPUELm9QtD6Yfo-k-zu9dg4z5fPIHeicKmmwVyHP3N8I7Sckc-yvrTVMabids0KvHi-8SzX0DjPkqKvjHU=</v>
      </c>
    </row>
    <row r="1339" spans="1:25" ht="39.950000000000003" customHeight="1">
      <c r="A1339">
        <v>1335</v>
      </c>
      <c r="B1339" t="s">
        <v>11678</v>
      </c>
      <c r="C1339" t="s">
        <v>11679</v>
      </c>
      <c r="D1339" t="s">
        <v>11680</v>
      </c>
      <c r="E1339" t="s">
        <v>11681</v>
      </c>
      <c r="F1339" t="s">
        <v>29</v>
      </c>
      <c r="G1339" t="s">
        <v>67</v>
      </c>
      <c r="H1339" t="s">
        <v>234</v>
      </c>
      <c r="I1339" t="s">
        <v>325</v>
      </c>
      <c r="J1339" t="s">
        <v>11682</v>
      </c>
      <c r="K1339" t="s">
        <v>11683</v>
      </c>
      <c r="L1339" t="s">
        <v>1487</v>
      </c>
      <c r="M1339" t="s">
        <v>121</v>
      </c>
      <c r="N1339" t="s">
        <v>11684</v>
      </c>
      <c r="O1339" t="s">
        <v>186</v>
      </c>
      <c r="P1339" t="s">
        <v>940</v>
      </c>
      <c r="Q1339" t="s">
        <v>90</v>
      </c>
      <c r="R1339" t="s">
        <v>91</v>
      </c>
      <c r="S1339" t="s">
        <v>11685</v>
      </c>
      <c r="T1339" t="s">
        <v>257</v>
      </c>
      <c r="U1339" t="s">
        <v>43</v>
      </c>
      <c r="V1339" t="s">
        <v>11686</v>
      </c>
      <c r="W1339" t="s">
        <v>11687</v>
      </c>
      <c r="Y1339" t="str">
        <f>HYPERLINK("https://recruiter.shine.com/resume/download/?resumeid=gAAAAABbk2UOjD2ugo4i8Y1D4P-yiyQmtypDz_WL7dg0D3p5FZEM0_4AbpsGIYETybPWF7z8D8V2US0VsIK4jTLtN4KaIujQHQKMlti-nFUv7NEKrB8pw2iQr1iQ0bR3Thw7Xdcvmq3qEjd4z6ufLuTtSvct5LJW5WVMXtxjSYnMvw-CdCg_ey8=")</f>
        <v>https://recruiter.shine.com/resume/download/?resumeid=gAAAAABbk2UOjD2ugo4i8Y1D4P-yiyQmtypDz_WL7dg0D3p5FZEM0_4AbpsGIYETybPWF7z8D8V2US0VsIK4jTLtN4KaIujQHQKMlti-nFUv7NEKrB8pw2iQr1iQ0bR3Thw7Xdcvmq3qEjd4z6ufLuTtSvct5LJW5WVMXtxjSYnMvw-CdCg_ey8=</v>
      </c>
    </row>
    <row r="1340" spans="1:25" ht="39.950000000000003" customHeight="1">
      <c r="A1340">
        <v>1336</v>
      </c>
      <c r="B1340" t="s">
        <v>11688</v>
      </c>
      <c r="C1340" t="s">
        <v>11689</v>
      </c>
      <c r="D1340" t="s">
        <v>11690</v>
      </c>
      <c r="E1340" t="s">
        <v>11691</v>
      </c>
      <c r="F1340" t="s">
        <v>29</v>
      </c>
      <c r="G1340" t="s">
        <v>11692</v>
      </c>
      <c r="H1340" t="s">
        <v>31</v>
      </c>
      <c r="I1340" t="s">
        <v>4677</v>
      </c>
      <c r="J1340" t="s">
        <v>312</v>
      </c>
      <c r="K1340" t="s">
        <v>11693</v>
      </c>
      <c r="L1340" t="s">
        <v>184</v>
      </c>
      <c r="M1340" t="s">
        <v>238</v>
      </c>
      <c r="N1340" t="s">
        <v>11694</v>
      </c>
      <c r="O1340" t="s">
        <v>38</v>
      </c>
      <c r="P1340" t="s">
        <v>73</v>
      </c>
      <c r="Q1340" t="s">
        <v>90</v>
      </c>
      <c r="R1340" t="s">
        <v>292</v>
      </c>
      <c r="S1340" t="s">
        <v>11695</v>
      </c>
      <c r="T1340" t="s">
        <v>110</v>
      </c>
      <c r="U1340" t="s">
        <v>43</v>
      </c>
      <c r="V1340" t="s">
        <v>11696</v>
      </c>
      <c r="W1340" t="s">
        <v>11696</v>
      </c>
      <c r="Y1340" t="str">
        <f>HYPERLINK("https://recruiter.shine.com/resume/download/?resumeid=gAAAAABbk2ULh6giFKIh9ZAZBXk09IN48HdMsYp6tOuC1CbFC7vanhbvCs4Kfg-YjV7R7cShPWft7ysH4Ytv8XdQYg4YtDJOHSAdON98alptBwfgw7YewqVFh0Q4c9Sq5vl_8CC3PV1dwwixIrXkVI2EDScD3FwxYQ==")</f>
        <v>https://recruiter.shine.com/resume/download/?resumeid=gAAAAABbk2ULh6giFKIh9ZAZBXk09IN48HdMsYp6tOuC1CbFC7vanhbvCs4Kfg-YjV7R7cShPWft7ysH4Ytv8XdQYg4YtDJOHSAdON98alptBwfgw7YewqVFh0Q4c9Sq5vl_8CC3PV1dwwixIrXkVI2EDScD3FwxYQ==</v>
      </c>
    </row>
    <row r="1341" spans="1:25" ht="39.950000000000003" customHeight="1">
      <c r="A1341">
        <v>1337</v>
      </c>
      <c r="B1341" t="s">
        <v>11697</v>
      </c>
      <c r="C1341" t="s">
        <v>9239</v>
      </c>
      <c r="D1341" t="s">
        <v>11698</v>
      </c>
      <c r="E1341" t="s">
        <v>11699</v>
      </c>
      <c r="F1341" t="s">
        <v>29</v>
      </c>
      <c r="G1341" t="s">
        <v>67</v>
      </c>
      <c r="H1341" t="s">
        <v>234</v>
      </c>
      <c r="I1341" t="s">
        <v>1419</v>
      </c>
      <c r="J1341" t="s">
        <v>715</v>
      </c>
      <c r="K1341" t="s">
        <v>11700</v>
      </c>
      <c r="L1341" t="s">
        <v>120</v>
      </c>
      <c r="M1341" t="s">
        <v>938</v>
      </c>
      <c r="N1341" t="s">
        <v>11701</v>
      </c>
      <c r="O1341" t="s">
        <v>56</v>
      </c>
      <c r="P1341" t="s">
        <v>140</v>
      </c>
      <c r="Q1341" t="s">
        <v>90</v>
      </c>
      <c r="R1341" t="s">
        <v>1676</v>
      </c>
      <c r="S1341" t="s">
        <v>11702</v>
      </c>
      <c r="T1341" t="s">
        <v>429</v>
      </c>
      <c r="U1341" t="s">
        <v>94</v>
      </c>
      <c r="V1341" t="s">
        <v>11703</v>
      </c>
      <c r="W1341" t="s">
        <v>11703</v>
      </c>
      <c r="Y1341" t="str">
        <f>HYPERLINK("https://recruiter.shine.com/resume/download/?resumeid=gAAAAABbk2UNYN9FeXwAKuROUPB8HFbjVEk_7S9C-EQY35IAwc42CEHB8E6LFqIzN_ICC_Px9w1TJpNPrzwLh4v9Y2-DXHwz1p2Ifh9TO3G1bTglU3MeaNK4PvqNiCgFF8wPlCseFmh85IX9U_gm46kpwFXjVUPH1QXDEfh_IaHOYx2fwgE4uVE=")</f>
        <v>https://recruiter.shine.com/resume/download/?resumeid=gAAAAABbk2UNYN9FeXwAKuROUPB8HFbjVEk_7S9C-EQY35IAwc42CEHB8E6LFqIzN_ICC_Px9w1TJpNPrzwLh4v9Y2-DXHwz1p2Ifh9TO3G1bTglU3MeaNK4PvqNiCgFF8wPlCseFmh85IX9U_gm46kpwFXjVUPH1QXDEfh_IaHOYx2fwgE4uVE=</v>
      </c>
    </row>
    <row r="1342" spans="1:25" ht="39.950000000000003" customHeight="1">
      <c r="A1342">
        <v>1338</v>
      </c>
      <c r="B1342" t="s">
        <v>11704</v>
      </c>
      <c r="D1342" t="s">
        <v>11705</v>
      </c>
      <c r="E1342" t="s">
        <v>11706</v>
      </c>
      <c r="F1342" t="s">
        <v>29</v>
      </c>
      <c r="H1342" t="s">
        <v>31</v>
      </c>
      <c r="I1342" t="s">
        <v>362</v>
      </c>
      <c r="J1342" t="s">
        <v>135</v>
      </c>
      <c r="L1342" t="s">
        <v>363</v>
      </c>
      <c r="M1342" t="s">
        <v>364</v>
      </c>
      <c r="V1342" t="s">
        <v>11707</v>
      </c>
      <c r="W1342" t="s">
        <v>11708</v>
      </c>
      <c r="Y1342" t="str">
        <f>HYPERLINK("https://recruiter.shine.com/resume/download/?resumeid=gAAAAABbk2UNi5UL2jftfqtsv64wbMf0JP7MJ2fLTz3uupDc2y9H3K2-rRUbw8mHZJLzSWf-eSAOjgbTJWfZiBiXK093n9XIui_LuEo-iJP7aDaA2t02kpyjFExCg0crP983_6P3_iTAhz7q53RJ5BnwYqjFi85pTHmlJZ7rfMs8FI-RSxStAcU=")</f>
        <v>https://recruiter.shine.com/resume/download/?resumeid=gAAAAABbk2UNi5UL2jftfqtsv64wbMf0JP7MJ2fLTz3uupDc2y9H3K2-rRUbw8mHZJLzSWf-eSAOjgbTJWfZiBiXK093n9XIui_LuEo-iJP7aDaA2t02kpyjFExCg0crP983_6P3_iTAhz7q53RJ5BnwYqjFi85pTHmlJZ7rfMs8FI-RSxStAcU=</v>
      </c>
    </row>
    <row r="1343" spans="1:25" ht="39.950000000000003" customHeight="1">
      <c r="A1343">
        <v>1339</v>
      </c>
      <c r="B1343" t="s">
        <v>11709</v>
      </c>
      <c r="C1343" t="s">
        <v>11710</v>
      </c>
      <c r="D1343" t="s">
        <v>11711</v>
      </c>
      <c r="E1343" t="s">
        <v>11712</v>
      </c>
      <c r="F1343" t="s">
        <v>29</v>
      </c>
      <c r="G1343" t="s">
        <v>11713</v>
      </c>
      <c r="H1343" t="s">
        <v>31</v>
      </c>
      <c r="I1343" t="s">
        <v>134</v>
      </c>
      <c r="J1343" t="s">
        <v>871</v>
      </c>
      <c r="K1343" t="s">
        <v>11714</v>
      </c>
      <c r="L1343" t="s">
        <v>425</v>
      </c>
      <c r="M1343" t="s">
        <v>238</v>
      </c>
      <c r="N1343" t="s">
        <v>11715</v>
      </c>
      <c r="O1343" t="s">
        <v>186</v>
      </c>
      <c r="P1343" t="s">
        <v>140</v>
      </c>
      <c r="Q1343" t="s">
        <v>90</v>
      </c>
      <c r="R1343" t="s">
        <v>292</v>
      </c>
      <c r="S1343" t="s">
        <v>11716</v>
      </c>
      <c r="T1343" t="s">
        <v>415</v>
      </c>
      <c r="U1343" t="s">
        <v>43</v>
      </c>
      <c r="V1343" t="s">
        <v>11717</v>
      </c>
      <c r="W1343" t="s">
        <v>11718</v>
      </c>
      <c r="Y1343" t="str">
        <f>HYPERLINK("https://recruiter.shine.com/resume/download/?resumeid=gAAAAABbk2UKkaWrGrOaTlsU-djTJEkXYEF6zCTFpRBWNnLoYP6xB8Kahnh4zFNuucuEc0-RzrCwn4E6kIN145Oygzg_5tKIEws3FOsIDSGSj7E2YjREKKYmzFTeVITeDpNz-ZfXQ2g03MUPEey9rdCRy09Ndw8j9A==")</f>
        <v>https://recruiter.shine.com/resume/download/?resumeid=gAAAAABbk2UKkaWrGrOaTlsU-djTJEkXYEF6zCTFpRBWNnLoYP6xB8Kahnh4zFNuucuEc0-RzrCwn4E6kIN145Oygzg_5tKIEws3FOsIDSGSj7E2YjREKKYmzFTeVITeDpNz-ZfXQ2g03MUPEey9rdCRy09Ndw8j9A==</v>
      </c>
    </row>
    <row r="1344" spans="1:25" ht="39.950000000000003" customHeight="1">
      <c r="A1344">
        <v>1340</v>
      </c>
      <c r="B1344" t="s">
        <v>11719</v>
      </c>
      <c r="C1344" t="s">
        <v>11720</v>
      </c>
      <c r="D1344" t="s">
        <v>11721</v>
      </c>
      <c r="E1344" t="s">
        <v>11722</v>
      </c>
      <c r="F1344" t="s">
        <v>29</v>
      </c>
      <c r="G1344" t="s">
        <v>29</v>
      </c>
      <c r="H1344" t="s">
        <v>31</v>
      </c>
      <c r="I1344" t="s">
        <v>1542</v>
      </c>
      <c r="J1344" t="s">
        <v>6039</v>
      </c>
      <c r="K1344" t="s">
        <v>1454</v>
      </c>
      <c r="L1344" t="s">
        <v>794</v>
      </c>
      <c r="M1344" t="s">
        <v>684</v>
      </c>
      <c r="N1344" t="s">
        <v>11723</v>
      </c>
      <c r="O1344" t="s">
        <v>56</v>
      </c>
      <c r="P1344" t="s">
        <v>140</v>
      </c>
      <c r="Q1344" t="s">
        <v>158</v>
      </c>
      <c r="R1344" t="s">
        <v>108</v>
      </c>
      <c r="S1344" t="s">
        <v>11724</v>
      </c>
      <c r="T1344" t="s">
        <v>399</v>
      </c>
      <c r="U1344" t="s">
        <v>127</v>
      </c>
      <c r="V1344" t="s">
        <v>11725</v>
      </c>
      <c r="W1344" t="s">
        <v>11726</v>
      </c>
      <c r="Y1344" t="str">
        <f>HYPERLINK("https://recruiter.shine.com/resume/download/?resumeid=gAAAAABbk2UMu_LfkZUaAicSZN2jUgwBNeF0ExgbTaTBS7abwzKgPcCCkf6jrrud1tY9313vtrE41iCHAN8e2kSKKf5ArTJ7I7MwmTIs-VEL8hjPGGrMlx4iK6CHeVa0y_2OrtQW8mgyZdCqvzvXk5JiOG7uMwkq21lY8cWKHaGlWSZ82xfR_Ew=")</f>
        <v>https://recruiter.shine.com/resume/download/?resumeid=gAAAAABbk2UMu_LfkZUaAicSZN2jUgwBNeF0ExgbTaTBS7abwzKgPcCCkf6jrrud1tY9313vtrE41iCHAN8e2kSKKf5ArTJ7I7MwmTIs-VEL8hjPGGrMlx4iK6CHeVa0y_2OrtQW8mgyZdCqvzvXk5JiOG7uMwkq21lY8cWKHaGlWSZ82xfR_Ew=</v>
      </c>
    </row>
    <row r="1345" spans="1:25" ht="39.950000000000003" customHeight="1">
      <c r="A1345">
        <v>1341</v>
      </c>
      <c r="B1345" t="s">
        <v>11727</v>
      </c>
      <c r="D1345" t="s">
        <v>11728</v>
      </c>
      <c r="E1345" t="s">
        <v>11729</v>
      </c>
      <c r="F1345" t="s">
        <v>29</v>
      </c>
      <c r="G1345" t="s">
        <v>67</v>
      </c>
      <c r="H1345" t="s">
        <v>234</v>
      </c>
      <c r="I1345" t="s">
        <v>362</v>
      </c>
      <c r="J1345" t="s">
        <v>135</v>
      </c>
      <c r="L1345" t="s">
        <v>363</v>
      </c>
      <c r="M1345" t="s">
        <v>364</v>
      </c>
      <c r="Q1345" t="s">
        <v>107</v>
      </c>
      <c r="R1345" t="s">
        <v>642</v>
      </c>
      <c r="S1345" t="s">
        <v>11730</v>
      </c>
      <c r="T1345" t="s">
        <v>227</v>
      </c>
      <c r="U1345" t="s">
        <v>43</v>
      </c>
      <c r="V1345" t="s">
        <v>11731</v>
      </c>
      <c r="W1345" t="s">
        <v>11731</v>
      </c>
      <c r="Y1345" t="str">
        <f>HYPERLINK("https://recruiter.shine.com/resume/download/?resumeid=gAAAAABbk2UOtAG6ctFXu48LK6InmCl8wpkI43jZwrjIQo0Z73VOWFBLZeGZZR_85SljxlzFc_DFHfF1VpDL6b__qUpYLFtGLcT2tyx8sXjVQdyBN_YSe2VP1mIuxq9Eu1JYj23Fe4iqf-flMPjfWyY1jbVAz2O2cJRM-KkRR3kD2TW6rQSpt0I=")</f>
        <v>https://recruiter.shine.com/resume/download/?resumeid=gAAAAABbk2UOtAG6ctFXu48LK6InmCl8wpkI43jZwrjIQo0Z73VOWFBLZeGZZR_85SljxlzFc_DFHfF1VpDL6b__qUpYLFtGLcT2tyx8sXjVQdyBN_YSe2VP1mIuxq9Eu1JYj23Fe4iqf-flMPjfWyY1jbVAz2O2cJRM-KkRR3kD2TW6rQSpt0I=</v>
      </c>
    </row>
    <row r="1346" spans="1:25" ht="39.950000000000003" customHeight="1">
      <c r="A1346">
        <v>1342</v>
      </c>
      <c r="B1346" t="s">
        <v>11732</v>
      </c>
      <c r="D1346" t="s">
        <v>11733</v>
      </c>
      <c r="E1346" t="s">
        <v>11734</v>
      </c>
      <c r="F1346" t="s">
        <v>29</v>
      </c>
      <c r="G1346" t="s">
        <v>29</v>
      </c>
      <c r="H1346" t="s">
        <v>234</v>
      </c>
      <c r="I1346" t="s">
        <v>1408</v>
      </c>
      <c r="J1346" t="s">
        <v>715</v>
      </c>
      <c r="K1346" t="s">
        <v>11735</v>
      </c>
      <c r="L1346" t="s">
        <v>237</v>
      </c>
      <c r="M1346" t="s">
        <v>487</v>
      </c>
      <c r="N1346" t="s">
        <v>11736</v>
      </c>
      <c r="O1346" t="s">
        <v>186</v>
      </c>
      <c r="P1346" t="s">
        <v>39</v>
      </c>
      <c r="Q1346" t="s">
        <v>40</v>
      </c>
      <c r="R1346" t="s">
        <v>1257</v>
      </c>
      <c r="S1346" t="s">
        <v>11737</v>
      </c>
      <c r="U1346" t="s">
        <v>43</v>
      </c>
      <c r="V1346" t="s">
        <v>11738</v>
      </c>
      <c r="W1346" t="s">
        <v>11739</v>
      </c>
      <c r="Y1346" t="str">
        <f>HYPERLINK("https://recruiter.shine.com/resume/download/?resumeid=gAAAAABbk2UK1jPseZaMYbrtjl5cC6jeDlXjvJXnjINSmctUYuyAQwtZbY68e_on2OIswkLnJqj8llziHz7ze4Qpej4p7xpRsBqvS30kkTNIg9dXpoyp7cKJrkZtAI9XxG5pIysKcoFCEY73AR3VHl4BNT-ZQFd84Q==")</f>
        <v>https://recruiter.shine.com/resume/download/?resumeid=gAAAAABbk2UK1jPseZaMYbrtjl5cC6jeDlXjvJXnjINSmctUYuyAQwtZbY68e_on2OIswkLnJqj8llziHz7ze4Qpej4p7xpRsBqvS30kkTNIg9dXpoyp7cKJrkZtAI9XxG5pIysKcoFCEY73AR3VHl4BNT-ZQFd84Q==</v>
      </c>
    </row>
    <row r="1347" spans="1:25" ht="39.950000000000003" customHeight="1">
      <c r="A1347">
        <v>1343</v>
      </c>
      <c r="B1347" t="s">
        <v>11740</v>
      </c>
      <c r="D1347" t="s">
        <v>11741</v>
      </c>
      <c r="E1347" t="s">
        <v>11742</v>
      </c>
      <c r="F1347" t="s">
        <v>29</v>
      </c>
      <c r="G1347" t="s">
        <v>67</v>
      </c>
      <c r="H1347" t="s">
        <v>234</v>
      </c>
      <c r="I1347" t="s">
        <v>860</v>
      </c>
      <c r="J1347" t="s">
        <v>336</v>
      </c>
      <c r="K1347" t="s">
        <v>11743</v>
      </c>
      <c r="L1347" t="s">
        <v>266</v>
      </c>
      <c r="M1347" t="s">
        <v>884</v>
      </c>
      <c r="N1347" t="s">
        <v>11744</v>
      </c>
      <c r="O1347" t="s">
        <v>186</v>
      </c>
      <c r="Q1347" t="s">
        <v>74</v>
      </c>
      <c r="R1347" t="s">
        <v>864</v>
      </c>
      <c r="S1347" t="s">
        <v>11745</v>
      </c>
      <c r="T1347" t="s">
        <v>110</v>
      </c>
      <c r="U1347" t="s">
        <v>43</v>
      </c>
      <c r="V1347" t="s">
        <v>11746</v>
      </c>
      <c r="W1347" t="s">
        <v>11746</v>
      </c>
      <c r="Y1347" t="str">
        <f>HYPERLINK("https://recruiter.shine.com/resume/download/?resumeid=gAAAAABbk2UN7RP1OFry_7TuNvSe5Sk54t60kfVLmV2xRELYHQZxKuvO9ExcvyiCnAWcZRffiLOH_xWMfE4fpGEW58wcDv22X8mz3FofHDghtgtAl3GcqzKRqkijFzyWreiFYy_yDQWKkqHjx-XHwGpexzQn4lVCG0HxOfEcqJwak_eTFbhSqJQ=")</f>
        <v>https://recruiter.shine.com/resume/download/?resumeid=gAAAAABbk2UN7RP1OFry_7TuNvSe5Sk54t60kfVLmV2xRELYHQZxKuvO9ExcvyiCnAWcZRffiLOH_xWMfE4fpGEW58wcDv22X8mz3FofHDghtgtAl3GcqzKRqkijFzyWreiFYy_yDQWKkqHjx-XHwGpexzQn4lVCG0HxOfEcqJwak_eTFbhSqJQ=</v>
      </c>
    </row>
    <row r="1348" spans="1:25" ht="39.950000000000003" customHeight="1">
      <c r="A1348">
        <v>1344</v>
      </c>
      <c r="B1348" t="s">
        <v>11747</v>
      </c>
      <c r="C1348" t="s">
        <v>11748</v>
      </c>
      <c r="D1348" t="s">
        <v>11749</v>
      </c>
      <c r="E1348" t="s">
        <v>11750</v>
      </c>
      <c r="F1348" t="s">
        <v>29</v>
      </c>
      <c r="G1348" t="s">
        <v>2854</v>
      </c>
      <c r="H1348" t="s">
        <v>31</v>
      </c>
      <c r="I1348" t="s">
        <v>152</v>
      </c>
      <c r="J1348" t="s">
        <v>299</v>
      </c>
      <c r="K1348" t="s">
        <v>11751</v>
      </c>
      <c r="L1348" t="s">
        <v>4940</v>
      </c>
      <c r="M1348" t="s">
        <v>105</v>
      </c>
      <c r="N1348" t="s">
        <v>11752</v>
      </c>
      <c r="O1348" t="s">
        <v>1041</v>
      </c>
      <c r="P1348" t="s">
        <v>201</v>
      </c>
      <c r="Q1348" t="s">
        <v>365</v>
      </c>
      <c r="R1348" t="s">
        <v>11753</v>
      </c>
      <c r="S1348" t="s">
        <v>11754</v>
      </c>
      <c r="T1348" t="s">
        <v>77</v>
      </c>
      <c r="U1348" t="s">
        <v>43</v>
      </c>
      <c r="V1348" t="s">
        <v>11755</v>
      </c>
      <c r="W1348" t="s">
        <v>11756</v>
      </c>
      <c r="Y1348" t="str">
        <f>HYPERLINK("https://recruiter.shine.com/resume/download/?resumeid=gAAAAABbk2UNowYBtBF26Xlqs_T5LV4VSJUKwD5sVMmlD0_OmZrPMaoMOFaYOyKOeLH8SEFMAeq3cmV5Gg7wuEVn1Oa35F9Ouw1lahe8d0HcPy1F8J80KJW8HrV5b5Zp13Yo_wnDX0VgMRIrWlHEiNmB2tkcd4bIQ0ljahUGElKoc3UFqQmFJmg=")</f>
        <v>https://recruiter.shine.com/resume/download/?resumeid=gAAAAABbk2UNowYBtBF26Xlqs_T5LV4VSJUKwD5sVMmlD0_OmZrPMaoMOFaYOyKOeLH8SEFMAeq3cmV5Gg7wuEVn1Oa35F9Ouw1lahe8d0HcPy1F8J80KJW8HrV5b5Zp13Yo_wnDX0VgMRIrWlHEiNmB2tkcd4bIQ0ljahUGElKoc3UFqQmFJmg=</v>
      </c>
    </row>
    <row r="1349" spans="1:25" ht="39.950000000000003" customHeight="1">
      <c r="A1349">
        <v>1345</v>
      </c>
      <c r="B1349" t="s">
        <v>11757</v>
      </c>
      <c r="C1349" t="s">
        <v>11758</v>
      </c>
      <c r="D1349" t="s">
        <v>11759</v>
      </c>
      <c r="E1349" t="s">
        <v>11760</v>
      </c>
      <c r="F1349" t="s">
        <v>29</v>
      </c>
      <c r="G1349" t="s">
        <v>11761</v>
      </c>
      <c r="H1349" t="s">
        <v>31</v>
      </c>
      <c r="I1349" t="s">
        <v>85</v>
      </c>
      <c r="J1349" t="s">
        <v>715</v>
      </c>
      <c r="K1349" t="s">
        <v>11762</v>
      </c>
      <c r="L1349" t="s">
        <v>596</v>
      </c>
      <c r="M1349" t="s">
        <v>622</v>
      </c>
      <c r="N1349" t="s">
        <v>11763</v>
      </c>
      <c r="O1349" t="s">
        <v>56</v>
      </c>
      <c r="P1349" t="s">
        <v>57</v>
      </c>
      <c r="Q1349" t="s">
        <v>90</v>
      </c>
      <c r="R1349" t="s">
        <v>465</v>
      </c>
      <c r="S1349" t="s">
        <v>11764</v>
      </c>
      <c r="T1349" t="s">
        <v>304</v>
      </c>
      <c r="U1349" t="s">
        <v>43</v>
      </c>
      <c r="V1349" t="s">
        <v>11765</v>
      </c>
      <c r="W1349" t="s">
        <v>11766</v>
      </c>
      <c r="Y1349" t="str">
        <f>HYPERLINK("https://recruiter.shine.com/resume/download/?resumeid=gAAAAABbk2UKu_Sulfanm7QVp1pxltn4kTWor163c5h91LGa551pXUJ_Iq9YhxP2IeZlameA63a0-TJeMGeLKzVFdh2G1VBMsGW_32ffWb-S6PcFGT_lWUOaCEkZUBK2jHODI6mkxo-Sbyhy2eJ-gcewuxpFbHXuCA==")</f>
        <v>https://recruiter.shine.com/resume/download/?resumeid=gAAAAABbk2UKu_Sulfanm7QVp1pxltn4kTWor163c5h91LGa551pXUJ_Iq9YhxP2IeZlameA63a0-TJeMGeLKzVFdh2G1VBMsGW_32ffWb-S6PcFGT_lWUOaCEkZUBK2jHODI6mkxo-Sbyhy2eJ-gcewuxpFbHXuCA==</v>
      </c>
    </row>
    <row r="1350" spans="1:25" ht="39.950000000000003" customHeight="1">
      <c r="A1350">
        <v>1346</v>
      </c>
      <c r="B1350" t="s">
        <v>11767</v>
      </c>
      <c r="C1350" t="s">
        <v>11768</v>
      </c>
      <c r="D1350" t="s">
        <v>11769</v>
      </c>
      <c r="E1350" t="s">
        <v>11770</v>
      </c>
      <c r="F1350" t="s">
        <v>29</v>
      </c>
      <c r="G1350" t="s">
        <v>6396</v>
      </c>
      <c r="H1350" t="s">
        <v>31</v>
      </c>
      <c r="I1350" t="s">
        <v>860</v>
      </c>
      <c r="J1350" t="s">
        <v>801</v>
      </c>
      <c r="K1350" t="s">
        <v>11771</v>
      </c>
      <c r="L1350" t="s">
        <v>794</v>
      </c>
      <c r="M1350" t="s">
        <v>684</v>
      </c>
      <c r="N1350" t="s">
        <v>11772</v>
      </c>
      <c r="O1350" t="s">
        <v>186</v>
      </c>
      <c r="P1350" t="s">
        <v>57</v>
      </c>
      <c r="Q1350" t="s">
        <v>158</v>
      </c>
      <c r="R1350" t="s">
        <v>341</v>
      </c>
      <c r="S1350" t="s">
        <v>11773</v>
      </c>
      <c r="T1350" t="s">
        <v>304</v>
      </c>
      <c r="U1350" t="s">
        <v>43</v>
      </c>
      <c r="V1350" t="s">
        <v>11774</v>
      </c>
      <c r="W1350" t="s">
        <v>11775</v>
      </c>
      <c r="Y1350" t="str">
        <f>HYPERLINK("https://recruiter.shine.com/resume/download/?resumeid=gAAAAABbk2UNwVgy7schP-Aoq04FNOyVHQyw0lrINMUdttVDmw03PgsuAYKk5xYrugWkBMODD6MVX5BDyFv_PglryXwX9tsLHrtLGhQcN2rxrmoFW-2PDpkLODeiOMMIZ3-bwHxykqbSaayue8fU1YE1G103KTxaZeacXKuFZvpulMrnsEMW22I=")</f>
        <v>https://recruiter.shine.com/resume/download/?resumeid=gAAAAABbk2UNwVgy7schP-Aoq04FNOyVHQyw0lrINMUdttVDmw03PgsuAYKk5xYrugWkBMODD6MVX5BDyFv_PglryXwX9tsLHrtLGhQcN2rxrmoFW-2PDpkLODeiOMMIZ3-bwHxykqbSaayue8fU1YE1G103KTxaZeacXKuFZvpulMrnsEMW22I=</v>
      </c>
    </row>
    <row r="1351" spans="1:25" ht="39.950000000000003" customHeight="1">
      <c r="A1351">
        <v>1347</v>
      </c>
      <c r="B1351" t="s">
        <v>11776</v>
      </c>
      <c r="D1351" t="s">
        <v>11777</v>
      </c>
      <c r="E1351" t="s">
        <v>11778</v>
      </c>
      <c r="F1351" t="s">
        <v>29</v>
      </c>
      <c r="H1351" t="s">
        <v>31</v>
      </c>
      <c r="I1351" t="s">
        <v>208</v>
      </c>
      <c r="J1351" t="s">
        <v>3265</v>
      </c>
      <c r="K1351" t="s">
        <v>11779</v>
      </c>
      <c r="L1351" t="s">
        <v>199</v>
      </c>
      <c r="M1351" t="s">
        <v>1356</v>
      </c>
      <c r="N1351" t="s">
        <v>11780</v>
      </c>
      <c r="O1351" t="s">
        <v>572</v>
      </c>
      <c r="Q1351" t="s">
        <v>365</v>
      </c>
      <c r="R1351" t="s">
        <v>11781</v>
      </c>
      <c r="S1351" t="s">
        <v>11782</v>
      </c>
      <c r="T1351" t="s">
        <v>1921</v>
      </c>
      <c r="U1351" t="s">
        <v>127</v>
      </c>
      <c r="V1351" t="s">
        <v>11783</v>
      </c>
      <c r="W1351" t="s">
        <v>11784</v>
      </c>
      <c r="Y1351" t="str">
        <f>HYPERLINK("https://recruiter.shine.com/resume/download/?resumeid=gAAAAABbk2UNNOd2tEk6D3ihYLDQWDdgrCMooSBNvVeJn-p9gjFBDWh8n9TzN_8dJqFPyU-LDVFXtumnYdwQE-nslJ8DdiN8pW7tdHt1WVtkRSVSdqDLA_d-TeFhuD33YCaMfcHUa6_JXrN1kEY4rFK5gvcE5-Yh3aAwrM_Xp42JJxXsgtE7Z70=")</f>
        <v>https://recruiter.shine.com/resume/download/?resumeid=gAAAAABbk2UNNOd2tEk6D3ihYLDQWDdgrCMooSBNvVeJn-p9gjFBDWh8n9TzN_8dJqFPyU-LDVFXtumnYdwQE-nslJ8DdiN8pW7tdHt1WVtkRSVSdqDLA_d-TeFhuD33YCaMfcHUa6_JXrN1kEY4rFK5gvcE5-Yh3aAwrM_Xp42JJxXsgtE7Z70=</v>
      </c>
    </row>
    <row r="1352" spans="1:25" ht="39.950000000000003" customHeight="1">
      <c r="A1352">
        <v>1348</v>
      </c>
      <c r="B1352" t="s">
        <v>11785</v>
      </c>
      <c r="C1352" t="s">
        <v>130</v>
      </c>
      <c r="D1352" t="s">
        <v>11786</v>
      </c>
      <c r="E1352" t="s">
        <v>11787</v>
      </c>
      <c r="F1352" t="s">
        <v>29</v>
      </c>
      <c r="G1352" t="s">
        <v>67</v>
      </c>
      <c r="H1352" t="s">
        <v>31</v>
      </c>
      <c r="I1352" t="s">
        <v>3481</v>
      </c>
      <c r="J1352" t="s">
        <v>11788</v>
      </c>
      <c r="K1352" t="s">
        <v>11789</v>
      </c>
      <c r="L1352" t="s">
        <v>237</v>
      </c>
      <c r="M1352" t="s">
        <v>238</v>
      </c>
      <c r="N1352" t="s">
        <v>11790</v>
      </c>
      <c r="O1352" t="s">
        <v>585</v>
      </c>
      <c r="P1352" t="s">
        <v>771</v>
      </c>
      <c r="Q1352" t="s">
        <v>90</v>
      </c>
      <c r="R1352" t="s">
        <v>292</v>
      </c>
      <c r="S1352" t="s">
        <v>9843</v>
      </c>
      <c r="U1352" t="s">
        <v>43</v>
      </c>
      <c r="V1352" t="s">
        <v>11791</v>
      </c>
      <c r="W1352" t="s">
        <v>11792</v>
      </c>
      <c r="Y1352" t="str">
        <f>HYPERLINK("https://recruiter.shine.com/resume/download/?resumeid=gAAAAABbk2ULZp-M6BJpPYJWv8gaHzve1n_fWHaOLGKHWYCsu5silF7HoUeHF36dkcLc4AcYibWOpOEyx4-HfeGhS4dOltDHYyTB9phVuXHt-trG75fb_RfkWi2W4S1mtB8QM-iCgYQS")</f>
        <v>https://recruiter.shine.com/resume/download/?resumeid=gAAAAABbk2ULZp-M6BJpPYJWv8gaHzve1n_fWHaOLGKHWYCsu5silF7HoUeHF36dkcLc4AcYibWOpOEyx4-HfeGhS4dOltDHYyTB9phVuXHt-trG75fb_RfkWi2W4S1mtB8QM-iCgYQS</v>
      </c>
    </row>
    <row r="1353" spans="1:25" ht="39.950000000000003" customHeight="1">
      <c r="A1353">
        <v>1349</v>
      </c>
      <c r="B1353" t="s">
        <v>11793</v>
      </c>
      <c r="C1353" t="s">
        <v>11794</v>
      </c>
      <c r="D1353" t="s">
        <v>11795</v>
      </c>
      <c r="E1353" t="s">
        <v>11796</v>
      </c>
      <c r="F1353" t="s">
        <v>29</v>
      </c>
      <c r="G1353" t="s">
        <v>29</v>
      </c>
      <c r="H1353" t="s">
        <v>234</v>
      </c>
      <c r="I1353" t="s">
        <v>860</v>
      </c>
      <c r="J1353" t="s">
        <v>135</v>
      </c>
      <c r="K1353" t="s">
        <v>11797</v>
      </c>
      <c r="L1353" t="s">
        <v>314</v>
      </c>
      <c r="M1353" t="s">
        <v>757</v>
      </c>
      <c r="N1353" t="s">
        <v>11798</v>
      </c>
      <c r="O1353" t="s">
        <v>38</v>
      </c>
      <c r="Q1353" t="s">
        <v>123</v>
      </c>
      <c r="R1353" t="s">
        <v>124</v>
      </c>
      <c r="S1353" t="s">
        <v>188</v>
      </c>
      <c r="T1353" t="s">
        <v>304</v>
      </c>
      <c r="U1353" t="s">
        <v>43</v>
      </c>
      <c r="V1353" t="s">
        <v>11799</v>
      </c>
      <c r="W1353" t="s">
        <v>11800</v>
      </c>
      <c r="Y1353" t="str">
        <f>HYPERLINK("https://recruiter.shine.com/resume/download/?resumeid=gAAAAABbk2UMS2-O8lM1EsXF7yO8KOR_HWQe2yXZ6EYU1Glx43cXk3s7xP76cAnaqVPA7HLEayIvprrMR1fT6DwngMUJ-nCggcTZQif78PP_lLJwq3zra6K3puqclfQb8GhfoupttN2xO46TX1LqmOxdM1tSbdgG9id1oN23Vfsuc8YjSODLGU8=")</f>
        <v>https://recruiter.shine.com/resume/download/?resumeid=gAAAAABbk2UMS2-O8lM1EsXF7yO8KOR_HWQe2yXZ6EYU1Glx43cXk3s7xP76cAnaqVPA7HLEayIvprrMR1fT6DwngMUJ-nCggcTZQif78PP_lLJwq3zra6K3puqclfQb8GhfoupttN2xO46TX1LqmOxdM1tSbdgG9id1oN23Vfsuc8YjSODLGU8=</v>
      </c>
    </row>
    <row r="1354" spans="1:25" ht="39.950000000000003" customHeight="1">
      <c r="A1354">
        <v>1350</v>
      </c>
      <c r="B1354" t="s">
        <v>11801</v>
      </c>
      <c r="D1354" t="s">
        <v>11802</v>
      </c>
      <c r="E1354" t="s">
        <v>11803</v>
      </c>
      <c r="F1354" t="s">
        <v>29</v>
      </c>
      <c r="G1354" t="s">
        <v>29</v>
      </c>
      <c r="H1354" t="s">
        <v>234</v>
      </c>
      <c r="I1354" t="s">
        <v>568</v>
      </c>
      <c r="J1354" t="s">
        <v>11804</v>
      </c>
      <c r="K1354" t="s">
        <v>11805</v>
      </c>
      <c r="L1354" t="s">
        <v>120</v>
      </c>
      <c r="M1354" t="s">
        <v>238</v>
      </c>
      <c r="N1354" t="s">
        <v>11806</v>
      </c>
      <c r="O1354" t="s">
        <v>186</v>
      </c>
      <c r="Q1354" t="s">
        <v>240</v>
      </c>
      <c r="R1354" t="s">
        <v>241</v>
      </c>
      <c r="S1354" t="s">
        <v>1796</v>
      </c>
      <c r="T1354" t="s">
        <v>144</v>
      </c>
      <c r="U1354" t="s">
        <v>127</v>
      </c>
      <c r="V1354" t="s">
        <v>11807</v>
      </c>
      <c r="W1354" t="s">
        <v>11808</v>
      </c>
      <c r="Y1354" t="str">
        <f>HYPERLINK("https://recruiter.shine.com/resume/download/?resumeid=gAAAAABbk2UOOE_pi3fJaA3Kl8VIppSvvsAD44CEcfkhc2d9UAxlO_C_GptqO6l47ESDlpJ927bZ9kLMHjMoBSLarDCLKK25gxMWFO9zvMDfdi2ZGGIA9S7hgZ8FWoYN2LheKkMRr2L1s4oEHh-eTLnPf__asSzT_Q==")</f>
        <v>https://recruiter.shine.com/resume/download/?resumeid=gAAAAABbk2UOOE_pi3fJaA3Kl8VIppSvvsAD44CEcfkhc2d9UAxlO_C_GptqO6l47ESDlpJ927bZ9kLMHjMoBSLarDCLKK25gxMWFO9zvMDfdi2ZGGIA9S7hgZ8FWoYN2LheKkMRr2L1s4oEHh-eTLnPf__asSzT_Q==</v>
      </c>
    </row>
    <row r="1355" spans="1:25" ht="39.950000000000003" customHeight="1">
      <c r="A1355">
        <v>1351</v>
      </c>
      <c r="B1355" t="s">
        <v>11809</v>
      </c>
      <c r="C1355" t="s">
        <v>11810</v>
      </c>
      <c r="D1355" t="s">
        <v>11811</v>
      </c>
      <c r="E1355" t="s">
        <v>11812</v>
      </c>
      <c r="F1355" t="s">
        <v>29</v>
      </c>
      <c r="G1355" t="s">
        <v>29</v>
      </c>
      <c r="H1355" t="s">
        <v>31</v>
      </c>
      <c r="I1355" t="s">
        <v>32</v>
      </c>
      <c r="J1355" t="s">
        <v>781</v>
      </c>
      <c r="K1355" t="s">
        <v>7696</v>
      </c>
      <c r="L1355" t="s">
        <v>266</v>
      </c>
      <c r="M1355" t="s">
        <v>105</v>
      </c>
      <c r="N1355" t="s">
        <v>11813</v>
      </c>
      <c r="O1355" t="s">
        <v>56</v>
      </c>
      <c r="P1355" t="s">
        <v>57</v>
      </c>
      <c r="Q1355" t="s">
        <v>107</v>
      </c>
      <c r="R1355" t="s">
        <v>159</v>
      </c>
      <c r="S1355" t="s">
        <v>11814</v>
      </c>
      <c r="T1355" t="s">
        <v>281</v>
      </c>
      <c r="U1355" t="s">
        <v>43</v>
      </c>
      <c r="V1355" t="s">
        <v>11815</v>
      </c>
      <c r="W1355" t="s">
        <v>11816</v>
      </c>
      <c r="Y1355" t="str">
        <f>HYPERLINK("https://recruiter.shine.com/resume/download/?resumeid=gAAAAABbk2ULau_vfKZCIJc5E59FghfU3RdpA2AH3rzRu1tailliMGwIqaxXl0GgCF8k6UVFbH4jx5ObUt2M4TJVUnuTz03xT1nsSYQQFC2y07eMcfcxmhMtoFf9X8Xww29LJwfThSHtmVJH3pitybohLyT_u6iGKw==")</f>
        <v>https://recruiter.shine.com/resume/download/?resumeid=gAAAAABbk2ULau_vfKZCIJc5E59FghfU3RdpA2AH3rzRu1tailliMGwIqaxXl0GgCF8k6UVFbH4jx5ObUt2M4TJVUnuTz03xT1nsSYQQFC2y07eMcfcxmhMtoFf9X8Xww29LJwfThSHtmVJH3pitybohLyT_u6iGKw==</v>
      </c>
    </row>
    <row r="1356" spans="1:25" ht="39.950000000000003" customHeight="1">
      <c r="A1356">
        <v>1352</v>
      </c>
      <c r="B1356" t="s">
        <v>11817</v>
      </c>
      <c r="D1356" t="s">
        <v>11818</v>
      </c>
      <c r="E1356" t="s">
        <v>11819</v>
      </c>
      <c r="F1356" t="s">
        <v>29</v>
      </c>
      <c r="G1356" t="s">
        <v>29</v>
      </c>
      <c r="H1356" t="s">
        <v>31</v>
      </c>
      <c r="I1356" t="s">
        <v>117</v>
      </c>
      <c r="J1356" t="s">
        <v>715</v>
      </c>
      <c r="K1356" t="s">
        <v>221</v>
      </c>
      <c r="L1356" t="s">
        <v>184</v>
      </c>
      <c r="M1356" t="s">
        <v>487</v>
      </c>
      <c r="N1356" t="s">
        <v>11820</v>
      </c>
      <c r="O1356" t="s">
        <v>38</v>
      </c>
      <c r="Q1356" t="s">
        <v>123</v>
      </c>
      <c r="R1356" t="s">
        <v>124</v>
      </c>
      <c r="S1356" t="s">
        <v>188</v>
      </c>
      <c r="T1356" t="s">
        <v>304</v>
      </c>
      <c r="U1356" t="s">
        <v>43</v>
      </c>
      <c r="V1356" t="s">
        <v>11821</v>
      </c>
      <c r="W1356" t="s">
        <v>11821</v>
      </c>
      <c r="Y1356" t="str">
        <f>HYPERLINK("https://recruiter.shine.com/resume/download/?resumeid=gAAAAABbk2UMJiiFRaYXT2Xl0r5mfqST1SbN8ISaT8XR0sQgmSfdxMtyjsHzjkkuDMoB2ZpV5LiI8Q-2UBG3MmnTN1nrKcfz0K3MmWDhS-V0-2CsTILZM9JF5hMNrK6DzLAllRm8ziKES9eD7dwdjhgCpcFoFipEwC1Il-4TONljh_wRSQxxVpY=")</f>
        <v>https://recruiter.shine.com/resume/download/?resumeid=gAAAAABbk2UMJiiFRaYXT2Xl0r5mfqST1SbN8ISaT8XR0sQgmSfdxMtyjsHzjkkuDMoB2ZpV5LiI8Q-2UBG3MmnTN1nrKcfz0K3MmWDhS-V0-2CsTILZM9JF5hMNrK6DzLAllRm8ziKES9eD7dwdjhgCpcFoFipEwC1Il-4TONljh_wRSQxxVpY=</v>
      </c>
    </row>
    <row r="1357" spans="1:25" ht="39.950000000000003" customHeight="1">
      <c r="A1357">
        <v>1353</v>
      </c>
      <c r="B1357" t="s">
        <v>11822</v>
      </c>
      <c r="C1357" t="s">
        <v>11823</v>
      </c>
      <c r="D1357" t="s">
        <v>11824</v>
      </c>
      <c r="E1357" t="s">
        <v>11825</v>
      </c>
      <c r="F1357" t="s">
        <v>29</v>
      </c>
      <c r="H1357" t="s">
        <v>31</v>
      </c>
      <c r="I1357" t="s">
        <v>362</v>
      </c>
      <c r="J1357" t="s">
        <v>135</v>
      </c>
      <c r="L1357" t="s">
        <v>363</v>
      </c>
      <c r="M1357" t="s">
        <v>364</v>
      </c>
      <c r="Q1357" t="s">
        <v>107</v>
      </c>
      <c r="R1357" t="s">
        <v>546</v>
      </c>
      <c r="S1357" t="s">
        <v>11826</v>
      </c>
      <c r="T1357" t="s">
        <v>2078</v>
      </c>
      <c r="U1357" t="s">
        <v>43</v>
      </c>
      <c r="V1357" t="s">
        <v>11827</v>
      </c>
      <c r="W1357" t="s">
        <v>11827</v>
      </c>
      <c r="Y1357" t="str">
        <f>HYPERLINK("https://recruiter.shine.com/resume/download/?resumeid=gAAAAABbk2UOcVr8Ojj8n1QvyMVNEo-dG40gxkJjaxuyoBD1moRUNsGsgwlYK13Fu4AcxBQGgZF2S8lMYyVI8RdQa61yz2qlZCu_L66yw-66dxPnSv64FBU0n_YjYzPHuWsL1_Zvd1qf5JWNXoFv2rib1mjSgnLW_Q==")</f>
        <v>https://recruiter.shine.com/resume/download/?resumeid=gAAAAABbk2UOcVr8Ojj8n1QvyMVNEo-dG40gxkJjaxuyoBD1moRUNsGsgwlYK13Fu4AcxBQGgZF2S8lMYyVI8RdQa61yz2qlZCu_L66yw-66dxPnSv64FBU0n_YjYzPHuWsL1_Zvd1qf5JWNXoFv2rib1mjSgnLW_Q==</v>
      </c>
    </row>
    <row r="1358" spans="1:25" ht="39.950000000000003" customHeight="1">
      <c r="A1358">
        <v>1354</v>
      </c>
      <c r="B1358" t="s">
        <v>11828</v>
      </c>
      <c r="C1358" t="s">
        <v>11829</v>
      </c>
      <c r="D1358" t="s">
        <v>11830</v>
      </c>
      <c r="E1358" t="s">
        <v>11831</v>
      </c>
      <c r="F1358" t="s">
        <v>29</v>
      </c>
      <c r="G1358" t="s">
        <v>29</v>
      </c>
      <c r="H1358" t="s">
        <v>31</v>
      </c>
      <c r="I1358" t="s">
        <v>196</v>
      </c>
      <c r="J1358" t="s">
        <v>51</v>
      </c>
      <c r="K1358" t="s">
        <v>11832</v>
      </c>
      <c r="L1358" t="s">
        <v>664</v>
      </c>
      <c r="M1358" t="s">
        <v>827</v>
      </c>
      <c r="N1358" t="s">
        <v>11833</v>
      </c>
      <c r="O1358" t="s">
        <v>186</v>
      </c>
      <c r="P1358" t="s">
        <v>57</v>
      </c>
      <c r="Q1358" t="s">
        <v>58</v>
      </c>
      <c r="R1358" t="s">
        <v>59</v>
      </c>
      <c r="S1358" t="s">
        <v>202</v>
      </c>
      <c r="T1358" t="s">
        <v>110</v>
      </c>
      <c r="U1358" t="s">
        <v>43</v>
      </c>
      <c r="V1358" t="s">
        <v>11834</v>
      </c>
      <c r="W1358" t="s">
        <v>11835</v>
      </c>
      <c r="Y1358" t="str">
        <f>HYPERLINK("https://recruiter.shine.com/resume/download/?resumeid=gAAAAABbk2ULQ_ZkI0vpCzcEMUFv0Lgu95t91FCgf7bkbCwPFF_FUCeCuZXT9CPrVr24zgjAoMU-5Ysx_hFaB3aoT5WqUE8ZG2p0kJFn7OQX-eCFsnuGo5OEwH_wWxGyix_O8xXjNnuS6THAJmMZAribYA2-4Xs7iG24BQnO6tZujFbTGnccIVU=")</f>
        <v>https://recruiter.shine.com/resume/download/?resumeid=gAAAAABbk2ULQ_ZkI0vpCzcEMUFv0Lgu95t91FCgf7bkbCwPFF_FUCeCuZXT9CPrVr24zgjAoMU-5Ysx_hFaB3aoT5WqUE8ZG2p0kJFn7OQX-eCFsnuGo5OEwH_wWxGyix_O8xXjNnuS6THAJmMZAribYA2-4Xs7iG24BQnO6tZujFbTGnccIVU=</v>
      </c>
    </row>
    <row r="1359" spans="1:25" ht="39.950000000000003" customHeight="1">
      <c r="A1359">
        <v>1355</v>
      </c>
      <c r="B1359" t="s">
        <v>11836</v>
      </c>
      <c r="D1359" t="s">
        <v>11837</v>
      </c>
      <c r="E1359" t="s">
        <v>11838</v>
      </c>
      <c r="F1359" t="s">
        <v>29</v>
      </c>
      <c r="G1359" t="s">
        <v>29</v>
      </c>
      <c r="H1359" t="s">
        <v>31</v>
      </c>
      <c r="I1359" t="s">
        <v>362</v>
      </c>
      <c r="J1359" t="s">
        <v>135</v>
      </c>
      <c r="L1359" t="s">
        <v>363</v>
      </c>
      <c r="M1359" t="s">
        <v>364</v>
      </c>
      <c r="Q1359" t="s">
        <v>365</v>
      </c>
      <c r="R1359" t="s">
        <v>2230</v>
      </c>
      <c r="S1359" t="s">
        <v>11839</v>
      </c>
      <c r="T1359" t="s">
        <v>304</v>
      </c>
      <c r="U1359" t="s">
        <v>43</v>
      </c>
      <c r="V1359" t="s">
        <v>11840</v>
      </c>
      <c r="W1359" t="s">
        <v>11841</v>
      </c>
      <c r="Y1359" t="str">
        <f>HYPERLINK("https://recruiter.shine.com/resume/download/?resumeid=gAAAAABbk2UMFhbQx2ccQOC86sJ0XCVEAAAwUtupkW7-dOmtOAqF9owyWalcJKmVNafmnm4hySC8NqXYgYdKpmCDiJRUDElLm5Y9veiHP0z10uyW9o1f4HVp6KiUPFQlgGYtjWjSDExOaExYl5FIPviWsHR_Pi1lnQ==")</f>
        <v>https://recruiter.shine.com/resume/download/?resumeid=gAAAAABbk2UMFhbQx2ccQOC86sJ0XCVEAAAwUtupkW7-dOmtOAqF9owyWalcJKmVNafmnm4hySC8NqXYgYdKpmCDiJRUDElLm5Y9veiHP0z10uyW9o1f4HVp6KiUPFQlgGYtjWjSDExOaExYl5FIPviWsHR_Pi1lnQ==</v>
      </c>
    </row>
    <row r="1360" spans="1:25" ht="39.950000000000003" customHeight="1">
      <c r="A1360">
        <v>1356</v>
      </c>
      <c r="B1360" t="s">
        <v>11842</v>
      </c>
      <c r="C1360" t="s">
        <v>5662</v>
      </c>
      <c r="D1360" t="s">
        <v>11843</v>
      </c>
      <c r="E1360" t="s">
        <v>11844</v>
      </c>
      <c r="F1360" t="s">
        <v>29</v>
      </c>
      <c r="G1360" t="s">
        <v>11845</v>
      </c>
      <c r="H1360" t="s">
        <v>31</v>
      </c>
      <c r="I1360" t="s">
        <v>2523</v>
      </c>
      <c r="J1360" t="s">
        <v>715</v>
      </c>
      <c r="K1360" t="s">
        <v>11846</v>
      </c>
      <c r="L1360" t="s">
        <v>199</v>
      </c>
      <c r="M1360" t="s">
        <v>121</v>
      </c>
      <c r="N1360" t="s">
        <v>11847</v>
      </c>
      <c r="O1360" t="s">
        <v>56</v>
      </c>
      <c r="P1360" t="s">
        <v>39</v>
      </c>
      <c r="Q1360" t="s">
        <v>123</v>
      </c>
      <c r="R1360" t="s">
        <v>124</v>
      </c>
      <c r="S1360" t="s">
        <v>11848</v>
      </c>
      <c r="T1360" t="s">
        <v>441</v>
      </c>
      <c r="U1360" t="s">
        <v>127</v>
      </c>
      <c r="V1360" t="s">
        <v>11849</v>
      </c>
      <c r="W1360" t="s">
        <v>11850</v>
      </c>
      <c r="Y1360" t="str">
        <f>HYPERLINK("https://recruiter.shine.com/resume/download/?resumeid=gAAAAABbk2UOubmLgz_As8Rh8KfD-7P27ZUU7Ag1yUBRmcYkq3iS4IY6oLLITM_QTPi3XSjWWaUqQDg6AFCTP4bNleUvUKPZ5UemduU6i2k7qk3ZtuTeQ5Y-b6bVNdHl-6gbNryFnsozmYBtEO4LhTt-o3Zkqv75BhIa3plx6tyAHs3cPB2Ta-k=")</f>
        <v>https://recruiter.shine.com/resume/download/?resumeid=gAAAAABbk2UOubmLgz_As8Rh8KfD-7P27ZUU7Ag1yUBRmcYkq3iS4IY6oLLITM_QTPi3XSjWWaUqQDg6AFCTP4bNleUvUKPZ5UemduU6i2k7qk3ZtuTeQ5Y-b6bVNdHl-6gbNryFnsozmYBtEO4LhTt-o3Zkqv75BhIa3plx6tyAHs3cPB2Ta-k=</v>
      </c>
    </row>
    <row r="1361" spans="1:25" ht="39.950000000000003" customHeight="1">
      <c r="A1361">
        <v>1357</v>
      </c>
      <c r="B1361" t="s">
        <v>11851</v>
      </c>
      <c r="C1361" t="s">
        <v>11852</v>
      </c>
      <c r="D1361" t="s">
        <v>11853</v>
      </c>
      <c r="E1361" t="s">
        <v>11854</v>
      </c>
      <c r="F1361" t="s">
        <v>29</v>
      </c>
      <c r="G1361" t="s">
        <v>2015</v>
      </c>
      <c r="H1361" t="s">
        <v>31</v>
      </c>
      <c r="I1361" t="s">
        <v>3180</v>
      </c>
      <c r="J1361" t="s">
        <v>336</v>
      </c>
      <c r="K1361" t="s">
        <v>813</v>
      </c>
      <c r="L1361" t="s">
        <v>450</v>
      </c>
      <c r="M1361" t="s">
        <v>105</v>
      </c>
      <c r="N1361" t="s">
        <v>11855</v>
      </c>
      <c r="O1361" t="s">
        <v>224</v>
      </c>
      <c r="P1361" t="s">
        <v>57</v>
      </c>
      <c r="Q1361" t="s">
        <v>90</v>
      </c>
      <c r="R1361" t="s">
        <v>465</v>
      </c>
      <c r="S1361" t="s">
        <v>188</v>
      </c>
      <c r="T1361" t="s">
        <v>2554</v>
      </c>
      <c r="U1361" t="s">
        <v>43</v>
      </c>
      <c r="V1361" t="s">
        <v>11856</v>
      </c>
      <c r="W1361" t="s">
        <v>11857</v>
      </c>
      <c r="Y1361" t="str">
        <f>HYPERLINK("https://recruiter.shine.com/resume/download/?resumeid=gAAAAABbk2UL1npBd6nqG9p2Ll-8IgcwDA1oYKX1wDjHGlqGO3YLX_co2kEGmIff074DIjmGuI4mIq7qUoP_3rsK9Dw2XGT08z3-S5owux8-mbMdwuLVNqBglWBsa-0iKhiuJLIf_DpOy_j6p7yF3ofjXiKu6r35Lg==")</f>
        <v>https://recruiter.shine.com/resume/download/?resumeid=gAAAAABbk2UL1npBd6nqG9p2Ll-8IgcwDA1oYKX1wDjHGlqGO3YLX_co2kEGmIff074DIjmGuI4mIq7qUoP_3rsK9Dw2XGT08z3-S5owux8-mbMdwuLVNqBglWBsa-0iKhiuJLIf_DpOy_j6p7yF3ofjXiKu6r35Lg==</v>
      </c>
    </row>
    <row r="1362" spans="1:25" ht="39.950000000000003" customHeight="1">
      <c r="A1362">
        <v>1358</v>
      </c>
      <c r="B1362" t="s">
        <v>11858</v>
      </c>
      <c r="D1362" t="s">
        <v>11859</v>
      </c>
      <c r="E1362" t="s">
        <v>1887</v>
      </c>
      <c r="F1362" t="s">
        <v>29</v>
      </c>
      <c r="G1362" t="s">
        <v>30</v>
      </c>
      <c r="H1362" t="s">
        <v>31</v>
      </c>
      <c r="I1362" t="s">
        <v>998</v>
      </c>
      <c r="J1362" t="s">
        <v>251</v>
      </c>
      <c r="K1362" t="s">
        <v>1888</v>
      </c>
      <c r="L1362" t="s">
        <v>2690</v>
      </c>
      <c r="M1362" t="s">
        <v>138</v>
      </c>
      <c r="N1362" t="s">
        <v>11860</v>
      </c>
      <c r="O1362" t="s">
        <v>56</v>
      </c>
      <c r="Q1362" t="s">
        <v>1891</v>
      </c>
      <c r="R1362" t="s">
        <v>1892</v>
      </c>
      <c r="S1362" t="s">
        <v>11861</v>
      </c>
      <c r="T1362" t="s">
        <v>441</v>
      </c>
      <c r="U1362" t="s">
        <v>43</v>
      </c>
      <c r="V1362" t="s">
        <v>11862</v>
      </c>
      <c r="W1362" t="s">
        <v>11863</v>
      </c>
      <c r="Y1362" t="str">
        <f>HYPERLINK("https://recruiter.shine.com/resume/download/?resumeid=gAAAAABbk2UMVApW_5RKfQCCsxUmY3sjiBXO5r5WPrDDvSej9SygQ3FebkS-8g_JqmR_HoqvxxC1sl5nRzSDtYkAI2FIDbAqWL1hd2vxWlG_nInWiioirXejzFtZTczsLvQ-VC1y1J0YJS14cqn6Iep5IZNU3FeQD4r89fpzEWEVhIP50UzlfCo=")</f>
        <v>https://recruiter.shine.com/resume/download/?resumeid=gAAAAABbk2UMVApW_5RKfQCCsxUmY3sjiBXO5r5WPrDDvSej9SygQ3FebkS-8g_JqmR_HoqvxxC1sl5nRzSDtYkAI2FIDbAqWL1hd2vxWlG_nInWiioirXejzFtZTczsLvQ-VC1y1J0YJS14cqn6Iep5IZNU3FeQD4r89fpzEWEVhIP50UzlfCo=</v>
      </c>
    </row>
    <row r="1363" spans="1:25" ht="39.950000000000003" customHeight="1">
      <c r="A1363">
        <v>1359</v>
      </c>
      <c r="B1363" t="s">
        <v>11864</v>
      </c>
      <c r="C1363" t="s">
        <v>11865</v>
      </c>
      <c r="D1363" t="s">
        <v>11866</v>
      </c>
      <c r="E1363" t="s">
        <v>11867</v>
      </c>
      <c r="F1363" t="s">
        <v>29</v>
      </c>
      <c r="G1363" t="s">
        <v>3425</v>
      </c>
      <c r="H1363" t="s">
        <v>234</v>
      </c>
      <c r="I1363" t="s">
        <v>1122</v>
      </c>
      <c r="J1363" t="s">
        <v>801</v>
      </c>
      <c r="K1363" t="s">
        <v>11868</v>
      </c>
      <c r="L1363" t="s">
        <v>88</v>
      </c>
      <c r="M1363" t="s">
        <v>254</v>
      </c>
      <c r="N1363" t="s">
        <v>11869</v>
      </c>
      <c r="O1363" t="s">
        <v>186</v>
      </c>
      <c r="P1363" t="s">
        <v>57</v>
      </c>
      <c r="Q1363" t="s">
        <v>90</v>
      </c>
      <c r="R1363" t="s">
        <v>91</v>
      </c>
      <c r="S1363" t="s">
        <v>188</v>
      </c>
      <c r="T1363" t="s">
        <v>126</v>
      </c>
      <c r="U1363" t="s">
        <v>43</v>
      </c>
      <c r="V1363" t="s">
        <v>11870</v>
      </c>
      <c r="W1363" t="s">
        <v>11871</v>
      </c>
      <c r="Y1363" t="str">
        <f>HYPERLINK("https://recruiter.shine.com/resume/download/?resumeid=gAAAAABbk2UOT7_QCcN4Ys0qh2swARHgLjwv5aUhV1Eag_CVkvpl8v2Q_ggAm17JOCF5aLMvSd1cGkn7GO7_tfiwn5xekoqCFi1OI_BoGjo8WQOALQBVHfzvPSnNq7am4OQTMyHa0h_-XN5HAsKSRnUq0ZxZJuscp6sUEz8JFYJS1a1PayRNLTg=")</f>
        <v>https://recruiter.shine.com/resume/download/?resumeid=gAAAAABbk2UOT7_QCcN4Ys0qh2swARHgLjwv5aUhV1Eag_CVkvpl8v2Q_ggAm17JOCF5aLMvSd1cGkn7GO7_tfiwn5xekoqCFi1OI_BoGjo8WQOALQBVHfzvPSnNq7am4OQTMyHa0h_-XN5HAsKSRnUq0ZxZJuscp6sUEz8JFYJS1a1PayRNLTg=</v>
      </c>
    </row>
    <row r="1364" spans="1:25" ht="39.950000000000003" customHeight="1">
      <c r="A1364">
        <v>1360</v>
      </c>
      <c r="B1364" t="s">
        <v>11872</v>
      </c>
      <c r="C1364" t="s">
        <v>11873</v>
      </c>
      <c r="D1364" t="s">
        <v>11874</v>
      </c>
      <c r="E1364" t="s">
        <v>11875</v>
      </c>
      <c r="F1364" t="s">
        <v>29</v>
      </c>
      <c r="G1364" t="s">
        <v>11876</v>
      </c>
      <c r="H1364" t="s">
        <v>31</v>
      </c>
      <c r="I1364" t="s">
        <v>650</v>
      </c>
      <c r="J1364" t="s">
        <v>3906</v>
      </c>
      <c r="K1364" t="s">
        <v>11877</v>
      </c>
      <c r="L1364" t="s">
        <v>199</v>
      </c>
      <c r="M1364" t="s">
        <v>54</v>
      </c>
      <c r="N1364" t="s">
        <v>11878</v>
      </c>
      <c r="O1364" t="s">
        <v>224</v>
      </c>
      <c r="P1364" t="s">
        <v>57</v>
      </c>
      <c r="Q1364" t="s">
        <v>58</v>
      </c>
      <c r="R1364" t="s">
        <v>59</v>
      </c>
      <c r="S1364" t="s">
        <v>5321</v>
      </c>
      <c r="T1364" t="s">
        <v>304</v>
      </c>
      <c r="U1364" t="s">
        <v>43</v>
      </c>
      <c r="V1364" t="s">
        <v>11879</v>
      </c>
      <c r="W1364" t="s">
        <v>11879</v>
      </c>
      <c r="Y1364" t="str">
        <f>HYPERLINK("https://recruiter.shine.com/resume/download/?resumeid=gAAAAABbk2UL7Z57HpHbdp_v6QW5y9CLrfXuVUIdXV-sZ24sjvYQlmX9ifIqui3bxY6NzW_rdQpwQ_5DYWcJMG9kFJ4bnLvoMLpZP5An18hf1bPEezuajVHVekObGS6efYXEvT1LJjGScf1_5S8e8OIxhDODC2AGyHEjXmBK7vNyiEk_Xa1Q0jc=")</f>
        <v>https://recruiter.shine.com/resume/download/?resumeid=gAAAAABbk2UL7Z57HpHbdp_v6QW5y9CLrfXuVUIdXV-sZ24sjvYQlmX9ifIqui3bxY6NzW_rdQpwQ_5DYWcJMG9kFJ4bnLvoMLpZP5An18hf1bPEezuajVHVekObGS6efYXEvT1LJjGScf1_5S8e8OIxhDODC2AGyHEjXmBK7vNyiEk_Xa1Q0jc=</v>
      </c>
    </row>
    <row r="1365" spans="1:25" ht="39.950000000000003" customHeight="1">
      <c r="A1365">
        <v>1361</v>
      </c>
      <c r="B1365" t="s">
        <v>11880</v>
      </c>
      <c r="C1365" t="s">
        <v>11881</v>
      </c>
      <c r="D1365" t="s">
        <v>11882</v>
      </c>
      <c r="E1365" t="s">
        <v>11883</v>
      </c>
      <c r="F1365" t="s">
        <v>29</v>
      </c>
      <c r="G1365" t="s">
        <v>9471</v>
      </c>
      <c r="H1365" t="s">
        <v>31</v>
      </c>
      <c r="I1365" t="s">
        <v>958</v>
      </c>
      <c r="J1365" t="s">
        <v>408</v>
      </c>
      <c r="K1365" t="s">
        <v>11884</v>
      </c>
      <c r="L1365" t="s">
        <v>596</v>
      </c>
      <c r="M1365" t="s">
        <v>339</v>
      </c>
      <c r="N1365" t="s">
        <v>11885</v>
      </c>
      <c r="O1365" t="s">
        <v>186</v>
      </c>
      <c r="P1365" t="s">
        <v>57</v>
      </c>
      <c r="Q1365" t="s">
        <v>107</v>
      </c>
      <c r="R1365" t="s">
        <v>559</v>
      </c>
      <c r="S1365" t="s">
        <v>11886</v>
      </c>
      <c r="T1365" t="s">
        <v>110</v>
      </c>
      <c r="U1365" t="s">
        <v>43</v>
      </c>
      <c r="V1365" t="s">
        <v>11887</v>
      </c>
      <c r="W1365" t="s">
        <v>11888</v>
      </c>
      <c r="Y1365" t="str">
        <f>HYPERLINK("https://recruiter.shine.com/resume/download/?resumeid=gAAAAABbk2UMbofpm6mRDARTCszWAYCe_6t00u0m7bAOQqB2EUAc2oX8mQL0g81BgbgrgsKShZGRZcnXczCxmLmiqSRVB3As1JMZOvLj6VimBdPHcYcA9JBqucmXKvNOJfed1aIdKHCOkj_vIGhFd9NQ9WmoY6yw6Q==")</f>
        <v>https://recruiter.shine.com/resume/download/?resumeid=gAAAAABbk2UMbofpm6mRDARTCszWAYCe_6t00u0m7bAOQqB2EUAc2oX8mQL0g81BgbgrgsKShZGRZcnXczCxmLmiqSRVB3As1JMZOvLj6VimBdPHcYcA9JBqucmXKvNOJfed1aIdKHCOkj_vIGhFd9NQ9WmoY6yw6Q==</v>
      </c>
    </row>
    <row r="1366" spans="1:25" ht="39.950000000000003" customHeight="1">
      <c r="A1366">
        <v>1362</v>
      </c>
      <c r="B1366" t="s">
        <v>11889</v>
      </c>
      <c r="D1366" t="s">
        <v>11890</v>
      </c>
      <c r="E1366" t="s">
        <v>11891</v>
      </c>
      <c r="F1366" t="s">
        <v>29</v>
      </c>
      <c r="H1366" t="s">
        <v>31</v>
      </c>
      <c r="I1366" t="s">
        <v>568</v>
      </c>
      <c r="J1366" t="s">
        <v>801</v>
      </c>
      <c r="K1366" t="s">
        <v>11892</v>
      </c>
      <c r="L1366" t="s">
        <v>120</v>
      </c>
      <c r="M1366" t="s">
        <v>2718</v>
      </c>
      <c r="N1366" t="s">
        <v>11893</v>
      </c>
      <c r="O1366" t="s">
        <v>186</v>
      </c>
      <c r="Q1366" t="s">
        <v>40</v>
      </c>
      <c r="R1366" t="s">
        <v>829</v>
      </c>
      <c r="S1366" t="s">
        <v>2018</v>
      </c>
      <c r="T1366" t="s">
        <v>687</v>
      </c>
      <c r="U1366" t="s">
        <v>127</v>
      </c>
      <c r="V1366" t="s">
        <v>11894</v>
      </c>
      <c r="W1366" t="s">
        <v>11895</v>
      </c>
      <c r="Y1366" t="str">
        <f>HYPERLINK("https://recruiter.shine.com/resume/download/?resumeid=gAAAAABbk2UN9eMwUw3QhjrzjomMJKYsSGOiKzhngYVzjpv5EAuve3KnDiMraShSPbLza-ea_ocdwCMBFrvYBJMirwMWDuidLV31sdGj5ZR3Et4HMldWcNPe6rLPtmthGUu94qW--L-1PELhrhm9JKxGju6OrG-cqVC2_hyI-8v8Kr03D3yuJT0=")</f>
        <v>https://recruiter.shine.com/resume/download/?resumeid=gAAAAABbk2UN9eMwUw3QhjrzjomMJKYsSGOiKzhngYVzjpv5EAuve3KnDiMraShSPbLza-ea_ocdwCMBFrvYBJMirwMWDuidLV31sdGj5ZR3Et4HMldWcNPe6rLPtmthGUu94qW--L-1PELhrhm9JKxGju6OrG-cqVC2_hyI-8v8Kr03D3yuJT0=</v>
      </c>
    </row>
    <row r="1367" spans="1:25" ht="39.950000000000003" customHeight="1">
      <c r="A1367">
        <v>1363</v>
      </c>
      <c r="B1367" t="s">
        <v>11896</v>
      </c>
      <c r="C1367" t="s">
        <v>11897</v>
      </c>
      <c r="D1367" t="s">
        <v>11898</v>
      </c>
      <c r="E1367" t="s">
        <v>11899</v>
      </c>
      <c r="F1367" t="s">
        <v>29</v>
      </c>
      <c r="G1367" t="s">
        <v>29</v>
      </c>
      <c r="H1367" t="s">
        <v>31</v>
      </c>
      <c r="I1367" t="s">
        <v>32</v>
      </c>
      <c r="J1367" t="s">
        <v>1503</v>
      </c>
      <c r="K1367" t="s">
        <v>11900</v>
      </c>
      <c r="L1367" t="s">
        <v>266</v>
      </c>
      <c r="M1367" t="s">
        <v>1124</v>
      </c>
      <c r="N1367" t="s">
        <v>2229</v>
      </c>
      <c r="O1367" t="s">
        <v>5360</v>
      </c>
      <c r="P1367" t="s">
        <v>57</v>
      </c>
      <c r="Q1367" t="s">
        <v>90</v>
      </c>
      <c r="R1367" t="s">
        <v>465</v>
      </c>
      <c r="S1367" t="s">
        <v>11901</v>
      </c>
      <c r="T1367" t="s">
        <v>227</v>
      </c>
      <c r="U1367" t="s">
        <v>127</v>
      </c>
      <c r="V1367" t="s">
        <v>11902</v>
      </c>
      <c r="W1367" t="s">
        <v>11903</v>
      </c>
      <c r="Y1367" t="str">
        <f>HYPERLINK("https://recruiter.shine.com/resume/download/?resumeid=gAAAAABbk2ULkOdiTWpXtz4cjnNpjRCvmIJ0ncDEKQetoQL1WU35GsoBdjvk5CDuMuM-FEr7vKNgY6FqiO0UxATgdG0Zv4wJv9wPjs5cJzdrpf7K4gFuyCfgnSLYHWPC0mpPKcNPZwV9mi39OFIN2lHHlJ4d6BwXrh-J7V81uNz5TTi8IP_WBuk=")</f>
        <v>https://recruiter.shine.com/resume/download/?resumeid=gAAAAABbk2ULkOdiTWpXtz4cjnNpjRCvmIJ0ncDEKQetoQL1WU35GsoBdjvk5CDuMuM-FEr7vKNgY6FqiO0UxATgdG0Zv4wJv9wPjs5cJzdrpf7K4gFuyCfgnSLYHWPC0mpPKcNPZwV9mi39OFIN2lHHlJ4d6BwXrh-J7V81uNz5TTi8IP_WBuk=</v>
      </c>
    </row>
    <row r="1368" spans="1:25" ht="39.950000000000003" customHeight="1">
      <c r="A1368">
        <v>1364</v>
      </c>
      <c r="B1368" t="s">
        <v>11904</v>
      </c>
      <c r="C1368" t="s">
        <v>11905</v>
      </c>
      <c r="D1368" t="s">
        <v>11906</v>
      </c>
      <c r="E1368" t="s">
        <v>11907</v>
      </c>
      <c r="F1368" t="s">
        <v>29</v>
      </c>
      <c r="G1368" t="s">
        <v>11908</v>
      </c>
      <c r="H1368" t="s">
        <v>31</v>
      </c>
      <c r="I1368" t="s">
        <v>1419</v>
      </c>
      <c r="J1368" t="s">
        <v>11909</v>
      </c>
      <c r="K1368" t="s">
        <v>11910</v>
      </c>
      <c r="L1368" t="s">
        <v>794</v>
      </c>
      <c r="M1368" t="s">
        <v>684</v>
      </c>
      <c r="N1368" t="s">
        <v>11911</v>
      </c>
      <c r="O1368" t="s">
        <v>186</v>
      </c>
      <c r="P1368" t="s">
        <v>940</v>
      </c>
      <c r="Q1368" t="s">
        <v>107</v>
      </c>
      <c r="R1368" t="s">
        <v>2346</v>
      </c>
      <c r="S1368" t="s">
        <v>11912</v>
      </c>
      <c r="T1368" t="s">
        <v>61</v>
      </c>
      <c r="U1368" t="s">
        <v>127</v>
      </c>
      <c r="V1368" t="s">
        <v>11913</v>
      </c>
      <c r="W1368" t="s">
        <v>11914</v>
      </c>
      <c r="Y1368" t="str">
        <f>HYPERLINK("https://recruiter.shine.com/resume/download/?resumeid=gAAAAABbk2UMYYafU5kfwUt98c9-n5dPu1oixxd7-SBqvmtvQ_hofrQcCik-wSSie4x6bn-X6tJE_TOyfYn6x68C08vYReogSKimv6NGr7vJpnt-Hv3Ryn07U8P52FncScWDVGNaLyXNfuFGBXsjeUR6Ru4pxRd1-g==")</f>
        <v>https://recruiter.shine.com/resume/download/?resumeid=gAAAAABbk2UMYYafU5kfwUt98c9-n5dPu1oixxd7-SBqvmtvQ_hofrQcCik-wSSie4x6bn-X6tJE_TOyfYn6x68C08vYReogSKimv6NGr7vJpnt-Hv3Ryn07U8P52FncScWDVGNaLyXNfuFGBXsjeUR6Ru4pxRd1-g==</v>
      </c>
    </row>
    <row r="1369" spans="1:25" ht="39.950000000000003" customHeight="1">
      <c r="A1369">
        <v>1365</v>
      </c>
      <c r="B1369" t="s">
        <v>11915</v>
      </c>
      <c r="D1369" t="s">
        <v>11916</v>
      </c>
      <c r="E1369" t="s">
        <v>11917</v>
      </c>
      <c r="F1369" t="s">
        <v>29</v>
      </c>
      <c r="H1369" t="s">
        <v>31</v>
      </c>
      <c r="I1369" t="s">
        <v>2074</v>
      </c>
      <c r="J1369" t="s">
        <v>11918</v>
      </c>
      <c r="K1369" t="s">
        <v>11919</v>
      </c>
      <c r="L1369" t="s">
        <v>462</v>
      </c>
      <c r="M1369" t="s">
        <v>238</v>
      </c>
      <c r="N1369" t="s">
        <v>11920</v>
      </c>
      <c r="O1369" t="s">
        <v>585</v>
      </c>
      <c r="Q1369" t="s">
        <v>40</v>
      </c>
      <c r="R1369" t="s">
        <v>2364</v>
      </c>
      <c r="S1369" t="s">
        <v>11921</v>
      </c>
      <c r="T1369" t="s">
        <v>2358</v>
      </c>
      <c r="U1369" t="s">
        <v>127</v>
      </c>
      <c r="V1369" t="s">
        <v>11922</v>
      </c>
      <c r="W1369" t="s">
        <v>11923</v>
      </c>
      <c r="Y1369" t="str">
        <f>HYPERLINK("https://recruiter.shine.com/resume/download/?resumeid=gAAAAABbk2UN4NHE-VlcDlmZgkyhUn3hiWK3gmiV6Xy4IOrFdVeLtJYcsJzuOGoOH__9XqtFwqwYb6Iww95PSHdTRlc6WN7PM1Kp0OJeHPVZ7d7lEorBaV_cNN20SGPDNAtQh1GUAdiPnYjRiEAL3Cw2HQxczEstX2tyc2k0xoFDo4F3vJc5nbk=")</f>
        <v>https://recruiter.shine.com/resume/download/?resumeid=gAAAAABbk2UN4NHE-VlcDlmZgkyhUn3hiWK3gmiV6Xy4IOrFdVeLtJYcsJzuOGoOH__9XqtFwqwYb6Iww95PSHdTRlc6WN7PM1Kp0OJeHPVZ7d7lEorBaV_cNN20SGPDNAtQh1GUAdiPnYjRiEAL3Cw2HQxczEstX2tyc2k0xoFDo4F3vJc5nbk=</v>
      </c>
    </row>
    <row r="1370" spans="1:25" ht="39.950000000000003" customHeight="1">
      <c r="A1370">
        <v>1366</v>
      </c>
      <c r="B1370" t="s">
        <v>11924</v>
      </c>
      <c r="C1370" t="s">
        <v>11925</v>
      </c>
      <c r="D1370" t="s">
        <v>11926</v>
      </c>
      <c r="E1370" t="s">
        <v>11927</v>
      </c>
      <c r="F1370" t="s">
        <v>29</v>
      </c>
      <c r="G1370" t="s">
        <v>30</v>
      </c>
      <c r="H1370" t="s">
        <v>31</v>
      </c>
      <c r="I1370" t="s">
        <v>5148</v>
      </c>
      <c r="J1370" t="s">
        <v>153</v>
      </c>
      <c r="K1370" t="s">
        <v>11928</v>
      </c>
      <c r="L1370" t="s">
        <v>794</v>
      </c>
      <c r="M1370" t="s">
        <v>684</v>
      </c>
      <c r="N1370" t="s">
        <v>4815</v>
      </c>
      <c r="O1370" t="s">
        <v>585</v>
      </c>
      <c r="P1370" t="s">
        <v>140</v>
      </c>
      <c r="Q1370" t="s">
        <v>107</v>
      </c>
      <c r="R1370" t="s">
        <v>341</v>
      </c>
      <c r="S1370" t="s">
        <v>11929</v>
      </c>
      <c r="T1370" t="s">
        <v>110</v>
      </c>
      <c r="U1370" t="s">
        <v>43</v>
      </c>
      <c r="V1370" t="s">
        <v>11930</v>
      </c>
      <c r="W1370" t="s">
        <v>11931</v>
      </c>
      <c r="Y1370" t="str">
        <f>HYPERLINK("https://recruiter.shine.com/resume/download/?resumeid=gAAAAABbk2UKBbFNEy7_J6fELCLYx1C__Z-keoKo3FzqSK10ZPHyW6pPMOA5yk-bXWvAFEQC9p8pX88KW3Fc1Nryif56X69VMF9V3IQ_ERVabdd-31VUm7DAqtuaz5vQSC76JbXNxQ_jDQ6I-XR13sLh6Uvx9gRmoQ==")</f>
        <v>https://recruiter.shine.com/resume/download/?resumeid=gAAAAABbk2UKBbFNEy7_J6fELCLYx1C__Z-keoKo3FzqSK10ZPHyW6pPMOA5yk-bXWvAFEQC9p8pX88KW3Fc1Nryif56X69VMF9V3IQ_ERVabdd-31VUm7DAqtuaz5vQSC76JbXNxQ_jDQ6I-XR13sLh6Uvx9gRmoQ==</v>
      </c>
    </row>
    <row r="1371" spans="1:25" ht="39.950000000000003" customHeight="1">
      <c r="A1371">
        <v>1367</v>
      </c>
      <c r="B1371" t="s">
        <v>11932</v>
      </c>
      <c r="C1371" t="s">
        <v>1434</v>
      </c>
      <c r="D1371" t="s">
        <v>11933</v>
      </c>
      <c r="E1371" t="s">
        <v>11934</v>
      </c>
      <c r="F1371" t="s">
        <v>29</v>
      </c>
      <c r="G1371" t="s">
        <v>29</v>
      </c>
      <c r="H1371" t="s">
        <v>31</v>
      </c>
      <c r="I1371" t="s">
        <v>362</v>
      </c>
      <c r="J1371" t="s">
        <v>135</v>
      </c>
      <c r="L1371" t="s">
        <v>363</v>
      </c>
      <c r="M1371" t="s">
        <v>364</v>
      </c>
      <c r="Q1371" t="s">
        <v>90</v>
      </c>
      <c r="R1371" t="s">
        <v>292</v>
      </c>
      <c r="S1371" t="s">
        <v>3454</v>
      </c>
      <c r="T1371" t="s">
        <v>126</v>
      </c>
      <c r="U1371" t="s">
        <v>43</v>
      </c>
      <c r="V1371" t="s">
        <v>11935</v>
      </c>
      <c r="W1371" t="s">
        <v>11936</v>
      </c>
      <c r="Y1371" t="str">
        <f>HYPERLINK("https://recruiter.shine.com/resume/download/?resumeid=gAAAAABbk2UM3CUTqF45IvhP-t_nX_S-FuxTm6KfzphOh6_55ee0tFrqfDT4gFDZJYbVi1CcuK7UPRnT9sGeZPxWvkoBJaSOiSrDnxNfKzN17Nu8zUyS7tksYQnNGa32QmLgd6oo342LKjc0lFznN1te9P_bp8h_aJMsijnTIcksZC_sJLFpqsI=")</f>
        <v>https://recruiter.shine.com/resume/download/?resumeid=gAAAAABbk2UM3CUTqF45IvhP-t_nX_S-FuxTm6KfzphOh6_55ee0tFrqfDT4gFDZJYbVi1CcuK7UPRnT9sGeZPxWvkoBJaSOiSrDnxNfKzN17Nu8zUyS7tksYQnNGa32QmLgd6oo342LKjc0lFznN1te9P_bp8h_aJMsijnTIcksZC_sJLFpqsI=</v>
      </c>
    </row>
    <row r="1372" spans="1:25" ht="39.950000000000003" customHeight="1">
      <c r="A1372">
        <v>1368</v>
      </c>
      <c r="B1372" t="s">
        <v>11937</v>
      </c>
      <c r="C1372" t="s">
        <v>10684</v>
      </c>
      <c r="D1372" t="s">
        <v>11938</v>
      </c>
      <c r="E1372" t="s">
        <v>11939</v>
      </c>
      <c r="F1372" t="s">
        <v>29</v>
      </c>
      <c r="G1372" t="s">
        <v>11940</v>
      </c>
      <c r="H1372" t="s">
        <v>31</v>
      </c>
      <c r="I1372" t="s">
        <v>196</v>
      </c>
      <c r="J1372" t="s">
        <v>251</v>
      </c>
      <c r="K1372" t="s">
        <v>5683</v>
      </c>
      <c r="L1372" t="s">
        <v>104</v>
      </c>
      <c r="M1372" t="s">
        <v>938</v>
      </c>
      <c r="N1372" t="s">
        <v>11941</v>
      </c>
      <c r="O1372" t="s">
        <v>186</v>
      </c>
      <c r="P1372" t="s">
        <v>57</v>
      </c>
      <c r="Q1372" t="s">
        <v>107</v>
      </c>
      <c r="R1372" t="s">
        <v>341</v>
      </c>
      <c r="S1372" t="s">
        <v>11942</v>
      </c>
      <c r="T1372" t="s">
        <v>441</v>
      </c>
      <c r="U1372" t="s">
        <v>43</v>
      </c>
      <c r="V1372" t="s">
        <v>11943</v>
      </c>
      <c r="W1372" t="s">
        <v>11943</v>
      </c>
      <c r="Y1372" t="str">
        <f>HYPERLINK("https://recruiter.shine.com/resume/download/?resumeid=gAAAAABbk2UOtAFy4H_NsMm6zSuN1Uqn_-VbE0KiAMaxvMJbLNhE7LQK8_5KCX6bljREuSO3VaUHM4x7-XBKyPdeZBYMFaw6lazqXNTBnwrGW14RgS6kIjZIUpHXn9R8rbpQjsfsCf1IwBEWRw_V25DnaOswEBhoSstjGpmh6JlcB_x0Jy2Tnsw=")</f>
        <v>https://recruiter.shine.com/resume/download/?resumeid=gAAAAABbk2UOtAFy4H_NsMm6zSuN1Uqn_-VbE0KiAMaxvMJbLNhE7LQK8_5KCX6bljREuSO3VaUHM4x7-XBKyPdeZBYMFaw6lazqXNTBnwrGW14RgS6kIjZIUpHXn9R8rbpQjsfsCf1IwBEWRw_V25DnaOswEBhoSstjGpmh6JlcB_x0Jy2Tnsw=</v>
      </c>
    </row>
    <row r="1373" spans="1:25" ht="39.950000000000003" customHeight="1">
      <c r="A1373">
        <v>1369</v>
      </c>
      <c r="B1373" t="s">
        <v>11944</v>
      </c>
      <c r="C1373" t="s">
        <v>11945</v>
      </c>
      <c r="D1373" t="s">
        <v>11946</v>
      </c>
      <c r="E1373" t="s">
        <v>11947</v>
      </c>
      <c r="F1373" t="s">
        <v>29</v>
      </c>
      <c r="G1373" t="s">
        <v>29</v>
      </c>
      <c r="H1373" t="s">
        <v>31</v>
      </c>
      <c r="I1373" t="s">
        <v>568</v>
      </c>
      <c r="J1373" t="s">
        <v>3591</v>
      </c>
      <c r="K1373" t="s">
        <v>11948</v>
      </c>
      <c r="L1373" t="s">
        <v>155</v>
      </c>
      <c r="M1373" t="s">
        <v>105</v>
      </c>
      <c r="N1373" t="s">
        <v>37</v>
      </c>
      <c r="O1373" t="s">
        <v>572</v>
      </c>
      <c r="P1373" t="s">
        <v>73</v>
      </c>
      <c r="Q1373" t="s">
        <v>107</v>
      </c>
      <c r="R1373" t="s">
        <v>559</v>
      </c>
      <c r="S1373" t="s">
        <v>11949</v>
      </c>
      <c r="T1373" t="s">
        <v>773</v>
      </c>
      <c r="U1373" t="s">
        <v>43</v>
      </c>
      <c r="V1373" t="s">
        <v>11950</v>
      </c>
      <c r="W1373" t="s">
        <v>11951</v>
      </c>
      <c r="Y1373" t="str">
        <f>HYPERLINK("https://recruiter.shine.com/resume/download/?resumeid=gAAAAABbk2UKp0jGZ7VUphZpJBL-Y7c2Ob1fYAXKM4oa4cKz4daq3Z5rTww5xoTsMoQLwEJy-wZ2DeyWuTRXKqxGZZZMfx32gVbT5n9sn3pQbQIZSGtiN11qbvZaqqIefLFyGDqgLha_-60N1mbU5_wWkc9dZ-OMOFNkD4BvhCPSmT9xagqpnSk=")</f>
        <v>https://recruiter.shine.com/resume/download/?resumeid=gAAAAABbk2UKp0jGZ7VUphZpJBL-Y7c2Ob1fYAXKM4oa4cKz4daq3Z5rTww5xoTsMoQLwEJy-wZ2DeyWuTRXKqxGZZZMfx32gVbT5n9sn3pQbQIZSGtiN11qbvZaqqIefLFyGDqgLha_-60N1mbU5_wWkc9dZ-OMOFNkD4BvhCPSmT9xagqpnSk=</v>
      </c>
    </row>
    <row r="1374" spans="1:25" ht="39.950000000000003" customHeight="1">
      <c r="A1374">
        <v>1370</v>
      </c>
      <c r="B1374" t="s">
        <v>11952</v>
      </c>
      <c r="C1374" t="s">
        <v>11953</v>
      </c>
      <c r="D1374" t="s">
        <v>11954</v>
      </c>
      <c r="E1374" t="s">
        <v>11955</v>
      </c>
      <c r="F1374" t="s">
        <v>29</v>
      </c>
      <c r="G1374" t="s">
        <v>2164</v>
      </c>
      <c r="H1374" t="s">
        <v>31</v>
      </c>
      <c r="I1374" t="s">
        <v>2354</v>
      </c>
      <c r="J1374" t="s">
        <v>251</v>
      </c>
      <c r="K1374" t="s">
        <v>210</v>
      </c>
      <c r="L1374" t="s">
        <v>254</v>
      </c>
      <c r="M1374" t="s">
        <v>315</v>
      </c>
      <c r="N1374" t="s">
        <v>11956</v>
      </c>
      <c r="O1374" t="s">
        <v>1422</v>
      </c>
      <c r="P1374" t="s">
        <v>57</v>
      </c>
      <c r="Q1374" t="s">
        <v>158</v>
      </c>
      <c r="R1374" t="s">
        <v>490</v>
      </c>
      <c r="S1374" t="s">
        <v>11957</v>
      </c>
      <c r="T1374" t="s">
        <v>851</v>
      </c>
      <c r="U1374" t="s">
        <v>94</v>
      </c>
      <c r="V1374" t="s">
        <v>11958</v>
      </c>
      <c r="W1374" t="s">
        <v>11959</v>
      </c>
      <c r="Y1374" t="str">
        <f>HYPERLINK("https://recruiter.shine.com/resume/download/?resumeid=gAAAAABbk2UM_Zcehi3yBVLoUJ9WlY4IEvenwShtwa460LfbpDlSXpTMpi7n7M7cg1Zp_L7j5xd-6G2J_deojp4b03GxrWAkC9FXe93IIRqVtBX0X4yosr2Y7sjcTh7QBgWtpJbAECgMZV4l81BXYHbPgGrqdB-Stg==")</f>
        <v>https://recruiter.shine.com/resume/download/?resumeid=gAAAAABbk2UM_Zcehi3yBVLoUJ9WlY4IEvenwShtwa460LfbpDlSXpTMpi7n7M7cg1Zp_L7j5xd-6G2J_deojp4b03GxrWAkC9FXe93IIRqVtBX0X4yosr2Y7sjcTh7QBgWtpJbAECgMZV4l81BXYHbPgGrqdB-Stg==</v>
      </c>
    </row>
    <row r="1375" spans="1:25" ht="39.950000000000003" customHeight="1">
      <c r="A1375">
        <v>1371</v>
      </c>
      <c r="B1375" t="s">
        <v>11960</v>
      </c>
      <c r="D1375" t="s">
        <v>11961</v>
      </c>
      <c r="E1375" t="s">
        <v>11962</v>
      </c>
      <c r="F1375" t="s">
        <v>29</v>
      </c>
      <c r="H1375" t="s">
        <v>234</v>
      </c>
      <c r="I1375" t="s">
        <v>860</v>
      </c>
      <c r="J1375" t="s">
        <v>801</v>
      </c>
      <c r="K1375" t="s">
        <v>11963</v>
      </c>
      <c r="L1375" t="s">
        <v>199</v>
      </c>
      <c r="M1375" t="s">
        <v>121</v>
      </c>
      <c r="N1375" t="s">
        <v>11964</v>
      </c>
      <c r="O1375" t="s">
        <v>186</v>
      </c>
      <c r="Q1375" t="s">
        <v>40</v>
      </c>
      <c r="R1375" t="s">
        <v>2364</v>
      </c>
      <c r="S1375" t="s">
        <v>11965</v>
      </c>
      <c r="T1375" t="s">
        <v>61</v>
      </c>
      <c r="U1375" t="s">
        <v>127</v>
      </c>
      <c r="V1375" t="s">
        <v>11966</v>
      </c>
      <c r="W1375" t="s">
        <v>11967</v>
      </c>
      <c r="Y1375" t="str">
        <f>HYPERLINK("https://recruiter.shine.com/resume/download/?resumeid=gAAAAABbk2UO_Z4cySJucryyq8c9n_1p3P_SXqIwDSCklLVqaceJR6DQ0HvTN_7pqkgLWhzbdJTNFHzOjR0O_-7EsR0a7X6xjowZX1_OQ1YVcNkBcRtmyP6uoA3Zik6Xf8VDmBFAxF-RZfvLF1G148tDLQKcutpczA==")</f>
        <v>https://recruiter.shine.com/resume/download/?resumeid=gAAAAABbk2UO_Z4cySJucryyq8c9n_1p3P_SXqIwDSCklLVqaceJR6DQ0HvTN_7pqkgLWhzbdJTNFHzOjR0O_-7EsR0a7X6xjowZX1_OQ1YVcNkBcRtmyP6uoA3Zik6Xf8VDmBFAxF-RZfvLF1G148tDLQKcutpczA==</v>
      </c>
    </row>
    <row r="1376" spans="1:25" ht="39.950000000000003" customHeight="1">
      <c r="A1376">
        <v>1372</v>
      </c>
      <c r="B1376" t="s">
        <v>11968</v>
      </c>
      <c r="C1376" t="s">
        <v>11969</v>
      </c>
      <c r="D1376" t="s">
        <v>11970</v>
      </c>
      <c r="E1376" t="s">
        <v>11971</v>
      </c>
      <c r="F1376" t="s">
        <v>29</v>
      </c>
      <c r="G1376" t="s">
        <v>11972</v>
      </c>
      <c r="H1376" t="s">
        <v>31</v>
      </c>
      <c r="I1376" t="s">
        <v>68</v>
      </c>
      <c r="J1376" t="s">
        <v>299</v>
      </c>
      <c r="K1376" t="s">
        <v>11973</v>
      </c>
      <c r="L1376" t="s">
        <v>88</v>
      </c>
      <c r="M1376" t="s">
        <v>884</v>
      </c>
      <c r="N1376" t="s">
        <v>11974</v>
      </c>
      <c r="O1376" t="s">
        <v>186</v>
      </c>
      <c r="P1376" t="s">
        <v>57</v>
      </c>
      <c r="Q1376" t="s">
        <v>699</v>
      </c>
      <c r="R1376" t="s">
        <v>59</v>
      </c>
      <c r="S1376" t="s">
        <v>11975</v>
      </c>
      <c r="T1376" t="s">
        <v>561</v>
      </c>
      <c r="U1376" t="s">
        <v>43</v>
      </c>
      <c r="V1376" t="s">
        <v>11976</v>
      </c>
      <c r="W1376" t="s">
        <v>11977</v>
      </c>
      <c r="Y1376" t="str">
        <f>HYPERLINK("https://recruiter.shine.com/resume/download/?resumeid=gAAAAABbk2ULlcxHxtl7DLjIL5FfjDsJAPLiCzirKDCxgsH2nIVHjnHsuvOV6UvBfnrCxW9daC6LQBZ4RsJ_DM5jEK72-Ct84ggFXbWam2Gi8n6ekPtPxZBZRrVNm73uNRUVjp2rPrL1")</f>
        <v>https://recruiter.shine.com/resume/download/?resumeid=gAAAAABbk2ULlcxHxtl7DLjIL5FfjDsJAPLiCzirKDCxgsH2nIVHjnHsuvOV6UvBfnrCxW9daC6LQBZ4RsJ_DM5jEK72-Ct84ggFXbWam2Gi8n6ekPtPxZBZRrVNm73uNRUVjp2rPrL1</v>
      </c>
    </row>
    <row r="1377" spans="1:25" ht="39.950000000000003" customHeight="1">
      <c r="A1377">
        <v>1373</v>
      </c>
      <c r="B1377" t="s">
        <v>11978</v>
      </c>
      <c r="C1377" t="s">
        <v>11979</v>
      </c>
      <c r="D1377" t="s">
        <v>11980</v>
      </c>
      <c r="E1377" t="s">
        <v>11981</v>
      </c>
      <c r="F1377" t="s">
        <v>29</v>
      </c>
      <c r="G1377" t="s">
        <v>11982</v>
      </c>
      <c r="H1377" t="s">
        <v>31</v>
      </c>
      <c r="I1377" t="s">
        <v>362</v>
      </c>
      <c r="J1377" t="s">
        <v>1050</v>
      </c>
      <c r="L1377" t="s">
        <v>363</v>
      </c>
      <c r="M1377" t="s">
        <v>364</v>
      </c>
      <c r="P1377" t="s">
        <v>140</v>
      </c>
      <c r="Q1377" t="s">
        <v>107</v>
      </c>
      <c r="R1377" t="s">
        <v>341</v>
      </c>
      <c r="S1377" t="s">
        <v>11983</v>
      </c>
      <c r="T1377" t="s">
        <v>429</v>
      </c>
      <c r="U1377" t="s">
        <v>43</v>
      </c>
      <c r="V1377" t="s">
        <v>11984</v>
      </c>
      <c r="W1377" t="s">
        <v>11985</v>
      </c>
      <c r="Y1377" t="str">
        <f>HYPERLINK("https://recruiter.shine.com/resume/download/?resumeid=gAAAAABbk2UMixe5UY6aSIHtvz2lGV9bka9dKeO6lA4k_M6OIBJfQgGQ1ZRdVCoEXflhN6uBAsSred5WgmtWskILEJBw2glqvSxxyYYCwjrz5nsUkeuDd13G-8sbRQN_9s_DpOBmOcArRIOZk9yNJa-TSgVkF-HSoA==")</f>
        <v>https://recruiter.shine.com/resume/download/?resumeid=gAAAAABbk2UMixe5UY6aSIHtvz2lGV9bka9dKeO6lA4k_M6OIBJfQgGQ1ZRdVCoEXflhN6uBAsSred5WgmtWskILEJBw2glqvSxxyYYCwjrz5nsUkeuDd13G-8sbRQN_9s_DpOBmOcArRIOZk9yNJa-TSgVkF-HSoA==</v>
      </c>
    </row>
    <row r="1378" spans="1:25" ht="39.950000000000003" customHeight="1">
      <c r="A1378">
        <v>1374</v>
      </c>
      <c r="B1378" t="s">
        <v>11986</v>
      </c>
      <c r="D1378" t="s">
        <v>11987</v>
      </c>
      <c r="E1378" t="s">
        <v>11988</v>
      </c>
      <c r="F1378" t="s">
        <v>29</v>
      </c>
      <c r="H1378" t="s">
        <v>234</v>
      </c>
      <c r="I1378" t="s">
        <v>568</v>
      </c>
      <c r="J1378" t="s">
        <v>3808</v>
      </c>
      <c r="K1378" t="s">
        <v>11989</v>
      </c>
      <c r="L1378" t="s">
        <v>3767</v>
      </c>
      <c r="M1378" t="s">
        <v>410</v>
      </c>
      <c r="N1378" t="s">
        <v>11990</v>
      </c>
      <c r="O1378" t="s">
        <v>3052</v>
      </c>
      <c r="Q1378" t="s">
        <v>699</v>
      </c>
      <c r="R1378" t="s">
        <v>1526</v>
      </c>
      <c r="S1378" t="s">
        <v>11991</v>
      </c>
      <c r="T1378" t="s">
        <v>773</v>
      </c>
      <c r="U1378" t="s">
        <v>43</v>
      </c>
      <c r="V1378" t="s">
        <v>11992</v>
      </c>
      <c r="W1378" t="s">
        <v>11992</v>
      </c>
      <c r="Y1378" t="str">
        <f>HYPERLINK("https://recruiter.shine.com/resume/download/?resumeid=gAAAAABbk2UN_y7Yg5zI_dMoR8WXOPevdwDwU3Ex4kFrhgH6b9q48osWRxJbO5wJ_wAEiaiSVpme6381gy5sqxSfNv7surMEghidiNNLCV27gFx5_bcijqluw7skjGAsk65ib3m6l-238LdiDHrVX0yj6zKQN2G5fw==")</f>
        <v>https://recruiter.shine.com/resume/download/?resumeid=gAAAAABbk2UN_y7Yg5zI_dMoR8WXOPevdwDwU3Ex4kFrhgH6b9q48osWRxJbO5wJ_wAEiaiSVpme6381gy5sqxSfNv7surMEghidiNNLCV27gFx5_bcijqluw7skjGAsk65ib3m6l-238LdiDHrVX0yj6zKQN2G5fw==</v>
      </c>
    </row>
    <row r="1379" spans="1:25" ht="39.950000000000003" customHeight="1">
      <c r="A1379">
        <v>1375</v>
      </c>
      <c r="B1379" t="s">
        <v>11993</v>
      </c>
      <c r="C1379" t="s">
        <v>11994</v>
      </c>
      <c r="D1379" t="s">
        <v>11995</v>
      </c>
      <c r="E1379" t="s">
        <v>11996</v>
      </c>
      <c r="F1379" t="s">
        <v>29</v>
      </c>
      <c r="G1379" t="s">
        <v>29</v>
      </c>
      <c r="H1379" t="s">
        <v>234</v>
      </c>
      <c r="I1379" t="s">
        <v>1293</v>
      </c>
      <c r="J1379" t="s">
        <v>2936</v>
      </c>
      <c r="K1379" t="s">
        <v>989</v>
      </c>
      <c r="L1379" t="s">
        <v>290</v>
      </c>
      <c r="M1379" t="s">
        <v>238</v>
      </c>
      <c r="N1379" t="s">
        <v>11997</v>
      </c>
      <c r="O1379" t="s">
        <v>38</v>
      </c>
      <c r="P1379" t="s">
        <v>39</v>
      </c>
      <c r="Q1379" t="s">
        <v>90</v>
      </c>
      <c r="R1379" t="s">
        <v>292</v>
      </c>
      <c r="S1379" t="s">
        <v>11998</v>
      </c>
      <c r="T1379" t="s">
        <v>429</v>
      </c>
      <c r="U1379" t="s">
        <v>94</v>
      </c>
      <c r="V1379" t="s">
        <v>11999</v>
      </c>
      <c r="W1379" t="s">
        <v>12000</v>
      </c>
      <c r="Y1379" t="str">
        <f>HYPERLINK("https://recruiter.shine.com/resume/download/?resumeid=gAAAAABbk2UKiP_0aZug6owuVSGZRu_ePOytSzjKvrWlQVxB0mVBdjfHwoQFLJG61m0hRZdXjzVbV6q0j6ERMp3gtVwGugMWDcH-ibn4dAsIHrvMIt70XRVGwFvO8PyPYQC2m9-IQByeZZJbab0_fhJx9n_CoRTVj6avHZfHiX2WQPAZ1k5ZGas=")</f>
        <v>https://recruiter.shine.com/resume/download/?resumeid=gAAAAABbk2UKiP_0aZug6owuVSGZRu_ePOytSzjKvrWlQVxB0mVBdjfHwoQFLJG61m0hRZdXjzVbV6q0j6ERMp3gtVwGugMWDcH-ibn4dAsIHrvMIt70XRVGwFvO8PyPYQC2m9-IQByeZZJbab0_fhJx9n_CoRTVj6avHZfHiX2WQPAZ1k5ZGas=</v>
      </c>
    </row>
    <row r="1380" spans="1:25" ht="39.950000000000003" customHeight="1">
      <c r="A1380">
        <v>1376</v>
      </c>
      <c r="B1380" t="s">
        <v>12001</v>
      </c>
      <c r="C1380" t="s">
        <v>12002</v>
      </c>
      <c r="D1380" t="s">
        <v>12003</v>
      </c>
      <c r="E1380" t="s">
        <v>12004</v>
      </c>
      <c r="F1380" t="s">
        <v>29</v>
      </c>
      <c r="G1380" t="s">
        <v>29</v>
      </c>
      <c r="H1380" t="s">
        <v>31</v>
      </c>
      <c r="I1380" t="s">
        <v>725</v>
      </c>
      <c r="J1380" t="s">
        <v>51</v>
      </c>
      <c r="K1380" t="s">
        <v>12005</v>
      </c>
      <c r="L1380" t="s">
        <v>486</v>
      </c>
      <c r="M1380" t="s">
        <v>1124</v>
      </c>
      <c r="N1380" t="s">
        <v>2543</v>
      </c>
      <c r="O1380" t="s">
        <v>38</v>
      </c>
      <c r="P1380" t="s">
        <v>73</v>
      </c>
      <c r="Q1380" t="s">
        <v>489</v>
      </c>
      <c r="R1380" t="s">
        <v>490</v>
      </c>
      <c r="S1380" t="s">
        <v>12006</v>
      </c>
      <c r="T1380" t="s">
        <v>304</v>
      </c>
      <c r="U1380" t="s">
        <v>43</v>
      </c>
      <c r="V1380" t="s">
        <v>12007</v>
      </c>
      <c r="W1380" t="s">
        <v>12007</v>
      </c>
      <c r="Y1380" t="str">
        <f>HYPERLINK("https://recruiter.shine.com/resume/download/?resumeid=gAAAAABbk2UMAYuVvc19SL_Q1OWkCu9AmvFwu0DjfRFfC3Va92crJiJvulDZC1NGYCaPzS_Q-WLa0R_O8lF49JLgEzY502zq7lTDM7NgHlikoFthf2P0b1VtVZOd-4UmU1HVfcx765sooWJrblRw5NXPWmnBE5pwWw==")</f>
        <v>https://recruiter.shine.com/resume/download/?resumeid=gAAAAABbk2UMAYuVvc19SL_Q1OWkCu9AmvFwu0DjfRFfC3Va92crJiJvulDZC1NGYCaPzS_Q-WLa0R_O8lF49JLgEzY502zq7lTDM7NgHlikoFthf2P0b1VtVZOd-4UmU1HVfcx765sooWJrblRw5NXPWmnBE5pwWw==</v>
      </c>
    </row>
    <row r="1381" spans="1:25" ht="39.950000000000003" customHeight="1">
      <c r="A1381">
        <v>1377</v>
      </c>
      <c r="B1381" t="s">
        <v>12008</v>
      </c>
      <c r="D1381" t="s">
        <v>12009</v>
      </c>
      <c r="E1381" t="s">
        <v>12010</v>
      </c>
      <c r="F1381" t="s">
        <v>29</v>
      </c>
      <c r="H1381" t="s">
        <v>234</v>
      </c>
      <c r="I1381" t="s">
        <v>134</v>
      </c>
      <c r="J1381" t="s">
        <v>251</v>
      </c>
      <c r="K1381" t="s">
        <v>12011</v>
      </c>
      <c r="L1381" t="s">
        <v>88</v>
      </c>
      <c r="M1381" t="s">
        <v>757</v>
      </c>
      <c r="N1381" t="s">
        <v>12012</v>
      </c>
      <c r="O1381" t="s">
        <v>38</v>
      </c>
      <c r="Q1381" t="s">
        <v>90</v>
      </c>
      <c r="R1381" t="s">
        <v>427</v>
      </c>
      <c r="S1381" t="s">
        <v>12013</v>
      </c>
      <c r="T1381" t="s">
        <v>110</v>
      </c>
      <c r="U1381" t="s">
        <v>127</v>
      </c>
      <c r="V1381" t="s">
        <v>12014</v>
      </c>
      <c r="W1381" t="s">
        <v>12015</v>
      </c>
      <c r="Y1381" t="str">
        <f>HYPERLINK("https://recruiter.shine.com/resume/download/?resumeid=gAAAAABbk2UO8leqDV4hOFu6TcvhGRVVwb471KZ4Srxo8ZJ-qG6WO-03SlLHcb6ZJxWlA92MsE4cqXRI2gnX2izyCqSbxwgg1KHBvuia1mGIo7Hxor8YzvlK6YShDXK0A-FyMLEFS8ag3SmG_jt7ajsv0cWMMt07xxja21G2KF3xOqgPUf0A6Cc=")</f>
        <v>https://recruiter.shine.com/resume/download/?resumeid=gAAAAABbk2UO8leqDV4hOFu6TcvhGRVVwb471KZ4Srxo8ZJ-qG6WO-03SlLHcb6ZJxWlA92MsE4cqXRI2gnX2izyCqSbxwgg1KHBvuia1mGIo7Hxor8YzvlK6YShDXK0A-FyMLEFS8ag3SmG_jt7ajsv0cWMMt07xxja21G2KF3xOqgPUf0A6Cc=</v>
      </c>
    </row>
    <row r="1382" spans="1:25" ht="39.950000000000003" customHeight="1">
      <c r="A1382">
        <v>1378</v>
      </c>
      <c r="B1382" t="s">
        <v>12016</v>
      </c>
      <c r="C1382" t="s">
        <v>12017</v>
      </c>
      <c r="D1382" t="s">
        <v>12018</v>
      </c>
      <c r="E1382" t="s">
        <v>12019</v>
      </c>
      <c r="F1382" t="s">
        <v>29</v>
      </c>
      <c r="G1382" t="s">
        <v>12020</v>
      </c>
      <c r="H1382" t="s">
        <v>31</v>
      </c>
      <c r="I1382" t="s">
        <v>422</v>
      </c>
      <c r="J1382" t="s">
        <v>715</v>
      </c>
      <c r="K1382" t="s">
        <v>5336</v>
      </c>
      <c r="L1382" t="s">
        <v>596</v>
      </c>
      <c r="M1382" t="s">
        <v>684</v>
      </c>
      <c r="N1382" t="s">
        <v>12021</v>
      </c>
      <c r="O1382" t="s">
        <v>38</v>
      </c>
      <c r="P1382" t="s">
        <v>940</v>
      </c>
      <c r="Q1382" t="s">
        <v>107</v>
      </c>
      <c r="R1382" t="s">
        <v>341</v>
      </c>
      <c r="S1382" t="s">
        <v>12022</v>
      </c>
      <c r="T1382" t="s">
        <v>110</v>
      </c>
      <c r="U1382" t="s">
        <v>43</v>
      </c>
      <c r="V1382" t="s">
        <v>12023</v>
      </c>
      <c r="W1382" t="s">
        <v>12024</v>
      </c>
      <c r="Y1382" t="str">
        <f>HYPERLINK("https://recruiter.shine.com/resume/download/?resumeid=gAAAAABbk2ULJDxss75X01e8dKPL40LJ_2kCXkRubm6MBuLhZWgx1sKA1sAYqMQ6BKYD2V3lgK1Tnh4cdeAHyWsYiuTgVszPWdSpMypWbUGftvw12o4H-FwBoBAZff1pb8zGdgdlRnYI2kSFs9NjpGombEksviomaw==")</f>
        <v>https://recruiter.shine.com/resume/download/?resumeid=gAAAAABbk2ULJDxss75X01e8dKPL40LJ_2kCXkRubm6MBuLhZWgx1sKA1sAYqMQ6BKYD2V3lgK1Tnh4cdeAHyWsYiuTgVszPWdSpMypWbUGftvw12o4H-FwBoBAZff1pb8zGdgdlRnYI2kSFs9NjpGombEksviomaw==</v>
      </c>
    </row>
    <row r="1383" spans="1:25" ht="39.950000000000003" customHeight="1">
      <c r="A1383">
        <v>1379</v>
      </c>
      <c r="B1383" t="s">
        <v>12025</v>
      </c>
      <c r="C1383" t="s">
        <v>12026</v>
      </c>
      <c r="D1383" t="s">
        <v>12027</v>
      </c>
      <c r="E1383" t="s">
        <v>12028</v>
      </c>
      <c r="F1383" t="s">
        <v>29</v>
      </c>
      <c r="G1383" t="s">
        <v>29</v>
      </c>
      <c r="H1383" t="s">
        <v>31</v>
      </c>
      <c r="I1383" t="s">
        <v>7088</v>
      </c>
      <c r="J1383" t="s">
        <v>135</v>
      </c>
      <c r="K1383" t="s">
        <v>12029</v>
      </c>
      <c r="L1383" t="s">
        <v>199</v>
      </c>
      <c r="M1383" t="s">
        <v>222</v>
      </c>
      <c r="N1383" t="s">
        <v>12030</v>
      </c>
      <c r="O1383" t="s">
        <v>186</v>
      </c>
      <c r="Q1383" t="s">
        <v>107</v>
      </c>
      <c r="R1383" t="s">
        <v>341</v>
      </c>
      <c r="S1383" t="s">
        <v>12031</v>
      </c>
      <c r="T1383" t="s">
        <v>257</v>
      </c>
      <c r="U1383" t="s">
        <v>43</v>
      </c>
      <c r="V1383" t="s">
        <v>12032</v>
      </c>
      <c r="W1383" t="s">
        <v>12033</v>
      </c>
      <c r="Y1383" t="str">
        <f>HYPERLINK("https://recruiter.shine.com/resume/download/?resumeid=gAAAAABbk2UMZiRyonXECmPt4OOFQZAXrimB-75f5wI9jHLZ_eRGOy_qHQHMZ2hODo4Lgvz0GqAIZeEWfGa_TTWY8uHAQdKErE_4MtxQSyMA448SEjFPDI_nyXWEKKTlZATaj082PsRcTNPxYSuwg1oUMwUB3eg5Pw==")</f>
        <v>https://recruiter.shine.com/resume/download/?resumeid=gAAAAABbk2UMZiRyonXECmPt4OOFQZAXrimB-75f5wI9jHLZ_eRGOy_qHQHMZ2hODo4Lgvz0GqAIZeEWfGa_TTWY8uHAQdKErE_4MtxQSyMA448SEjFPDI_nyXWEKKTlZATaj082PsRcTNPxYSuwg1oUMwUB3eg5Pw==</v>
      </c>
    </row>
    <row r="1384" spans="1:25" ht="39.950000000000003" customHeight="1">
      <c r="A1384">
        <v>1380</v>
      </c>
      <c r="B1384" t="s">
        <v>12034</v>
      </c>
      <c r="D1384" t="s">
        <v>12035</v>
      </c>
      <c r="E1384" t="s">
        <v>12036</v>
      </c>
      <c r="F1384" t="s">
        <v>29</v>
      </c>
      <c r="G1384" t="s">
        <v>67</v>
      </c>
      <c r="H1384" t="s">
        <v>31</v>
      </c>
      <c r="I1384" t="s">
        <v>2747</v>
      </c>
      <c r="J1384" t="s">
        <v>8828</v>
      </c>
      <c r="K1384" t="s">
        <v>12037</v>
      </c>
      <c r="L1384" t="s">
        <v>12038</v>
      </c>
      <c r="M1384" t="s">
        <v>121</v>
      </c>
      <c r="N1384" t="s">
        <v>2274</v>
      </c>
      <c r="O1384" t="s">
        <v>585</v>
      </c>
      <c r="Q1384" t="s">
        <v>365</v>
      </c>
      <c r="R1384" t="s">
        <v>124</v>
      </c>
      <c r="S1384" t="s">
        <v>12039</v>
      </c>
      <c r="T1384" t="s">
        <v>2554</v>
      </c>
      <c r="U1384" t="s">
        <v>43</v>
      </c>
      <c r="V1384" t="s">
        <v>12040</v>
      </c>
      <c r="W1384" t="s">
        <v>12041</v>
      </c>
      <c r="Y1384" t="str">
        <f>HYPERLINK("https://recruiter.shine.com/resume/download/?resumeid=gAAAAABbk2UOB-4EHe0H6uKdODkTlEgJltVfW7scWjquIcUd0zVpug0pt8U1lAhrmLS76aE35VZLLK7vTq-uOWaASsLMuSoSswJ4PGwSvnqDxfis6sOaBvV1_63yOSRsVvxmysbcUu1g300eGCbjSW3XOCmxjtxEIllVnQblCgwmHBpXdTt1yQ4=")</f>
        <v>https://recruiter.shine.com/resume/download/?resumeid=gAAAAABbk2UOB-4EHe0H6uKdODkTlEgJltVfW7scWjquIcUd0zVpug0pt8U1lAhrmLS76aE35VZLLK7vTq-uOWaASsLMuSoSswJ4PGwSvnqDxfis6sOaBvV1_63yOSRsVvxmysbcUu1g300eGCbjSW3XOCmxjtxEIllVnQblCgwmHBpXdTt1yQ4=</v>
      </c>
    </row>
    <row r="1385" spans="1:25" ht="39.950000000000003" customHeight="1">
      <c r="A1385">
        <v>1381</v>
      </c>
      <c r="B1385" t="s">
        <v>12042</v>
      </c>
      <c r="C1385" t="s">
        <v>12043</v>
      </c>
      <c r="D1385" t="s">
        <v>12044</v>
      </c>
      <c r="E1385" t="s">
        <v>12045</v>
      </c>
      <c r="F1385" t="s">
        <v>29</v>
      </c>
      <c r="G1385" t="s">
        <v>29</v>
      </c>
      <c r="H1385" t="s">
        <v>31</v>
      </c>
      <c r="I1385" t="s">
        <v>8013</v>
      </c>
      <c r="J1385" t="s">
        <v>801</v>
      </c>
      <c r="K1385" t="s">
        <v>12046</v>
      </c>
      <c r="L1385" t="s">
        <v>290</v>
      </c>
      <c r="M1385" t="s">
        <v>238</v>
      </c>
      <c r="N1385" t="s">
        <v>12047</v>
      </c>
      <c r="O1385" t="s">
        <v>56</v>
      </c>
      <c r="P1385" t="s">
        <v>39</v>
      </c>
      <c r="Q1385" t="s">
        <v>90</v>
      </c>
      <c r="R1385" t="s">
        <v>292</v>
      </c>
      <c r="S1385" t="s">
        <v>12048</v>
      </c>
      <c r="T1385" t="s">
        <v>61</v>
      </c>
      <c r="U1385" t="s">
        <v>43</v>
      </c>
      <c r="V1385" t="s">
        <v>12049</v>
      </c>
      <c r="W1385" t="s">
        <v>12050</v>
      </c>
      <c r="Y1385" t="str">
        <f>HYPERLINK("https://recruiter.shine.com/resume/download/?resumeid=gAAAAABbk2UKr-xTDyquIsYN44C-uFRK6Qej7C5Bnrpx8fguT0mj-OeQh1IHyoZ91ciGZNLE9SDKyIpdqWImfulsH7g9FZCwIdY6siTfDB-llE9mCqpGAK8bKHePx6dR2Ayo7LVVIUrqrEnRw6E6VXarotIpzdTGO8GME444F7mFNVWCQcepSTc=")</f>
        <v>https://recruiter.shine.com/resume/download/?resumeid=gAAAAABbk2UKr-xTDyquIsYN44C-uFRK6Qej7C5Bnrpx8fguT0mj-OeQh1IHyoZ91ciGZNLE9SDKyIpdqWImfulsH7g9FZCwIdY6siTfDB-llE9mCqpGAK8bKHePx6dR2Ayo7LVVIUrqrEnRw6E6VXarotIpzdTGO8GME444F7mFNVWCQcepSTc=</v>
      </c>
    </row>
    <row r="1386" spans="1:25" ht="39.950000000000003" customHeight="1">
      <c r="A1386">
        <v>1382</v>
      </c>
      <c r="B1386" t="s">
        <v>12051</v>
      </c>
      <c r="D1386" t="s">
        <v>12052</v>
      </c>
      <c r="E1386" t="s">
        <v>12053</v>
      </c>
      <c r="F1386" t="s">
        <v>29</v>
      </c>
      <c r="G1386" t="s">
        <v>29</v>
      </c>
      <c r="H1386" t="s">
        <v>31</v>
      </c>
      <c r="I1386" t="s">
        <v>208</v>
      </c>
      <c r="J1386" t="s">
        <v>1742</v>
      </c>
      <c r="K1386" t="s">
        <v>7876</v>
      </c>
      <c r="L1386" t="s">
        <v>1889</v>
      </c>
      <c r="M1386" t="s">
        <v>138</v>
      </c>
      <c r="N1386" t="s">
        <v>12054</v>
      </c>
      <c r="O1386" t="s">
        <v>585</v>
      </c>
      <c r="Q1386" t="s">
        <v>783</v>
      </c>
      <c r="R1386" t="s">
        <v>12055</v>
      </c>
      <c r="S1386" t="s">
        <v>12056</v>
      </c>
      <c r="T1386" t="s">
        <v>126</v>
      </c>
      <c r="U1386" t="s">
        <v>94</v>
      </c>
      <c r="V1386" t="s">
        <v>12057</v>
      </c>
      <c r="W1386" t="s">
        <v>12058</v>
      </c>
      <c r="Y1386" t="str">
        <f>HYPERLINK("https://recruiter.shine.com/resume/download/?resumeid=gAAAAABbk2UMXX800PmWrj9pHayHWgj168RaxC9XC0lgkN0T34HXU65RJ2DygRx4sHl9AWJFw4XEtKATMBndeFsJeCj8k0nX0GhghW-Td5xLQjtRYwtyINr0786INNIqFQ8NCjYQ2Vw1hHwSdyU4lcqW54jXEL5CGg==")</f>
        <v>https://recruiter.shine.com/resume/download/?resumeid=gAAAAABbk2UMXX800PmWrj9pHayHWgj168RaxC9XC0lgkN0T34HXU65RJ2DygRx4sHl9AWJFw4XEtKATMBndeFsJeCj8k0nX0GhghW-Td5xLQjtRYwtyINr0786INNIqFQ8NCjYQ2Vw1hHwSdyU4lcqW54jXEL5CGg==</v>
      </c>
    </row>
    <row r="1387" spans="1:25" ht="39.950000000000003" customHeight="1">
      <c r="A1387">
        <v>1383</v>
      </c>
      <c r="B1387" t="s">
        <v>12059</v>
      </c>
      <c r="C1387" t="s">
        <v>12060</v>
      </c>
      <c r="D1387" t="s">
        <v>12061</v>
      </c>
      <c r="E1387" t="s">
        <v>12062</v>
      </c>
      <c r="F1387" t="s">
        <v>29</v>
      </c>
      <c r="G1387" t="s">
        <v>29</v>
      </c>
      <c r="H1387" t="s">
        <v>234</v>
      </c>
      <c r="I1387" t="s">
        <v>5573</v>
      </c>
      <c r="J1387" t="s">
        <v>3169</v>
      </c>
      <c r="K1387" t="s">
        <v>595</v>
      </c>
      <c r="L1387" t="s">
        <v>7345</v>
      </c>
      <c r="M1387" t="s">
        <v>757</v>
      </c>
      <c r="N1387" t="s">
        <v>11645</v>
      </c>
      <c r="O1387" t="s">
        <v>572</v>
      </c>
      <c r="P1387" t="s">
        <v>39</v>
      </c>
      <c r="Q1387" t="s">
        <v>41</v>
      </c>
      <c r="R1387" t="s">
        <v>12063</v>
      </c>
      <c r="S1387" t="s">
        <v>12064</v>
      </c>
      <c r="T1387" t="s">
        <v>1921</v>
      </c>
      <c r="U1387" t="s">
        <v>43</v>
      </c>
      <c r="V1387" t="s">
        <v>12065</v>
      </c>
      <c r="W1387" t="s">
        <v>12066</v>
      </c>
      <c r="Y1387" t="str">
        <f>HYPERLINK("https://recruiter.shine.com/resume/download/?resumeid=gAAAAABbk2UNdH80j3Ew-Mmrr1vFKfV3I25PoJmnQjinZ9mkKWw2JXnFyzl62u8sLLGD7WNxAz81QHcwPhSAgvvCC7dFNJ7pmcHl6a7A84F4w1RWv6pYqM3mok6hXrs0xeTS26DZkKuEbFyu7Oq6py-C_gQ2VKcm-4wy8QpiMM2Nr1s7pMPla8I=")</f>
        <v>https://recruiter.shine.com/resume/download/?resumeid=gAAAAABbk2UNdH80j3Ew-Mmrr1vFKfV3I25PoJmnQjinZ9mkKWw2JXnFyzl62u8sLLGD7WNxAz81QHcwPhSAgvvCC7dFNJ7pmcHl6a7A84F4w1RWv6pYqM3mok6hXrs0xeTS26DZkKuEbFyu7Oq6py-C_gQ2VKcm-4wy8QpiMM2Nr1s7pMPla8I=</v>
      </c>
    </row>
    <row r="1388" spans="1:25" ht="39.950000000000003" customHeight="1">
      <c r="A1388">
        <v>1384</v>
      </c>
      <c r="B1388" t="s">
        <v>12067</v>
      </c>
      <c r="D1388" t="s">
        <v>12068</v>
      </c>
      <c r="E1388" t="s">
        <v>12069</v>
      </c>
      <c r="F1388" t="s">
        <v>29</v>
      </c>
      <c r="G1388" t="s">
        <v>29</v>
      </c>
      <c r="H1388" t="s">
        <v>31</v>
      </c>
      <c r="I1388" t="s">
        <v>7076</v>
      </c>
      <c r="J1388" t="s">
        <v>86</v>
      </c>
      <c r="K1388" t="s">
        <v>12070</v>
      </c>
      <c r="L1388" t="s">
        <v>266</v>
      </c>
      <c r="M1388" t="s">
        <v>684</v>
      </c>
      <c r="N1388" t="s">
        <v>1636</v>
      </c>
      <c r="O1388" t="s">
        <v>56</v>
      </c>
      <c r="Q1388" t="s">
        <v>107</v>
      </c>
      <c r="R1388" t="s">
        <v>2346</v>
      </c>
      <c r="S1388" t="s">
        <v>202</v>
      </c>
      <c r="T1388" t="s">
        <v>175</v>
      </c>
      <c r="U1388" t="s">
        <v>43</v>
      </c>
      <c r="V1388" t="s">
        <v>12071</v>
      </c>
      <c r="W1388" t="s">
        <v>12071</v>
      </c>
      <c r="Y1388" t="str">
        <f>HYPERLINK("https://recruiter.shine.com/resume/download/?resumeid=gAAAAABbk2ULtwnSsDzj4XZPMyclhxoMIHW89H3RSgE9pZmUnlKhLAJNYUZLCopqxjsz0nxPJw7vcZhcElWErazHY5h5S536vzhwGC8klYYh6HfApEUvdrpINQRE9shWpdE6zLiob906iRFr2JS5zMLcBlGnA6hEZw==")</f>
        <v>https://recruiter.shine.com/resume/download/?resumeid=gAAAAABbk2ULtwnSsDzj4XZPMyclhxoMIHW89H3RSgE9pZmUnlKhLAJNYUZLCopqxjsz0nxPJw7vcZhcElWErazHY5h5S536vzhwGC8klYYh6HfApEUvdrpINQRE9shWpdE6zLiob906iRFr2JS5zMLcBlGnA6hEZw==</v>
      </c>
    </row>
    <row r="1389" spans="1:25" ht="39.950000000000003" customHeight="1">
      <c r="A1389">
        <v>1385</v>
      </c>
      <c r="B1389" t="s">
        <v>12072</v>
      </c>
      <c r="C1389" t="s">
        <v>12073</v>
      </c>
      <c r="D1389" t="s">
        <v>12074</v>
      </c>
      <c r="E1389" t="s">
        <v>12075</v>
      </c>
      <c r="F1389" t="s">
        <v>29</v>
      </c>
      <c r="G1389" t="s">
        <v>29</v>
      </c>
      <c r="H1389" t="s">
        <v>31</v>
      </c>
      <c r="I1389" t="s">
        <v>714</v>
      </c>
      <c r="J1389" t="s">
        <v>2130</v>
      </c>
      <c r="K1389" t="s">
        <v>8456</v>
      </c>
      <c r="L1389" t="s">
        <v>104</v>
      </c>
      <c r="M1389" t="s">
        <v>105</v>
      </c>
      <c r="N1389" t="s">
        <v>12076</v>
      </c>
      <c r="O1389" t="s">
        <v>38</v>
      </c>
      <c r="P1389" t="s">
        <v>140</v>
      </c>
      <c r="Q1389" t="s">
        <v>123</v>
      </c>
      <c r="R1389" t="s">
        <v>124</v>
      </c>
      <c r="S1389" t="s">
        <v>12077</v>
      </c>
      <c r="T1389" t="s">
        <v>161</v>
      </c>
      <c r="U1389" t="s">
        <v>127</v>
      </c>
      <c r="V1389" t="s">
        <v>12078</v>
      </c>
      <c r="W1389" t="s">
        <v>12078</v>
      </c>
      <c r="Y1389" t="str">
        <f>HYPERLINK("https://recruiter.shine.com/resume/download/?resumeid=gAAAAABbk2UM-6L-e8ViuOHZC_yk-xX-1NEur0Ltz-tuqgZeoOz26bCwqIc7VnhjKVQ3qHDk0Go5kGdo1DY8yc5Abjr53AnCZnbBdMPZv8Cd21qUDvJquhBhCbqwWprH0SYru3GC_HchQd7SAzjzmSlBFye8M4OWGc5L7_rSU4IHFux6hVzaicc=")</f>
        <v>https://recruiter.shine.com/resume/download/?resumeid=gAAAAABbk2UM-6L-e8ViuOHZC_yk-xX-1NEur0Ltz-tuqgZeoOz26bCwqIc7VnhjKVQ3qHDk0Go5kGdo1DY8yc5Abjr53AnCZnbBdMPZv8Cd21qUDvJquhBhCbqwWprH0SYru3GC_HchQd7SAzjzmSlBFye8M4OWGc5L7_rSU4IHFux6hVzaicc=</v>
      </c>
    </row>
    <row r="1390" spans="1:25" ht="39.950000000000003" customHeight="1">
      <c r="A1390">
        <v>1386</v>
      </c>
      <c r="B1390" t="s">
        <v>12079</v>
      </c>
      <c r="C1390" t="s">
        <v>12080</v>
      </c>
      <c r="D1390" t="s">
        <v>12081</v>
      </c>
      <c r="E1390" t="s">
        <v>12082</v>
      </c>
      <c r="F1390" t="s">
        <v>249</v>
      </c>
      <c r="H1390" t="s">
        <v>31</v>
      </c>
      <c r="I1390" t="s">
        <v>2074</v>
      </c>
      <c r="J1390" t="s">
        <v>12083</v>
      </c>
      <c r="K1390" t="s">
        <v>12084</v>
      </c>
      <c r="L1390" t="s">
        <v>3767</v>
      </c>
      <c r="M1390" t="s">
        <v>1335</v>
      </c>
      <c r="N1390" t="s">
        <v>12085</v>
      </c>
      <c r="O1390" t="s">
        <v>804</v>
      </c>
      <c r="P1390" t="s">
        <v>57</v>
      </c>
      <c r="Q1390" t="s">
        <v>158</v>
      </c>
      <c r="R1390" t="s">
        <v>12086</v>
      </c>
      <c r="S1390" t="s">
        <v>12087</v>
      </c>
      <c r="T1390" t="s">
        <v>93</v>
      </c>
      <c r="U1390" t="s">
        <v>43</v>
      </c>
      <c r="V1390" t="s">
        <v>12088</v>
      </c>
      <c r="W1390" t="s">
        <v>12088</v>
      </c>
      <c r="Y1390" t="str">
        <f>HYPERLINK("https://recruiter.shine.com/resume/download/?resumeid=gAAAAABbk2UNWZSNJ319zqpUKzeJqszP6tkQUnbGpIe4wP-1_196RiLrlz3qRs37jmFzWALZ4oMrEtnmbFcQMV8ZnMmhJqgWM-Zn6hXenaFDRryXOvLkGLpdngxjsVpRHGT1kx65ze-UgZD0hGYemZObBfdtip44JQ==")</f>
        <v>https://recruiter.shine.com/resume/download/?resumeid=gAAAAABbk2UNWZSNJ319zqpUKzeJqszP6tkQUnbGpIe4wP-1_196RiLrlz3qRs37jmFzWALZ4oMrEtnmbFcQMV8ZnMmhJqgWM-Zn6hXenaFDRryXOvLkGLpdngxjsVpRHGT1kx65ze-UgZD0hGYemZObBfdtip44JQ==</v>
      </c>
    </row>
    <row r="1391" spans="1:25" ht="39.950000000000003" customHeight="1">
      <c r="A1391">
        <v>1387</v>
      </c>
      <c r="B1391" t="s">
        <v>12089</v>
      </c>
      <c r="C1391" t="s">
        <v>12090</v>
      </c>
      <c r="D1391" t="s">
        <v>12091</v>
      </c>
      <c r="E1391" t="s">
        <v>12092</v>
      </c>
      <c r="F1391" t="s">
        <v>29</v>
      </c>
      <c r="G1391" t="s">
        <v>29</v>
      </c>
      <c r="H1391" t="s">
        <v>31</v>
      </c>
      <c r="I1391" t="s">
        <v>3180</v>
      </c>
      <c r="J1391" t="s">
        <v>3591</v>
      </c>
      <c r="K1391" t="s">
        <v>12093</v>
      </c>
      <c r="L1391" t="s">
        <v>88</v>
      </c>
      <c r="M1391" t="s">
        <v>222</v>
      </c>
      <c r="N1391" t="s">
        <v>12094</v>
      </c>
      <c r="O1391" t="s">
        <v>5360</v>
      </c>
      <c r="P1391" t="s">
        <v>57</v>
      </c>
      <c r="Q1391" t="s">
        <v>123</v>
      </c>
      <c r="R1391" t="s">
        <v>124</v>
      </c>
      <c r="S1391" t="s">
        <v>3286</v>
      </c>
      <c r="T1391" t="s">
        <v>1137</v>
      </c>
      <c r="U1391" t="s">
        <v>43</v>
      </c>
      <c r="V1391" t="s">
        <v>12095</v>
      </c>
      <c r="W1391" t="s">
        <v>12096</v>
      </c>
      <c r="Y1391" t="str">
        <f>HYPERLINK("https://recruiter.shine.com/resume/download/?resumeid=gAAAAABbk2ULz8d5f1uq3UR0U_gy3PAui9wXLpW2VowCX76ZEeJhSIkKsS1bgYiaEQEZVoydFTkLFlKXqIgsY7Co3uL3Hjcp291MpigMt05oKGWB_aaXfbdn6Kdly2xa-devP0U-fNBv6bJfkXFEU98B0zWgqyYyiegaBDhI1aSFYA6FxdRfJio=")</f>
        <v>https://recruiter.shine.com/resume/download/?resumeid=gAAAAABbk2ULz8d5f1uq3UR0U_gy3PAui9wXLpW2VowCX76ZEeJhSIkKsS1bgYiaEQEZVoydFTkLFlKXqIgsY7Co3uL3Hjcp291MpigMt05oKGWB_aaXfbdn6Kdly2xa-devP0U-fNBv6bJfkXFEU98B0zWgqyYyiegaBDhI1aSFYA6FxdRfJio=</v>
      </c>
    </row>
    <row r="1392" spans="1:25" ht="39.950000000000003" customHeight="1">
      <c r="A1392">
        <v>1388</v>
      </c>
      <c r="B1392" t="s">
        <v>12097</v>
      </c>
      <c r="C1392" t="s">
        <v>12098</v>
      </c>
      <c r="D1392" t="s">
        <v>12099</v>
      </c>
      <c r="E1392" t="s">
        <v>12100</v>
      </c>
      <c r="F1392" t="s">
        <v>29</v>
      </c>
      <c r="G1392" t="s">
        <v>29</v>
      </c>
      <c r="H1392" t="s">
        <v>31</v>
      </c>
      <c r="I1392" t="s">
        <v>196</v>
      </c>
      <c r="J1392" t="s">
        <v>118</v>
      </c>
      <c r="K1392" t="s">
        <v>12101</v>
      </c>
      <c r="L1392" t="s">
        <v>1390</v>
      </c>
      <c r="M1392" t="s">
        <v>339</v>
      </c>
      <c r="N1392" t="s">
        <v>12102</v>
      </c>
      <c r="O1392" t="s">
        <v>186</v>
      </c>
      <c r="P1392" t="s">
        <v>940</v>
      </c>
      <c r="Q1392" t="s">
        <v>107</v>
      </c>
      <c r="R1392" t="s">
        <v>341</v>
      </c>
      <c r="S1392" t="s">
        <v>1516</v>
      </c>
      <c r="T1392" t="s">
        <v>110</v>
      </c>
      <c r="U1392" t="s">
        <v>43</v>
      </c>
      <c r="V1392" t="s">
        <v>12103</v>
      </c>
      <c r="W1392" t="s">
        <v>12104</v>
      </c>
      <c r="Y1392" t="str">
        <f>HYPERLINK("https://recruiter.shine.com/resume/download/?resumeid=gAAAAABbk2UMJC0_Dc-cggCtOl6zt_rc0OJSdw7qIgTs7VwhcIQqzq2lBDKXDC6cKhHRc0spkAQNigUsIu8-uNZmntwAUG1Ua37WsmhYiOu6KVujRsnZY4HtdwYd0Oh0qJaeD4vrlMDrGHq0ehcTmnxQ4RC5VnLscQ==")</f>
        <v>https://recruiter.shine.com/resume/download/?resumeid=gAAAAABbk2UMJC0_Dc-cggCtOl6zt_rc0OJSdw7qIgTs7VwhcIQqzq2lBDKXDC6cKhHRc0spkAQNigUsIu8-uNZmntwAUG1Ua37WsmhYiOu6KVujRsnZY4HtdwYd0Oh0qJaeD4vrlMDrGHq0ehcTmnxQ4RC5VnLscQ==</v>
      </c>
    </row>
    <row r="1393" spans="1:25" ht="39.950000000000003" customHeight="1">
      <c r="A1393">
        <v>1389</v>
      </c>
      <c r="B1393" t="s">
        <v>12105</v>
      </c>
      <c r="C1393" t="s">
        <v>12106</v>
      </c>
      <c r="D1393" t="s">
        <v>12107</v>
      </c>
      <c r="E1393" t="s">
        <v>12108</v>
      </c>
      <c r="F1393" t="s">
        <v>29</v>
      </c>
      <c r="G1393" t="s">
        <v>12109</v>
      </c>
      <c r="H1393" t="s">
        <v>31</v>
      </c>
      <c r="I1393" t="s">
        <v>85</v>
      </c>
      <c r="J1393" t="s">
        <v>169</v>
      </c>
      <c r="K1393" t="s">
        <v>1609</v>
      </c>
      <c r="L1393" t="s">
        <v>155</v>
      </c>
      <c r="M1393" t="s">
        <v>105</v>
      </c>
      <c r="N1393" t="s">
        <v>12110</v>
      </c>
      <c r="O1393" t="s">
        <v>1245</v>
      </c>
      <c r="P1393" t="s">
        <v>57</v>
      </c>
      <c r="Q1393" t="s">
        <v>90</v>
      </c>
      <c r="R1393" t="s">
        <v>427</v>
      </c>
      <c r="S1393" t="s">
        <v>12111</v>
      </c>
      <c r="T1393" t="s">
        <v>93</v>
      </c>
      <c r="U1393" t="s">
        <v>127</v>
      </c>
      <c r="V1393" t="s">
        <v>12112</v>
      </c>
      <c r="W1393" t="s">
        <v>12113</v>
      </c>
      <c r="Y1393" t="str">
        <f>HYPERLINK("https://recruiter.shine.com/resume/download/?resumeid=gAAAAABbk2UNEcCMN18m9vRePgTgyU_4tIhtLkqPDbFGopV78jnxy6qjhjHdEjBsgzaw2t5wNktsVPRvt6TxC5Fv9yif55WjZTcxlC7_vuK3YRxtvxit8eSVz4khiwVPQGO6H5zfoxsVQjYCdQ3UNDZQsGslHFn0Ig==")</f>
        <v>https://recruiter.shine.com/resume/download/?resumeid=gAAAAABbk2UNEcCMN18m9vRePgTgyU_4tIhtLkqPDbFGopV78jnxy6qjhjHdEjBsgzaw2t5wNktsVPRvt6TxC5Fv9yif55WjZTcxlC7_vuK3YRxtvxit8eSVz4khiwVPQGO6H5zfoxsVQjYCdQ3UNDZQsGslHFn0Ig==</v>
      </c>
    </row>
    <row r="1394" spans="1:25" ht="39.950000000000003" customHeight="1">
      <c r="A1394">
        <v>1390</v>
      </c>
      <c r="B1394" t="s">
        <v>12114</v>
      </c>
      <c r="C1394" t="s">
        <v>12115</v>
      </c>
      <c r="D1394" t="s">
        <v>12116</v>
      </c>
      <c r="E1394" t="s">
        <v>12117</v>
      </c>
      <c r="F1394" t="s">
        <v>29</v>
      </c>
      <c r="G1394" t="s">
        <v>12118</v>
      </c>
      <c r="H1394" t="s">
        <v>31</v>
      </c>
      <c r="I1394" t="s">
        <v>68</v>
      </c>
      <c r="J1394" t="s">
        <v>2513</v>
      </c>
      <c r="K1394" t="s">
        <v>12119</v>
      </c>
      <c r="L1394" t="s">
        <v>266</v>
      </c>
      <c r="M1394" t="s">
        <v>339</v>
      </c>
      <c r="N1394" t="s">
        <v>12120</v>
      </c>
      <c r="O1394" t="s">
        <v>3052</v>
      </c>
      <c r="P1394" t="s">
        <v>73</v>
      </c>
      <c r="Q1394" t="s">
        <v>74</v>
      </c>
      <c r="R1394" t="s">
        <v>341</v>
      </c>
      <c r="S1394" t="s">
        <v>12121</v>
      </c>
      <c r="T1394" t="s">
        <v>399</v>
      </c>
      <c r="U1394" t="s">
        <v>43</v>
      </c>
      <c r="V1394" t="s">
        <v>12122</v>
      </c>
      <c r="W1394" t="s">
        <v>12123</v>
      </c>
      <c r="Y1394" t="str">
        <f>HYPERLINK("https://recruiter.shine.com/resume/download/?resumeid=gAAAAABbk2ULEDm2XtbgRaHLYszr9UP-dU5KQ09afeh7Lu8QLT9WikEFHCSEnIJT0yoBqq1JaqzyHbbpZ9MbXdVxljYq36IEoEx0TBhFCnMZU2Rq7eVxaaRTbBZmnQXR0-e_QXWGCA6-ge4wYtuHTMdThfGyyu-6_VEVqINYb-kZFDokvMh5Vko=")</f>
        <v>https://recruiter.shine.com/resume/download/?resumeid=gAAAAABbk2ULEDm2XtbgRaHLYszr9UP-dU5KQ09afeh7Lu8QLT9WikEFHCSEnIJT0yoBqq1JaqzyHbbpZ9MbXdVxljYq36IEoEx0TBhFCnMZU2Rq7eVxaaRTbBZmnQXR0-e_QXWGCA6-ge4wYtuHTMdThfGyyu-6_VEVqINYb-kZFDokvMh5Vko=</v>
      </c>
    </row>
    <row r="1395" spans="1:25" ht="39.950000000000003" customHeight="1">
      <c r="A1395">
        <v>1391</v>
      </c>
      <c r="B1395" t="s">
        <v>12124</v>
      </c>
      <c r="D1395" t="s">
        <v>12125</v>
      </c>
      <c r="E1395" t="s">
        <v>12126</v>
      </c>
      <c r="F1395" t="s">
        <v>29</v>
      </c>
      <c r="G1395" t="s">
        <v>12127</v>
      </c>
      <c r="H1395" t="s">
        <v>234</v>
      </c>
      <c r="I1395" t="s">
        <v>196</v>
      </c>
      <c r="J1395" t="s">
        <v>531</v>
      </c>
      <c r="K1395" t="s">
        <v>12128</v>
      </c>
      <c r="L1395" t="s">
        <v>199</v>
      </c>
      <c r="M1395" t="s">
        <v>121</v>
      </c>
      <c r="N1395" t="s">
        <v>12129</v>
      </c>
      <c r="O1395" t="s">
        <v>224</v>
      </c>
      <c r="Q1395" t="s">
        <v>489</v>
      </c>
      <c r="R1395" t="s">
        <v>91</v>
      </c>
      <c r="S1395" t="s">
        <v>12130</v>
      </c>
      <c r="T1395" t="s">
        <v>441</v>
      </c>
      <c r="U1395" t="s">
        <v>127</v>
      </c>
      <c r="V1395" t="s">
        <v>12131</v>
      </c>
      <c r="W1395" t="s">
        <v>12132</v>
      </c>
      <c r="Y1395" t="str">
        <f>HYPERLINK("https://recruiter.shine.com/resume/download/?resumeid=gAAAAABbk2UM5wVMsw1ewu9GiCZXorw7uepxp06yGq3N0z2yf_rI0o56Zzf9qcBz2mcqm5z5AYNMV_xGHNT8V2BwV83BkvlbcF-pnViW3f7eIfJcGg6aKjWdRdjcOV1dewrm6ZxCGcpAUmYUb6n_fXTSdjGaCeNpyMfp43sdJ7ld6UFBknhDDQ0=")</f>
        <v>https://recruiter.shine.com/resume/download/?resumeid=gAAAAABbk2UM5wVMsw1ewu9GiCZXorw7uepxp06yGq3N0z2yf_rI0o56Zzf9qcBz2mcqm5z5AYNMV_xGHNT8V2BwV83BkvlbcF-pnViW3f7eIfJcGg6aKjWdRdjcOV1dewrm6ZxCGcpAUmYUb6n_fXTSdjGaCeNpyMfp43sdJ7ld6UFBknhDDQ0=</v>
      </c>
    </row>
    <row r="1396" spans="1:25" ht="39.950000000000003" customHeight="1">
      <c r="A1396">
        <v>1392</v>
      </c>
      <c r="B1396" t="s">
        <v>12133</v>
      </c>
      <c r="C1396" t="s">
        <v>12134</v>
      </c>
      <c r="D1396" t="s">
        <v>12135</v>
      </c>
      <c r="E1396" t="s">
        <v>12136</v>
      </c>
      <c r="F1396" t="s">
        <v>29</v>
      </c>
      <c r="H1396" t="s">
        <v>31</v>
      </c>
      <c r="I1396" t="s">
        <v>208</v>
      </c>
      <c r="J1396" t="s">
        <v>2633</v>
      </c>
      <c r="K1396" t="s">
        <v>12137</v>
      </c>
      <c r="L1396" t="s">
        <v>6189</v>
      </c>
      <c r="M1396" t="s">
        <v>121</v>
      </c>
      <c r="N1396" t="s">
        <v>12138</v>
      </c>
      <c r="O1396" t="s">
        <v>224</v>
      </c>
      <c r="Q1396" t="s">
        <v>40</v>
      </c>
      <c r="R1396" t="s">
        <v>11676</v>
      </c>
      <c r="S1396" t="s">
        <v>12139</v>
      </c>
      <c r="T1396" t="s">
        <v>1921</v>
      </c>
      <c r="U1396" t="s">
        <v>127</v>
      </c>
      <c r="V1396" t="s">
        <v>12140</v>
      </c>
      <c r="W1396" t="s">
        <v>12140</v>
      </c>
      <c r="Y1396" t="str">
        <f>HYPERLINK("https://recruiter.shine.com/resume/download/?resumeid=gAAAAABbk2UNNGZ3qq32UvIJ9DT8gIp9_5h9WcxoQYMFv8MGeKOSAdmPKqC5sgixRW_5fRdXbEW1Kq00ZHODS4PJv2myjVWrRtKd8KHfN4kEZR2epr5HS9KeydB_UwrRPw5Q5NPtYDv6biM-C9JtDGRClrLV9-WaP-ReSydOArwksu1DcCIkwzQ=")</f>
        <v>https://recruiter.shine.com/resume/download/?resumeid=gAAAAABbk2UNNGZ3qq32UvIJ9DT8gIp9_5h9WcxoQYMFv8MGeKOSAdmPKqC5sgixRW_5fRdXbEW1Kq00ZHODS4PJv2myjVWrRtKd8KHfN4kEZR2epr5HS9KeydB_UwrRPw5Q5NPtYDv6biM-C9JtDGRClrLV9-WaP-ReSydOArwksu1DcCIkwzQ=</v>
      </c>
    </row>
    <row r="1397" spans="1:25" ht="39.950000000000003" customHeight="1">
      <c r="A1397">
        <v>1393</v>
      </c>
      <c r="B1397" t="s">
        <v>12141</v>
      </c>
      <c r="C1397" t="s">
        <v>12142</v>
      </c>
      <c r="D1397" t="s">
        <v>12143</v>
      </c>
      <c r="E1397" t="s">
        <v>12144</v>
      </c>
      <c r="F1397" t="s">
        <v>29</v>
      </c>
      <c r="G1397" t="s">
        <v>29</v>
      </c>
      <c r="H1397" t="s">
        <v>31</v>
      </c>
      <c r="I1397" t="s">
        <v>85</v>
      </c>
      <c r="J1397" t="s">
        <v>506</v>
      </c>
      <c r="K1397" t="s">
        <v>12145</v>
      </c>
      <c r="L1397" t="s">
        <v>1754</v>
      </c>
      <c r="M1397" t="s">
        <v>105</v>
      </c>
      <c r="N1397" t="s">
        <v>12146</v>
      </c>
      <c r="O1397" t="s">
        <v>585</v>
      </c>
      <c r="P1397" t="s">
        <v>57</v>
      </c>
      <c r="Q1397" t="s">
        <v>40</v>
      </c>
      <c r="R1397" t="s">
        <v>829</v>
      </c>
      <c r="S1397" t="s">
        <v>12147</v>
      </c>
      <c r="T1397" t="s">
        <v>561</v>
      </c>
      <c r="U1397" t="s">
        <v>43</v>
      </c>
      <c r="V1397" t="s">
        <v>12148</v>
      </c>
      <c r="W1397" t="s">
        <v>12149</v>
      </c>
      <c r="Y1397" t="str">
        <f>HYPERLINK("https://recruiter.shine.com/resume/download/?resumeid=gAAAAABbk2UKHg_9xJJFAWogrc03t0HlFf2hH6UzZrDHNml55tVCK6ECOJlZsqwMC5pHtpYLhKTOVCYOy9R4acty4LYFXSywy5kDUddZ5VanQcm81_HhjQZ-aa-U3amKNmDYBVgRedItLDg2J83i1Ae1KTFN4E_IhwTT4hMA7fdxpKCrCjhqmGs=")</f>
        <v>https://recruiter.shine.com/resume/download/?resumeid=gAAAAABbk2UKHg_9xJJFAWogrc03t0HlFf2hH6UzZrDHNml55tVCK6ECOJlZsqwMC5pHtpYLhKTOVCYOy9R4acty4LYFXSywy5kDUddZ5VanQcm81_HhjQZ-aa-U3amKNmDYBVgRedItLDg2J83i1Ae1KTFN4E_IhwTT4hMA7fdxpKCrCjhqmGs=</v>
      </c>
    </row>
    <row r="1398" spans="1:25" ht="39.950000000000003" customHeight="1">
      <c r="A1398">
        <v>1394</v>
      </c>
      <c r="B1398" t="s">
        <v>12150</v>
      </c>
      <c r="D1398" t="s">
        <v>12151</v>
      </c>
      <c r="E1398" t="s">
        <v>12152</v>
      </c>
      <c r="F1398" t="s">
        <v>29</v>
      </c>
      <c r="G1398" t="s">
        <v>29</v>
      </c>
      <c r="H1398" t="s">
        <v>31</v>
      </c>
      <c r="I1398" t="s">
        <v>208</v>
      </c>
      <c r="J1398" t="s">
        <v>871</v>
      </c>
      <c r="K1398" t="s">
        <v>12153</v>
      </c>
      <c r="L1398" t="s">
        <v>462</v>
      </c>
      <c r="M1398" t="s">
        <v>105</v>
      </c>
      <c r="N1398" t="s">
        <v>156</v>
      </c>
      <c r="O1398" t="s">
        <v>224</v>
      </c>
      <c r="Q1398" t="s">
        <v>90</v>
      </c>
      <c r="R1398" t="s">
        <v>465</v>
      </c>
      <c r="S1398" t="s">
        <v>12154</v>
      </c>
      <c r="T1398" t="s">
        <v>161</v>
      </c>
      <c r="U1398" t="s">
        <v>43</v>
      </c>
      <c r="V1398" t="s">
        <v>12155</v>
      </c>
      <c r="W1398" t="s">
        <v>12156</v>
      </c>
      <c r="Y1398" t="str">
        <f>HYPERLINK("https://recruiter.shine.com/resume/download/?resumeid=gAAAAABbk2UMy-PzIQ4jM4sN3t5HhzpKdh2WyJO6xEBhPpFMb5SObS8UdkOxtFhg3XdeTwuYs-kTBVnCdklqBzpnKAQvJNqP3qZ5wpHny5jMW8_-WHOMRmQLYfztxx661co3mCs2b0oLmmjayvAnEakosDlStiPyWr0746SsLugqlDpolJ-4nMY=")</f>
        <v>https://recruiter.shine.com/resume/download/?resumeid=gAAAAABbk2UMy-PzIQ4jM4sN3t5HhzpKdh2WyJO6xEBhPpFMb5SObS8UdkOxtFhg3XdeTwuYs-kTBVnCdklqBzpnKAQvJNqP3qZ5wpHny5jMW8_-WHOMRmQLYfztxx661co3mCs2b0oLmmjayvAnEakosDlStiPyWr0746SsLugqlDpolJ-4nMY=</v>
      </c>
    </row>
    <row r="1399" spans="1:25" ht="39.950000000000003" customHeight="1">
      <c r="A1399">
        <v>1395</v>
      </c>
      <c r="B1399" t="s">
        <v>12157</v>
      </c>
      <c r="C1399" t="s">
        <v>8010</v>
      </c>
      <c r="D1399" t="s">
        <v>12158</v>
      </c>
      <c r="E1399" t="s">
        <v>12159</v>
      </c>
      <c r="F1399" t="s">
        <v>29</v>
      </c>
      <c r="G1399" t="s">
        <v>29</v>
      </c>
      <c r="H1399" t="s">
        <v>31</v>
      </c>
      <c r="I1399" t="s">
        <v>516</v>
      </c>
      <c r="J1399" t="s">
        <v>935</v>
      </c>
      <c r="K1399" t="s">
        <v>12160</v>
      </c>
      <c r="L1399" t="s">
        <v>937</v>
      </c>
      <c r="M1399" t="s">
        <v>1124</v>
      </c>
      <c r="N1399" t="s">
        <v>12161</v>
      </c>
      <c r="O1399" t="s">
        <v>1041</v>
      </c>
      <c r="Q1399" t="s">
        <v>365</v>
      </c>
      <c r="R1399" t="s">
        <v>124</v>
      </c>
      <c r="S1399" t="s">
        <v>12162</v>
      </c>
      <c r="T1399" t="s">
        <v>687</v>
      </c>
      <c r="U1399" t="s">
        <v>127</v>
      </c>
      <c r="V1399" t="s">
        <v>12163</v>
      </c>
      <c r="W1399" t="s">
        <v>12164</v>
      </c>
      <c r="Y1399" t="str">
        <f>HYPERLINK("https://recruiter.shine.com/resume/download/?resumeid=gAAAAABbk2UONC_zgIkWWAzJ36xiv93DeSA5Am_syBAytpe8IMESDsGikGrG_CfwxlkUuZ_KLmNb_FUpaqgbKjFnR2Br8nWserogPVDT2N-7srwqbPFKZZrkOsttKmKAvqPZHJME_-JpItK3mANDz6y0kFPpHuE5SmyK9EZLOZunTfl3X6H8tkY=")</f>
        <v>https://recruiter.shine.com/resume/download/?resumeid=gAAAAABbk2UONC_zgIkWWAzJ36xiv93DeSA5Am_syBAytpe8IMESDsGikGrG_CfwxlkUuZ_KLmNb_FUpaqgbKjFnR2Br8nWserogPVDT2N-7srwqbPFKZZrkOsttKmKAvqPZHJME_-JpItK3mANDz6y0kFPpHuE5SmyK9EZLOZunTfl3X6H8tkY=</v>
      </c>
    </row>
    <row r="1400" spans="1:25" ht="39.950000000000003" customHeight="1">
      <c r="A1400">
        <v>1396</v>
      </c>
      <c r="B1400" t="s">
        <v>12165</v>
      </c>
      <c r="C1400" t="s">
        <v>12166</v>
      </c>
      <c r="D1400" t="s">
        <v>12167</v>
      </c>
      <c r="E1400" t="s">
        <v>12168</v>
      </c>
      <c r="F1400" t="s">
        <v>29</v>
      </c>
      <c r="G1400" t="s">
        <v>12169</v>
      </c>
      <c r="H1400" t="s">
        <v>31</v>
      </c>
      <c r="I1400" t="s">
        <v>714</v>
      </c>
      <c r="J1400" t="s">
        <v>801</v>
      </c>
      <c r="K1400" t="s">
        <v>12170</v>
      </c>
      <c r="L1400" t="s">
        <v>199</v>
      </c>
      <c r="M1400" t="s">
        <v>410</v>
      </c>
      <c r="N1400" t="s">
        <v>12171</v>
      </c>
      <c r="O1400" t="s">
        <v>186</v>
      </c>
      <c r="P1400" t="s">
        <v>57</v>
      </c>
      <c r="Q1400" t="s">
        <v>158</v>
      </c>
      <c r="R1400" t="s">
        <v>4319</v>
      </c>
      <c r="S1400" t="s">
        <v>12172</v>
      </c>
      <c r="T1400" t="s">
        <v>773</v>
      </c>
      <c r="U1400" t="s">
        <v>43</v>
      </c>
      <c r="V1400" t="s">
        <v>12173</v>
      </c>
      <c r="W1400" t="s">
        <v>12174</v>
      </c>
      <c r="Y1400" t="str">
        <f>HYPERLINK("https://recruiter.shine.com/resume/download/?resumeid=gAAAAABbk2UK5_svOg1fwCZiS-ZNbBAqpC19crzxoJ8wM8JKB1L88T1N7pTC6bhb2PtINvPhOpqX8yrpE1VNVOKsYDSEDnVEQIKJznCXchv89rcImszx7AiVauop-WTTZ6G5brlelLw0-vm9uiWTobQNFoNniRqH-A==")</f>
        <v>https://recruiter.shine.com/resume/download/?resumeid=gAAAAABbk2UK5_svOg1fwCZiS-ZNbBAqpC19crzxoJ8wM8JKB1L88T1N7pTC6bhb2PtINvPhOpqX8yrpE1VNVOKsYDSEDnVEQIKJznCXchv89rcImszx7AiVauop-WTTZ6G5brlelLw0-vm9uiWTobQNFoNniRqH-A==</v>
      </c>
    </row>
    <row r="1401" spans="1:25" ht="39.950000000000003" customHeight="1">
      <c r="A1401">
        <v>1397</v>
      </c>
      <c r="B1401" t="s">
        <v>12175</v>
      </c>
      <c r="C1401" t="s">
        <v>12176</v>
      </c>
      <c r="D1401" t="s">
        <v>12177</v>
      </c>
      <c r="E1401" t="s">
        <v>12178</v>
      </c>
      <c r="F1401" t="s">
        <v>29</v>
      </c>
      <c r="G1401" t="s">
        <v>67</v>
      </c>
      <c r="H1401" t="s">
        <v>31</v>
      </c>
      <c r="I1401" t="s">
        <v>1122</v>
      </c>
      <c r="J1401" t="s">
        <v>3214</v>
      </c>
      <c r="K1401" t="s">
        <v>9139</v>
      </c>
      <c r="L1401" t="s">
        <v>155</v>
      </c>
      <c r="M1401" t="s">
        <v>105</v>
      </c>
      <c r="N1401" t="s">
        <v>156</v>
      </c>
      <c r="O1401" t="s">
        <v>186</v>
      </c>
      <c r="Q1401" t="s">
        <v>123</v>
      </c>
      <c r="R1401" t="s">
        <v>124</v>
      </c>
      <c r="S1401" t="s">
        <v>12179</v>
      </c>
      <c r="T1401" t="s">
        <v>441</v>
      </c>
      <c r="U1401" t="s">
        <v>43</v>
      </c>
      <c r="V1401" t="s">
        <v>12180</v>
      </c>
      <c r="W1401" t="s">
        <v>12180</v>
      </c>
      <c r="Y1401" t="str">
        <f>HYPERLINK("https://recruiter.shine.com/resume/download/?resumeid=gAAAAABbk2UM3VbnudNZk4g-aqbn4yRc0OaB9wwrK7pNSfumt--E6svfhx9rmi_fwFUL-YBWlOZrxNqCp5YnAea_MWvcJK_tZLmminb7TBrK4TkPnMroNznOcvPzii5sWkABYbuWLnjosnAZkq-EEdWsSY5D2yayRw==")</f>
        <v>https://recruiter.shine.com/resume/download/?resumeid=gAAAAABbk2UM3VbnudNZk4g-aqbn4yRc0OaB9wwrK7pNSfumt--E6svfhx9rmi_fwFUL-YBWlOZrxNqCp5YnAea_MWvcJK_tZLmminb7TBrK4TkPnMroNznOcvPzii5sWkABYbuWLnjosnAZkq-EEdWsSY5D2yayRw==</v>
      </c>
    </row>
    <row r="1402" spans="1:25" ht="39.950000000000003" customHeight="1">
      <c r="A1402">
        <v>1398</v>
      </c>
      <c r="B1402" t="s">
        <v>12181</v>
      </c>
      <c r="C1402" t="s">
        <v>12182</v>
      </c>
      <c r="D1402" t="s">
        <v>12183</v>
      </c>
      <c r="E1402" t="s">
        <v>12184</v>
      </c>
      <c r="F1402" t="s">
        <v>29</v>
      </c>
      <c r="G1402" t="s">
        <v>29</v>
      </c>
      <c r="H1402" t="s">
        <v>31</v>
      </c>
      <c r="I1402" t="s">
        <v>362</v>
      </c>
      <c r="J1402" t="s">
        <v>135</v>
      </c>
      <c r="L1402" t="s">
        <v>363</v>
      </c>
      <c r="M1402" t="s">
        <v>364</v>
      </c>
      <c r="Q1402" t="s">
        <v>107</v>
      </c>
      <c r="R1402" t="s">
        <v>341</v>
      </c>
      <c r="S1402" t="s">
        <v>12185</v>
      </c>
      <c r="T1402" t="s">
        <v>625</v>
      </c>
      <c r="U1402" t="s">
        <v>43</v>
      </c>
      <c r="V1402" t="s">
        <v>12186</v>
      </c>
      <c r="W1402" t="s">
        <v>12187</v>
      </c>
      <c r="Y1402" t="str">
        <f>HYPERLINK("https://recruiter.shine.com/resume/download/?resumeid=gAAAAABbk2UNfEnt__HSIlnu0JgEcwWIIouTVOZN7FEAbI0Ga2v9PS4hIsLjZATG2uxO0i4bUYVYUdg-d_BZPfWrBB-zrVZRKj9I9PEr5Lm_BlzkWSSWsqLV2_d8PvEPuLfqrVfc5xDr6T9ZXS3n-fQPJI6jizUMxQ==")</f>
        <v>https://recruiter.shine.com/resume/download/?resumeid=gAAAAABbk2UNfEnt__HSIlnu0JgEcwWIIouTVOZN7FEAbI0Ga2v9PS4hIsLjZATG2uxO0i4bUYVYUdg-d_BZPfWrBB-zrVZRKj9I9PEr5Lm_BlzkWSSWsqLV2_d8PvEPuLfqrVfc5xDr6T9ZXS3n-fQPJI6jizUMxQ==</v>
      </c>
    </row>
    <row r="1403" spans="1:25" ht="39.950000000000003" customHeight="1">
      <c r="A1403">
        <v>1399</v>
      </c>
      <c r="B1403" t="s">
        <v>12188</v>
      </c>
      <c r="C1403" t="s">
        <v>12189</v>
      </c>
      <c r="D1403" t="s">
        <v>12190</v>
      </c>
      <c r="E1403" t="s">
        <v>12191</v>
      </c>
      <c r="F1403" t="s">
        <v>29</v>
      </c>
      <c r="G1403" t="s">
        <v>29</v>
      </c>
      <c r="H1403" t="s">
        <v>31</v>
      </c>
      <c r="I1403" t="s">
        <v>1837</v>
      </c>
      <c r="J1403" t="s">
        <v>336</v>
      </c>
      <c r="K1403" t="s">
        <v>12192</v>
      </c>
      <c r="L1403" t="s">
        <v>794</v>
      </c>
      <c r="M1403" t="s">
        <v>684</v>
      </c>
      <c r="N1403" t="s">
        <v>12193</v>
      </c>
      <c r="O1403" t="s">
        <v>186</v>
      </c>
      <c r="P1403" t="s">
        <v>771</v>
      </c>
      <c r="Q1403" t="s">
        <v>40</v>
      </c>
      <c r="R1403" t="s">
        <v>476</v>
      </c>
      <c r="S1403" t="s">
        <v>12194</v>
      </c>
      <c r="T1403" t="s">
        <v>144</v>
      </c>
      <c r="U1403" t="s">
        <v>43</v>
      </c>
      <c r="V1403" t="s">
        <v>12195</v>
      </c>
      <c r="W1403" t="s">
        <v>12196</v>
      </c>
      <c r="Y1403" t="str">
        <f>HYPERLINK("https://recruiter.shine.com/resume/download/?resumeid=gAAAAABbk2ULYEsjnRqOqG0JLYaqVawcLE1OW8BfhfCdawuAVcgDOUC6091GSV9pBtdy64t9l67wWw04N1fCMjJDdNZZOFNydPMzJ25zWp6E3YjrXIdqbVkOEqEkm7SUOPqPFzuYfQbjc9mabbxeKnVlzHgIuIQqv9uM5LGhoTCFtDBlVKjsNis=")</f>
        <v>https://recruiter.shine.com/resume/download/?resumeid=gAAAAABbk2ULYEsjnRqOqG0JLYaqVawcLE1OW8BfhfCdawuAVcgDOUC6091GSV9pBtdy64t9l67wWw04N1fCMjJDdNZZOFNydPMzJ25zWp6E3YjrXIdqbVkOEqEkm7SUOPqPFzuYfQbjc9mabbxeKnVlzHgIuIQqv9uM5LGhoTCFtDBlVKjsNis=</v>
      </c>
    </row>
    <row r="1404" spans="1:25" ht="39.950000000000003" customHeight="1">
      <c r="A1404">
        <v>1400</v>
      </c>
      <c r="B1404" t="s">
        <v>12197</v>
      </c>
      <c r="C1404" t="s">
        <v>12198</v>
      </c>
      <c r="D1404" t="s">
        <v>12199</v>
      </c>
      <c r="E1404" t="s">
        <v>12200</v>
      </c>
      <c r="F1404" t="s">
        <v>29</v>
      </c>
      <c r="G1404" t="s">
        <v>29</v>
      </c>
      <c r="H1404" t="s">
        <v>234</v>
      </c>
      <c r="I1404" t="s">
        <v>196</v>
      </c>
      <c r="J1404" t="s">
        <v>135</v>
      </c>
      <c r="K1404" t="s">
        <v>12201</v>
      </c>
      <c r="L1404" t="s">
        <v>1255</v>
      </c>
      <c r="M1404" t="s">
        <v>238</v>
      </c>
      <c r="N1404" t="s">
        <v>12202</v>
      </c>
      <c r="O1404" t="s">
        <v>56</v>
      </c>
      <c r="P1404" t="s">
        <v>73</v>
      </c>
      <c r="Q1404" t="s">
        <v>4157</v>
      </c>
      <c r="R1404" t="s">
        <v>1255</v>
      </c>
      <c r="S1404" t="s">
        <v>6245</v>
      </c>
      <c r="T1404" t="s">
        <v>110</v>
      </c>
      <c r="U1404" t="s">
        <v>43</v>
      </c>
      <c r="V1404" t="s">
        <v>12203</v>
      </c>
      <c r="W1404" t="s">
        <v>12204</v>
      </c>
      <c r="Y1404" t="str">
        <f>HYPERLINK("https://recruiter.shine.com/resume/download/?resumeid=gAAAAABbk2UNkppKK9By33AMoa-WaHMEn1mfManmIHdEegjZ0vy-TVbAdDDYTFvS_KnptSI8hyUc9oI2TCSF7l32MD1-AapsOtFcOPWaP9Oo6qRbyP65c2vyIe0kH3s4GGedZ1BLXRLOkip-OLDK-no3UbbI3KIDt00pei3Iin0NY8NpzMmRmg8=")</f>
        <v>https://recruiter.shine.com/resume/download/?resumeid=gAAAAABbk2UNkppKK9By33AMoa-WaHMEn1mfManmIHdEegjZ0vy-TVbAdDDYTFvS_KnptSI8hyUc9oI2TCSF7l32MD1-AapsOtFcOPWaP9Oo6qRbyP65c2vyIe0kH3s4GGedZ1BLXRLOkip-OLDK-no3UbbI3KIDt00pei3Iin0NY8NpzMmRmg8=</v>
      </c>
    </row>
    <row r="1405" spans="1:25" ht="39.950000000000003" customHeight="1">
      <c r="A1405">
        <v>1401</v>
      </c>
      <c r="B1405" t="s">
        <v>12205</v>
      </c>
      <c r="D1405" t="s">
        <v>12206</v>
      </c>
      <c r="E1405" t="s">
        <v>12207</v>
      </c>
      <c r="F1405" t="s">
        <v>29</v>
      </c>
      <c r="H1405" t="s">
        <v>31</v>
      </c>
      <c r="I1405" t="s">
        <v>836</v>
      </c>
      <c r="J1405" t="s">
        <v>3071</v>
      </c>
      <c r="K1405" t="s">
        <v>12208</v>
      </c>
      <c r="L1405" t="s">
        <v>290</v>
      </c>
      <c r="M1405" t="s">
        <v>238</v>
      </c>
      <c r="N1405" t="s">
        <v>12209</v>
      </c>
      <c r="O1405" t="s">
        <v>56</v>
      </c>
      <c r="P1405" t="s">
        <v>39</v>
      </c>
      <c r="Q1405" t="s">
        <v>187</v>
      </c>
      <c r="R1405" t="s">
        <v>124</v>
      </c>
      <c r="S1405" t="s">
        <v>3199</v>
      </c>
      <c r="T1405" t="s">
        <v>144</v>
      </c>
      <c r="U1405" t="s">
        <v>127</v>
      </c>
      <c r="V1405" t="s">
        <v>12210</v>
      </c>
      <c r="W1405" t="s">
        <v>12211</v>
      </c>
      <c r="Y1405" t="str">
        <f>HYPERLINK("https://recruiter.shine.com/resume/download/?resumeid=gAAAAABbk2UOtS3OXMFty8z16TD5p5op8YcrzNGO6t-EMGAKThW4GGn7m1zUbs0zvyAFCqjl23TgjzODFCPwMR4JZgxtUVb-tVHKMC8L_qqwWcCt0gId7K2isLRGQrlH784I1Xw3yaa1m8Uwk_4Uo4AJFV_RWHpKMg==")</f>
        <v>https://recruiter.shine.com/resume/download/?resumeid=gAAAAABbk2UOtS3OXMFty8z16TD5p5op8YcrzNGO6t-EMGAKThW4GGn7m1zUbs0zvyAFCqjl23TgjzODFCPwMR4JZgxtUVb-tVHKMC8L_qqwWcCt0gId7K2isLRGQrlH784I1Xw3yaa1m8Uwk_4Uo4AJFV_RWHpKMg==</v>
      </c>
    </row>
    <row r="1406" spans="1:25" ht="39.950000000000003" customHeight="1">
      <c r="A1406">
        <v>1402</v>
      </c>
      <c r="B1406" t="s">
        <v>12212</v>
      </c>
      <c r="C1406" t="s">
        <v>10393</v>
      </c>
      <c r="D1406" t="s">
        <v>12213</v>
      </c>
      <c r="E1406" t="s">
        <v>12214</v>
      </c>
      <c r="F1406" t="s">
        <v>29</v>
      </c>
      <c r="G1406" t="s">
        <v>12215</v>
      </c>
      <c r="H1406" t="s">
        <v>31</v>
      </c>
      <c r="I1406" t="s">
        <v>2946</v>
      </c>
      <c r="J1406" t="s">
        <v>12216</v>
      </c>
      <c r="K1406" t="s">
        <v>12217</v>
      </c>
      <c r="L1406" t="s">
        <v>338</v>
      </c>
      <c r="M1406" t="s">
        <v>5640</v>
      </c>
      <c r="N1406" t="s">
        <v>12218</v>
      </c>
      <c r="O1406" t="s">
        <v>224</v>
      </c>
      <c r="P1406" t="s">
        <v>940</v>
      </c>
      <c r="Q1406" t="s">
        <v>123</v>
      </c>
      <c r="R1406" t="s">
        <v>124</v>
      </c>
      <c r="S1406" t="s">
        <v>12219</v>
      </c>
      <c r="T1406" t="s">
        <v>687</v>
      </c>
      <c r="U1406" t="s">
        <v>43</v>
      </c>
      <c r="V1406" t="s">
        <v>12220</v>
      </c>
      <c r="W1406" t="s">
        <v>12221</v>
      </c>
      <c r="Y1406" t="str">
        <f>HYPERLINK("https://recruiter.shine.com/resume/download/?resumeid=gAAAAABbk2ULhAaFE0Jyk3yBY_vD4tFM3Idj1d13lTw-jzaJ9S6Yh2Bh-dglQ8KElIyP-rN_ZFBueoGBAk_gtZfA-RMsaPoOwR2EU24pEukCLb5o75o8ok5XodKvOL-7ZpeIderJ2bIBtnVOsugfQHWukaDJCfxFhuBOXKbMX1h0rebm-cJnidA=")</f>
        <v>https://recruiter.shine.com/resume/download/?resumeid=gAAAAABbk2ULhAaFE0Jyk3yBY_vD4tFM3Idj1d13lTw-jzaJ9S6Yh2Bh-dglQ8KElIyP-rN_ZFBueoGBAk_gtZfA-RMsaPoOwR2EU24pEukCLb5o75o8ok5XodKvOL-7ZpeIderJ2bIBtnVOsugfQHWukaDJCfxFhuBOXKbMX1h0rebm-cJnidA=</v>
      </c>
    </row>
    <row r="1407" spans="1:25" ht="39.950000000000003" customHeight="1">
      <c r="A1407">
        <v>1403</v>
      </c>
      <c r="B1407" t="s">
        <v>12222</v>
      </c>
      <c r="C1407" t="s">
        <v>12223</v>
      </c>
      <c r="D1407" t="s">
        <v>12224</v>
      </c>
      <c r="E1407" t="s">
        <v>12225</v>
      </c>
      <c r="F1407" t="s">
        <v>29</v>
      </c>
      <c r="G1407" t="s">
        <v>29</v>
      </c>
      <c r="H1407" t="s">
        <v>31</v>
      </c>
      <c r="I1407" t="s">
        <v>998</v>
      </c>
      <c r="J1407" t="s">
        <v>135</v>
      </c>
      <c r="K1407" t="s">
        <v>7097</v>
      </c>
      <c r="L1407" t="s">
        <v>354</v>
      </c>
      <c r="M1407" t="s">
        <v>238</v>
      </c>
      <c r="N1407" t="s">
        <v>5140</v>
      </c>
      <c r="O1407" t="s">
        <v>38</v>
      </c>
      <c r="P1407" t="s">
        <v>73</v>
      </c>
      <c r="Q1407" t="s">
        <v>90</v>
      </c>
      <c r="R1407" t="s">
        <v>292</v>
      </c>
      <c r="S1407" t="s">
        <v>12226</v>
      </c>
      <c r="T1407" t="s">
        <v>429</v>
      </c>
      <c r="U1407" t="s">
        <v>43</v>
      </c>
      <c r="V1407" t="s">
        <v>12227</v>
      </c>
      <c r="W1407" t="s">
        <v>12227</v>
      </c>
      <c r="Y1407" t="str">
        <f>HYPERLINK("https://recruiter.shine.com/resume/download/?resumeid=gAAAAABbk2UMjtNVKB8ei2bKnFUrEnZCdIZ3RVpGD8vMIZ_gpy9x_FRdgen5Qiyq3JxYO4FLHQiUEgtk6OWeKx9VoR83pbmj6J2_G_FiTn0qioSJG5yT9mP3JV6oYwvpUJP3BKIsoZIF6UB8UjDAJVuMsoKXw4VgxxNA8AusUKqMs9Sl8u1xmxI=")</f>
        <v>https://recruiter.shine.com/resume/download/?resumeid=gAAAAABbk2UMjtNVKB8ei2bKnFUrEnZCdIZ3RVpGD8vMIZ_gpy9x_FRdgen5Qiyq3JxYO4FLHQiUEgtk6OWeKx9VoR83pbmj6J2_G_FiTn0qioSJG5yT9mP3JV6oYwvpUJP3BKIsoZIF6UB8UjDAJVuMsoKXw4VgxxNA8AusUKqMs9Sl8u1xmxI=</v>
      </c>
    </row>
    <row r="1408" spans="1:25" ht="39.950000000000003" customHeight="1">
      <c r="A1408">
        <v>1404</v>
      </c>
      <c r="B1408" t="s">
        <v>12228</v>
      </c>
      <c r="C1408" t="s">
        <v>12229</v>
      </c>
      <c r="D1408" t="s">
        <v>12230</v>
      </c>
      <c r="E1408" t="s">
        <v>12231</v>
      </c>
      <c r="F1408" t="s">
        <v>29</v>
      </c>
      <c r="H1408" t="s">
        <v>31</v>
      </c>
      <c r="I1408" t="s">
        <v>362</v>
      </c>
      <c r="J1408" t="s">
        <v>135</v>
      </c>
      <c r="L1408" t="s">
        <v>363</v>
      </c>
      <c r="M1408" t="s">
        <v>364</v>
      </c>
      <c r="Q1408" t="s">
        <v>90</v>
      </c>
      <c r="R1408" t="s">
        <v>292</v>
      </c>
      <c r="S1408" t="s">
        <v>12232</v>
      </c>
      <c r="T1408" t="s">
        <v>257</v>
      </c>
      <c r="U1408" t="s">
        <v>43</v>
      </c>
      <c r="V1408" t="s">
        <v>12233</v>
      </c>
      <c r="W1408" t="s">
        <v>12233</v>
      </c>
      <c r="Y1408" t="str">
        <f>HYPERLINK("https://recruiter.shine.com/resume/download/?resumeid=gAAAAABbk2UNfnAD2wbHCF79yekvRHy4T9LLxkh52LdnptTDCOG2L5BQyyS8Xqtob2Hzr2NlLEaRGN_nquAJrEmAVjRGKfKfE9dmvfZNTkMIG2p32z28Ur7xR_yINn7_W5HH-BF3rk72-GKw1EJMeLHFGgYq9yExFw==")</f>
        <v>https://recruiter.shine.com/resume/download/?resumeid=gAAAAABbk2UNfnAD2wbHCF79yekvRHy4T9LLxkh52LdnptTDCOG2L5BQyyS8Xqtob2Hzr2NlLEaRGN_nquAJrEmAVjRGKfKfE9dmvfZNTkMIG2p32z28Ur7xR_yINn7_W5HH-BF3rk72-GKw1EJMeLHFGgYq9yExFw==</v>
      </c>
    </row>
    <row r="1409" spans="1:25" ht="39.950000000000003" customHeight="1">
      <c r="A1409">
        <v>1405</v>
      </c>
      <c r="B1409" t="s">
        <v>12234</v>
      </c>
      <c r="D1409" t="s">
        <v>12235</v>
      </c>
      <c r="E1409" t="s">
        <v>12236</v>
      </c>
      <c r="F1409" t="s">
        <v>858</v>
      </c>
      <c r="G1409" t="s">
        <v>29</v>
      </c>
      <c r="H1409" t="s">
        <v>31</v>
      </c>
      <c r="I1409" t="s">
        <v>134</v>
      </c>
      <c r="J1409" t="s">
        <v>517</v>
      </c>
      <c r="K1409" t="s">
        <v>12237</v>
      </c>
      <c r="L1409" t="s">
        <v>794</v>
      </c>
      <c r="M1409" t="s">
        <v>1083</v>
      </c>
      <c r="N1409" t="s">
        <v>12238</v>
      </c>
      <c r="O1409" t="s">
        <v>56</v>
      </c>
      <c r="Q1409" t="s">
        <v>158</v>
      </c>
      <c r="R1409" t="s">
        <v>476</v>
      </c>
      <c r="S1409" t="s">
        <v>9657</v>
      </c>
      <c r="T1409" t="s">
        <v>227</v>
      </c>
      <c r="U1409" t="s">
        <v>43</v>
      </c>
      <c r="V1409" t="s">
        <v>12239</v>
      </c>
      <c r="W1409" t="s">
        <v>12240</v>
      </c>
      <c r="Y1409" t="str">
        <f>HYPERLINK("https://recruiter.shine.com/resume/download/?resumeid=gAAAAABbk2UKYZGYwEbamyxBlREfTK20ajpFyFrq9XTSYT6SoaWjK9KHDq5Gh5M8fo_EtMX8A4aRSMyK-s8dFZMOVrCoEpvh5_QU2xOO_wAd2zhvY-Xs3_cJafXBX41vakYnIuIGZPgYMAD-I8uYO-PAUqT1V-OQvg==")</f>
        <v>https://recruiter.shine.com/resume/download/?resumeid=gAAAAABbk2UKYZGYwEbamyxBlREfTK20ajpFyFrq9XTSYT6SoaWjK9KHDq5Gh5M8fo_EtMX8A4aRSMyK-s8dFZMOVrCoEpvh5_QU2xOO_wAd2zhvY-Xs3_cJafXBX41vakYnIuIGZPgYMAD-I8uYO-PAUqT1V-OQvg==</v>
      </c>
    </row>
    <row r="1410" spans="1:25" ht="39.950000000000003" customHeight="1">
      <c r="A1410">
        <v>1406</v>
      </c>
      <c r="B1410" t="s">
        <v>12241</v>
      </c>
      <c r="C1410" t="s">
        <v>12242</v>
      </c>
      <c r="D1410" t="s">
        <v>12243</v>
      </c>
      <c r="E1410" t="s">
        <v>12244</v>
      </c>
      <c r="F1410" t="s">
        <v>29</v>
      </c>
      <c r="G1410" t="s">
        <v>12245</v>
      </c>
      <c r="H1410" t="s">
        <v>31</v>
      </c>
      <c r="I1410" t="s">
        <v>32</v>
      </c>
      <c r="J1410" t="s">
        <v>393</v>
      </c>
      <c r="K1410" t="s">
        <v>12246</v>
      </c>
      <c r="L1410" t="s">
        <v>462</v>
      </c>
      <c r="M1410" t="s">
        <v>3183</v>
      </c>
      <c r="N1410" t="s">
        <v>12247</v>
      </c>
      <c r="O1410" t="s">
        <v>224</v>
      </c>
      <c r="Q1410" t="s">
        <v>107</v>
      </c>
      <c r="R1410" t="s">
        <v>559</v>
      </c>
      <c r="S1410" t="s">
        <v>12248</v>
      </c>
      <c r="T1410" t="s">
        <v>1065</v>
      </c>
      <c r="U1410" t="s">
        <v>43</v>
      </c>
      <c r="V1410" t="s">
        <v>12249</v>
      </c>
      <c r="W1410" t="s">
        <v>12250</v>
      </c>
      <c r="Y1410" t="str">
        <f>HYPERLINK("https://recruiter.shine.com/resume/download/?resumeid=gAAAAABbk2UM8wQUHqDwszDv2_nk528y6tvDrTrnFDkb2V2VqEfHb6OelwC80mtEQ00p9J11AGchrI2cHJ76nJ2NjOeDOVE6WB3e9pSgCkRbmpeaQUFhl7f8Ps1A6HZSUEtuvivMMiNfeIUhTGlOMgOB_WDXv8NNt4fK_aksm3XJlIsLR0LdrGE=")</f>
        <v>https://recruiter.shine.com/resume/download/?resumeid=gAAAAABbk2UM8wQUHqDwszDv2_nk528y6tvDrTrnFDkb2V2VqEfHb6OelwC80mtEQ00p9J11AGchrI2cHJ76nJ2NjOeDOVE6WB3e9pSgCkRbmpeaQUFhl7f8Ps1A6HZSUEtuvivMMiNfeIUhTGlOMgOB_WDXv8NNt4fK_aksm3XJlIsLR0LdrGE=</v>
      </c>
    </row>
    <row r="1411" spans="1:25" ht="39.950000000000003" customHeight="1">
      <c r="A1411">
        <v>1407</v>
      </c>
      <c r="B1411" t="s">
        <v>12251</v>
      </c>
      <c r="D1411" t="s">
        <v>12252</v>
      </c>
      <c r="E1411" t="s">
        <v>12253</v>
      </c>
      <c r="F1411" t="s">
        <v>29</v>
      </c>
      <c r="H1411" t="s">
        <v>31</v>
      </c>
      <c r="I1411" t="s">
        <v>362</v>
      </c>
      <c r="J1411" t="s">
        <v>135</v>
      </c>
      <c r="L1411" t="s">
        <v>363</v>
      </c>
      <c r="M1411" t="s">
        <v>364</v>
      </c>
      <c r="Q1411" t="s">
        <v>107</v>
      </c>
      <c r="R1411" t="s">
        <v>341</v>
      </c>
      <c r="S1411" t="s">
        <v>12254</v>
      </c>
      <c r="T1411" t="s">
        <v>429</v>
      </c>
      <c r="U1411" t="s">
        <v>127</v>
      </c>
      <c r="V1411" t="s">
        <v>12255</v>
      </c>
      <c r="W1411" t="s">
        <v>12255</v>
      </c>
      <c r="Y1411" t="str">
        <f>HYPERLINK("https://recruiter.shine.com/resume/download/?resumeid=gAAAAABbk2UNcrwvIF2alxxXZAcv4X_D4C6NxQFumF7fdywPt75nXaTVhToZ7vo6kmz8zoQLdKs2u1fayR3Ej7UICwKyiqQ9F8sOsp_M1cP2NjXdJ79YkKpQhhLWjEJ7pd0xdq7Mj-Z-gq35SaJbpApsG8HruVrePzO5PS4vV3d0X0u2SpDagP0=")</f>
        <v>https://recruiter.shine.com/resume/download/?resumeid=gAAAAABbk2UNcrwvIF2alxxXZAcv4X_D4C6NxQFumF7fdywPt75nXaTVhToZ7vo6kmz8zoQLdKs2u1fayR3Ej7UICwKyiqQ9F8sOsp_M1cP2NjXdJ79YkKpQhhLWjEJ7pd0xdq7Mj-Z-gq35SaJbpApsG8HruVrePzO5PS4vV3d0X0u2SpDagP0=</v>
      </c>
    </row>
    <row r="1412" spans="1:25" ht="39.950000000000003" customHeight="1">
      <c r="A1412">
        <v>1408</v>
      </c>
      <c r="B1412" t="s">
        <v>12256</v>
      </c>
      <c r="D1412" t="s">
        <v>12257</v>
      </c>
      <c r="E1412" t="s">
        <v>12258</v>
      </c>
      <c r="F1412" t="s">
        <v>29</v>
      </c>
      <c r="G1412" t="s">
        <v>67</v>
      </c>
      <c r="H1412" t="s">
        <v>234</v>
      </c>
      <c r="I1412" t="s">
        <v>1122</v>
      </c>
      <c r="J1412" t="s">
        <v>51</v>
      </c>
      <c r="K1412" t="s">
        <v>989</v>
      </c>
      <c r="L1412" t="s">
        <v>120</v>
      </c>
      <c r="M1412" t="s">
        <v>717</v>
      </c>
      <c r="N1412" t="s">
        <v>4501</v>
      </c>
      <c r="O1412" t="s">
        <v>56</v>
      </c>
      <c r="Q1412" t="s">
        <v>90</v>
      </c>
      <c r="R1412" t="s">
        <v>91</v>
      </c>
      <c r="S1412" t="s">
        <v>784</v>
      </c>
      <c r="T1412" t="s">
        <v>429</v>
      </c>
      <c r="U1412" t="s">
        <v>43</v>
      </c>
      <c r="V1412" t="s">
        <v>12259</v>
      </c>
      <c r="W1412" t="s">
        <v>12260</v>
      </c>
      <c r="Y1412" t="str">
        <f>HYPERLINK("https://recruiter.shine.com/resume/download/?resumeid=gAAAAABbk2ULwc5EvTQ2uEY6Fg9b9ziyew_t9F6fOcYKmYyBgKkgP4_zIZmz9NZkd91cgMpJUxpkiBoNIr5qZrOyi5BsmTjBzxealKPSXkPNKqNDIUV3pr9RoOE7ZgGCeWHhmpLfbO5qiLvMSdPcRWJMlnh1gXg29A==")</f>
        <v>https://recruiter.shine.com/resume/download/?resumeid=gAAAAABbk2ULwc5EvTQ2uEY6Fg9b9ziyew_t9F6fOcYKmYyBgKkgP4_zIZmz9NZkd91cgMpJUxpkiBoNIr5qZrOyi5BsmTjBzxealKPSXkPNKqNDIUV3pr9RoOE7ZgGCeWHhmpLfbO5qiLvMSdPcRWJMlnh1gXg29A==</v>
      </c>
    </row>
    <row r="1413" spans="1:25" ht="39.950000000000003" customHeight="1">
      <c r="A1413">
        <v>1409</v>
      </c>
      <c r="B1413" t="s">
        <v>12261</v>
      </c>
      <c r="C1413" t="s">
        <v>12262</v>
      </c>
      <c r="D1413" t="s">
        <v>12263</v>
      </c>
      <c r="E1413" t="s">
        <v>12264</v>
      </c>
      <c r="F1413" t="s">
        <v>29</v>
      </c>
      <c r="G1413" t="s">
        <v>6779</v>
      </c>
      <c r="H1413" t="s">
        <v>31</v>
      </c>
      <c r="I1413" t="s">
        <v>836</v>
      </c>
      <c r="J1413" t="s">
        <v>517</v>
      </c>
      <c r="K1413" t="s">
        <v>12265</v>
      </c>
      <c r="L1413" t="s">
        <v>3636</v>
      </c>
      <c r="M1413" t="s">
        <v>1356</v>
      </c>
      <c r="N1413" t="s">
        <v>12266</v>
      </c>
      <c r="O1413" t="s">
        <v>56</v>
      </c>
      <c r="P1413" t="s">
        <v>57</v>
      </c>
      <c r="Q1413" t="s">
        <v>158</v>
      </c>
      <c r="R1413" t="s">
        <v>142</v>
      </c>
      <c r="S1413" t="s">
        <v>12267</v>
      </c>
      <c r="T1413" t="s">
        <v>304</v>
      </c>
      <c r="U1413" t="s">
        <v>43</v>
      </c>
      <c r="V1413" t="s">
        <v>12268</v>
      </c>
      <c r="W1413" t="s">
        <v>12269</v>
      </c>
      <c r="Y1413" t="str">
        <f>HYPERLINK("https://recruiter.shine.com/resume/download/?resumeid=gAAAAABbk2UM19qM11fZHoYh_vUFA-LQwXdUYP_NzeCSRHNod29isC3mYBz8weaRVhjvUg6E889-RJj6xkuOfkg9I3263721XD3xMwNtXYn0sGllnkih10NKslvysjic2wzDYt1XjxXYYFVRaaObQwTaHVth30ktI5dtKVCYpuC8cpbdBFBLiXg=")</f>
        <v>https://recruiter.shine.com/resume/download/?resumeid=gAAAAABbk2UM19qM11fZHoYh_vUFA-LQwXdUYP_NzeCSRHNod29isC3mYBz8weaRVhjvUg6E889-RJj6xkuOfkg9I3263721XD3xMwNtXYn0sGllnkih10NKslvysjic2wzDYt1XjxXYYFVRaaObQwTaHVth30ktI5dtKVCYpuC8cpbdBFBLiXg=</v>
      </c>
    </row>
    <row r="1414" spans="1:25" ht="39.950000000000003" customHeight="1">
      <c r="A1414">
        <v>1410</v>
      </c>
      <c r="B1414" t="s">
        <v>12270</v>
      </c>
      <c r="D1414" t="s">
        <v>12271</v>
      </c>
      <c r="E1414" t="s">
        <v>12272</v>
      </c>
      <c r="F1414" t="s">
        <v>29</v>
      </c>
      <c r="H1414" t="s">
        <v>31</v>
      </c>
      <c r="I1414" t="s">
        <v>208</v>
      </c>
      <c r="J1414" t="s">
        <v>1641</v>
      </c>
      <c r="K1414" t="s">
        <v>12273</v>
      </c>
      <c r="L1414" t="s">
        <v>653</v>
      </c>
      <c r="M1414" t="s">
        <v>463</v>
      </c>
      <c r="N1414" t="s">
        <v>12274</v>
      </c>
      <c r="O1414" t="s">
        <v>585</v>
      </c>
      <c r="Q1414" t="s">
        <v>123</v>
      </c>
      <c r="R1414" t="s">
        <v>124</v>
      </c>
      <c r="S1414" t="s">
        <v>12275</v>
      </c>
      <c r="T1414" t="s">
        <v>399</v>
      </c>
      <c r="U1414" t="s">
        <v>127</v>
      </c>
      <c r="V1414" t="s">
        <v>12276</v>
      </c>
      <c r="W1414" t="s">
        <v>12277</v>
      </c>
      <c r="Y1414" t="str">
        <f>HYPERLINK("https://recruiter.shine.com/resume/download/?resumeid=gAAAAABbk2UNuMstsscI8G5mTtquUks8hL94YrHJqG6f0Px4oA8dmgoCmuGrwmuOnVIArVGDnErVtSoAaOfuaeoFbEWtakjWj5wi4VoI_CyzwbpRa4JPpIoXGTKrPokizjCppWxB-pGol72JCF_M6SM68CT0QnAVdfn0H2dnCdsDPvwrao5r6ZU=")</f>
        <v>https://recruiter.shine.com/resume/download/?resumeid=gAAAAABbk2UNuMstsscI8G5mTtquUks8hL94YrHJqG6f0Px4oA8dmgoCmuGrwmuOnVIArVGDnErVtSoAaOfuaeoFbEWtakjWj5wi4VoI_CyzwbpRa4JPpIoXGTKrPokizjCppWxB-pGol72JCF_M6SM68CT0QnAVdfn0H2dnCdsDPvwrao5r6ZU=</v>
      </c>
    </row>
    <row r="1415" spans="1:25" ht="39.950000000000003" customHeight="1">
      <c r="A1415">
        <v>1411</v>
      </c>
      <c r="B1415" t="s">
        <v>12278</v>
      </c>
      <c r="C1415" t="s">
        <v>12279</v>
      </c>
      <c r="D1415" t="s">
        <v>12280</v>
      </c>
      <c r="E1415" t="s">
        <v>12281</v>
      </c>
      <c r="F1415" t="s">
        <v>29</v>
      </c>
      <c r="G1415" t="s">
        <v>9146</v>
      </c>
      <c r="H1415" t="s">
        <v>31</v>
      </c>
      <c r="I1415" t="s">
        <v>2523</v>
      </c>
      <c r="J1415" t="s">
        <v>12282</v>
      </c>
      <c r="K1415" t="s">
        <v>6755</v>
      </c>
      <c r="L1415" t="s">
        <v>266</v>
      </c>
      <c r="M1415" t="s">
        <v>684</v>
      </c>
      <c r="N1415" t="s">
        <v>12283</v>
      </c>
      <c r="O1415" t="s">
        <v>56</v>
      </c>
      <c r="P1415" t="s">
        <v>39</v>
      </c>
      <c r="Q1415" t="s">
        <v>158</v>
      </c>
      <c r="R1415" t="s">
        <v>225</v>
      </c>
      <c r="S1415" t="s">
        <v>12284</v>
      </c>
      <c r="U1415" t="s">
        <v>43</v>
      </c>
      <c r="V1415" t="s">
        <v>12285</v>
      </c>
      <c r="W1415" t="s">
        <v>12286</v>
      </c>
      <c r="Y1415" t="str">
        <f>HYPERLINK("https://recruiter.shine.com/resume/download/?resumeid=gAAAAABbk2UKc-lApWRNbHmYyC-zcrEauh1lCeMUqYoUiODpo_yvdnAh9lw71FFHqSxuaMUtywGonavqnws-jqhlstcHFsVLrWYwtpXA3HngzXxnD6E3HTyBEyFnOkwk4Sc8cXBKGFZiESfGB5_jit2-Q70DzyyyTA==")</f>
        <v>https://recruiter.shine.com/resume/download/?resumeid=gAAAAABbk2UKc-lApWRNbHmYyC-zcrEauh1lCeMUqYoUiODpo_yvdnAh9lw71FFHqSxuaMUtywGonavqnws-jqhlstcHFsVLrWYwtpXA3HngzXxnD6E3HTyBEyFnOkwk4Sc8cXBKGFZiESfGB5_jit2-Q70DzyyyTA==</v>
      </c>
    </row>
    <row r="1416" spans="1:25" ht="39.950000000000003" customHeight="1">
      <c r="A1416">
        <v>1412</v>
      </c>
      <c r="B1416" t="s">
        <v>12287</v>
      </c>
      <c r="D1416" t="s">
        <v>12288</v>
      </c>
      <c r="E1416" t="s">
        <v>12289</v>
      </c>
      <c r="F1416" t="s">
        <v>29</v>
      </c>
      <c r="G1416" t="s">
        <v>29</v>
      </c>
      <c r="H1416" t="s">
        <v>234</v>
      </c>
      <c r="I1416" t="s">
        <v>3514</v>
      </c>
      <c r="J1416" t="s">
        <v>705</v>
      </c>
      <c r="K1416" t="s">
        <v>12290</v>
      </c>
      <c r="L1416" t="s">
        <v>354</v>
      </c>
      <c r="M1416" t="s">
        <v>884</v>
      </c>
      <c r="N1416" t="s">
        <v>12291</v>
      </c>
      <c r="O1416" t="s">
        <v>572</v>
      </c>
      <c r="Q1416" t="s">
        <v>107</v>
      </c>
      <c r="R1416" t="s">
        <v>559</v>
      </c>
      <c r="S1416" t="s">
        <v>12292</v>
      </c>
      <c r="T1416" t="s">
        <v>1921</v>
      </c>
      <c r="U1416" t="s">
        <v>43</v>
      </c>
      <c r="V1416" t="s">
        <v>12293</v>
      </c>
      <c r="W1416" t="s">
        <v>12294</v>
      </c>
      <c r="Y1416" t="str">
        <f>HYPERLINK("https://recruiter.shine.com/resume/download/?resumeid=gAAAAABbk2UMnwk_15U0RDuQGvE30duI1SnqzTkRw47c3LVnzzY28N7WUQFnMg-wo04DkgUFo0O2H7pYe2Huws6ig7hdXU54YaEhRIRpbKDxbOOpLqtc4ddirK_vI1we1dMFs975j0oxawxoNK8rFPBcE1diniEXKfH7xfvqNS6Ww6--5LB0WN0=")</f>
        <v>https://recruiter.shine.com/resume/download/?resumeid=gAAAAABbk2UMnwk_15U0RDuQGvE30duI1SnqzTkRw47c3LVnzzY28N7WUQFnMg-wo04DkgUFo0O2H7pYe2Huws6ig7hdXU54YaEhRIRpbKDxbOOpLqtc4ddirK_vI1we1dMFs975j0oxawxoNK8rFPBcE1diniEXKfH7xfvqNS6Ww6--5LB0WN0=</v>
      </c>
    </row>
    <row r="1417" spans="1:25" ht="39.950000000000003" customHeight="1">
      <c r="A1417">
        <v>1413</v>
      </c>
      <c r="B1417" t="s">
        <v>12295</v>
      </c>
      <c r="D1417" t="s">
        <v>12296</v>
      </c>
      <c r="E1417" t="s">
        <v>12297</v>
      </c>
      <c r="F1417" t="s">
        <v>29</v>
      </c>
      <c r="H1417" t="s">
        <v>31</v>
      </c>
      <c r="I1417" t="s">
        <v>362</v>
      </c>
      <c r="J1417" t="s">
        <v>135</v>
      </c>
      <c r="L1417" t="s">
        <v>363</v>
      </c>
      <c r="M1417" t="s">
        <v>364</v>
      </c>
      <c r="Q1417" t="s">
        <v>365</v>
      </c>
      <c r="R1417" t="s">
        <v>124</v>
      </c>
      <c r="S1417" t="s">
        <v>12298</v>
      </c>
      <c r="T1417" t="s">
        <v>687</v>
      </c>
      <c r="U1417" t="s">
        <v>127</v>
      </c>
      <c r="V1417" t="s">
        <v>12299</v>
      </c>
      <c r="W1417" t="s">
        <v>12299</v>
      </c>
      <c r="Y1417" t="str">
        <f>HYPERLINK("https://recruiter.shine.com/resume/download/?resumeid=gAAAAABbk2UNHIy_bAEA9GRgCtdkErUmmE5OMWRX7mCGtmc73o7rbCiQ4wqWk7FHcgXJd2ebeAmRxOHC_5s72xlvNEBytQmtaihmdTM5QxZ0iYhNzMj8oJiBq1QOgVg_3SOGAA-2Ez1e1neY2H2xeXTqO3UdZKtNijJabWFRpUPNB_SAJcQy9Hk=")</f>
        <v>https://recruiter.shine.com/resume/download/?resumeid=gAAAAABbk2UNHIy_bAEA9GRgCtdkErUmmE5OMWRX7mCGtmc73o7rbCiQ4wqWk7FHcgXJd2ebeAmRxOHC_5s72xlvNEBytQmtaihmdTM5QxZ0iYhNzMj8oJiBq1QOgVg_3SOGAA-2Ez1e1neY2H2xeXTqO3UdZKtNijJabWFRpUPNB_SAJcQy9Hk=</v>
      </c>
    </row>
    <row r="1418" spans="1:25" ht="39.950000000000003" customHeight="1">
      <c r="A1418">
        <v>1414</v>
      </c>
      <c r="B1418" t="s">
        <v>12300</v>
      </c>
      <c r="C1418" t="s">
        <v>12301</v>
      </c>
      <c r="D1418" t="s">
        <v>12302</v>
      </c>
      <c r="E1418" t="s">
        <v>12303</v>
      </c>
      <c r="F1418" t="s">
        <v>29</v>
      </c>
      <c r="G1418" t="s">
        <v>29</v>
      </c>
      <c r="H1418" t="s">
        <v>31</v>
      </c>
      <c r="I1418" t="s">
        <v>32</v>
      </c>
      <c r="J1418" t="s">
        <v>12304</v>
      </c>
      <c r="K1418" t="s">
        <v>12305</v>
      </c>
      <c r="L1418" t="s">
        <v>462</v>
      </c>
      <c r="M1418" t="s">
        <v>105</v>
      </c>
      <c r="N1418" t="s">
        <v>1062</v>
      </c>
      <c r="O1418" t="s">
        <v>56</v>
      </c>
      <c r="P1418" t="s">
        <v>268</v>
      </c>
      <c r="Q1418" t="s">
        <v>90</v>
      </c>
      <c r="R1418" t="s">
        <v>465</v>
      </c>
      <c r="S1418" t="s">
        <v>4476</v>
      </c>
      <c r="T1418" t="s">
        <v>93</v>
      </c>
      <c r="U1418" t="s">
        <v>94</v>
      </c>
      <c r="V1418" t="s">
        <v>12306</v>
      </c>
      <c r="W1418" t="s">
        <v>12307</v>
      </c>
      <c r="Y1418" t="str">
        <f>HYPERLINK("https://recruiter.shine.com/resume/download/?resumeid=gAAAAABbk2ULOYo94OZZe5E9oK4hbxs-dGzGbkOMv1vnyjAVaZevwgSDFpuq2CccLkiGeIH-IY6Wh5MWCVrwjt2rO96SmOJDWU4-M2ZHhjjRdHrQMaW2GgTSlzJoctXK-9aGO5OYpFBjGCQBl8dH-r0iS9-wxRSWyg==")</f>
        <v>https://recruiter.shine.com/resume/download/?resumeid=gAAAAABbk2ULOYo94OZZe5E9oK4hbxs-dGzGbkOMv1vnyjAVaZevwgSDFpuq2CccLkiGeIH-IY6Wh5MWCVrwjt2rO96SmOJDWU4-M2ZHhjjRdHrQMaW2GgTSlzJoctXK-9aGO5OYpFBjGCQBl8dH-r0iS9-wxRSWyg==</v>
      </c>
    </row>
    <row r="1419" spans="1:25" ht="39.950000000000003" customHeight="1">
      <c r="A1419">
        <v>1415</v>
      </c>
      <c r="B1419" t="s">
        <v>12308</v>
      </c>
      <c r="C1419" t="s">
        <v>12309</v>
      </c>
      <c r="D1419" t="s">
        <v>12310</v>
      </c>
      <c r="E1419" t="s">
        <v>12311</v>
      </c>
      <c r="F1419" t="s">
        <v>29</v>
      </c>
      <c r="G1419" t="s">
        <v>29</v>
      </c>
      <c r="H1419" t="s">
        <v>31</v>
      </c>
      <c r="I1419" t="s">
        <v>860</v>
      </c>
      <c r="J1419" t="s">
        <v>6879</v>
      </c>
      <c r="K1419" t="s">
        <v>12312</v>
      </c>
      <c r="L1419" t="s">
        <v>6189</v>
      </c>
      <c r="M1419" t="s">
        <v>121</v>
      </c>
      <c r="N1419" t="s">
        <v>12313</v>
      </c>
      <c r="O1419" t="s">
        <v>186</v>
      </c>
      <c r="P1419" t="s">
        <v>57</v>
      </c>
      <c r="Q1419" t="s">
        <v>40</v>
      </c>
      <c r="R1419" t="s">
        <v>9106</v>
      </c>
      <c r="S1419" t="s">
        <v>188</v>
      </c>
      <c r="T1419" t="s">
        <v>110</v>
      </c>
      <c r="U1419" t="s">
        <v>43</v>
      </c>
      <c r="V1419" t="s">
        <v>12314</v>
      </c>
      <c r="W1419" t="s">
        <v>12315</v>
      </c>
      <c r="Y1419" t="str">
        <f>HYPERLINK("https://recruiter.shine.com/resume/download/?resumeid=gAAAAABbk2UMA5pZ4HkqQGYM1FgXi-4wYj9w7oG_a9C3NFgzGF6KIuec_3PbrujIrEEg7j2SOHaZvb0AvVu99HKP6DDABVYT6o7R88_0_MN0xKzLODNn6DMq-R7-u4G0KfRs4CrgIlWxIQhUveTsFFaTI7B13d0KGUncwnGbFCosOS7RlpP5uvs=")</f>
        <v>https://recruiter.shine.com/resume/download/?resumeid=gAAAAABbk2UMA5pZ4HkqQGYM1FgXi-4wYj9w7oG_a9C3NFgzGF6KIuec_3PbrujIrEEg7j2SOHaZvb0AvVu99HKP6DDABVYT6o7R88_0_MN0xKzLODNn6DMq-R7-u4G0KfRs4CrgIlWxIQhUveTsFFaTI7B13d0KGUncwnGbFCosOS7RlpP5uvs=</v>
      </c>
    </row>
    <row r="1420" spans="1:25" ht="39.950000000000003" customHeight="1">
      <c r="A1420">
        <v>1416</v>
      </c>
      <c r="B1420" t="s">
        <v>12316</v>
      </c>
      <c r="C1420" t="s">
        <v>12317</v>
      </c>
      <c r="D1420" t="s">
        <v>12318</v>
      </c>
      <c r="E1420" t="s">
        <v>12319</v>
      </c>
      <c r="F1420" t="s">
        <v>29</v>
      </c>
      <c r="G1420" t="s">
        <v>2784</v>
      </c>
      <c r="H1420" t="s">
        <v>31</v>
      </c>
      <c r="I1420" t="s">
        <v>1986</v>
      </c>
      <c r="J1420" t="s">
        <v>1742</v>
      </c>
      <c r="K1420" t="s">
        <v>2894</v>
      </c>
      <c r="L1420" t="s">
        <v>266</v>
      </c>
      <c r="M1420" t="s">
        <v>105</v>
      </c>
      <c r="N1420" t="s">
        <v>12320</v>
      </c>
      <c r="O1420" t="s">
        <v>3583</v>
      </c>
      <c r="P1420" t="s">
        <v>73</v>
      </c>
      <c r="Q1420" t="s">
        <v>107</v>
      </c>
      <c r="R1420" t="s">
        <v>341</v>
      </c>
      <c r="S1420" t="s">
        <v>12321</v>
      </c>
      <c r="T1420" t="s">
        <v>687</v>
      </c>
      <c r="U1420" t="s">
        <v>127</v>
      </c>
      <c r="V1420" t="s">
        <v>12322</v>
      </c>
      <c r="W1420" t="s">
        <v>12323</v>
      </c>
      <c r="Y1420" t="str">
        <f>HYPERLINK("https://recruiter.shine.com/resume/download/?resumeid=gAAAAABbk2UNufhG6wLtZvsoFz7QHa0yKyDZhefx-wND_eYaGI9dkEhzgzxYjGw7ZAdKHn7K-vqbFnkNqMzNLAVC9qa8wEPpkikOmyKsi65pgKvjsJ5hjKsUES3lyHUAFZjAp2F1S5qgYoPjk4p-WrbhE9E--woKrjOjyneBJbCrNAf6oJjbHuE=")</f>
        <v>https://recruiter.shine.com/resume/download/?resumeid=gAAAAABbk2UNufhG6wLtZvsoFz7QHa0yKyDZhefx-wND_eYaGI9dkEhzgzxYjGw7ZAdKHn7K-vqbFnkNqMzNLAVC9qa8wEPpkikOmyKsi65pgKvjsJ5hjKsUES3lyHUAFZjAp2F1S5qgYoPjk4p-WrbhE9E--woKrjOjyneBJbCrNAf6oJjbHuE=</v>
      </c>
    </row>
    <row r="1421" spans="1:25" ht="39.950000000000003" customHeight="1">
      <c r="A1421">
        <v>1417</v>
      </c>
      <c r="B1421" t="s">
        <v>12324</v>
      </c>
      <c r="D1421" t="s">
        <v>12325</v>
      </c>
      <c r="E1421" t="s">
        <v>12326</v>
      </c>
      <c r="F1421" t="s">
        <v>29</v>
      </c>
      <c r="G1421" t="s">
        <v>29</v>
      </c>
      <c r="H1421" t="s">
        <v>31</v>
      </c>
      <c r="I1421" t="s">
        <v>32</v>
      </c>
      <c r="J1421" t="s">
        <v>336</v>
      </c>
      <c r="K1421" t="s">
        <v>12327</v>
      </c>
      <c r="L1421" t="s">
        <v>462</v>
      </c>
      <c r="M1421" t="s">
        <v>36</v>
      </c>
      <c r="N1421" t="s">
        <v>2749</v>
      </c>
      <c r="O1421" t="s">
        <v>38</v>
      </c>
      <c r="Q1421" t="s">
        <v>90</v>
      </c>
      <c r="R1421" t="s">
        <v>465</v>
      </c>
      <c r="S1421" t="s">
        <v>12328</v>
      </c>
      <c r="U1421" t="s">
        <v>43</v>
      </c>
      <c r="V1421" t="s">
        <v>12329</v>
      </c>
      <c r="W1421" t="s">
        <v>12330</v>
      </c>
      <c r="Y1421" t="str">
        <f>HYPERLINK("https://recruiter.shine.com/resume/download/?resumeid=gAAAAABbk2UKVJhdtnjgZ5emLd80vQCIjn0td_i1c0MabitumIpHagVQHGg_bVWeLcEvqXmD6F4_rYxot0hdBS398DKT3hprV-YWUoIXHRo25IJn5ber1ObTIXR0l07b9tvVNZ1K8bH_CNm6qg3kR7ABtPfn5Bsc0g==")</f>
        <v>https://recruiter.shine.com/resume/download/?resumeid=gAAAAABbk2UKVJhdtnjgZ5emLd80vQCIjn0td_i1c0MabitumIpHagVQHGg_bVWeLcEvqXmD6F4_rYxot0hdBS398DKT3hprV-YWUoIXHRo25IJn5ber1ObTIXR0l07b9tvVNZ1K8bH_CNm6qg3kR7ABtPfn5Bsc0g==</v>
      </c>
    </row>
    <row r="1422" spans="1:25" ht="39.950000000000003" customHeight="1">
      <c r="A1422">
        <v>1418</v>
      </c>
      <c r="B1422" t="s">
        <v>12331</v>
      </c>
      <c r="C1422" t="s">
        <v>12332</v>
      </c>
      <c r="D1422" t="s">
        <v>12333</v>
      </c>
      <c r="E1422" t="s">
        <v>12334</v>
      </c>
      <c r="F1422" t="s">
        <v>29</v>
      </c>
      <c r="G1422" t="s">
        <v>29</v>
      </c>
      <c r="H1422" t="s">
        <v>31</v>
      </c>
      <c r="I1422" t="s">
        <v>791</v>
      </c>
      <c r="J1422" t="s">
        <v>9217</v>
      </c>
      <c r="K1422" t="s">
        <v>1167</v>
      </c>
      <c r="L1422" t="s">
        <v>237</v>
      </c>
      <c r="M1422" t="s">
        <v>238</v>
      </c>
      <c r="N1422" t="s">
        <v>12335</v>
      </c>
      <c r="O1422" t="s">
        <v>224</v>
      </c>
      <c r="P1422" t="s">
        <v>57</v>
      </c>
      <c r="Q1422" t="s">
        <v>90</v>
      </c>
      <c r="R1422" t="s">
        <v>292</v>
      </c>
      <c r="S1422" t="s">
        <v>8923</v>
      </c>
      <c r="T1422" t="s">
        <v>304</v>
      </c>
      <c r="U1422" t="s">
        <v>43</v>
      </c>
      <c r="V1422" t="s">
        <v>12336</v>
      </c>
      <c r="W1422" t="s">
        <v>12337</v>
      </c>
      <c r="Y1422" t="str">
        <f>HYPERLINK("https://recruiter.shine.com/resume/download/?resumeid=gAAAAABbk2UNZCU-gnI8ucL2ofvs77t1fMFkRnOzRtLSvvsQ2v4XG1m32mDuckv7KrFQYWA0qk5JfTOEbfIGmCSRdaGiug7AWZ2weYrD8G7Uxcxz-3VuCRJXQPVDSY_CRJkV9ZAIRQnUP-Ja0nTS3kuY7A9UljK39g==")</f>
        <v>https://recruiter.shine.com/resume/download/?resumeid=gAAAAABbk2UNZCU-gnI8ucL2ofvs77t1fMFkRnOzRtLSvvsQ2v4XG1m32mDuckv7KrFQYWA0qk5JfTOEbfIGmCSRdaGiug7AWZ2weYrD8G7Uxcxz-3VuCRJXQPVDSY_CRJkV9ZAIRQnUP-Ja0nTS3kuY7A9UljK39g==</v>
      </c>
    </row>
    <row r="1423" spans="1:25" ht="39.950000000000003" customHeight="1">
      <c r="A1423">
        <v>1419</v>
      </c>
      <c r="B1423" t="s">
        <v>12338</v>
      </c>
      <c r="D1423" t="s">
        <v>12339</v>
      </c>
      <c r="E1423" t="s">
        <v>12340</v>
      </c>
      <c r="F1423" t="s">
        <v>29</v>
      </c>
      <c r="H1423" t="s">
        <v>234</v>
      </c>
      <c r="I1423" t="s">
        <v>1774</v>
      </c>
      <c r="J1423" t="s">
        <v>12341</v>
      </c>
      <c r="K1423" t="s">
        <v>12342</v>
      </c>
      <c r="L1423" t="s">
        <v>290</v>
      </c>
      <c r="M1423" t="s">
        <v>238</v>
      </c>
      <c r="N1423" t="s">
        <v>12343</v>
      </c>
      <c r="O1423" t="s">
        <v>186</v>
      </c>
      <c r="Q1423" t="s">
        <v>90</v>
      </c>
      <c r="R1423" t="s">
        <v>292</v>
      </c>
      <c r="S1423" t="s">
        <v>12344</v>
      </c>
      <c r="T1423" t="s">
        <v>625</v>
      </c>
      <c r="U1423" t="s">
        <v>127</v>
      </c>
      <c r="V1423" t="s">
        <v>12345</v>
      </c>
      <c r="W1423" t="s">
        <v>12346</v>
      </c>
      <c r="Y1423" t="str">
        <f>HYPERLINK("https://recruiter.shine.com/resume/download/?resumeid=gAAAAABbk2UO5zzC4-Tb2KvXbd6dNimqgFsg9Jl7XOHaulwgelhEWX8cXoMO3-I4gcge8w-HyQ2lC1q4k81Tj58Xn8_yPWvUylzrQGokuk7JiCfnlVB86yvemkgM84D-c14aj8JeUAkaayKWVWs7dadG2C6YI7elhLt9ArDsJdBHJWg-Tr4E11M=")</f>
        <v>https://recruiter.shine.com/resume/download/?resumeid=gAAAAABbk2UO5zzC4-Tb2KvXbd6dNimqgFsg9Jl7XOHaulwgelhEWX8cXoMO3-I4gcge8w-HyQ2lC1q4k81Tj58Xn8_yPWvUylzrQGokuk7JiCfnlVB86yvemkgM84D-c14aj8JeUAkaayKWVWs7dadG2C6YI7elhLt9ArDsJdBHJWg-Tr4E11M=</v>
      </c>
    </row>
    <row r="1424" spans="1:25" ht="39.950000000000003" customHeight="1">
      <c r="A1424">
        <v>1420</v>
      </c>
      <c r="B1424" t="s">
        <v>12347</v>
      </c>
      <c r="C1424" t="s">
        <v>4804</v>
      </c>
      <c r="D1424" t="s">
        <v>12348</v>
      </c>
      <c r="E1424" t="s">
        <v>12349</v>
      </c>
      <c r="F1424" t="s">
        <v>29</v>
      </c>
      <c r="G1424" t="s">
        <v>12350</v>
      </c>
      <c r="H1424" t="s">
        <v>31</v>
      </c>
      <c r="I1424" t="s">
        <v>12351</v>
      </c>
      <c r="J1424" t="s">
        <v>3808</v>
      </c>
      <c r="K1424" t="s">
        <v>12352</v>
      </c>
      <c r="L1424" t="s">
        <v>937</v>
      </c>
      <c r="M1424" t="s">
        <v>583</v>
      </c>
      <c r="N1424" t="s">
        <v>12353</v>
      </c>
      <c r="O1424" t="s">
        <v>186</v>
      </c>
      <c r="Q1424" t="s">
        <v>90</v>
      </c>
      <c r="R1424" t="s">
        <v>465</v>
      </c>
      <c r="S1424" t="s">
        <v>12354</v>
      </c>
      <c r="T1424" t="s">
        <v>110</v>
      </c>
      <c r="U1424" t="s">
        <v>127</v>
      </c>
      <c r="V1424" t="s">
        <v>12355</v>
      </c>
      <c r="W1424" t="s">
        <v>12356</v>
      </c>
      <c r="Y1424" t="str">
        <f>HYPERLINK("https://recruiter.shine.com/resume/download/?resumeid=gAAAAABbk2UKTV1l1gZIfS4nQJFJNIWJ7ckSxVzj6Fx6P-7wC6pywWkhLlLuQCIzUwNBqXKRAphY-Rzaj510iBdpPvcbQz72e700RO9cP9Z-kRPzrJZd25sRSCU_hZQqwPRNB7XvOe5M")</f>
        <v>https://recruiter.shine.com/resume/download/?resumeid=gAAAAABbk2UKTV1l1gZIfS4nQJFJNIWJ7ckSxVzj6Fx6P-7wC6pywWkhLlLuQCIzUwNBqXKRAphY-Rzaj510iBdpPvcbQz72e700RO9cP9Z-kRPzrJZd25sRSCU_hZQqwPRNB7XvOe5M</v>
      </c>
    </row>
    <row r="1425" spans="1:25" ht="39.950000000000003" customHeight="1">
      <c r="A1425">
        <v>1421</v>
      </c>
      <c r="B1425" t="s">
        <v>12357</v>
      </c>
      <c r="C1425" t="s">
        <v>12358</v>
      </c>
      <c r="D1425" t="s">
        <v>12359</v>
      </c>
      <c r="E1425" t="s">
        <v>12360</v>
      </c>
      <c r="F1425" t="s">
        <v>29</v>
      </c>
      <c r="G1425" t="s">
        <v>29</v>
      </c>
      <c r="H1425" t="s">
        <v>31</v>
      </c>
      <c r="I1425" t="s">
        <v>85</v>
      </c>
      <c r="J1425" t="s">
        <v>935</v>
      </c>
      <c r="K1425" t="s">
        <v>12361</v>
      </c>
      <c r="L1425" t="s">
        <v>814</v>
      </c>
      <c r="M1425" t="s">
        <v>884</v>
      </c>
      <c r="N1425" t="s">
        <v>12362</v>
      </c>
      <c r="O1425" t="s">
        <v>157</v>
      </c>
      <c r="P1425" t="s">
        <v>57</v>
      </c>
      <c r="Q1425" t="s">
        <v>107</v>
      </c>
      <c r="R1425" t="s">
        <v>225</v>
      </c>
      <c r="S1425" t="s">
        <v>12363</v>
      </c>
      <c r="T1425" t="s">
        <v>227</v>
      </c>
      <c r="U1425" t="s">
        <v>43</v>
      </c>
      <c r="V1425" t="s">
        <v>12364</v>
      </c>
      <c r="W1425" t="s">
        <v>12364</v>
      </c>
      <c r="Y1425" t="str">
        <f>HYPERLINK("https://recruiter.shine.com/resume/download/?resumeid=gAAAAABbk2UMHpLHbq49aG4I73mpzwmLVwJG3MMPTqzTJzgoBZ4k2Eij_a5EZhNTBFn7PlqjYgUyFZzSGAP25PykXGiucDgpQVzcA5vjKupR31UHcEo1UI-nfW5BDRnLu50_WLOoxUusECo5tF8pwbJ6IJSJnWjjmA==")</f>
        <v>https://recruiter.shine.com/resume/download/?resumeid=gAAAAABbk2UMHpLHbq49aG4I73mpzwmLVwJG3MMPTqzTJzgoBZ4k2Eij_a5EZhNTBFn7PlqjYgUyFZzSGAP25PykXGiucDgpQVzcA5vjKupR31UHcEo1UI-nfW5BDRnLu50_WLOoxUusECo5tF8pwbJ6IJSJnWjjmA==</v>
      </c>
    </row>
    <row r="1426" spans="1:25" ht="39.950000000000003" customHeight="1">
      <c r="A1426">
        <v>1422</v>
      </c>
      <c r="B1426" t="s">
        <v>12365</v>
      </c>
      <c r="C1426" t="s">
        <v>12176</v>
      </c>
      <c r="D1426" t="s">
        <v>12366</v>
      </c>
      <c r="E1426" t="s">
        <v>12367</v>
      </c>
      <c r="F1426" t="s">
        <v>29</v>
      </c>
      <c r="G1426" t="s">
        <v>67</v>
      </c>
      <c r="H1426" t="s">
        <v>234</v>
      </c>
      <c r="I1426" t="s">
        <v>1122</v>
      </c>
      <c r="J1426" t="s">
        <v>8422</v>
      </c>
      <c r="K1426" t="s">
        <v>12368</v>
      </c>
      <c r="L1426" t="s">
        <v>664</v>
      </c>
      <c r="M1426" t="s">
        <v>138</v>
      </c>
      <c r="N1426" t="s">
        <v>5032</v>
      </c>
      <c r="O1426" t="s">
        <v>56</v>
      </c>
      <c r="Q1426" t="s">
        <v>2149</v>
      </c>
      <c r="R1426" t="s">
        <v>2150</v>
      </c>
      <c r="S1426" t="s">
        <v>12369</v>
      </c>
      <c r="T1426" t="s">
        <v>126</v>
      </c>
      <c r="U1426" t="s">
        <v>127</v>
      </c>
      <c r="V1426" t="s">
        <v>12370</v>
      </c>
      <c r="W1426" t="s">
        <v>12370</v>
      </c>
      <c r="Y1426" t="str">
        <f>HYPERLINK("https://recruiter.shine.com/resume/download/?resumeid=gAAAAABbk2UOyPGVK9nscZ7gRgeeu1fHnNNtzRHZYC-5K9smQS8oTfg7JZGg0v1YlptRb1qsHpKp7Nm-dFdZikYmV52cb1YHVrdvgx1rRUCgOI3hIDFwt9OQLgGLeFRg7zlGkIuSccnM_YEbyuuFmyVCcZihD24mqg==")</f>
        <v>https://recruiter.shine.com/resume/download/?resumeid=gAAAAABbk2UOyPGVK9nscZ7gRgeeu1fHnNNtzRHZYC-5K9smQS8oTfg7JZGg0v1YlptRb1qsHpKp7Nm-dFdZikYmV52cb1YHVrdvgx1rRUCgOI3hIDFwt9OQLgGLeFRg7zlGkIuSccnM_YEbyuuFmyVCcZihD24mqg==</v>
      </c>
    </row>
    <row r="1427" spans="1:25" ht="39.950000000000003" customHeight="1">
      <c r="A1427">
        <v>1423</v>
      </c>
      <c r="B1427" t="s">
        <v>12371</v>
      </c>
      <c r="C1427" t="s">
        <v>12372</v>
      </c>
      <c r="D1427" t="s">
        <v>12373</v>
      </c>
      <c r="E1427" t="s">
        <v>12374</v>
      </c>
      <c r="F1427" t="s">
        <v>29</v>
      </c>
      <c r="G1427" t="s">
        <v>12375</v>
      </c>
      <c r="H1427" t="s">
        <v>31</v>
      </c>
      <c r="I1427" t="s">
        <v>32</v>
      </c>
      <c r="J1427" t="s">
        <v>7774</v>
      </c>
      <c r="K1427" t="s">
        <v>12376</v>
      </c>
      <c r="L1427" t="s">
        <v>266</v>
      </c>
      <c r="M1427" t="s">
        <v>105</v>
      </c>
      <c r="N1427" t="s">
        <v>12377</v>
      </c>
      <c r="O1427" t="s">
        <v>38</v>
      </c>
      <c r="P1427" t="s">
        <v>57</v>
      </c>
      <c r="Q1427" t="s">
        <v>90</v>
      </c>
      <c r="R1427" t="s">
        <v>427</v>
      </c>
      <c r="S1427" t="s">
        <v>12378</v>
      </c>
      <c r="T1427" t="s">
        <v>441</v>
      </c>
      <c r="U1427" t="s">
        <v>94</v>
      </c>
      <c r="V1427" t="s">
        <v>12379</v>
      </c>
      <c r="W1427" t="s">
        <v>12380</v>
      </c>
      <c r="Y1427" t="str">
        <f>HYPERLINK("https://recruiter.shine.com/resume/download/?resumeid=gAAAAABbk2UKpzG2wl12M09Z9TfMzKCjiSJXEG-ZVFbOP2gHTfGzk726A5DNETwIQmq58WRAIhoJEiVlW-wT7IXKhv746VyW9mOEG0LpAvaS3SrERTLgthIG9LfNCkHt1AqFoY9b1q4ZFmj_txEyq0hazqusC4V2VA==")</f>
        <v>https://recruiter.shine.com/resume/download/?resumeid=gAAAAABbk2UKpzG2wl12M09Z9TfMzKCjiSJXEG-ZVFbOP2gHTfGzk726A5DNETwIQmq58WRAIhoJEiVlW-wT7IXKhv746VyW9mOEG0LpAvaS3SrERTLgthIG9LfNCkHt1AqFoY9b1q4ZFmj_txEyq0hazqusC4V2VA==</v>
      </c>
    </row>
    <row r="1428" spans="1:25" ht="39.950000000000003" customHeight="1">
      <c r="A1428">
        <v>1424</v>
      </c>
      <c r="B1428" t="s">
        <v>12381</v>
      </c>
      <c r="C1428" t="s">
        <v>10416</v>
      </c>
      <c r="D1428" t="s">
        <v>12382</v>
      </c>
      <c r="E1428" t="s">
        <v>12383</v>
      </c>
      <c r="F1428" t="s">
        <v>29</v>
      </c>
      <c r="G1428" t="s">
        <v>29</v>
      </c>
      <c r="H1428" t="s">
        <v>234</v>
      </c>
      <c r="I1428" t="s">
        <v>362</v>
      </c>
      <c r="J1428" t="s">
        <v>135</v>
      </c>
      <c r="L1428" t="s">
        <v>363</v>
      </c>
      <c r="M1428" t="s">
        <v>364</v>
      </c>
      <c r="Q1428" t="s">
        <v>107</v>
      </c>
      <c r="R1428" t="s">
        <v>864</v>
      </c>
      <c r="S1428" t="s">
        <v>12384</v>
      </c>
      <c r="T1428" t="s">
        <v>126</v>
      </c>
      <c r="U1428" t="s">
        <v>43</v>
      </c>
      <c r="V1428" t="s">
        <v>12385</v>
      </c>
      <c r="W1428" t="s">
        <v>12386</v>
      </c>
      <c r="Y1428" t="str">
        <f>HYPERLINK("https://recruiter.shine.com/resume/download/?resumeid=gAAAAABbk2UMj1jyiquA3H2gjnTXUmYinL3Ul1iunrYf701gLadKhS5wEd7835BiFgrndBRpMFI_RjX9rt8Ft31NuIztcYrO4t56qCbUoeljnJkygAxOVwxxTWvqpxkWmd1try8KNJuZ7VTiSW-j5WLqG5VYzvDpIQ==")</f>
        <v>https://recruiter.shine.com/resume/download/?resumeid=gAAAAABbk2UMj1jyiquA3H2gjnTXUmYinL3Ul1iunrYf701gLadKhS5wEd7835BiFgrndBRpMFI_RjX9rt8Ft31NuIztcYrO4t56qCbUoeljnJkygAxOVwxxTWvqpxkWmd1try8KNJuZ7VTiSW-j5WLqG5VYzvDpIQ==</v>
      </c>
    </row>
    <row r="1429" spans="1:25" ht="39.950000000000003" customHeight="1">
      <c r="A1429">
        <v>1425</v>
      </c>
      <c r="B1429" t="s">
        <v>12157</v>
      </c>
      <c r="C1429" t="s">
        <v>8010</v>
      </c>
      <c r="D1429" t="s">
        <v>12387</v>
      </c>
      <c r="E1429" t="s">
        <v>12159</v>
      </c>
      <c r="F1429" t="s">
        <v>29</v>
      </c>
      <c r="H1429" t="s">
        <v>31</v>
      </c>
      <c r="I1429" t="s">
        <v>134</v>
      </c>
      <c r="J1429" t="s">
        <v>169</v>
      </c>
      <c r="K1429" t="s">
        <v>12160</v>
      </c>
      <c r="L1429" t="s">
        <v>937</v>
      </c>
      <c r="M1429" t="s">
        <v>1124</v>
      </c>
      <c r="N1429" t="s">
        <v>12388</v>
      </c>
      <c r="O1429" t="s">
        <v>1041</v>
      </c>
      <c r="Q1429" t="s">
        <v>365</v>
      </c>
      <c r="R1429" t="s">
        <v>124</v>
      </c>
      <c r="S1429" t="s">
        <v>12389</v>
      </c>
      <c r="T1429" t="s">
        <v>687</v>
      </c>
      <c r="U1429" t="s">
        <v>43</v>
      </c>
      <c r="V1429" t="s">
        <v>12390</v>
      </c>
      <c r="W1429" t="s">
        <v>12390</v>
      </c>
      <c r="Y1429" t="str">
        <f>HYPERLINK("https://recruiter.shine.com/resume/download/?resumeid=gAAAAABbk2UNpnHSsDrV0ykk2cwGp8sjEQ2u7wp5Y9kGw3LwCStnFK91fuG5GnBNOJmpoiGijxxwpTCdLw-q3XDz2TEz807RW00K2-L8DIXjbsDIC5lUPAzZFnmA_OWJjabc43LSnhNpjwraIIiTgW6XwnVsTUc7rA==")</f>
        <v>https://recruiter.shine.com/resume/download/?resumeid=gAAAAABbk2UNpnHSsDrV0ykk2cwGp8sjEQ2u7wp5Y9kGw3LwCStnFK91fuG5GnBNOJmpoiGijxxwpTCdLw-q3XDz2TEz807RW00K2-L8DIXjbsDIC5lUPAzZFnmA_OWJjabc43LSnhNpjwraIIiTgW6XwnVsTUc7rA==</v>
      </c>
    </row>
    <row r="1430" spans="1:25" ht="39.950000000000003" customHeight="1">
      <c r="A1430">
        <v>1426</v>
      </c>
      <c r="B1430" t="s">
        <v>12391</v>
      </c>
      <c r="C1430" t="s">
        <v>12392</v>
      </c>
      <c r="D1430" t="s">
        <v>12393</v>
      </c>
      <c r="E1430" t="s">
        <v>12394</v>
      </c>
      <c r="F1430" t="s">
        <v>29</v>
      </c>
      <c r="G1430" t="s">
        <v>12395</v>
      </c>
      <c r="H1430" t="s">
        <v>31</v>
      </c>
      <c r="I1430" t="s">
        <v>32</v>
      </c>
      <c r="J1430" t="s">
        <v>7774</v>
      </c>
      <c r="K1430" t="s">
        <v>12396</v>
      </c>
      <c r="L1430" t="s">
        <v>8084</v>
      </c>
      <c r="M1430" t="s">
        <v>339</v>
      </c>
      <c r="N1430" t="s">
        <v>12397</v>
      </c>
      <c r="O1430" t="s">
        <v>186</v>
      </c>
      <c r="P1430" t="s">
        <v>73</v>
      </c>
      <c r="Q1430" t="s">
        <v>535</v>
      </c>
      <c r="R1430" t="s">
        <v>536</v>
      </c>
      <c r="S1430" t="s">
        <v>850</v>
      </c>
      <c r="T1430" t="s">
        <v>1200</v>
      </c>
      <c r="U1430" t="s">
        <v>43</v>
      </c>
      <c r="V1430" t="s">
        <v>12398</v>
      </c>
      <c r="W1430" t="s">
        <v>12399</v>
      </c>
      <c r="Y1430" t="str">
        <f>HYPERLINK("https://recruiter.shine.com/resume/download/?resumeid=gAAAAABbk2UKCNxg_gXT2PiP99ZSye8ZYYlllY590ko-zZUUkLRzDHLeanoknxcSy6ncAfUjD4_wlyZ2kDCzR1JDsV2mJtDi8HpsX7L9xn_8QNJwibI9vMnIRcmqyqcdjv_wi3LdtMNm5nZ2Xw6ZcDCg0S3WTe6YuPJfSHenh4lT8kb9nIh9AUc=")</f>
        <v>https://recruiter.shine.com/resume/download/?resumeid=gAAAAABbk2UKCNxg_gXT2PiP99ZSye8ZYYlllY590ko-zZUUkLRzDHLeanoknxcSy6ncAfUjD4_wlyZ2kDCzR1JDsV2mJtDi8HpsX7L9xn_8QNJwibI9vMnIRcmqyqcdjv_wi3LdtMNm5nZ2Xw6ZcDCg0S3WTe6YuPJfSHenh4lT8kb9nIh9AUc=</v>
      </c>
    </row>
    <row r="1431" spans="1:25" ht="39.950000000000003" customHeight="1">
      <c r="A1431">
        <v>1427</v>
      </c>
      <c r="B1431" t="s">
        <v>12400</v>
      </c>
      <c r="C1431" t="s">
        <v>12401</v>
      </c>
      <c r="D1431" t="s">
        <v>12402</v>
      </c>
      <c r="E1431" t="s">
        <v>12403</v>
      </c>
      <c r="F1431" t="s">
        <v>29</v>
      </c>
      <c r="G1431" t="s">
        <v>29</v>
      </c>
      <c r="H1431" t="s">
        <v>234</v>
      </c>
      <c r="I1431" t="s">
        <v>860</v>
      </c>
      <c r="J1431" t="s">
        <v>51</v>
      </c>
      <c r="K1431" t="s">
        <v>7637</v>
      </c>
      <c r="L1431" t="s">
        <v>6189</v>
      </c>
      <c r="M1431" t="s">
        <v>121</v>
      </c>
      <c r="N1431" t="s">
        <v>990</v>
      </c>
      <c r="O1431" t="s">
        <v>157</v>
      </c>
      <c r="P1431" t="s">
        <v>39</v>
      </c>
      <c r="Q1431" t="s">
        <v>40</v>
      </c>
      <c r="R1431" t="s">
        <v>476</v>
      </c>
      <c r="S1431" t="s">
        <v>12404</v>
      </c>
      <c r="T1431" t="s">
        <v>61</v>
      </c>
      <c r="U1431" t="s">
        <v>127</v>
      </c>
      <c r="V1431" t="s">
        <v>12405</v>
      </c>
      <c r="W1431" t="s">
        <v>12406</v>
      </c>
      <c r="Y1431" t="str">
        <f>HYPERLINK("https://recruiter.shine.com/resume/download/?resumeid=gAAAAABbk2UMdzBOqaCaXzD-OwPuouYjOdmsnWhgZVt0G4MQzsMNNX7dm_Ci5h9VPmoF_sds3ygGEVCmU09wDLcAe2UmEox3Y_yStEPPgmwkGlAQJpULIJvAhMUHJOL4TVzQrm0H2zu4JKsXRRkuF_mRM8h1LYlGlQ==")</f>
        <v>https://recruiter.shine.com/resume/download/?resumeid=gAAAAABbk2UMdzBOqaCaXzD-OwPuouYjOdmsnWhgZVt0G4MQzsMNNX7dm_Ci5h9VPmoF_sds3ygGEVCmU09wDLcAe2UmEox3Y_yStEPPgmwkGlAQJpULIJvAhMUHJOL4TVzQrm0H2zu4JKsXRRkuF_mRM8h1LYlGlQ==</v>
      </c>
    </row>
    <row r="1432" spans="1:25" ht="39.950000000000003" customHeight="1">
      <c r="A1432">
        <v>1428</v>
      </c>
      <c r="B1432" t="s">
        <v>12407</v>
      </c>
      <c r="C1432" t="s">
        <v>12408</v>
      </c>
      <c r="D1432" t="s">
        <v>12409</v>
      </c>
      <c r="E1432" t="s">
        <v>12410</v>
      </c>
      <c r="F1432" t="s">
        <v>249</v>
      </c>
      <c r="G1432" t="s">
        <v>100</v>
      </c>
      <c r="H1432" t="s">
        <v>31</v>
      </c>
      <c r="I1432" t="s">
        <v>362</v>
      </c>
      <c r="J1432" t="s">
        <v>135</v>
      </c>
      <c r="L1432" t="s">
        <v>363</v>
      </c>
      <c r="M1432" t="s">
        <v>364</v>
      </c>
      <c r="Q1432" t="s">
        <v>489</v>
      </c>
      <c r="R1432" t="s">
        <v>292</v>
      </c>
      <c r="S1432" t="s">
        <v>12411</v>
      </c>
      <c r="T1432" t="s">
        <v>625</v>
      </c>
      <c r="U1432" t="s">
        <v>127</v>
      </c>
      <c r="V1432" t="s">
        <v>12412</v>
      </c>
      <c r="W1432" t="s">
        <v>12413</v>
      </c>
      <c r="Y1432" t="str">
        <f>HYPERLINK("https://recruiter.shine.com/resume/download/?resumeid=gAAAAABbk2UNh8e1_vZroh6rKBV8S66ig0hpyV2dI71s7-FI_1iZ3Aau03XIPnH5LfiMQsm70mGr9crcDofUwbQfg2ZuhL1_dxsl_40zpzZ9H2BUj-qV3xwQHyXET--jE9S-V-suGV6yIqCn9t8JFQayBGf0pBS3xQ==")</f>
        <v>https://recruiter.shine.com/resume/download/?resumeid=gAAAAABbk2UNh8e1_vZroh6rKBV8S66ig0hpyV2dI71s7-FI_1iZ3Aau03XIPnH5LfiMQsm70mGr9crcDofUwbQfg2ZuhL1_dxsl_40zpzZ9H2BUj-qV3xwQHyXET--jE9S-V-suGV6yIqCn9t8JFQayBGf0pBS3xQ==</v>
      </c>
    </row>
    <row r="1433" spans="1:25" ht="39.950000000000003" customHeight="1">
      <c r="A1433">
        <v>1429</v>
      </c>
      <c r="B1433" t="s">
        <v>12414</v>
      </c>
      <c r="C1433" t="s">
        <v>12415</v>
      </c>
      <c r="D1433" t="s">
        <v>12416</v>
      </c>
      <c r="E1433" t="s">
        <v>12417</v>
      </c>
      <c r="F1433" t="s">
        <v>29</v>
      </c>
      <c r="G1433" t="s">
        <v>29</v>
      </c>
      <c r="H1433" t="s">
        <v>31</v>
      </c>
      <c r="I1433" t="s">
        <v>3239</v>
      </c>
      <c r="J1433" t="s">
        <v>6879</v>
      </c>
      <c r="K1433" t="s">
        <v>12418</v>
      </c>
      <c r="L1433" t="s">
        <v>354</v>
      </c>
      <c r="M1433" t="s">
        <v>54</v>
      </c>
      <c r="N1433" t="s">
        <v>12419</v>
      </c>
      <c r="O1433" t="s">
        <v>224</v>
      </c>
      <c r="P1433" t="s">
        <v>268</v>
      </c>
      <c r="Q1433" t="s">
        <v>2149</v>
      </c>
      <c r="R1433" t="s">
        <v>2150</v>
      </c>
      <c r="S1433" t="s">
        <v>12420</v>
      </c>
      <c r="T1433" t="s">
        <v>415</v>
      </c>
      <c r="U1433" t="s">
        <v>43</v>
      </c>
      <c r="V1433" t="s">
        <v>12421</v>
      </c>
      <c r="W1433" t="s">
        <v>12422</v>
      </c>
      <c r="Y1433" t="str">
        <f>HYPERLINK("https://recruiter.shine.com/resume/download/?resumeid=gAAAAABbk2UL6aR_4lDYMJR3PZTZ24gbzLhD8qBdqaKWyHA3X-rCeTZTtMQh-rRF5INBJbY8qgRs5jWFxMozhAmcs4pzXkiwvhPBhoM-8F55jTNyDyC4TyDex33mjup4v2lnXDuXg23W9leaHkvs9eZb1UCvGDhGT1y56JGUcbzrB59bB5iBkNg=")</f>
        <v>https://recruiter.shine.com/resume/download/?resumeid=gAAAAABbk2UL6aR_4lDYMJR3PZTZ24gbzLhD8qBdqaKWyHA3X-rCeTZTtMQh-rRF5INBJbY8qgRs5jWFxMozhAmcs4pzXkiwvhPBhoM-8F55jTNyDyC4TyDex33mjup4v2lnXDuXg23W9leaHkvs9eZb1UCvGDhGT1y56JGUcbzrB59bB5iBkNg=</v>
      </c>
    </row>
    <row r="1434" spans="1:25" ht="39.950000000000003" customHeight="1">
      <c r="A1434">
        <v>1430</v>
      </c>
      <c r="B1434" t="s">
        <v>12423</v>
      </c>
      <c r="C1434" t="s">
        <v>12424</v>
      </c>
      <c r="D1434" t="s">
        <v>12425</v>
      </c>
      <c r="E1434" t="s">
        <v>12426</v>
      </c>
      <c r="F1434" t="s">
        <v>29</v>
      </c>
      <c r="G1434" t="s">
        <v>12427</v>
      </c>
      <c r="H1434" t="s">
        <v>31</v>
      </c>
      <c r="I1434" t="s">
        <v>4904</v>
      </c>
      <c r="J1434" t="s">
        <v>580</v>
      </c>
      <c r="K1434" t="s">
        <v>12428</v>
      </c>
      <c r="L1434" t="s">
        <v>794</v>
      </c>
      <c r="M1434" t="s">
        <v>684</v>
      </c>
      <c r="N1434" t="s">
        <v>12429</v>
      </c>
      <c r="O1434" t="s">
        <v>56</v>
      </c>
      <c r="P1434" t="s">
        <v>201</v>
      </c>
      <c r="Q1434" t="s">
        <v>158</v>
      </c>
      <c r="R1434" t="s">
        <v>341</v>
      </c>
      <c r="S1434" t="s">
        <v>12430</v>
      </c>
      <c r="T1434" t="s">
        <v>1921</v>
      </c>
      <c r="U1434" t="s">
        <v>43</v>
      </c>
      <c r="V1434" t="s">
        <v>12431</v>
      </c>
      <c r="W1434" t="s">
        <v>12432</v>
      </c>
      <c r="Y1434" t="str">
        <f>HYPERLINK("https://recruiter.shine.com/resume/download/?resumeid=gAAAAABbk2UMNixGk3AdkDsK4TUZEkq8r2Yg0drPg0H3pb_EvVZxPXI_DMNwrmV4gG6STFy4gpS260M4TOYCvtH34Naiai8x9m-r3uuwAIWy_nL0djeTqn3eWLeE7fLvw_mihOohmrPA3CGPFd22nAf_MmeHxGRU4Ipc4aZ04NvLilSf1gnhTjo=")</f>
        <v>https://recruiter.shine.com/resume/download/?resumeid=gAAAAABbk2UMNixGk3AdkDsK4TUZEkq8r2Yg0drPg0H3pb_EvVZxPXI_DMNwrmV4gG6STFy4gpS260M4TOYCvtH34Naiai8x9m-r3uuwAIWy_nL0djeTqn3eWLeE7fLvw_mihOohmrPA3CGPFd22nAf_MmeHxGRU4Ipc4aZ04NvLilSf1gnhTjo=</v>
      </c>
    </row>
    <row r="1435" spans="1:25" ht="39.950000000000003" customHeight="1">
      <c r="A1435">
        <v>1431</v>
      </c>
      <c r="B1435" t="s">
        <v>12433</v>
      </c>
      <c r="D1435" t="s">
        <v>12434</v>
      </c>
      <c r="E1435" t="s">
        <v>12435</v>
      </c>
      <c r="F1435" t="s">
        <v>29</v>
      </c>
      <c r="G1435" t="s">
        <v>67</v>
      </c>
      <c r="H1435" t="s">
        <v>31</v>
      </c>
      <c r="I1435" t="s">
        <v>208</v>
      </c>
      <c r="J1435" t="s">
        <v>1081</v>
      </c>
      <c r="K1435" t="s">
        <v>12436</v>
      </c>
      <c r="L1435" t="s">
        <v>2534</v>
      </c>
      <c r="M1435" t="s">
        <v>1356</v>
      </c>
      <c r="N1435" t="s">
        <v>12437</v>
      </c>
      <c r="O1435" t="s">
        <v>585</v>
      </c>
      <c r="Q1435" t="s">
        <v>123</v>
      </c>
      <c r="R1435" t="s">
        <v>124</v>
      </c>
      <c r="S1435" t="s">
        <v>188</v>
      </c>
      <c r="T1435" t="s">
        <v>1921</v>
      </c>
      <c r="U1435" t="s">
        <v>43</v>
      </c>
      <c r="V1435" t="s">
        <v>12438</v>
      </c>
      <c r="W1435" t="s">
        <v>12439</v>
      </c>
      <c r="Y1435" t="str">
        <f>HYPERLINK("https://recruiter.shine.com/resume/download/?resumeid=gAAAAABbk2UOCPE5G29APgtDaqv1YJe4tb2JopWHIYFblQRTfmFVwKv8-cJtwdS32hmFPy5E-ZlT7TWcxvuS03HtxXggeotP7FCQ2WGOfE43Z4JCRb5Sy3GZJFD_O-8lRzsZwIY2XZZdV_MfllU-OJ6tW1_cs2ItI7VtNI09nKEEkVipxmz2nQg=")</f>
        <v>https://recruiter.shine.com/resume/download/?resumeid=gAAAAABbk2UOCPE5G29APgtDaqv1YJe4tb2JopWHIYFblQRTfmFVwKv8-cJtwdS32hmFPy5E-ZlT7TWcxvuS03HtxXggeotP7FCQ2WGOfE43Z4JCRb5Sy3GZJFD_O-8lRzsZwIY2XZZdV_MfllU-OJ6tW1_cs2ItI7VtNI09nKEEkVipxmz2nQg=</v>
      </c>
    </row>
    <row r="1436" spans="1:25" ht="39.950000000000003" customHeight="1">
      <c r="A1436">
        <v>1432</v>
      </c>
      <c r="B1436" t="s">
        <v>12440</v>
      </c>
      <c r="C1436" t="s">
        <v>12441</v>
      </c>
      <c r="D1436" t="s">
        <v>12442</v>
      </c>
      <c r="E1436" t="s">
        <v>12443</v>
      </c>
      <c r="F1436" t="s">
        <v>29</v>
      </c>
      <c r="G1436" t="s">
        <v>12444</v>
      </c>
      <c r="H1436" t="s">
        <v>31</v>
      </c>
      <c r="I1436" t="s">
        <v>714</v>
      </c>
      <c r="J1436" t="s">
        <v>86</v>
      </c>
      <c r="K1436" t="s">
        <v>12445</v>
      </c>
      <c r="L1436" t="s">
        <v>266</v>
      </c>
      <c r="M1436" t="s">
        <v>684</v>
      </c>
      <c r="N1436" t="s">
        <v>7563</v>
      </c>
      <c r="O1436" t="s">
        <v>186</v>
      </c>
      <c r="P1436" t="s">
        <v>201</v>
      </c>
      <c r="Q1436" t="s">
        <v>1880</v>
      </c>
      <c r="R1436" t="s">
        <v>225</v>
      </c>
      <c r="S1436" t="s">
        <v>2647</v>
      </c>
      <c r="T1436" t="s">
        <v>144</v>
      </c>
      <c r="U1436" t="s">
        <v>43</v>
      </c>
      <c r="V1436" t="s">
        <v>12446</v>
      </c>
      <c r="W1436" t="s">
        <v>12447</v>
      </c>
      <c r="Y1436" t="str">
        <f>HYPERLINK("https://recruiter.shine.com/resume/download/?resumeid=gAAAAABbk2ULe3gydHVHF_goKIkljLD_Q0joA9yXM2tjua7d7oFV2LB6hx7QjAOoW1QVE5dEnJALEAKZVY9NRlm58J8FWMaadRxZaO43QOcOQmitIm2sAQdFlNrDRtCXA2YJhWhmT83wPdN-uBJ3lMsBcqj4BnNtfQ==")</f>
        <v>https://recruiter.shine.com/resume/download/?resumeid=gAAAAABbk2ULe3gydHVHF_goKIkljLD_Q0joA9yXM2tjua7d7oFV2LB6hx7QjAOoW1QVE5dEnJALEAKZVY9NRlm58J8FWMaadRxZaO43QOcOQmitIm2sAQdFlNrDRtCXA2YJhWhmT83wPdN-uBJ3lMsBcqj4BnNtfQ==</v>
      </c>
    </row>
    <row r="1437" spans="1:25" ht="39.950000000000003" customHeight="1">
      <c r="A1437">
        <v>1433</v>
      </c>
      <c r="B1437" t="s">
        <v>12448</v>
      </c>
      <c r="C1437" t="s">
        <v>12449</v>
      </c>
      <c r="D1437" t="s">
        <v>12450</v>
      </c>
      <c r="E1437" t="s">
        <v>12451</v>
      </c>
      <c r="F1437" t="s">
        <v>29</v>
      </c>
      <c r="G1437" t="s">
        <v>29</v>
      </c>
      <c r="H1437" t="s">
        <v>31</v>
      </c>
      <c r="I1437" t="s">
        <v>196</v>
      </c>
      <c r="J1437" t="s">
        <v>531</v>
      </c>
      <c r="K1437" t="s">
        <v>12452</v>
      </c>
      <c r="L1437" t="s">
        <v>184</v>
      </c>
      <c r="M1437" t="s">
        <v>238</v>
      </c>
      <c r="N1437" t="s">
        <v>12453</v>
      </c>
      <c r="O1437" t="s">
        <v>224</v>
      </c>
      <c r="Q1437" t="s">
        <v>187</v>
      </c>
      <c r="R1437" t="s">
        <v>124</v>
      </c>
      <c r="S1437" t="s">
        <v>12454</v>
      </c>
      <c r="T1437" t="s">
        <v>415</v>
      </c>
      <c r="U1437" t="s">
        <v>43</v>
      </c>
      <c r="V1437" t="s">
        <v>12455</v>
      </c>
      <c r="W1437" t="s">
        <v>12456</v>
      </c>
      <c r="Y1437" t="str">
        <f>HYPERLINK("https://recruiter.shine.com/resume/download/?resumeid=gAAAAABbk2UMcmaQMv_2qWlxtDqX8mOsxHKfnpwBVpvBjQyVJQDwt_8hO2F203drqsceYYMmGnxPYOSsgVwFONhLyQJLDnZn9KaI_IKQ_8hKdt4gKDy2uxVSVekFZ8iUsdvPYX23_2I7mdufiG-f5mOBZ4a9B5hKf8rO52iTpcsKoNBgkktNo_Q=")</f>
        <v>https://recruiter.shine.com/resume/download/?resumeid=gAAAAABbk2UMcmaQMv_2qWlxtDqX8mOsxHKfnpwBVpvBjQyVJQDwt_8hO2F203drqsceYYMmGnxPYOSsgVwFONhLyQJLDnZn9KaI_IKQ_8hKdt4gKDy2uxVSVekFZ8iUsdvPYX23_2I7mdufiG-f5mOBZ4a9B5hKf8rO52iTpcsKoNBgkktNo_Q=</v>
      </c>
    </row>
    <row r="1438" spans="1:25" ht="39.950000000000003" customHeight="1">
      <c r="A1438">
        <v>1434</v>
      </c>
      <c r="B1438" t="s">
        <v>12457</v>
      </c>
      <c r="C1438" t="s">
        <v>12458</v>
      </c>
      <c r="D1438" t="s">
        <v>12459</v>
      </c>
      <c r="E1438" t="s">
        <v>12460</v>
      </c>
      <c r="F1438" t="s">
        <v>29</v>
      </c>
      <c r="G1438" t="s">
        <v>29</v>
      </c>
      <c r="H1438" t="s">
        <v>31</v>
      </c>
      <c r="I1438" t="s">
        <v>1122</v>
      </c>
      <c r="J1438" t="s">
        <v>1050</v>
      </c>
      <c r="K1438" t="s">
        <v>12461</v>
      </c>
      <c r="L1438" t="s">
        <v>155</v>
      </c>
      <c r="M1438" t="s">
        <v>105</v>
      </c>
      <c r="N1438" t="s">
        <v>12462</v>
      </c>
      <c r="O1438" t="s">
        <v>38</v>
      </c>
      <c r="Q1438" t="s">
        <v>158</v>
      </c>
      <c r="R1438" t="s">
        <v>559</v>
      </c>
      <c r="S1438" t="s">
        <v>12463</v>
      </c>
      <c r="T1438" t="s">
        <v>441</v>
      </c>
      <c r="U1438" t="s">
        <v>43</v>
      </c>
      <c r="V1438" t="s">
        <v>12464</v>
      </c>
      <c r="W1438" t="s">
        <v>12464</v>
      </c>
      <c r="Y1438" t="str">
        <f>HYPERLINK("https://recruiter.shine.com/resume/download/?resumeid=gAAAAABbk2UNk4IziWC_8F_7tTSJF70Hz9ZYOVskHX72lbJYny8T_-XzxekWmvPQAkorZRiU5AFtqHpad0nxa82O6ht_3c7j-uWNLDhxZaAj8vUYIDmgKHVmRgV5dKpWfvilR2qkXydKGaTwnbjlWg-NbXsUYlB3rYwvrLgEKU7phjAjdOycNNE=")</f>
        <v>https://recruiter.shine.com/resume/download/?resumeid=gAAAAABbk2UNk4IziWC_8F_7tTSJF70Hz9ZYOVskHX72lbJYny8T_-XzxekWmvPQAkorZRiU5AFtqHpad0nxa82O6ht_3c7j-uWNLDhxZaAj8vUYIDmgKHVmRgV5dKpWfvilR2qkXydKGaTwnbjlWg-NbXsUYlB3rYwvrLgEKU7phjAjdOycNNE=</v>
      </c>
    </row>
    <row r="1439" spans="1:25" ht="39.950000000000003" customHeight="1">
      <c r="A1439">
        <v>1435</v>
      </c>
      <c r="B1439" t="s">
        <v>12465</v>
      </c>
      <c r="C1439" t="s">
        <v>12466</v>
      </c>
      <c r="D1439" t="s">
        <v>12467</v>
      </c>
      <c r="E1439" t="s">
        <v>12468</v>
      </c>
      <c r="F1439" t="s">
        <v>858</v>
      </c>
      <c r="G1439" t="s">
        <v>12469</v>
      </c>
      <c r="H1439" t="s">
        <v>31</v>
      </c>
      <c r="I1439" t="s">
        <v>2354</v>
      </c>
      <c r="J1439" t="s">
        <v>1294</v>
      </c>
      <c r="K1439" t="s">
        <v>12470</v>
      </c>
      <c r="L1439" t="s">
        <v>486</v>
      </c>
      <c r="M1439" t="s">
        <v>1446</v>
      </c>
      <c r="N1439" t="s">
        <v>291</v>
      </c>
      <c r="O1439" t="s">
        <v>475</v>
      </c>
      <c r="Q1439" t="s">
        <v>123</v>
      </c>
      <c r="R1439" t="s">
        <v>124</v>
      </c>
      <c r="S1439" t="s">
        <v>12471</v>
      </c>
      <c r="T1439" t="s">
        <v>625</v>
      </c>
      <c r="U1439" t="s">
        <v>127</v>
      </c>
      <c r="V1439" t="s">
        <v>12472</v>
      </c>
      <c r="W1439" t="s">
        <v>12473</v>
      </c>
      <c r="Y1439" t="str">
        <f>HYPERLINK("https://recruiter.shine.com/resume/download/?resumeid=gAAAAABbk2UKIN7HDIXge4nf8lzTs6EwQjQOo1rbBA3ipE24FBshj42x0ikKnFhOdS_9bw5rCUzm-5uJaii_LNOfcn41ykzJ6Sq-kBFGsnIiQOfuz3Oq-7HkBmYTcpJ78xZfQAvrb5zG")</f>
        <v>https://recruiter.shine.com/resume/download/?resumeid=gAAAAABbk2UKIN7HDIXge4nf8lzTs6EwQjQOo1rbBA3ipE24FBshj42x0ikKnFhOdS_9bw5rCUzm-5uJaii_LNOfcn41ykzJ6Sq-kBFGsnIiQOfuz3Oq-7HkBmYTcpJ78xZfQAvrb5zG</v>
      </c>
    </row>
    <row r="1440" spans="1:25" ht="39.950000000000003" customHeight="1">
      <c r="A1440">
        <v>1436</v>
      </c>
      <c r="B1440" t="s">
        <v>12474</v>
      </c>
      <c r="C1440" t="s">
        <v>9637</v>
      </c>
      <c r="D1440" t="s">
        <v>12475</v>
      </c>
      <c r="E1440" t="s">
        <v>12476</v>
      </c>
      <c r="F1440" t="s">
        <v>29</v>
      </c>
      <c r="G1440" t="s">
        <v>12477</v>
      </c>
      <c r="H1440" t="s">
        <v>31</v>
      </c>
      <c r="I1440" t="s">
        <v>4840</v>
      </c>
      <c r="J1440" t="s">
        <v>51</v>
      </c>
      <c r="K1440" t="s">
        <v>2748</v>
      </c>
      <c r="L1440" t="s">
        <v>254</v>
      </c>
      <c r="M1440" t="s">
        <v>36</v>
      </c>
      <c r="N1440" t="s">
        <v>12478</v>
      </c>
      <c r="O1440" t="s">
        <v>186</v>
      </c>
      <c r="Q1440" t="s">
        <v>107</v>
      </c>
      <c r="R1440" t="s">
        <v>341</v>
      </c>
      <c r="S1440" t="s">
        <v>12479</v>
      </c>
      <c r="T1440" t="s">
        <v>126</v>
      </c>
      <c r="U1440" t="s">
        <v>43</v>
      </c>
      <c r="V1440" t="s">
        <v>12480</v>
      </c>
      <c r="W1440" t="s">
        <v>12480</v>
      </c>
      <c r="Y1440" t="str">
        <f>HYPERLINK("https://recruiter.shine.com/resume/download/?resumeid=gAAAAABbk2UMkzS-UpneS5Yyvf-1Pt2WWRb07B0YK3PCuDPXjBgFkbITgmha_Sqjh9d3JSGW9IxKxaWjsl5trt05xSYMsI5wxU7NSUfjEUUqEnDZm9c0MRPKyswc-BChv1ynPQfRVXokpymjp9-XnI0J5Sz9O6DoBg==")</f>
        <v>https://recruiter.shine.com/resume/download/?resumeid=gAAAAABbk2UMkzS-UpneS5Yyvf-1Pt2WWRb07B0YK3PCuDPXjBgFkbITgmha_Sqjh9d3JSGW9IxKxaWjsl5trt05xSYMsI5wxU7NSUfjEUUqEnDZm9c0MRPKyswc-BChv1ynPQfRVXokpymjp9-XnI0J5Sz9O6DoBg==</v>
      </c>
    </row>
    <row r="1441" spans="1:25" ht="39.950000000000003" customHeight="1">
      <c r="A1441">
        <v>1437</v>
      </c>
      <c r="B1441" t="s">
        <v>12481</v>
      </c>
      <c r="D1441" t="s">
        <v>12482</v>
      </c>
      <c r="E1441" t="s">
        <v>12483</v>
      </c>
      <c r="F1441" t="s">
        <v>29</v>
      </c>
      <c r="H1441" t="s">
        <v>234</v>
      </c>
      <c r="I1441" t="s">
        <v>362</v>
      </c>
      <c r="J1441" t="s">
        <v>135</v>
      </c>
      <c r="L1441" t="s">
        <v>363</v>
      </c>
      <c r="M1441" t="s">
        <v>364</v>
      </c>
      <c r="Q1441" t="s">
        <v>107</v>
      </c>
      <c r="R1441" t="s">
        <v>341</v>
      </c>
      <c r="S1441" t="s">
        <v>12484</v>
      </c>
      <c r="T1441" t="s">
        <v>441</v>
      </c>
      <c r="U1441" t="s">
        <v>127</v>
      </c>
      <c r="V1441" t="s">
        <v>12485</v>
      </c>
      <c r="W1441" t="s">
        <v>12486</v>
      </c>
      <c r="Y1441" t="str">
        <f>HYPERLINK("https://recruiter.shine.com/resume/download/?resumeid=gAAAAABbk2UNN32_GUQVQ-xnkn8DaejNujle1uIW-7pdeE3WjicWbGt-Ht4UWy5mrIHXEowwfRBF79jtU1q7z0-s0PrAA1tMuTzpuT9gcv_l5Ntw9yvcTnd9T3SttRXFG8Z8UY5AD88fXBbK_8MzxNBs4Odw4j89zeuAUagN97tzwAgj4riaoNg=")</f>
        <v>https://recruiter.shine.com/resume/download/?resumeid=gAAAAABbk2UNN32_GUQVQ-xnkn8DaejNujle1uIW-7pdeE3WjicWbGt-Ht4UWy5mrIHXEowwfRBF79jtU1q7z0-s0PrAA1tMuTzpuT9gcv_l5Ntw9yvcTnd9T3SttRXFG8Z8UY5AD88fXBbK_8MzxNBs4Odw4j89zeuAUagN97tzwAgj4riaoNg=</v>
      </c>
    </row>
    <row r="1442" spans="1:25" ht="39.950000000000003" customHeight="1">
      <c r="A1442">
        <v>1438</v>
      </c>
      <c r="B1442" t="s">
        <v>12487</v>
      </c>
      <c r="C1442" t="s">
        <v>12488</v>
      </c>
      <c r="D1442" t="s">
        <v>12489</v>
      </c>
      <c r="E1442" t="s">
        <v>12490</v>
      </c>
      <c r="F1442" t="s">
        <v>29</v>
      </c>
      <c r="G1442" t="s">
        <v>29</v>
      </c>
      <c r="H1442" t="s">
        <v>31</v>
      </c>
      <c r="I1442" t="s">
        <v>714</v>
      </c>
      <c r="J1442" t="s">
        <v>781</v>
      </c>
      <c r="K1442" t="s">
        <v>12491</v>
      </c>
      <c r="L1442" t="s">
        <v>266</v>
      </c>
      <c r="M1442" t="s">
        <v>622</v>
      </c>
      <c r="N1442" t="s">
        <v>12492</v>
      </c>
      <c r="O1442" t="s">
        <v>585</v>
      </c>
      <c r="P1442" t="s">
        <v>57</v>
      </c>
      <c r="Q1442" t="s">
        <v>158</v>
      </c>
      <c r="R1442" t="s">
        <v>159</v>
      </c>
      <c r="S1442" t="s">
        <v>12493</v>
      </c>
      <c r="U1442" t="s">
        <v>43</v>
      </c>
      <c r="V1442" t="s">
        <v>12494</v>
      </c>
      <c r="W1442" t="s">
        <v>12495</v>
      </c>
      <c r="Y1442" t="str">
        <f>HYPERLINK("https://recruiter.shine.com/resume/download/?resumeid=gAAAAABbk2UKmSyvO_FlNuP3F2gZElin-WQlU3rzvY_yNrcz2dqsxBt0LaV2rxVtEz6h1lBXyTgbNsHYvcrQK54E4PGR0WCxz0gLPb7LkQBqqF1EElZAP0UkoyvU4bW-VsCgXWe-IWvl")</f>
        <v>https://recruiter.shine.com/resume/download/?resumeid=gAAAAABbk2UKmSyvO_FlNuP3F2gZElin-WQlU3rzvY_yNrcz2dqsxBt0LaV2rxVtEz6h1lBXyTgbNsHYvcrQK54E4PGR0WCxz0gLPb7LkQBqqF1EElZAP0UkoyvU4bW-VsCgXWe-IWvl</v>
      </c>
    </row>
    <row r="1443" spans="1:25" ht="39.950000000000003" customHeight="1">
      <c r="A1443">
        <v>1439</v>
      </c>
      <c r="B1443" t="s">
        <v>12496</v>
      </c>
      <c r="C1443" t="s">
        <v>12497</v>
      </c>
      <c r="D1443" t="s">
        <v>12498</v>
      </c>
      <c r="E1443" t="s">
        <v>12499</v>
      </c>
      <c r="F1443" t="s">
        <v>29</v>
      </c>
      <c r="G1443" t="s">
        <v>30</v>
      </c>
      <c r="H1443" t="s">
        <v>31</v>
      </c>
      <c r="I1443" t="s">
        <v>85</v>
      </c>
      <c r="J1443" t="s">
        <v>506</v>
      </c>
      <c r="K1443" t="s">
        <v>12500</v>
      </c>
      <c r="L1443" t="s">
        <v>266</v>
      </c>
      <c r="M1443" t="s">
        <v>2835</v>
      </c>
      <c r="N1443" t="s">
        <v>2229</v>
      </c>
      <c r="O1443" t="s">
        <v>1422</v>
      </c>
      <c r="P1443" t="s">
        <v>140</v>
      </c>
      <c r="Q1443" t="s">
        <v>158</v>
      </c>
      <c r="R1443" t="s">
        <v>384</v>
      </c>
      <c r="S1443" t="s">
        <v>2919</v>
      </c>
      <c r="T1443" t="s">
        <v>126</v>
      </c>
      <c r="U1443" t="s">
        <v>43</v>
      </c>
      <c r="V1443" t="s">
        <v>12501</v>
      </c>
      <c r="W1443" t="s">
        <v>12502</v>
      </c>
      <c r="Y1443" t="str">
        <f>HYPERLINK("https://recruiter.shine.com/resume/download/?resumeid=gAAAAABbk2UMuTIld5My8TUcIWMjYNdu08cYPA5eNVY1ovepQGeYaUTvt5ZPv7j6wcj1asl3zTegxDYG-NxReaUOL2UKCsYCiHvrOrtykPNLyZjrv8ZC0KbmKPU5728YWcuMTXdVCfIERRGrV4XgvFoydjn0ISpfzw==")</f>
        <v>https://recruiter.shine.com/resume/download/?resumeid=gAAAAABbk2UMuTIld5My8TUcIWMjYNdu08cYPA5eNVY1ovepQGeYaUTvt5ZPv7j6wcj1asl3zTegxDYG-NxReaUOL2UKCsYCiHvrOrtykPNLyZjrv8ZC0KbmKPU5728YWcuMTXdVCfIERRGrV4XgvFoydjn0ISpfzw==</v>
      </c>
    </row>
    <row r="1444" spans="1:25" ht="39.950000000000003" customHeight="1">
      <c r="A1444">
        <v>1440</v>
      </c>
      <c r="B1444" t="s">
        <v>12503</v>
      </c>
      <c r="D1444" t="s">
        <v>12504</v>
      </c>
      <c r="E1444" t="s">
        <v>12505</v>
      </c>
      <c r="F1444" t="s">
        <v>29</v>
      </c>
      <c r="G1444" t="s">
        <v>29</v>
      </c>
      <c r="H1444" t="s">
        <v>234</v>
      </c>
      <c r="I1444" t="s">
        <v>1554</v>
      </c>
      <c r="J1444" t="s">
        <v>312</v>
      </c>
      <c r="K1444" t="s">
        <v>12506</v>
      </c>
      <c r="L1444" t="s">
        <v>462</v>
      </c>
      <c r="M1444" t="s">
        <v>238</v>
      </c>
      <c r="N1444" t="s">
        <v>12507</v>
      </c>
      <c r="O1444" t="s">
        <v>804</v>
      </c>
      <c r="Q1444" t="s">
        <v>123</v>
      </c>
      <c r="R1444" t="s">
        <v>124</v>
      </c>
      <c r="S1444" t="s">
        <v>188</v>
      </c>
      <c r="T1444" t="s">
        <v>687</v>
      </c>
      <c r="U1444" t="s">
        <v>43</v>
      </c>
      <c r="V1444" t="s">
        <v>12508</v>
      </c>
      <c r="W1444" t="s">
        <v>12509</v>
      </c>
      <c r="Y1444" t="str">
        <f>HYPERLINK("https://recruiter.shine.com/resume/download/?resumeid=gAAAAABbk2UO_uXJw6zhPnAuGnmf2zsaUIsQSdO9aGvyS-xV17wJzzo5cKezKi8BZd5cPUQ4uVqjZSUUDgenwKCjqyrpuPQa-TbOSCj0OV7qJ781bEYfqOU6AbuKIs5brJZnV29eSv7jdo9U8PKRvHgXVgfS6Cv71zenEoNAmWglD4v6PZly-rw=")</f>
        <v>https://recruiter.shine.com/resume/download/?resumeid=gAAAAABbk2UO_uXJw6zhPnAuGnmf2zsaUIsQSdO9aGvyS-xV17wJzzo5cKezKi8BZd5cPUQ4uVqjZSUUDgenwKCjqyrpuPQa-TbOSCj0OV7qJ781bEYfqOU6AbuKIs5brJZnV29eSv7jdo9U8PKRvHgXVgfS6Cv71zenEoNAmWglD4v6PZly-rw=</v>
      </c>
    </row>
    <row r="1445" spans="1:25" ht="39.950000000000003" customHeight="1">
      <c r="A1445">
        <v>1441</v>
      </c>
      <c r="B1445" t="s">
        <v>12510</v>
      </c>
      <c r="C1445" t="s">
        <v>12511</v>
      </c>
      <c r="D1445" t="s">
        <v>12512</v>
      </c>
      <c r="E1445" t="s">
        <v>12513</v>
      </c>
      <c r="F1445" t="s">
        <v>858</v>
      </c>
      <c r="G1445" t="s">
        <v>12514</v>
      </c>
      <c r="H1445" t="s">
        <v>31</v>
      </c>
      <c r="I1445" t="s">
        <v>2843</v>
      </c>
      <c r="J1445" t="s">
        <v>3071</v>
      </c>
      <c r="K1445" t="s">
        <v>12515</v>
      </c>
      <c r="L1445" t="s">
        <v>266</v>
      </c>
      <c r="M1445" t="s">
        <v>105</v>
      </c>
      <c r="N1445" t="s">
        <v>12516</v>
      </c>
      <c r="O1445" t="s">
        <v>38</v>
      </c>
      <c r="P1445" t="s">
        <v>39</v>
      </c>
      <c r="Q1445" t="s">
        <v>107</v>
      </c>
      <c r="R1445" t="s">
        <v>341</v>
      </c>
      <c r="S1445" t="s">
        <v>12517</v>
      </c>
      <c r="T1445" t="s">
        <v>441</v>
      </c>
      <c r="U1445" t="s">
        <v>127</v>
      </c>
      <c r="V1445" t="s">
        <v>12518</v>
      </c>
      <c r="W1445" t="s">
        <v>12519</v>
      </c>
      <c r="Y1445" t="str">
        <f>HYPERLINK("https://recruiter.shine.com/resume/download/?resumeid=gAAAAABbk2UKdvMgg0BhmvwgwMIG4tMvXcbQFQgAPpl0ET_YpKyLgl1-tH84Vv1dAqw0vjJROAjxAmEKY19bXe1BIsGEsC9-mTmBv7sr0gNXFyAv1QqCYlVu-o9o1ggLkgFSnPdzEhPccsH6BL0OhsFE0tWkSv3oFw==")</f>
        <v>https://recruiter.shine.com/resume/download/?resumeid=gAAAAABbk2UKdvMgg0BhmvwgwMIG4tMvXcbQFQgAPpl0ET_YpKyLgl1-tH84Vv1dAqw0vjJROAjxAmEKY19bXe1BIsGEsC9-mTmBv7sr0gNXFyAv1QqCYlVu-o9o1ggLkgFSnPdzEhPccsH6BL0OhsFE0tWkSv3oFw==</v>
      </c>
    </row>
    <row r="1446" spans="1:25" ht="39.950000000000003" customHeight="1">
      <c r="A1446">
        <v>1442</v>
      </c>
      <c r="B1446" t="s">
        <v>12520</v>
      </c>
      <c r="D1446" t="s">
        <v>12521</v>
      </c>
      <c r="E1446" t="s">
        <v>12522</v>
      </c>
      <c r="F1446" t="s">
        <v>29</v>
      </c>
      <c r="G1446" t="s">
        <v>29</v>
      </c>
      <c r="H1446" t="s">
        <v>31</v>
      </c>
      <c r="I1446" t="s">
        <v>1709</v>
      </c>
      <c r="J1446" t="s">
        <v>12523</v>
      </c>
      <c r="K1446" t="s">
        <v>12524</v>
      </c>
      <c r="L1446" t="s">
        <v>266</v>
      </c>
      <c r="M1446" t="s">
        <v>105</v>
      </c>
      <c r="N1446" t="s">
        <v>12525</v>
      </c>
      <c r="O1446" t="s">
        <v>1245</v>
      </c>
      <c r="Q1446" t="s">
        <v>107</v>
      </c>
      <c r="R1446" t="s">
        <v>75</v>
      </c>
      <c r="S1446" t="s">
        <v>12526</v>
      </c>
      <c r="T1446" t="s">
        <v>2817</v>
      </c>
      <c r="U1446" t="s">
        <v>43</v>
      </c>
      <c r="V1446" t="s">
        <v>12527</v>
      </c>
      <c r="W1446" t="s">
        <v>12528</v>
      </c>
      <c r="Y1446" t="str">
        <f>HYPERLINK("https://recruiter.shine.com/resume/download/?resumeid=gAAAAABbk2UM4GkYF_ZWg9UsjtTD2wZ8OYloVQvSa5kot1RJPsW0kS4xueAoE3Nsyc4F8HSSR8sHLbswhTRIRdWbVI_A_QyB9RKU5ydyteem9RKpu1ypMs4P0wRhGHuncxKls1xUO3A8mCi25_mNWr9uIp13dkBZN1dfBvbVXCEX512LSvlbpJs=")</f>
        <v>https://recruiter.shine.com/resume/download/?resumeid=gAAAAABbk2UM4GkYF_ZWg9UsjtTD2wZ8OYloVQvSa5kot1RJPsW0kS4xueAoE3Nsyc4F8HSSR8sHLbswhTRIRdWbVI_A_QyB9RKU5ydyteem9RKpu1ypMs4P0wRhGHuncxKls1xUO3A8mCi25_mNWr9uIp13dkBZN1dfBvbVXCEX512LSvlbpJs=</v>
      </c>
    </row>
    <row r="1447" spans="1:25" ht="39.950000000000003" customHeight="1">
      <c r="A1447">
        <v>1443</v>
      </c>
      <c r="B1447" t="s">
        <v>12529</v>
      </c>
      <c r="D1447" t="s">
        <v>12530</v>
      </c>
      <c r="E1447" t="s">
        <v>12531</v>
      </c>
      <c r="F1447" t="s">
        <v>29</v>
      </c>
      <c r="H1447" t="s">
        <v>31</v>
      </c>
      <c r="I1447" t="s">
        <v>460</v>
      </c>
      <c r="J1447" t="s">
        <v>135</v>
      </c>
      <c r="K1447" t="s">
        <v>12532</v>
      </c>
      <c r="L1447" t="s">
        <v>184</v>
      </c>
      <c r="M1447" t="s">
        <v>463</v>
      </c>
      <c r="N1447" t="s">
        <v>9908</v>
      </c>
      <c r="O1447" t="s">
        <v>56</v>
      </c>
      <c r="Q1447" t="s">
        <v>90</v>
      </c>
      <c r="R1447" t="s">
        <v>292</v>
      </c>
      <c r="S1447" t="s">
        <v>12533</v>
      </c>
      <c r="T1447" t="s">
        <v>441</v>
      </c>
      <c r="U1447" t="s">
        <v>43</v>
      </c>
      <c r="V1447" t="s">
        <v>12534</v>
      </c>
      <c r="W1447" t="s">
        <v>12534</v>
      </c>
      <c r="Y1447" t="str">
        <f>HYPERLINK("https://recruiter.shine.com/resume/download/?resumeid=gAAAAABbk2UN06dT-YKYSgj6DhIev4Om7MRaJW-jWbN-iGYL9IT9sn3GCs2exRgTt_BiNU5DTdJMkrmtnUTDK0YbsU_MapcmqV0uQ2kSGpjnl9FwuVMi5rBekGtNYO-Ip_EiMMYzNh9vsQi_J47_S1_EM2-OkZbcOcWHwG2drr2WIf5kx1arCTE=")</f>
        <v>https://recruiter.shine.com/resume/download/?resumeid=gAAAAABbk2UN06dT-YKYSgj6DhIev4Om7MRaJW-jWbN-iGYL9IT9sn3GCs2exRgTt_BiNU5DTdJMkrmtnUTDK0YbsU_MapcmqV0uQ2kSGpjnl9FwuVMi5rBekGtNYO-Ip_EiMMYzNh9vsQi_J47_S1_EM2-OkZbcOcWHwG2drr2WIf5kx1arCTE=</v>
      </c>
    </row>
    <row r="1448" spans="1:25" ht="39.950000000000003" customHeight="1">
      <c r="A1448">
        <v>1444</v>
      </c>
      <c r="B1448" t="s">
        <v>12535</v>
      </c>
      <c r="C1448" t="s">
        <v>12536</v>
      </c>
      <c r="D1448" t="s">
        <v>12537</v>
      </c>
      <c r="E1448" t="s">
        <v>12538</v>
      </c>
      <c r="F1448" t="s">
        <v>29</v>
      </c>
      <c r="G1448" t="s">
        <v>29</v>
      </c>
      <c r="H1448" t="s">
        <v>234</v>
      </c>
      <c r="I1448" t="s">
        <v>9279</v>
      </c>
      <c r="J1448" t="s">
        <v>5517</v>
      </c>
      <c r="K1448" t="s">
        <v>1167</v>
      </c>
      <c r="L1448" t="s">
        <v>237</v>
      </c>
      <c r="M1448" t="s">
        <v>238</v>
      </c>
      <c r="N1448" t="s">
        <v>12539</v>
      </c>
      <c r="O1448" t="s">
        <v>224</v>
      </c>
      <c r="P1448" t="s">
        <v>73</v>
      </c>
      <c r="Q1448" t="s">
        <v>187</v>
      </c>
      <c r="R1448" t="s">
        <v>124</v>
      </c>
      <c r="S1448" t="s">
        <v>188</v>
      </c>
      <c r="T1448" t="s">
        <v>773</v>
      </c>
      <c r="U1448" t="s">
        <v>43</v>
      </c>
      <c r="V1448" t="s">
        <v>12540</v>
      </c>
      <c r="W1448" t="s">
        <v>12541</v>
      </c>
      <c r="Y1448" t="str">
        <f>HYPERLINK("https://recruiter.shine.com/resume/download/?resumeid=gAAAAABbk2ULnLmJHsQ1iZiGVml_DERrRyy41wfkxFHkS2Z12HAVi4L8FJPhw-_VKDxBkDwq-1x04d9m_am_UGZmutszwMVqeC5BkeokLciHSrAvqiK4Gc8qX9bi8MBmtkNv7rjhJH-dDLUcCKASlBfVBZ9RHrE9QQ==")</f>
        <v>https://recruiter.shine.com/resume/download/?resumeid=gAAAAABbk2ULnLmJHsQ1iZiGVml_DERrRyy41wfkxFHkS2Z12HAVi4L8FJPhw-_VKDxBkDwq-1x04d9m_am_UGZmutszwMVqeC5BkeokLciHSrAvqiK4Gc8qX9bi8MBmtkNv7rjhJH-dDLUcCKASlBfVBZ9RHrE9QQ==</v>
      </c>
    </row>
    <row r="1449" spans="1:25" ht="39.950000000000003" customHeight="1">
      <c r="A1449">
        <v>1445</v>
      </c>
      <c r="B1449" t="s">
        <v>12542</v>
      </c>
      <c r="C1449" t="s">
        <v>12543</v>
      </c>
      <c r="D1449" t="s">
        <v>12544</v>
      </c>
      <c r="E1449" t="s">
        <v>12545</v>
      </c>
      <c r="F1449" t="s">
        <v>29</v>
      </c>
      <c r="G1449" t="s">
        <v>29</v>
      </c>
      <c r="H1449" t="s">
        <v>31</v>
      </c>
      <c r="I1449" t="s">
        <v>2025</v>
      </c>
      <c r="J1449" t="s">
        <v>3276</v>
      </c>
      <c r="K1449" t="s">
        <v>12546</v>
      </c>
      <c r="L1449" t="s">
        <v>155</v>
      </c>
      <c r="M1449" t="s">
        <v>6465</v>
      </c>
      <c r="N1449" t="s">
        <v>12547</v>
      </c>
      <c r="O1449" t="s">
        <v>157</v>
      </c>
      <c r="P1449" t="s">
        <v>57</v>
      </c>
      <c r="Q1449" t="s">
        <v>107</v>
      </c>
      <c r="R1449" t="s">
        <v>108</v>
      </c>
      <c r="S1449" t="s">
        <v>188</v>
      </c>
      <c r="T1449" t="s">
        <v>304</v>
      </c>
      <c r="U1449" t="s">
        <v>43</v>
      </c>
      <c r="V1449" t="s">
        <v>12548</v>
      </c>
      <c r="W1449" t="s">
        <v>12549</v>
      </c>
      <c r="Y1449" t="str">
        <f>HYPERLINK("https://recruiter.shine.com/resume/download/?resumeid=gAAAAABbk2UMhjIdW0ZfqdggFCusfA0nGOoc23Ly1fFXSjTyd_RFtQceC_sFKuY4fzLpdZrFsBkoQ23tcH9uDK8GHD0UlGs3LNOFPcLfBjXRVgE3KHMSRRVc2nmPNyxAmaEIJVRKimtYHpGyzT-CrFclnTeEF0i5_rPUUjMygSjHRpScOIKiCuY=")</f>
        <v>https://recruiter.shine.com/resume/download/?resumeid=gAAAAABbk2UMhjIdW0ZfqdggFCusfA0nGOoc23Ly1fFXSjTyd_RFtQceC_sFKuY4fzLpdZrFsBkoQ23tcH9uDK8GHD0UlGs3LNOFPcLfBjXRVgE3KHMSRRVc2nmPNyxAmaEIJVRKimtYHpGyzT-CrFclnTeEF0i5_rPUUjMygSjHRpScOIKiCuY=</v>
      </c>
    </row>
    <row r="1450" spans="1:25" ht="39.950000000000003" customHeight="1">
      <c r="A1450">
        <v>1446</v>
      </c>
      <c r="B1450" t="s">
        <v>12550</v>
      </c>
      <c r="D1450" t="s">
        <v>12551</v>
      </c>
      <c r="E1450" t="s">
        <v>12552</v>
      </c>
      <c r="F1450" t="s">
        <v>29</v>
      </c>
      <c r="G1450" t="s">
        <v>67</v>
      </c>
      <c r="H1450" t="s">
        <v>31</v>
      </c>
      <c r="I1450" t="s">
        <v>1672</v>
      </c>
      <c r="J1450" t="s">
        <v>2844</v>
      </c>
      <c r="K1450" t="s">
        <v>2645</v>
      </c>
      <c r="L1450" t="s">
        <v>88</v>
      </c>
      <c r="M1450" t="s">
        <v>315</v>
      </c>
      <c r="N1450" t="s">
        <v>12553</v>
      </c>
      <c r="O1450" t="s">
        <v>38</v>
      </c>
      <c r="Q1450" t="s">
        <v>40</v>
      </c>
      <c r="R1450" t="s">
        <v>2364</v>
      </c>
      <c r="S1450" t="s">
        <v>10352</v>
      </c>
      <c r="T1450" t="s">
        <v>2554</v>
      </c>
      <c r="U1450" t="s">
        <v>43</v>
      </c>
      <c r="V1450" t="s">
        <v>12554</v>
      </c>
      <c r="W1450" t="s">
        <v>12555</v>
      </c>
      <c r="Y1450" t="str">
        <f>HYPERLINK("https://recruiter.shine.com/resume/download/?resumeid=gAAAAABbk2UOiFCLTIIKq6ptw9N0UqAoeJMoyqqfquL2qVyBf45hi_3tB8PBYwid5ogUi-FtfBy5qlblR0dMsSOonDMm3A8QVzXgIjOWfXtJfVGS_MCt5IqQNzUR7p3oiEcRuhdSyn0uk1Ws36UK3LcDvVyJTGs_DA==")</f>
        <v>https://recruiter.shine.com/resume/download/?resumeid=gAAAAABbk2UOiFCLTIIKq6ptw9N0UqAoeJMoyqqfquL2qVyBf45hi_3tB8PBYwid5ogUi-FtfBy5qlblR0dMsSOonDMm3A8QVzXgIjOWfXtJfVGS_MCt5IqQNzUR7p3oiEcRuhdSyn0uk1Ws36UK3LcDvVyJTGs_DA==</v>
      </c>
    </row>
    <row r="1451" spans="1:25" ht="39.950000000000003" customHeight="1">
      <c r="A1451">
        <v>1447</v>
      </c>
      <c r="B1451" t="s">
        <v>12556</v>
      </c>
      <c r="D1451" t="s">
        <v>12557</v>
      </c>
      <c r="E1451" t="s">
        <v>12558</v>
      </c>
      <c r="F1451" t="s">
        <v>29</v>
      </c>
      <c r="G1451" t="s">
        <v>29</v>
      </c>
      <c r="H1451" t="s">
        <v>234</v>
      </c>
      <c r="I1451" t="s">
        <v>362</v>
      </c>
      <c r="J1451" t="s">
        <v>135</v>
      </c>
      <c r="L1451" t="s">
        <v>363</v>
      </c>
      <c r="M1451" t="s">
        <v>364</v>
      </c>
      <c r="Q1451" t="s">
        <v>107</v>
      </c>
      <c r="R1451" t="s">
        <v>642</v>
      </c>
      <c r="S1451" t="s">
        <v>7262</v>
      </c>
      <c r="U1451" t="s">
        <v>43</v>
      </c>
      <c r="V1451" t="s">
        <v>12559</v>
      </c>
      <c r="W1451" t="s">
        <v>12560</v>
      </c>
      <c r="Y1451" t="str">
        <f>HYPERLINK("https://recruiter.shine.com/resume/download/?resumeid=gAAAAABbk2UKZqwQFnuRUq2zlNKwL9Pq_tjV3bBELxoUmx6fjuJ408amq-Mi4MEwBme0RKFrKmrwMG7EWWMjc4ygtJZyEfWA2O1ozu8-Gei7TIYFZnJCq2GmxJixKO-mTIwpYclYtNeB")</f>
        <v>https://recruiter.shine.com/resume/download/?resumeid=gAAAAABbk2UKZqwQFnuRUq2zlNKwL9Pq_tjV3bBELxoUmx6fjuJ408amq-Mi4MEwBme0RKFrKmrwMG7EWWMjc4ygtJZyEfWA2O1ozu8-Gei7TIYFZnJCq2GmxJixKO-mTIwpYclYtNeB</v>
      </c>
    </row>
    <row r="1452" spans="1:25" ht="39.950000000000003" customHeight="1">
      <c r="A1452">
        <v>1448</v>
      </c>
      <c r="B1452" t="s">
        <v>12561</v>
      </c>
      <c r="C1452" t="s">
        <v>12562</v>
      </c>
      <c r="D1452" t="s">
        <v>12563</v>
      </c>
      <c r="E1452" t="s">
        <v>12564</v>
      </c>
      <c r="F1452" t="s">
        <v>29</v>
      </c>
      <c r="G1452" t="s">
        <v>29</v>
      </c>
      <c r="H1452" t="s">
        <v>31</v>
      </c>
      <c r="I1452" t="s">
        <v>85</v>
      </c>
      <c r="J1452" t="s">
        <v>6610</v>
      </c>
      <c r="K1452" t="s">
        <v>12565</v>
      </c>
      <c r="L1452" t="s">
        <v>746</v>
      </c>
      <c r="M1452" t="s">
        <v>1356</v>
      </c>
      <c r="N1452" t="s">
        <v>12566</v>
      </c>
      <c r="O1452" t="s">
        <v>38</v>
      </c>
      <c r="P1452" t="s">
        <v>140</v>
      </c>
      <c r="Q1452" t="s">
        <v>158</v>
      </c>
      <c r="R1452" t="s">
        <v>142</v>
      </c>
      <c r="S1452" t="s">
        <v>12567</v>
      </c>
      <c r="T1452" t="s">
        <v>2554</v>
      </c>
      <c r="U1452" t="s">
        <v>43</v>
      </c>
      <c r="V1452" t="s">
        <v>12568</v>
      </c>
      <c r="W1452" t="s">
        <v>12569</v>
      </c>
      <c r="Y1452" t="str">
        <f>HYPERLINK("https://recruiter.shine.com/resume/download/?resumeid=gAAAAABbk2UMEcU4S9nChWfnBuhObIXgn3DZA4SpbwwiSZSQQLM8tqhD1j_oDuJZUPjJCOr8MVBN69M9dDXHm1NC898JWYiNgguAYEaxUVXSmHSmMueOcRvyOD0hCeFsEY3lri2U2-BW7iMM5j24Cnv8ZLNxs5oCCQ==")</f>
        <v>https://recruiter.shine.com/resume/download/?resumeid=gAAAAABbk2UMEcU4S9nChWfnBuhObIXgn3DZA4SpbwwiSZSQQLM8tqhD1j_oDuJZUPjJCOr8MVBN69M9dDXHm1NC898JWYiNgguAYEaxUVXSmHSmMueOcRvyOD0hCeFsEY3lri2U2-BW7iMM5j24Cnv8ZLNxs5oCCQ==</v>
      </c>
    </row>
    <row r="1453" spans="1:25" ht="39.950000000000003" customHeight="1">
      <c r="A1453">
        <v>1449</v>
      </c>
      <c r="B1453" t="s">
        <v>12570</v>
      </c>
      <c r="D1453" t="s">
        <v>12571</v>
      </c>
      <c r="E1453" t="s">
        <v>12572</v>
      </c>
      <c r="F1453" t="s">
        <v>858</v>
      </c>
      <c r="H1453" t="s">
        <v>31</v>
      </c>
      <c r="I1453" t="s">
        <v>362</v>
      </c>
      <c r="J1453" t="s">
        <v>135</v>
      </c>
      <c r="L1453" t="s">
        <v>363</v>
      </c>
      <c r="M1453" t="s">
        <v>364</v>
      </c>
      <c r="Q1453" t="s">
        <v>107</v>
      </c>
      <c r="R1453" t="s">
        <v>341</v>
      </c>
      <c r="S1453" t="s">
        <v>12573</v>
      </c>
      <c r="T1453" t="s">
        <v>625</v>
      </c>
      <c r="U1453" t="s">
        <v>127</v>
      </c>
      <c r="V1453" t="s">
        <v>12574</v>
      </c>
      <c r="W1453" t="s">
        <v>12574</v>
      </c>
      <c r="Y1453" t="str">
        <f>HYPERLINK("https://recruiter.shine.com/resume/download/?resumeid=gAAAAABbk2UNa-qLbxK8bcCM98yNUCuLA33p0zkza_oPKqTmK0CEXGkKuzHBkIRj_ZoBpdpunDA5FCb1WXNIhSDqCMOq3SfY1leiwI-XeVQrl4FsoOUF4PGjAM8Cn9WIESHiCdT8DSeI-t7aRrhNf4p6c6oiExv5c5RWkxMD7NmoSur8rPX7PjU=")</f>
        <v>https://recruiter.shine.com/resume/download/?resumeid=gAAAAABbk2UNa-qLbxK8bcCM98yNUCuLA33p0zkza_oPKqTmK0CEXGkKuzHBkIRj_ZoBpdpunDA5FCb1WXNIhSDqCMOq3SfY1leiwI-XeVQrl4FsoOUF4PGjAM8Cn9WIESHiCdT8DSeI-t7aRrhNf4p6c6oiExv5c5RWkxMD7NmoSur8rPX7PjU=</v>
      </c>
    </row>
    <row r="1454" spans="1:25" ht="39.950000000000003" customHeight="1">
      <c r="A1454">
        <v>1450</v>
      </c>
      <c r="B1454" t="s">
        <v>12575</v>
      </c>
      <c r="D1454" t="s">
        <v>12576</v>
      </c>
      <c r="E1454" t="s">
        <v>12577</v>
      </c>
      <c r="F1454" t="s">
        <v>29</v>
      </c>
      <c r="G1454" t="s">
        <v>29</v>
      </c>
      <c r="H1454" t="s">
        <v>31</v>
      </c>
      <c r="I1454" t="s">
        <v>208</v>
      </c>
      <c r="J1454" t="s">
        <v>299</v>
      </c>
      <c r="K1454" t="s">
        <v>10205</v>
      </c>
      <c r="L1454" t="s">
        <v>4940</v>
      </c>
      <c r="M1454" t="s">
        <v>222</v>
      </c>
      <c r="N1454" t="s">
        <v>12578</v>
      </c>
      <c r="O1454" t="s">
        <v>38</v>
      </c>
      <c r="Q1454" t="s">
        <v>158</v>
      </c>
      <c r="R1454" t="s">
        <v>124</v>
      </c>
      <c r="S1454" t="s">
        <v>12579</v>
      </c>
      <c r="U1454" t="s">
        <v>43</v>
      </c>
      <c r="V1454" t="s">
        <v>12580</v>
      </c>
      <c r="W1454" t="s">
        <v>12581</v>
      </c>
      <c r="Y1454" t="str">
        <f>HYPERLINK("https://recruiter.shine.com/resume/download/?resumeid=gAAAAABbk2ULMn0YUGU2qw6r8epM2KSilzQwMto-D_osbPmuKyr5DWYVJQT1nqsthOytpFDKkZ0GeP-uIc51xDDsfPTzZFLT7szAuJTH5fnbbciyqsS6IL_YLr1HscLRfBUv-IIT96C9Ze8UOOFPELKfB-b8r03E-ZvgHG4GqaORl9mrJsvEt6Q=")</f>
        <v>https://recruiter.shine.com/resume/download/?resumeid=gAAAAABbk2ULMn0YUGU2qw6r8epM2KSilzQwMto-D_osbPmuKyr5DWYVJQT1nqsthOytpFDKkZ0GeP-uIc51xDDsfPTzZFLT7szAuJTH5fnbbciyqsS6IL_YLr1HscLRfBUv-IIT96C9Ze8UOOFPELKfB-b8r03E-ZvgHG4GqaORl9mrJsvEt6Q=</v>
      </c>
    </row>
    <row r="1455" spans="1:25" ht="39.950000000000003" customHeight="1">
      <c r="A1455">
        <v>1451</v>
      </c>
      <c r="B1455" t="s">
        <v>12582</v>
      </c>
      <c r="D1455" t="s">
        <v>12583</v>
      </c>
      <c r="E1455" t="s">
        <v>12584</v>
      </c>
      <c r="F1455" t="s">
        <v>29</v>
      </c>
      <c r="G1455" t="s">
        <v>29</v>
      </c>
      <c r="H1455" t="s">
        <v>31</v>
      </c>
      <c r="I1455" t="s">
        <v>32</v>
      </c>
      <c r="J1455" t="s">
        <v>336</v>
      </c>
      <c r="K1455" t="s">
        <v>12585</v>
      </c>
      <c r="L1455" t="s">
        <v>155</v>
      </c>
      <c r="M1455" t="s">
        <v>105</v>
      </c>
      <c r="N1455" t="s">
        <v>12586</v>
      </c>
      <c r="O1455" t="s">
        <v>1377</v>
      </c>
      <c r="Q1455" t="s">
        <v>107</v>
      </c>
      <c r="R1455" t="s">
        <v>341</v>
      </c>
      <c r="S1455" t="s">
        <v>12587</v>
      </c>
      <c r="T1455" t="s">
        <v>941</v>
      </c>
      <c r="U1455" t="s">
        <v>43</v>
      </c>
      <c r="V1455" t="s">
        <v>12588</v>
      </c>
      <c r="W1455" t="s">
        <v>12589</v>
      </c>
      <c r="Y1455" t="str">
        <f>HYPERLINK("https://recruiter.shine.com/resume/download/?resumeid=gAAAAABbk2UNVQo2dPd9JKWZIEYC7BLs2uP6uiIVp3Z1CAep_QDlp4ezjTgkhvoc8oT-0IQWvapaveDh0KXdGOlH6csd2IgGwP1WZJJJmy64kAaBqCsyjQru-KqLtyHsaTptZQSG7kerCtFhtxL3AbD4bqFqfKz6wQ==")</f>
        <v>https://recruiter.shine.com/resume/download/?resumeid=gAAAAABbk2UNVQo2dPd9JKWZIEYC7BLs2uP6uiIVp3Z1CAep_QDlp4ezjTgkhvoc8oT-0IQWvapaveDh0KXdGOlH6csd2IgGwP1WZJJJmy64kAaBqCsyjQru-KqLtyHsaTptZQSG7kerCtFhtxL3AbD4bqFqfKz6wQ==</v>
      </c>
    </row>
    <row r="1456" spans="1:25" ht="39.950000000000003" customHeight="1">
      <c r="A1456">
        <v>1452</v>
      </c>
      <c r="B1456" t="s">
        <v>12590</v>
      </c>
      <c r="C1456" t="s">
        <v>12591</v>
      </c>
      <c r="D1456" t="s">
        <v>12592</v>
      </c>
      <c r="E1456" t="s">
        <v>12593</v>
      </c>
      <c r="F1456" t="s">
        <v>29</v>
      </c>
      <c r="G1456" t="s">
        <v>2854</v>
      </c>
      <c r="H1456" t="s">
        <v>31</v>
      </c>
      <c r="I1456" t="s">
        <v>208</v>
      </c>
      <c r="J1456" t="s">
        <v>6133</v>
      </c>
      <c r="K1456" t="s">
        <v>12594</v>
      </c>
      <c r="L1456" t="s">
        <v>88</v>
      </c>
      <c r="M1456" t="s">
        <v>473</v>
      </c>
      <c r="N1456" t="s">
        <v>12595</v>
      </c>
      <c r="O1456" t="s">
        <v>56</v>
      </c>
      <c r="Q1456" t="s">
        <v>90</v>
      </c>
      <c r="R1456" t="s">
        <v>91</v>
      </c>
      <c r="S1456" t="s">
        <v>12596</v>
      </c>
      <c r="T1456" t="s">
        <v>304</v>
      </c>
      <c r="U1456" t="s">
        <v>127</v>
      </c>
      <c r="V1456" t="s">
        <v>12597</v>
      </c>
      <c r="W1456" t="s">
        <v>12598</v>
      </c>
      <c r="Y1456" t="str">
        <f>HYPERLINK("https://recruiter.shine.com/resume/download/?resumeid=gAAAAABbk2UOY9AWn-E0VrBGBzxPnqBdYiJvnfVVbeD_PK-xWl8GIQFGnHZ98LkhxL14tk7iFsoV14rWcUOGKHpgYhKGk1Czq5_doZCwSwo8AmbVUAObYgdR-MBRgAm_ISsgEnHgskXwBkN-H-WCKanXb0Y2PPSG2TTplPTsojZrKhIH-q0EUcc=")</f>
        <v>https://recruiter.shine.com/resume/download/?resumeid=gAAAAABbk2UOY9AWn-E0VrBGBzxPnqBdYiJvnfVVbeD_PK-xWl8GIQFGnHZ98LkhxL14tk7iFsoV14rWcUOGKHpgYhKGk1Czq5_doZCwSwo8AmbVUAObYgdR-MBRgAm_ISsgEnHgskXwBkN-H-WCKanXb0Y2PPSG2TTplPTsojZrKhIH-q0EUcc=</v>
      </c>
    </row>
    <row r="1457" spans="1:25" ht="39.950000000000003" customHeight="1">
      <c r="A1457">
        <v>1453</v>
      </c>
      <c r="B1457" t="s">
        <v>12599</v>
      </c>
      <c r="C1457" t="s">
        <v>12600</v>
      </c>
      <c r="D1457" t="s">
        <v>12601</v>
      </c>
      <c r="E1457" t="s">
        <v>12602</v>
      </c>
      <c r="F1457" t="s">
        <v>29</v>
      </c>
      <c r="G1457" t="s">
        <v>29</v>
      </c>
      <c r="H1457" t="s">
        <v>31</v>
      </c>
      <c r="I1457" t="s">
        <v>12603</v>
      </c>
      <c r="J1457" t="s">
        <v>153</v>
      </c>
      <c r="K1457" t="s">
        <v>12604</v>
      </c>
      <c r="L1457" t="s">
        <v>6163</v>
      </c>
      <c r="M1457" t="s">
        <v>315</v>
      </c>
      <c r="N1457" t="s">
        <v>12605</v>
      </c>
      <c r="O1457" t="s">
        <v>585</v>
      </c>
      <c r="Q1457" t="s">
        <v>783</v>
      </c>
      <c r="R1457" t="s">
        <v>12606</v>
      </c>
      <c r="S1457" t="s">
        <v>12607</v>
      </c>
      <c r="T1457" t="s">
        <v>625</v>
      </c>
      <c r="U1457" t="s">
        <v>43</v>
      </c>
      <c r="V1457" t="s">
        <v>12608</v>
      </c>
      <c r="W1457" t="s">
        <v>12609</v>
      </c>
      <c r="Y1457" t="str">
        <f>HYPERLINK("https://recruiter.shine.com/resume/download/?resumeid=gAAAAABbk2ULH4X6YN-G6GwKnK4HqCQQSVG4qOelHtjsX-QCHEEjWEA0k62J-64GBjFYIpUWEBf1YtBxd4qFZ-kdN0uYo2mbF4cH39unkHOpe1HAQ3_b5rQL_yHvkSz-g1gFY-nRXqLLHt8kObme98KFSe6LsSPHnSwjZr5hncxGs5hh5wU14UI=")</f>
        <v>https://recruiter.shine.com/resume/download/?resumeid=gAAAAABbk2ULH4X6YN-G6GwKnK4HqCQQSVG4qOelHtjsX-QCHEEjWEA0k62J-64GBjFYIpUWEBf1YtBxd4qFZ-kdN0uYo2mbF4cH39unkHOpe1HAQ3_b5rQL_yHvkSz-g1gFY-nRXqLLHt8kObme98KFSe6LsSPHnSwjZr5hncxGs5hh5wU14UI=</v>
      </c>
    </row>
    <row r="1458" spans="1:25" ht="39.950000000000003" customHeight="1">
      <c r="A1458">
        <v>1454</v>
      </c>
      <c r="B1458" t="s">
        <v>12610</v>
      </c>
      <c r="C1458" t="s">
        <v>12611</v>
      </c>
      <c r="D1458" t="s">
        <v>12612</v>
      </c>
      <c r="E1458" t="s">
        <v>12613</v>
      </c>
      <c r="F1458" t="s">
        <v>29</v>
      </c>
      <c r="G1458" t="s">
        <v>2784</v>
      </c>
      <c r="H1458" t="s">
        <v>234</v>
      </c>
      <c r="I1458" t="s">
        <v>362</v>
      </c>
      <c r="J1458" t="s">
        <v>135</v>
      </c>
      <c r="L1458" t="s">
        <v>363</v>
      </c>
      <c r="M1458" t="s">
        <v>364</v>
      </c>
      <c r="Q1458" t="s">
        <v>107</v>
      </c>
      <c r="R1458" t="s">
        <v>864</v>
      </c>
      <c r="S1458" t="s">
        <v>12614</v>
      </c>
      <c r="T1458" t="s">
        <v>429</v>
      </c>
      <c r="U1458" t="s">
        <v>43</v>
      </c>
      <c r="V1458" t="s">
        <v>12615</v>
      </c>
      <c r="W1458" t="s">
        <v>12615</v>
      </c>
      <c r="Y1458" t="str">
        <f>HYPERLINK("https://recruiter.shine.com/resume/download/?resumeid=gAAAAABbk2UNE5WTXft1TycPxjNZHAdQ-07iFHBIrWn0DVUpGm8lEOb93LI6xuDZERY_8cO_reT2XQ3VArAN5onOAJCrhz7miTwQ7dZs5N8wo6nTSDsf9cpcHlk9I_LNsGA-mcyGPVsZvxwCpeHeWnjNatH7bNA1sjJHtLs3pFEo6duwjXL0jNs=")</f>
        <v>https://recruiter.shine.com/resume/download/?resumeid=gAAAAABbk2UNE5WTXft1TycPxjNZHAdQ-07iFHBIrWn0DVUpGm8lEOb93LI6xuDZERY_8cO_reT2XQ3VArAN5onOAJCrhz7miTwQ7dZs5N8wo6nTSDsf9cpcHlk9I_LNsGA-mcyGPVsZvxwCpeHeWnjNatH7bNA1sjJHtLs3pFEo6duwjXL0jNs=</v>
      </c>
    </row>
    <row r="1459" spans="1:25" ht="39.950000000000003" customHeight="1">
      <c r="A1459">
        <v>1455</v>
      </c>
      <c r="B1459" t="s">
        <v>12616</v>
      </c>
      <c r="D1459" t="s">
        <v>12617</v>
      </c>
      <c r="E1459" t="s">
        <v>12618</v>
      </c>
      <c r="F1459" t="s">
        <v>29</v>
      </c>
      <c r="H1459" t="s">
        <v>31</v>
      </c>
      <c r="I1459" t="s">
        <v>362</v>
      </c>
      <c r="J1459" t="s">
        <v>135</v>
      </c>
      <c r="L1459" t="s">
        <v>363</v>
      </c>
      <c r="M1459" t="s">
        <v>364</v>
      </c>
      <c r="P1459" t="s">
        <v>39</v>
      </c>
      <c r="Q1459" t="s">
        <v>90</v>
      </c>
      <c r="R1459" t="s">
        <v>91</v>
      </c>
      <c r="S1459" t="s">
        <v>12619</v>
      </c>
      <c r="T1459" t="s">
        <v>257</v>
      </c>
      <c r="U1459" t="s">
        <v>127</v>
      </c>
      <c r="V1459" t="s">
        <v>12620</v>
      </c>
      <c r="W1459" t="s">
        <v>12620</v>
      </c>
      <c r="Y1459" t="str">
        <f>HYPERLINK("https://recruiter.shine.com/resume/download/?resumeid=gAAAAABbk2UNj5h9BUsJXM961sEqK11wekp88djglxpe4At4DKf0rIgIYFJf_Xht3VJY_uiXLCICI2IZiKeE1Hcc0oszsgq3oG4WMQEF1tmTmNhjaNHBfGV_X1yJChoQ65B50UZwmYiXGJqY8wq6UtD4FGBY0fl6FA==")</f>
        <v>https://recruiter.shine.com/resume/download/?resumeid=gAAAAABbk2UNj5h9BUsJXM961sEqK11wekp88djglxpe4At4DKf0rIgIYFJf_Xht3VJY_uiXLCICI2IZiKeE1Hcc0oszsgq3oG4WMQEF1tmTmNhjaNHBfGV_X1yJChoQ65B50UZwmYiXGJqY8wq6UtD4FGBY0fl6FA==</v>
      </c>
    </row>
    <row r="1460" spans="1:25" ht="39.950000000000003" customHeight="1">
      <c r="A1460">
        <v>1456</v>
      </c>
      <c r="B1460" t="s">
        <v>12621</v>
      </c>
      <c r="C1460" t="s">
        <v>12622</v>
      </c>
      <c r="D1460" t="s">
        <v>12623</v>
      </c>
      <c r="E1460" t="s">
        <v>12624</v>
      </c>
      <c r="F1460" t="s">
        <v>29</v>
      </c>
      <c r="G1460" t="s">
        <v>12625</v>
      </c>
      <c r="H1460" t="s">
        <v>31</v>
      </c>
      <c r="I1460" t="s">
        <v>12626</v>
      </c>
      <c r="J1460" t="s">
        <v>153</v>
      </c>
      <c r="K1460" t="s">
        <v>12627</v>
      </c>
      <c r="L1460" t="s">
        <v>199</v>
      </c>
      <c r="M1460" t="s">
        <v>121</v>
      </c>
      <c r="N1460" t="s">
        <v>12628</v>
      </c>
      <c r="O1460" t="s">
        <v>186</v>
      </c>
      <c r="P1460" t="s">
        <v>940</v>
      </c>
      <c r="Q1460" t="s">
        <v>40</v>
      </c>
      <c r="R1460" t="s">
        <v>9106</v>
      </c>
      <c r="S1460" t="s">
        <v>12629</v>
      </c>
      <c r="T1460" t="s">
        <v>304</v>
      </c>
      <c r="U1460" t="s">
        <v>127</v>
      </c>
      <c r="V1460" t="s">
        <v>12630</v>
      </c>
      <c r="W1460" t="s">
        <v>12631</v>
      </c>
      <c r="Y1460" t="str">
        <f>HYPERLINK("https://recruiter.shine.com/resume/download/?resumeid=gAAAAABbk2ULFF5gGmyCK2XcefC0JOA1X6tIl7msU9ItW6905XFvY5ZPidcUZbaCz2PKmOxVz84bAsYKi3NadivifzIrA7ZVegqj-e9zNQ2yqfg1OAlkZzKBNQ_tqUkLblhfq3fUmlP7")</f>
        <v>https://recruiter.shine.com/resume/download/?resumeid=gAAAAABbk2ULFF5gGmyCK2XcefC0JOA1X6tIl7msU9ItW6905XFvY5ZPidcUZbaCz2PKmOxVz84bAsYKi3NadivifzIrA7ZVegqj-e9zNQ2yqfg1OAlkZzKBNQ_tqUkLblhfq3fUmlP7</v>
      </c>
    </row>
    <row r="1461" spans="1:25" ht="39.950000000000003" customHeight="1">
      <c r="A1461">
        <v>1457</v>
      </c>
      <c r="B1461" t="s">
        <v>12632</v>
      </c>
      <c r="C1461" t="s">
        <v>12633</v>
      </c>
      <c r="D1461" t="s">
        <v>12634</v>
      </c>
      <c r="E1461" t="s">
        <v>12635</v>
      </c>
      <c r="F1461" t="s">
        <v>249</v>
      </c>
      <c r="G1461" t="s">
        <v>249</v>
      </c>
      <c r="H1461" t="s">
        <v>234</v>
      </c>
      <c r="I1461" t="s">
        <v>6048</v>
      </c>
      <c r="J1461" t="s">
        <v>12216</v>
      </c>
      <c r="K1461" t="s">
        <v>12636</v>
      </c>
      <c r="L1461" t="s">
        <v>2766</v>
      </c>
      <c r="M1461" t="s">
        <v>410</v>
      </c>
      <c r="N1461" t="s">
        <v>12637</v>
      </c>
      <c r="O1461" t="s">
        <v>585</v>
      </c>
      <c r="P1461" t="s">
        <v>57</v>
      </c>
      <c r="Q1461" t="s">
        <v>123</v>
      </c>
      <c r="R1461" t="s">
        <v>124</v>
      </c>
      <c r="S1461" t="s">
        <v>188</v>
      </c>
      <c r="T1461" t="s">
        <v>110</v>
      </c>
      <c r="U1461" t="s">
        <v>127</v>
      </c>
      <c r="V1461" t="s">
        <v>12638</v>
      </c>
      <c r="W1461" t="s">
        <v>12639</v>
      </c>
      <c r="Y1461" t="str">
        <f>HYPERLINK("https://recruiter.shine.com/resume/download/?resumeid=gAAAAABbk2UMaXK-dheaRzo3NL04ZBgkITmy8VM7J-iLVpA_j3LAIAYpgoFGsKv4M_Eijed7QbrT43dLYWSqp2D3IZB5YG2oHT-rJgYLFBeZP2JMp_S-fs3c3oGgHGaQZKkCfDj8xeicUvENSCMNK58iW8EPo3xpuw==")</f>
        <v>https://recruiter.shine.com/resume/download/?resumeid=gAAAAABbk2UMaXK-dheaRzo3NL04ZBgkITmy8VM7J-iLVpA_j3LAIAYpgoFGsKv4M_Eijed7QbrT43dLYWSqp2D3IZB5YG2oHT-rJgYLFBeZP2JMp_S-fs3c3oGgHGaQZKkCfDj8xeicUvENSCMNK58iW8EPo3xpuw==</v>
      </c>
    </row>
    <row r="1462" spans="1:25" ht="39.950000000000003" customHeight="1">
      <c r="A1462">
        <v>1458</v>
      </c>
      <c r="B1462" t="s">
        <v>12640</v>
      </c>
      <c r="D1462" t="s">
        <v>12641</v>
      </c>
      <c r="E1462" t="s">
        <v>12642</v>
      </c>
      <c r="F1462" t="s">
        <v>29</v>
      </c>
      <c r="G1462" t="s">
        <v>29</v>
      </c>
      <c r="H1462" t="s">
        <v>234</v>
      </c>
      <c r="I1462" t="s">
        <v>1185</v>
      </c>
      <c r="J1462" t="s">
        <v>12216</v>
      </c>
      <c r="K1462" t="s">
        <v>12643</v>
      </c>
      <c r="L1462" t="s">
        <v>184</v>
      </c>
      <c r="M1462" t="s">
        <v>487</v>
      </c>
      <c r="N1462" t="s">
        <v>12644</v>
      </c>
      <c r="O1462" t="s">
        <v>585</v>
      </c>
      <c r="P1462" t="s">
        <v>39</v>
      </c>
      <c r="Q1462" t="s">
        <v>783</v>
      </c>
      <c r="R1462" t="s">
        <v>292</v>
      </c>
      <c r="S1462" t="s">
        <v>12645</v>
      </c>
      <c r="T1462" t="s">
        <v>625</v>
      </c>
      <c r="U1462" t="s">
        <v>127</v>
      </c>
      <c r="V1462" t="s">
        <v>12646</v>
      </c>
      <c r="W1462" t="s">
        <v>12647</v>
      </c>
      <c r="Y1462" t="str">
        <f>HYPERLINK("https://recruiter.shine.com/resume/download/?resumeid=gAAAAABbk2UO1HRRedCpqZUqTRNenv4RkeB-cbhSI8F7oV6v9ly2FmvescgI2Y06Uvi8qyjqLb6GZU4CCcBQhJ3RrGym-ZAO0Nr8gswp9bJcJO9GlP9JrGC0G1XzjDXr4ZoOTHnyTJodybbbAd5IsVIGi0vHXDcMEQ==")</f>
        <v>https://recruiter.shine.com/resume/download/?resumeid=gAAAAABbk2UO1HRRedCpqZUqTRNenv4RkeB-cbhSI8F7oV6v9ly2FmvescgI2Y06Uvi8qyjqLb6GZU4CCcBQhJ3RrGym-ZAO0Nr8gswp9bJcJO9GlP9JrGC0G1XzjDXr4ZoOTHnyTJodybbbAd5IsVIGi0vHXDcMEQ==</v>
      </c>
    </row>
    <row r="1463" spans="1:25" ht="39.950000000000003" customHeight="1">
      <c r="A1463">
        <v>1459</v>
      </c>
      <c r="B1463" t="s">
        <v>12648</v>
      </c>
      <c r="C1463" t="s">
        <v>12649</v>
      </c>
      <c r="D1463" t="s">
        <v>12650</v>
      </c>
      <c r="E1463" t="s">
        <v>12651</v>
      </c>
      <c r="F1463" t="s">
        <v>29</v>
      </c>
      <c r="G1463" t="s">
        <v>12652</v>
      </c>
      <c r="H1463" t="s">
        <v>31</v>
      </c>
      <c r="I1463" t="s">
        <v>196</v>
      </c>
      <c r="J1463" t="s">
        <v>153</v>
      </c>
      <c r="K1463" t="s">
        <v>12653</v>
      </c>
      <c r="L1463" t="s">
        <v>1674</v>
      </c>
      <c r="M1463" t="s">
        <v>684</v>
      </c>
      <c r="N1463" t="s">
        <v>12654</v>
      </c>
      <c r="O1463" t="s">
        <v>38</v>
      </c>
      <c r="Q1463" t="s">
        <v>107</v>
      </c>
      <c r="R1463" t="s">
        <v>559</v>
      </c>
      <c r="S1463" t="s">
        <v>5199</v>
      </c>
      <c r="T1463" t="s">
        <v>61</v>
      </c>
      <c r="U1463" t="s">
        <v>43</v>
      </c>
      <c r="V1463" t="s">
        <v>12655</v>
      </c>
      <c r="W1463" t="s">
        <v>12655</v>
      </c>
      <c r="Y1463" t="str">
        <f>HYPERLINK("https://recruiter.shine.com/resume/download/?resumeid=gAAAAABbk2ULIgofQsCAe1aORYHwglrO5stc1Gdm7xzU2NUcZiFom_0ghdjqDlrtY6e6Qmiahu1YWQ8XZFVxXLOFdBugc-Q7P3d78LAf0vwo8zpCMHHpZEoHuH7g4BwjiEDri9az0Y7KUeOSsYklapBi58lJIMro0A==")</f>
        <v>https://recruiter.shine.com/resume/download/?resumeid=gAAAAABbk2ULIgofQsCAe1aORYHwglrO5stc1Gdm7xzU2NUcZiFom_0ghdjqDlrtY6e6Qmiahu1YWQ8XZFVxXLOFdBugc-Q7P3d78LAf0vwo8zpCMHHpZEoHuH7g4BwjiEDri9az0Y7KUeOSsYklapBi58lJIMro0A==</v>
      </c>
    </row>
    <row r="1464" spans="1:25" ht="39.950000000000003" customHeight="1">
      <c r="A1464">
        <v>1460</v>
      </c>
      <c r="B1464" t="s">
        <v>12656</v>
      </c>
      <c r="C1464" t="s">
        <v>12657</v>
      </c>
      <c r="D1464" t="s">
        <v>12658</v>
      </c>
      <c r="E1464" t="s">
        <v>12659</v>
      </c>
      <c r="F1464" t="s">
        <v>29</v>
      </c>
      <c r="G1464" t="s">
        <v>2599</v>
      </c>
      <c r="H1464" t="s">
        <v>31</v>
      </c>
      <c r="I1464" t="s">
        <v>32</v>
      </c>
      <c r="J1464" t="s">
        <v>1877</v>
      </c>
      <c r="K1464" t="s">
        <v>12660</v>
      </c>
      <c r="L1464" t="s">
        <v>155</v>
      </c>
      <c r="M1464" t="s">
        <v>105</v>
      </c>
      <c r="N1464" t="s">
        <v>12661</v>
      </c>
      <c r="O1464" t="s">
        <v>186</v>
      </c>
      <c r="P1464" t="s">
        <v>39</v>
      </c>
      <c r="Q1464" t="s">
        <v>107</v>
      </c>
      <c r="R1464" t="s">
        <v>341</v>
      </c>
      <c r="S1464" t="s">
        <v>12662</v>
      </c>
      <c r="T1464" t="s">
        <v>1200</v>
      </c>
      <c r="U1464" t="s">
        <v>43</v>
      </c>
      <c r="V1464" t="s">
        <v>12663</v>
      </c>
      <c r="W1464" t="s">
        <v>12664</v>
      </c>
      <c r="Y1464" t="str">
        <f>HYPERLINK("https://recruiter.shine.com/resume/download/?resumeid=gAAAAABbk2UMViteqagHVfjfudS8XpCn7MlmhwW_TGEoMhqEcmGjmD7lHnLQGWkUrM2-uJD49RcTgRmf70GCIQbUFET6LYuh36cbrKdSr90lJX6PMDaIyekZU8PXGUmmvEknXjHE6y2DDJytYnKXgBDF7J3xsdc0uA==")</f>
        <v>https://recruiter.shine.com/resume/download/?resumeid=gAAAAABbk2UMViteqagHVfjfudS8XpCn7MlmhwW_TGEoMhqEcmGjmD7lHnLQGWkUrM2-uJD49RcTgRmf70GCIQbUFET6LYuh36cbrKdSr90lJX6PMDaIyekZU8PXGUmmvEknXjHE6y2DDJytYnKXgBDF7J3xsdc0uA==</v>
      </c>
    </row>
    <row r="1465" spans="1:25" ht="39.950000000000003" customHeight="1">
      <c r="A1465">
        <v>1461</v>
      </c>
      <c r="B1465" t="s">
        <v>12665</v>
      </c>
      <c r="D1465" t="s">
        <v>12666</v>
      </c>
      <c r="E1465" t="s">
        <v>12667</v>
      </c>
      <c r="F1465" t="s">
        <v>29</v>
      </c>
      <c r="H1465" t="s">
        <v>31</v>
      </c>
      <c r="I1465" t="s">
        <v>714</v>
      </c>
      <c r="J1465" t="s">
        <v>135</v>
      </c>
      <c r="K1465" t="s">
        <v>12668</v>
      </c>
      <c r="L1465" t="s">
        <v>2814</v>
      </c>
      <c r="M1465" t="s">
        <v>121</v>
      </c>
      <c r="N1465" t="s">
        <v>12669</v>
      </c>
      <c r="O1465" t="s">
        <v>2301</v>
      </c>
      <c r="Q1465" t="s">
        <v>123</v>
      </c>
      <c r="R1465" t="s">
        <v>124</v>
      </c>
      <c r="S1465" t="s">
        <v>12670</v>
      </c>
      <c r="T1465" t="s">
        <v>61</v>
      </c>
      <c r="U1465" t="s">
        <v>127</v>
      </c>
      <c r="V1465" t="s">
        <v>12671</v>
      </c>
      <c r="W1465" t="s">
        <v>12672</v>
      </c>
      <c r="Y1465" t="str">
        <f>HYPERLINK("https://recruiter.shine.com/resume/download/?resumeid=gAAAAABbk2UOnrD67nHwrD9tmgdc4kgvuWLYwfCSsogXjvJRrQWC7z0ELjqTxwqcWGZTaWV0xAkxhT1EomDwumAkSOu6MFqCgkx_iVPwrQUPu2-WpF2-9SX2o3MAh5CLlGcXyNpHgIIW3REM0qDSbw3M2FqjdPO2V4NPncYsmWbN_0xBhjVb5Cg=")</f>
        <v>https://recruiter.shine.com/resume/download/?resumeid=gAAAAABbk2UOnrD67nHwrD9tmgdc4kgvuWLYwfCSsogXjvJRrQWC7z0ELjqTxwqcWGZTaWV0xAkxhT1EomDwumAkSOu6MFqCgkx_iVPwrQUPu2-WpF2-9SX2o3MAh5CLlGcXyNpHgIIW3REM0qDSbw3M2FqjdPO2V4NPncYsmWbN_0xBhjVb5Cg=</v>
      </c>
    </row>
    <row r="1466" spans="1:25" ht="39.950000000000003" customHeight="1">
      <c r="A1466">
        <v>1462</v>
      </c>
      <c r="B1466" t="s">
        <v>12673</v>
      </c>
      <c r="C1466" t="s">
        <v>12674</v>
      </c>
      <c r="D1466" t="s">
        <v>12675</v>
      </c>
      <c r="E1466" t="s">
        <v>12676</v>
      </c>
      <c r="F1466" t="s">
        <v>29</v>
      </c>
      <c r="G1466" t="s">
        <v>29</v>
      </c>
      <c r="H1466" t="s">
        <v>31</v>
      </c>
      <c r="I1466" t="s">
        <v>714</v>
      </c>
      <c r="J1466" t="s">
        <v>2372</v>
      </c>
      <c r="K1466" t="s">
        <v>12677</v>
      </c>
      <c r="L1466" t="s">
        <v>4146</v>
      </c>
      <c r="M1466" t="s">
        <v>757</v>
      </c>
      <c r="N1466" t="s">
        <v>12678</v>
      </c>
      <c r="O1466" t="s">
        <v>186</v>
      </c>
      <c r="P1466" t="s">
        <v>57</v>
      </c>
      <c r="Q1466" t="s">
        <v>123</v>
      </c>
      <c r="R1466" t="s">
        <v>124</v>
      </c>
      <c r="S1466" t="s">
        <v>12679</v>
      </c>
      <c r="T1466" t="s">
        <v>1921</v>
      </c>
      <c r="U1466" t="s">
        <v>43</v>
      </c>
      <c r="V1466" t="s">
        <v>12680</v>
      </c>
      <c r="W1466" t="s">
        <v>12681</v>
      </c>
      <c r="Y1466" t="str">
        <f>HYPERLINK("https://recruiter.shine.com/resume/download/?resumeid=gAAAAABbk2UKTxHUWYIE9K76Y1QnmRdkCyEbttcUaV4FPbVzz2n6WmZIJbhlKX9LB-qUOkMXN0eAWK__gezXN4dbC1MSQXCLiS1fIdB_9Sok1lH7KV_1sHEc8yrmcXAdwp0JyBCaO-k6Q4qESByCiG7JgWp22mc-jw==")</f>
        <v>https://recruiter.shine.com/resume/download/?resumeid=gAAAAABbk2UKTxHUWYIE9K76Y1QnmRdkCyEbttcUaV4FPbVzz2n6WmZIJbhlKX9LB-qUOkMXN0eAWK__gezXN4dbC1MSQXCLiS1fIdB_9Sok1lH7KV_1sHEc8yrmcXAdwp0JyBCaO-k6Q4qESByCiG7JgWp22mc-jw==</v>
      </c>
    </row>
    <row r="1467" spans="1:25" ht="39.950000000000003" customHeight="1">
      <c r="A1467">
        <v>1463</v>
      </c>
      <c r="B1467" t="s">
        <v>12682</v>
      </c>
      <c r="C1467" t="s">
        <v>12683</v>
      </c>
      <c r="D1467" t="s">
        <v>12684</v>
      </c>
      <c r="E1467" t="s">
        <v>12685</v>
      </c>
      <c r="F1467" t="s">
        <v>29</v>
      </c>
      <c r="G1467" t="s">
        <v>29</v>
      </c>
      <c r="H1467" t="s">
        <v>31</v>
      </c>
      <c r="I1467" t="s">
        <v>5573</v>
      </c>
      <c r="J1467" t="s">
        <v>3265</v>
      </c>
      <c r="K1467" t="s">
        <v>518</v>
      </c>
      <c r="L1467" t="s">
        <v>1390</v>
      </c>
      <c r="M1467" t="s">
        <v>105</v>
      </c>
      <c r="N1467" t="s">
        <v>12686</v>
      </c>
      <c r="O1467" t="s">
        <v>572</v>
      </c>
      <c r="P1467" t="s">
        <v>73</v>
      </c>
      <c r="Q1467" t="s">
        <v>158</v>
      </c>
      <c r="R1467" t="s">
        <v>341</v>
      </c>
      <c r="S1467" t="s">
        <v>12687</v>
      </c>
      <c r="T1467" t="s">
        <v>110</v>
      </c>
      <c r="U1467" t="s">
        <v>43</v>
      </c>
      <c r="V1467" t="s">
        <v>12688</v>
      </c>
      <c r="W1467" t="s">
        <v>12689</v>
      </c>
      <c r="Y1467" t="str">
        <f>HYPERLINK("https://recruiter.shine.com/resume/download/?resumeid=gAAAAABbk2UMU8UbUqam_MTPrMxXKQq20ntwERvjiYRYJSh5pg85O7j0DB2Bbw6BEFYIShObq2LnL8V5qjTK8VioEEHTHJrOBqewhUozUp0E3SAb7zum66gGm9GS9wEg4wM3lvrPaW7jv9FCkefMSI1A93MgfyzmdoEVcWhmduR9PghMyICrbIw=")</f>
        <v>https://recruiter.shine.com/resume/download/?resumeid=gAAAAABbk2UMU8UbUqam_MTPrMxXKQq20ntwERvjiYRYJSh5pg85O7j0DB2Bbw6BEFYIShObq2LnL8V5qjTK8VioEEHTHJrOBqewhUozUp0E3SAb7zum66gGm9GS9wEg4wM3lvrPaW7jv9FCkefMSI1A93MgfyzmdoEVcWhmduR9PghMyICrbIw=</v>
      </c>
    </row>
    <row r="1468" spans="1:25" ht="39.950000000000003" customHeight="1">
      <c r="A1468">
        <v>1464</v>
      </c>
      <c r="B1468" t="s">
        <v>12690</v>
      </c>
      <c r="C1468" t="s">
        <v>12691</v>
      </c>
      <c r="D1468" t="s">
        <v>12692</v>
      </c>
      <c r="E1468" t="s">
        <v>12693</v>
      </c>
      <c r="F1468" t="s">
        <v>29</v>
      </c>
      <c r="G1468" t="s">
        <v>12694</v>
      </c>
      <c r="H1468" t="s">
        <v>31</v>
      </c>
      <c r="I1468" t="s">
        <v>362</v>
      </c>
      <c r="J1468" t="s">
        <v>135</v>
      </c>
      <c r="L1468" t="s">
        <v>363</v>
      </c>
      <c r="M1468" t="s">
        <v>364</v>
      </c>
      <c r="Q1468" t="s">
        <v>107</v>
      </c>
      <c r="R1468" t="s">
        <v>341</v>
      </c>
      <c r="S1468" t="s">
        <v>12695</v>
      </c>
      <c r="T1468" t="s">
        <v>257</v>
      </c>
      <c r="U1468" t="s">
        <v>43</v>
      </c>
      <c r="V1468" t="s">
        <v>12696</v>
      </c>
      <c r="W1468" t="s">
        <v>12697</v>
      </c>
      <c r="Y1468" t="str">
        <f>HYPERLINK("https://recruiter.shine.com/resume/download/?resumeid=gAAAAABbk2UOHsxqeAWpq6Hhj5lD28hxbih5SsyBtoEFRwxbQerglIVsQyMADngt-UUkGm5m1y7OSwUBb2d_pagbVWARf5RFtYNFzAwZqaJ-Aa-1YfT1nnPts-_ZuMg0SZ9Z3cQ9Uj_HKrWE6fDmik7GzM_NMOSaB1tbUhltD0KAD7OcG0tEDO8=")</f>
        <v>https://recruiter.shine.com/resume/download/?resumeid=gAAAAABbk2UOHsxqeAWpq6Hhj5lD28hxbih5SsyBtoEFRwxbQerglIVsQyMADngt-UUkGm5m1y7OSwUBb2d_pagbVWARf5RFtYNFzAwZqaJ-Aa-1YfT1nnPts-_ZuMg0SZ9Z3cQ9Uj_HKrWE6fDmik7GzM_NMOSaB1tbUhltD0KAD7OcG0tEDO8=</v>
      </c>
    </row>
    <row r="1469" spans="1:25" ht="39.950000000000003" customHeight="1">
      <c r="A1469">
        <v>1465</v>
      </c>
      <c r="B1469" t="s">
        <v>12698</v>
      </c>
      <c r="C1469" t="s">
        <v>12699</v>
      </c>
      <c r="D1469" t="s">
        <v>12700</v>
      </c>
      <c r="E1469" t="s">
        <v>12701</v>
      </c>
      <c r="F1469" t="s">
        <v>29</v>
      </c>
      <c r="G1469" t="s">
        <v>29</v>
      </c>
      <c r="H1469" t="s">
        <v>234</v>
      </c>
      <c r="I1469" t="s">
        <v>362</v>
      </c>
      <c r="J1469" t="s">
        <v>135</v>
      </c>
      <c r="L1469" t="s">
        <v>363</v>
      </c>
      <c r="M1469" t="s">
        <v>364</v>
      </c>
      <c r="Q1469" t="s">
        <v>107</v>
      </c>
      <c r="R1469" t="s">
        <v>864</v>
      </c>
      <c r="S1469" t="s">
        <v>12702</v>
      </c>
      <c r="T1469" t="s">
        <v>110</v>
      </c>
      <c r="U1469" t="s">
        <v>43</v>
      </c>
      <c r="V1469" t="s">
        <v>12703</v>
      </c>
      <c r="W1469" t="s">
        <v>12704</v>
      </c>
      <c r="Y1469" t="str">
        <f>HYPERLINK("https://recruiter.shine.com/resume/download/?resumeid=gAAAAABbk2ULko92_bWLWjobuvC9onDDaNBK8DUV0ZdhJjutS6rSjk_5vNSb1giZtWRADjkWI2Ym0gCHPfYA0Xjl-8t3Z9vGpozFZIGxxT-sUEZ-oKg9NKhwEDv6bZS4iYICy3cmY4JjHanwivRCaiyfntJVphvXZl3bElJdqLuhizVa1EfZWxA=")</f>
        <v>https://recruiter.shine.com/resume/download/?resumeid=gAAAAABbk2ULko92_bWLWjobuvC9onDDaNBK8DUV0ZdhJjutS6rSjk_5vNSb1giZtWRADjkWI2Ym0gCHPfYA0Xjl-8t3Z9vGpozFZIGxxT-sUEZ-oKg9NKhwEDv6bZS4iYICy3cmY4JjHanwivRCaiyfntJVphvXZl3bElJdqLuhizVa1EfZWxA=</v>
      </c>
    </row>
    <row r="1470" spans="1:25" ht="39.950000000000003" customHeight="1">
      <c r="A1470">
        <v>1466</v>
      </c>
      <c r="B1470" t="s">
        <v>12705</v>
      </c>
      <c r="D1470" t="s">
        <v>12706</v>
      </c>
      <c r="E1470" t="s">
        <v>12707</v>
      </c>
      <c r="F1470" t="s">
        <v>29</v>
      </c>
      <c r="G1470" t="s">
        <v>29</v>
      </c>
      <c r="H1470" t="s">
        <v>31</v>
      </c>
      <c r="I1470" t="s">
        <v>4499</v>
      </c>
      <c r="J1470" t="s">
        <v>871</v>
      </c>
      <c r="K1470" t="s">
        <v>12708</v>
      </c>
      <c r="L1470" t="s">
        <v>5296</v>
      </c>
      <c r="M1470" t="s">
        <v>684</v>
      </c>
      <c r="N1470" t="s">
        <v>12709</v>
      </c>
      <c r="O1470" t="s">
        <v>224</v>
      </c>
      <c r="Q1470" t="s">
        <v>158</v>
      </c>
      <c r="R1470" t="s">
        <v>108</v>
      </c>
      <c r="S1470" t="s">
        <v>12710</v>
      </c>
      <c r="T1470" t="s">
        <v>161</v>
      </c>
      <c r="U1470" t="s">
        <v>43</v>
      </c>
      <c r="V1470" t="s">
        <v>12711</v>
      </c>
      <c r="W1470" t="s">
        <v>12712</v>
      </c>
      <c r="Y1470" t="str">
        <f>HYPERLINK("https://recruiter.shine.com/resume/download/?resumeid=gAAAAABbk2UMINX3j_WPOVCfFH06CWUUwX5Oh0RvPwlS0pWcd1beq9oMYoW958JvtLcSoIqOf5o4EPhp0KcZH-VscxAAyw1NhrzgBqohCGUALyhiexC62QCbWfMvSoAM7jcfkyGaxxQHAmEm7kNpWTlzZdMU13WIRdIRo1i3oEOu4MCNwSt7J2c=")</f>
        <v>https://recruiter.shine.com/resume/download/?resumeid=gAAAAABbk2UMINX3j_WPOVCfFH06CWUUwX5Oh0RvPwlS0pWcd1beq9oMYoW958JvtLcSoIqOf5o4EPhp0KcZH-VscxAAyw1NhrzgBqohCGUALyhiexC62QCbWfMvSoAM7jcfkyGaxxQHAmEm7kNpWTlzZdMU13WIRdIRo1i3oEOu4MCNwSt7J2c=</v>
      </c>
    </row>
    <row r="1471" spans="1:25" ht="39.950000000000003" customHeight="1">
      <c r="A1471">
        <v>1467</v>
      </c>
      <c r="B1471" t="s">
        <v>12713</v>
      </c>
      <c r="D1471" t="s">
        <v>12714</v>
      </c>
      <c r="E1471" t="s">
        <v>12715</v>
      </c>
      <c r="F1471" t="s">
        <v>29</v>
      </c>
      <c r="H1471" t="s">
        <v>31</v>
      </c>
      <c r="I1471" t="s">
        <v>1038</v>
      </c>
      <c r="J1471" t="s">
        <v>3863</v>
      </c>
      <c r="K1471" t="s">
        <v>12716</v>
      </c>
      <c r="L1471" t="s">
        <v>8050</v>
      </c>
      <c r="M1471" t="s">
        <v>2636</v>
      </c>
      <c r="N1471" t="s">
        <v>12717</v>
      </c>
      <c r="O1471" t="s">
        <v>38</v>
      </c>
      <c r="Q1471" t="s">
        <v>699</v>
      </c>
      <c r="R1471" t="s">
        <v>1235</v>
      </c>
      <c r="S1471" t="s">
        <v>12718</v>
      </c>
      <c r="T1471" t="s">
        <v>773</v>
      </c>
      <c r="U1471" t="s">
        <v>127</v>
      </c>
      <c r="V1471" t="s">
        <v>12719</v>
      </c>
      <c r="W1471" t="s">
        <v>12719</v>
      </c>
      <c r="Y1471" t="str">
        <f>HYPERLINK("https://recruiter.shine.com/resume/download/?resumeid=gAAAAABbk2UNkFrGfzV9nsyYMOmoPt1f3LXFpsLnTShrVxrbATN_QU6qWIlUq69RkvFnZCYfzbATmxKbYbxTetqEGS2c1TifMdq5E9_RVNeICpBIpRri0SP3PvqV8UJv9lsunQ29GbkOO7YsDIrELc_Pj26a0N31Dg==")</f>
        <v>https://recruiter.shine.com/resume/download/?resumeid=gAAAAABbk2UNkFrGfzV9nsyYMOmoPt1f3LXFpsLnTShrVxrbATN_QU6qWIlUq69RkvFnZCYfzbATmxKbYbxTetqEGS2c1TifMdq5E9_RVNeICpBIpRri0SP3PvqV8UJv9lsunQ29GbkOO7YsDIrELc_Pj26a0N31Dg==</v>
      </c>
    </row>
    <row r="1472" spans="1:25" ht="39.950000000000003" customHeight="1">
      <c r="A1472">
        <v>1468</v>
      </c>
      <c r="B1472" t="s">
        <v>12720</v>
      </c>
      <c r="C1472" t="s">
        <v>12721</v>
      </c>
      <c r="D1472" t="s">
        <v>12722</v>
      </c>
      <c r="E1472" t="s">
        <v>12723</v>
      </c>
      <c r="F1472" t="s">
        <v>29</v>
      </c>
      <c r="G1472" t="s">
        <v>29</v>
      </c>
      <c r="H1472" t="s">
        <v>234</v>
      </c>
      <c r="I1472" t="s">
        <v>12724</v>
      </c>
      <c r="J1472" t="s">
        <v>118</v>
      </c>
      <c r="K1472" t="s">
        <v>12725</v>
      </c>
      <c r="L1472" t="s">
        <v>486</v>
      </c>
      <c r="M1472" t="s">
        <v>238</v>
      </c>
      <c r="N1472" t="s">
        <v>12726</v>
      </c>
      <c r="O1472" t="s">
        <v>572</v>
      </c>
      <c r="P1472" t="s">
        <v>73</v>
      </c>
      <c r="Q1472" t="s">
        <v>123</v>
      </c>
      <c r="R1472" t="s">
        <v>124</v>
      </c>
      <c r="S1472" t="s">
        <v>12727</v>
      </c>
      <c r="T1472" t="s">
        <v>399</v>
      </c>
      <c r="U1472" t="s">
        <v>43</v>
      </c>
      <c r="V1472" t="s">
        <v>12728</v>
      </c>
      <c r="W1472" t="s">
        <v>12729</v>
      </c>
      <c r="Y1472" t="str">
        <f>HYPERLINK("https://recruiter.shine.com/resume/download/?resumeid=gAAAAABbk2ULTNs6o6G64sbpHzgIbOR_khy-mMBxQJW842uuaHaIPfK-Tn57uDdmU1Air4XQA7HrVjNGdHRpRHxzHMuS2WAUOBtZiZQOQ-n3z7S-5IXvUNBaWRV_NRsqq-nsK3sW5g2G6wfkf9wt-rDyATbd6KzVySWlmRTH466A76UpnBzJcpE=")</f>
        <v>https://recruiter.shine.com/resume/download/?resumeid=gAAAAABbk2ULTNs6o6G64sbpHzgIbOR_khy-mMBxQJW842uuaHaIPfK-Tn57uDdmU1Air4XQA7HrVjNGdHRpRHxzHMuS2WAUOBtZiZQOQ-n3z7S-5IXvUNBaWRV_NRsqq-nsK3sW5g2G6wfkf9wt-rDyATbd6KzVySWlmRTH466A76UpnBzJcpE=</v>
      </c>
    </row>
    <row r="1473" spans="1:25" ht="39.950000000000003" customHeight="1">
      <c r="A1473">
        <v>1469</v>
      </c>
      <c r="B1473" t="s">
        <v>12730</v>
      </c>
      <c r="C1473" t="s">
        <v>12731</v>
      </c>
      <c r="D1473" t="s">
        <v>12732</v>
      </c>
      <c r="E1473" t="s">
        <v>12733</v>
      </c>
      <c r="F1473" t="s">
        <v>29</v>
      </c>
      <c r="G1473" t="s">
        <v>29</v>
      </c>
      <c r="H1473" t="s">
        <v>31</v>
      </c>
      <c r="I1473" t="s">
        <v>85</v>
      </c>
      <c r="J1473" t="s">
        <v>4404</v>
      </c>
      <c r="K1473" t="s">
        <v>12734</v>
      </c>
      <c r="L1473" t="s">
        <v>266</v>
      </c>
      <c r="M1473" t="s">
        <v>105</v>
      </c>
      <c r="N1473" t="s">
        <v>5741</v>
      </c>
      <c r="O1473" t="s">
        <v>186</v>
      </c>
      <c r="P1473" t="s">
        <v>39</v>
      </c>
      <c r="Q1473" t="s">
        <v>74</v>
      </c>
      <c r="R1473" t="s">
        <v>341</v>
      </c>
      <c r="S1473" t="s">
        <v>2365</v>
      </c>
      <c r="T1473" t="s">
        <v>874</v>
      </c>
      <c r="U1473" t="s">
        <v>43</v>
      </c>
      <c r="V1473" t="s">
        <v>12735</v>
      </c>
      <c r="W1473" t="s">
        <v>12736</v>
      </c>
      <c r="Y1473" t="str">
        <f>HYPERLINK("https://recruiter.shine.com/resume/download/?resumeid=gAAAAABbk2UMsz14oNpXyh60E7RDpa8OWqLLX76gQ6gF5PEzZ8y0lssPjmuECIbZP-UXvPtkMoywbM-CgCMFMRwSxOTHInfuR9OS9LByLKVTgfCEp2hp02F1H7cBa63RQdr6tLyDXkG-2-LiOnRe1stclo6blm3a4A==")</f>
        <v>https://recruiter.shine.com/resume/download/?resumeid=gAAAAABbk2UMsz14oNpXyh60E7RDpa8OWqLLX76gQ6gF5PEzZ8y0lssPjmuECIbZP-UXvPtkMoywbM-CgCMFMRwSxOTHInfuR9OS9LByLKVTgfCEp2hp02F1H7cBa63RQdr6tLyDXkG-2-LiOnRe1stclo6blm3a4A==</v>
      </c>
    </row>
    <row r="1474" spans="1:25" ht="39.950000000000003" customHeight="1">
      <c r="A1474">
        <v>1470</v>
      </c>
      <c r="B1474" t="s">
        <v>12737</v>
      </c>
      <c r="C1474" t="s">
        <v>12738</v>
      </c>
      <c r="D1474" t="s">
        <v>12739</v>
      </c>
      <c r="E1474" t="s">
        <v>12740</v>
      </c>
      <c r="F1474" t="s">
        <v>29</v>
      </c>
      <c r="G1474" t="s">
        <v>12741</v>
      </c>
      <c r="H1474" t="s">
        <v>31</v>
      </c>
      <c r="I1474" t="s">
        <v>12742</v>
      </c>
      <c r="J1474" t="s">
        <v>135</v>
      </c>
      <c r="K1474" t="s">
        <v>9612</v>
      </c>
      <c r="L1474" t="s">
        <v>199</v>
      </c>
      <c r="M1474" t="s">
        <v>54</v>
      </c>
      <c r="N1474" t="s">
        <v>12743</v>
      </c>
      <c r="O1474" t="s">
        <v>186</v>
      </c>
      <c r="Q1474" t="s">
        <v>107</v>
      </c>
      <c r="R1474" t="s">
        <v>2346</v>
      </c>
      <c r="S1474" t="s">
        <v>12744</v>
      </c>
      <c r="T1474" t="s">
        <v>257</v>
      </c>
      <c r="U1474" t="s">
        <v>43</v>
      </c>
      <c r="V1474" t="s">
        <v>12745</v>
      </c>
      <c r="W1474" t="s">
        <v>12746</v>
      </c>
      <c r="Y1474" t="str">
        <f>HYPERLINK("https://recruiter.shine.com/resume/download/?resumeid=gAAAAABbk2UO9MzW2zP7gd8r7d5m0SmwSsXGYb-Spsu_y3vkSuJ-6-_SLdLK50iGRBh8gAmHbbycVRvbj86sSD5djy-bKy9yCa7uVURivmIgQkRFP86eqhUE-BKielTnrwtEolHKqFmJXnw5iONsX_BqS_9d8Gd_0w==")</f>
        <v>https://recruiter.shine.com/resume/download/?resumeid=gAAAAABbk2UO9MzW2zP7gd8r7d5m0SmwSsXGYb-Spsu_y3vkSuJ-6-_SLdLK50iGRBh8gAmHbbycVRvbj86sSD5djy-bKy9yCa7uVURivmIgQkRFP86eqhUE-BKielTnrwtEolHKqFmJXnw5iONsX_BqS_9d8Gd_0w==</v>
      </c>
    </row>
    <row r="1475" spans="1:25" ht="39.950000000000003" customHeight="1">
      <c r="A1475">
        <v>1471</v>
      </c>
      <c r="B1475" t="s">
        <v>12747</v>
      </c>
      <c r="C1475" t="s">
        <v>12748</v>
      </c>
      <c r="D1475" t="s">
        <v>12749</v>
      </c>
      <c r="E1475" t="s">
        <v>12750</v>
      </c>
      <c r="F1475" t="s">
        <v>29</v>
      </c>
      <c r="G1475" t="s">
        <v>12751</v>
      </c>
      <c r="H1475" t="s">
        <v>31</v>
      </c>
      <c r="I1475" t="s">
        <v>32</v>
      </c>
      <c r="J1475" t="s">
        <v>3061</v>
      </c>
      <c r="K1475" t="s">
        <v>12752</v>
      </c>
      <c r="L1475" t="s">
        <v>266</v>
      </c>
      <c r="M1475" t="s">
        <v>105</v>
      </c>
      <c r="N1475" t="s">
        <v>12669</v>
      </c>
      <c r="O1475" t="s">
        <v>56</v>
      </c>
      <c r="P1475" t="s">
        <v>57</v>
      </c>
      <c r="Q1475" t="s">
        <v>107</v>
      </c>
      <c r="R1475" t="s">
        <v>159</v>
      </c>
      <c r="S1475" t="s">
        <v>202</v>
      </c>
      <c r="T1475" t="s">
        <v>817</v>
      </c>
      <c r="U1475" t="s">
        <v>43</v>
      </c>
      <c r="V1475" t="s">
        <v>12753</v>
      </c>
      <c r="W1475" t="s">
        <v>12754</v>
      </c>
      <c r="Y1475" t="str">
        <f>HYPERLINK("https://recruiter.shine.com/resume/download/?resumeid=gAAAAABbk2ULpHDEFdFXiqExUO_Z-sEF_yz885t1JdrBag9RI5FHBkPy5ezItz9ca9ZV5NMGv-mRvih7Y1OzP38Je2VLLIHUk-2s0q3co8aLDPZ0Kx0hYPW75kV_wv_CRgYd1kfHNxoBgn04Du718dEWyPMt_tlBfldVagJAha2DwYcKpyAYJPo=")</f>
        <v>https://recruiter.shine.com/resume/download/?resumeid=gAAAAABbk2ULpHDEFdFXiqExUO_Z-sEF_yz885t1JdrBag9RI5FHBkPy5ezItz9ca9ZV5NMGv-mRvih7Y1OzP38Je2VLLIHUk-2s0q3co8aLDPZ0Kx0hYPW75kV_wv_CRgYd1kfHNxoBgn04Du718dEWyPMt_tlBfldVagJAha2DwYcKpyAYJPo=</v>
      </c>
    </row>
    <row r="1476" spans="1:25" ht="39.950000000000003" customHeight="1">
      <c r="A1476">
        <v>1472</v>
      </c>
      <c r="B1476" t="s">
        <v>12755</v>
      </c>
      <c r="C1476" t="s">
        <v>11829</v>
      </c>
      <c r="D1476" t="s">
        <v>12756</v>
      </c>
      <c r="E1476" t="s">
        <v>12757</v>
      </c>
      <c r="F1476" t="s">
        <v>29</v>
      </c>
      <c r="G1476" t="s">
        <v>5535</v>
      </c>
      <c r="H1476" t="s">
        <v>31</v>
      </c>
      <c r="I1476" t="s">
        <v>4760</v>
      </c>
      <c r="J1476" t="s">
        <v>299</v>
      </c>
      <c r="K1476" t="s">
        <v>726</v>
      </c>
      <c r="L1476" t="s">
        <v>3109</v>
      </c>
      <c r="M1476" t="s">
        <v>238</v>
      </c>
      <c r="N1476" t="s">
        <v>12758</v>
      </c>
      <c r="O1476" t="s">
        <v>186</v>
      </c>
      <c r="P1476" t="s">
        <v>201</v>
      </c>
      <c r="Q1476" t="s">
        <v>90</v>
      </c>
      <c r="R1476" t="s">
        <v>292</v>
      </c>
      <c r="S1476" t="s">
        <v>12759</v>
      </c>
      <c r="T1476" t="s">
        <v>441</v>
      </c>
      <c r="U1476" t="s">
        <v>43</v>
      </c>
      <c r="V1476" t="s">
        <v>12760</v>
      </c>
      <c r="W1476" t="s">
        <v>12761</v>
      </c>
      <c r="Y1476" t="str">
        <f>HYPERLINK("https://recruiter.shine.com/resume/download/?resumeid=gAAAAABbk2UM1Ne2P5LnpoJw7CbCXdvY3tUxCE9iUJyaDEkNNEUPRe83ZsLwx8x05aPqvnzNLndxK1MwVOOUkYLjNWjYRVT2rSCq48OuV0n3oBW5Nj4iDT9QxOBHwXO0haufTFbR8kQtkI-K5WntWUuzvJqNRU0xOA==")</f>
        <v>https://recruiter.shine.com/resume/download/?resumeid=gAAAAABbk2UM1Ne2P5LnpoJw7CbCXdvY3tUxCE9iUJyaDEkNNEUPRe83ZsLwx8x05aPqvnzNLndxK1MwVOOUkYLjNWjYRVT2rSCq48OuV0n3oBW5Nj4iDT9QxOBHwXO0haufTFbR8kQtkI-K5WntWUuzvJqNRU0xOA==</v>
      </c>
    </row>
    <row r="1477" spans="1:25" ht="39.950000000000003" customHeight="1">
      <c r="A1477">
        <v>1473</v>
      </c>
      <c r="B1477" t="s">
        <v>12762</v>
      </c>
      <c r="C1477" t="s">
        <v>12763</v>
      </c>
      <c r="D1477" t="s">
        <v>12764</v>
      </c>
      <c r="E1477" t="s">
        <v>12765</v>
      </c>
      <c r="F1477" t="s">
        <v>29</v>
      </c>
      <c r="H1477" t="s">
        <v>31</v>
      </c>
      <c r="I1477" t="s">
        <v>1155</v>
      </c>
      <c r="J1477" t="s">
        <v>3617</v>
      </c>
      <c r="K1477" t="s">
        <v>12766</v>
      </c>
      <c r="L1477" t="s">
        <v>664</v>
      </c>
      <c r="M1477" t="s">
        <v>54</v>
      </c>
      <c r="N1477" t="s">
        <v>12767</v>
      </c>
      <c r="O1477" t="s">
        <v>1041</v>
      </c>
      <c r="Q1477" t="s">
        <v>58</v>
      </c>
      <c r="R1477" t="s">
        <v>59</v>
      </c>
      <c r="S1477" t="s">
        <v>12768</v>
      </c>
      <c r="T1477" t="s">
        <v>441</v>
      </c>
      <c r="U1477" t="s">
        <v>127</v>
      </c>
      <c r="V1477" t="s">
        <v>12769</v>
      </c>
      <c r="W1477" t="s">
        <v>12770</v>
      </c>
      <c r="Y1477" t="str">
        <f>HYPERLINK("https://recruiter.shine.com/resume/download/?resumeid=gAAAAABbk2UO03lNjkyhbO788taJ3uFXBdKNQb4LJZcrl6PRs9KkEnv3oFWTUWlK5-NIP0D7GidDya2J2s0OhPnFOYmINjLcVNzwXACccEOFnV5ZrungZ1vLAY482u3vYwwFOXyZIEXcrlf5nqq6LzCzZBT83vAhQg==")</f>
        <v>https://recruiter.shine.com/resume/download/?resumeid=gAAAAABbk2UO03lNjkyhbO788taJ3uFXBdKNQb4LJZcrl6PRs9KkEnv3oFWTUWlK5-NIP0D7GidDya2J2s0OhPnFOYmINjLcVNzwXACccEOFnV5ZrungZ1vLAY482u3vYwwFOXyZIEXcrlf5nqq6LzCzZBT83vAhQg==</v>
      </c>
    </row>
    <row r="1478" spans="1:25" ht="39.950000000000003" customHeight="1">
      <c r="A1478">
        <v>1474</v>
      </c>
      <c r="B1478" t="s">
        <v>12771</v>
      </c>
      <c r="D1478" t="s">
        <v>12772</v>
      </c>
      <c r="E1478" t="s">
        <v>12773</v>
      </c>
      <c r="F1478" t="s">
        <v>29</v>
      </c>
      <c r="G1478" t="s">
        <v>29</v>
      </c>
      <c r="H1478" t="s">
        <v>31</v>
      </c>
      <c r="I1478" t="s">
        <v>277</v>
      </c>
      <c r="J1478" t="s">
        <v>4643</v>
      </c>
      <c r="K1478" t="s">
        <v>12774</v>
      </c>
      <c r="L1478" t="s">
        <v>794</v>
      </c>
      <c r="M1478" t="s">
        <v>105</v>
      </c>
      <c r="N1478" t="s">
        <v>12775</v>
      </c>
      <c r="O1478" t="s">
        <v>186</v>
      </c>
      <c r="P1478" t="s">
        <v>57</v>
      </c>
      <c r="Q1478" t="s">
        <v>158</v>
      </c>
      <c r="R1478" t="s">
        <v>341</v>
      </c>
      <c r="S1478" t="s">
        <v>12776</v>
      </c>
      <c r="T1478" t="s">
        <v>1137</v>
      </c>
      <c r="U1478" t="s">
        <v>43</v>
      </c>
      <c r="V1478" t="s">
        <v>12777</v>
      </c>
      <c r="W1478" t="s">
        <v>12778</v>
      </c>
      <c r="Y1478" t="str">
        <f>HYPERLINK("https://recruiter.shine.com/resume/download/?resumeid=gAAAAABbk2UL4sGLlxkxni06C1CWjnALFzSVMLPUs5r9RVIm3fP-bEGI_azmB3LPm1Wdu0csaxfzV81dXr9LUSHCIJazcP_oZ5FX3T6nzavN1Cp92uC9UeJO3fQSHb-YAHxHscF7X1iT4ln722d3hUiOYwWLaFSdrdSLnCPJlvHuzkFZ5mfvQtM=")</f>
        <v>https://recruiter.shine.com/resume/download/?resumeid=gAAAAABbk2UL4sGLlxkxni06C1CWjnALFzSVMLPUs5r9RVIm3fP-bEGI_azmB3LPm1Wdu0csaxfzV81dXr9LUSHCIJazcP_oZ5FX3T6nzavN1Cp92uC9UeJO3fQSHb-YAHxHscF7X1iT4ln722d3hUiOYwWLaFSdrdSLnCPJlvHuzkFZ5mfvQtM=</v>
      </c>
    </row>
    <row r="1479" spans="1:25" ht="39.950000000000003" customHeight="1">
      <c r="A1479">
        <v>1475</v>
      </c>
      <c r="B1479" t="s">
        <v>12779</v>
      </c>
      <c r="D1479" t="s">
        <v>12780</v>
      </c>
      <c r="E1479" t="s">
        <v>12781</v>
      </c>
      <c r="F1479" t="s">
        <v>29</v>
      </c>
      <c r="G1479" t="s">
        <v>29</v>
      </c>
      <c r="H1479" t="s">
        <v>31</v>
      </c>
      <c r="I1479" t="s">
        <v>152</v>
      </c>
      <c r="J1479" t="s">
        <v>153</v>
      </c>
      <c r="K1479" t="s">
        <v>12782</v>
      </c>
      <c r="L1479" t="s">
        <v>462</v>
      </c>
      <c r="M1479" t="s">
        <v>684</v>
      </c>
      <c r="N1479" t="s">
        <v>12783</v>
      </c>
      <c r="O1479" t="s">
        <v>224</v>
      </c>
      <c r="P1479" t="s">
        <v>39</v>
      </c>
      <c r="Q1479" t="s">
        <v>90</v>
      </c>
      <c r="R1479" t="s">
        <v>465</v>
      </c>
      <c r="S1479" t="s">
        <v>12784</v>
      </c>
      <c r="T1479" t="s">
        <v>1921</v>
      </c>
      <c r="U1479" t="s">
        <v>43</v>
      </c>
      <c r="V1479" t="s">
        <v>12785</v>
      </c>
      <c r="W1479" t="s">
        <v>12785</v>
      </c>
      <c r="Y1479" t="str">
        <f>HYPERLINK("https://recruiter.shine.com/resume/download/?resumeid=gAAAAABbk2UMmRBBUD4Stnmw6ylSXVT7g8uAZJFk9y3ahIZL3mXdqmximlYjw45LWj8l2umUoG2sD5Numrc0vG0KgEE2CCLwTHRGsCyvz21pJdtIvdMKYs3ZpfjoF3F0SUszE_SeHh6wEqnQO3F_Q7WyVOy0eaHYMQweSODbp_vYUJ_In9v9hqc=")</f>
        <v>https://recruiter.shine.com/resume/download/?resumeid=gAAAAABbk2UMmRBBUD4Stnmw6ylSXVT7g8uAZJFk9y3ahIZL3mXdqmximlYjw45LWj8l2umUoG2sD5Numrc0vG0KgEE2CCLwTHRGsCyvz21pJdtIvdMKYs3ZpfjoF3F0SUszE_SeHh6wEqnQO3F_Q7WyVOy0eaHYMQweSODbp_vYUJ_In9v9hqc=</v>
      </c>
    </row>
    <row r="1480" spans="1:25" ht="39.950000000000003" customHeight="1">
      <c r="A1480">
        <v>1476</v>
      </c>
      <c r="B1480" t="s">
        <v>12786</v>
      </c>
      <c r="D1480" t="s">
        <v>12787</v>
      </c>
      <c r="E1480" t="s">
        <v>12788</v>
      </c>
      <c r="F1480" t="s">
        <v>29</v>
      </c>
      <c r="G1480" t="s">
        <v>67</v>
      </c>
      <c r="H1480" t="s">
        <v>31</v>
      </c>
      <c r="I1480" t="s">
        <v>9279</v>
      </c>
      <c r="J1480" t="s">
        <v>1804</v>
      </c>
      <c r="K1480" t="s">
        <v>198</v>
      </c>
      <c r="L1480" t="s">
        <v>266</v>
      </c>
      <c r="M1480" t="s">
        <v>105</v>
      </c>
      <c r="N1480" t="s">
        <v>12789</v>
      </c>
      <c r="O1480" t="s">
        <v>157</v>
      </c>
      <c r="Q1480" t="s">
        <v>158</v>
      </c>
      <c r="R1480" t="s">
        <v>159</v>
      </c>
      <c r="S1480" t="s">
        <v>12790</v>
      </c>
      <c r="T1480" t="s">
        <v>687</v>
      </c>
      <c r="U1480" t="s">
        <v>43</v>
      </c>
      <c r="V1480" t="s">
        <v>12791</v>
      </c>
      <c r="W1480" t="s">
        <v>12792</v>
      </c>
      <c r="Y1480" t="str">
        <f>HYPERLINK("https://recruiter.shine.com/resume/download/?resumeid=gAAAAABbk2UN0N-IjXKER97mqwsgUtb33mqZJlyxNjb7WayG1WKGJUPBG0LbfZJEGbpsgAuLXEfrBUyLpPLkKZraKQG9Y1mfNPc8SenaEWq8RybnuBTswN6PGYYuVl4qZMBuy5WfwWfFx5rDALKec66v6BsJ0fjEgQ==")</f>
        <v>https://recruiter.shine.com/resume/download/?resumeid=gAAAAABbk2UN0N-IjXKER97mqwsgUtb33mqZJlyxNjb7WayG1WKGJUPBG0LbfZJEGbpsgAuLXEfrBUyLpPLkKZraKQG9Y1mfNPc8SenaEWq8RybnuBTswN6PGYYuVl4qZMBuy5WfwWfFx5rDALKec66v6BsJ0fjEgQ==</v>
      </c>
    </row>
    <row r="1481" spans="1:25" ht="39.950000000000003" customHeight="1">
      <c r="A1481">
        <v>1477</v>
      </c>
      <c r="B1481" t="s">
        <v>12793</v>
      </c>
      <c r="C1481" t="s">
        <v>12794</v>
      </c>
      <c r="D1481" t="s">
        <v>12795</v>
      </c>
      <c r="E1481" t="s">
        <v>12796</v>
      </c>
      <c r="F1481" t="s">
        <v>29</v>
      </c>
      <c r="G1481" t="s">
        <v>29</v>
      </c>
      <c r="H1481" t="s">
        <v>234</v>
      </c>
      <c r="I1481" t="s">
        <v>836</v>
      </c>
      <c r="J1481" t="s">
        <v>506</v>
      </c>
      <c r="K1481" t="s">
        <v>12797</v>
      </c>
      <c r="L1481" t="s">
        <v>1390</v>
      </c>
      <c r="M1481" t="s">
        <v>105</v>
      </c>
      <c r="N1481" t="s">
        <v>12798</v>
      </c>
      <c r="O1481" t="s">
        <v>585</v>
      </c>
      <c r="P1481" t="s">
        <v>57</v>
      </c>
      <c r="Q1481" t="s">
        <v>40</v>
      </c>
      <c r="R1481" t="s">
        <v>829</v>
      </c>
      <c r="S1481" t="s">
        <v>951</v>
      </c>
      <c r="T1481" t="s">
        <v>625</v>
      </c>
      <c r="U1481" t="s">
        <v>127</v>
      </c>
      <c r="V1481" t="s">
        <v>12799</v>
      </c>
      <c r="W1481" t="s">
        <v>12800</v>
      </c>
      <c r="Y1481" t="str">
        <f>HYPERLINK("https://recruiter.shine.com/resume/download/?resumeid=gAAAAABbk2UK6IY2EJ3rytFo7OpgEG1qeHR-oyyhZtG6ZHV2hmY1P03Uh83tmA2_R-DplymjmJ0Qkt4-FpCPs-0iXi0gGVqSTfO0p_OV5Gp14yRpj-Z7JcBrYyZ9isDBKfW628kJYLbdezsqEioNMK0B3ckqZ0hivNby0BSNl1QkpQc_XF6ZlY4=")</f>
        <v>https://recruiter.shine.com/resume/download/?resumeid=gAAAAABbk2UK6IY2EJ3rytFo7OpgEG1qeHR-oyyhZtG6ZHV2hmY1P03Uh83tmA2_R-DplymjmJ0Qkt4-FpCPs-0iXi0gGVqSTfO0p_OV5Gp14yRpj-Z7JcBrYyZ9isDBKfW628kJYLbdezsqEioNMK0B3ckqZ0hivNby0BSNl1QkpQc_XF6ZlY4=</v>
      </c>
    </row>
    <row r="1482" spans="1:25" ht="39.950000000000003" customHeight="1">
      <c r="A1482">
        <v>1478</v>
      </c>
      <c r="B1482" t="s">
        <v>12801</v>
      </c>
      <c r="C1482" t="s">
        <v>12802</v>
      </c>
      <c r="D1482" t="s">
        <v>12803</v>
      </c>
      <c r="E1482" t="s">
        <v>12804</v>
      </c>
      <c r="F1482" t="s">
        <v>858</v>
      </c>
      <c r="G1482" t="s">
        <v>12805</v>
      </c>
      <c r="H1482" t="s">
        <v>31</v>
      </c>
      <c r="I1482" t="s">
        <v>1419</v>
      </c>
      <c r="J1482" t="s">
        <v>251</v>
      </c>
      <c r="K1482" t="s">
        <v>12806</v>
      </c>
      <c r="L1482" t="s">
        <v>7078</v>
      </c>
      <c r="M1482" t="s">
        <v>884</v>
      </c>
      <c r="N1482" t="s">
        <v>12807</v>
      </c>
      <c r="O1482" t="s">
        <v>1063</v>
      </c>
      <c r="P1482" t="s">
        <v>771</v>
      </c>
      <c r="Q1482" t="s">
        <v>158</v>
      </c>
      <c r="R1482" t="s">
        <v>41</v>
      </c>
      <c r="S1482" t="s">
        <v>12808</v>
      </c>
      <c r="T1482" t="s">
        <v>161</v>
      </c>
      <c r="U1482" t="s">
        <v>43</v>
      </c>
      <c r="V1482" t="s">
        <v>12809</v>
      </c>
      <c r="W1482" t="s">
        <v>12810</v>
      </c>
      <c r="Y1482" t="str">
        <f>HYPERLINK("https://recruiter.shine.com/resume/download/?resumeid=gAAAAABbk2UMP8cDv2g6Yr7s1NVA2GsftuEaUpTlBi8DICgS-8kroMwsmQmj43NEWKAnY5P7LVLY7CD3kBPnuvuj-qVxl0RdBM9zs-TUosyIQ89QxQJUfvO9h43TdwRiETEI5s1QYsnj9_sWbdkdEhYFf5MNo2wBmA==")</f>
        <v>https://recruiter.shine.com/resume/download/?resumeid=gAAAAABbk2UMP8cDv2g6Yr7s1NVA2GsftuEaUpTlBi8DICgS-8kroMwsmQmj43NEWKAnY5P7LVLY7CD3kBPnuvuj-qVxl0RdBM9zs-TUosyIQ89QxQJUfvO9h43TdwRiETEI5s1QYsnj9_sWbdkdEhYFf5MNo2wBmA==</v>
      </c>
    </row>
    <row r="1483" spans="1:25" ht="39.950000000000003" customHeight="1">
      <c r="A1483">
        <v>1479</v>
      </c>
      <c r="B1483" t="s">
        <v>12811</v>
      </c>
      <c r="D1483" t="s">
        <v>12812</v>
      </c>
      <c r="E1483" t="s">
        <v>12813</v>
      </c>
      <c r="F1483" t="s">
        <v>29</v>
      </c>
      <c r="H1483" t="s">
        <v>31</v>
      </c>
      <c r="I1483" t="s">
        <v>134</v>
      </c>
      <c r="J1483" t="s">
        <v>3256</v>
      </c>
      <c r="K1483" t="s">
        <v>12814</v>
      </c>
      <c r="L1483" t="s">
        <v>290</v>
      </c>
      <c r="M1483" t="s">
        <v>487</v>
      </c>
      <c r="N1483" t="s">
        <v>12815</v>
      </c>
      <c r="O1483" t="s">
        <v>186</v>
      </c>
      <c r="Q1483" t="s">
        <v>90</v>
      </c>
      <c r="R1483" t="s">
        <v>91</v>
      </c>
      <c r="S1483" t="s">
        <v>12816</v>
      </c>
      <c r="T1483" t="s">
        <v>304</v>
      </c>
      <c r="U1483" t="s">
        <v>127</v>
      </c>
      <c r="V1483" t="s">
        <v>12817</v>
      </c>
      <c r="W1483" t="s">
        <v>12818</v>
      </c>
      <c r="Y1483" t="str">
        <f>HYPERLINK("https://recruiter.shine.com/resume/download/?resumeid=gAAAAABbk2UOjGXY-lAtIBBNOoob38ssdb-ktUkSyjo6XDQ9IMmZ9EE5sAwh4VGjURceMZY_OnV4x5amxeHK-ueYsSj3RZKmyNBfYktpeaGCiBkom6k2w7azN9AKb4SUWIQBoeWYuSc29Ub1sKlkcmW9dKgmeto2SVpNzqYvEAVIDmd5t5UqJTM=")</f>
        <v>https://recruiter.shine.com/resume/download/?resumeid=gAAAAABbk2UOjGXY-lAtIBBNOoob38ssdb-ktUkSyjo6XDQ9IMmZ9EE5sAwh4VGjURceMZY_OnV4x5amxeHK-ueYsSj3RZKmyNBfYktpeaGCiBkom6k2w7azN9AKb4SUWIQBoeWYuSc29Ub1sKlkcmW9dKgmeto2SVpNzqYvEAVIDmd5t5UqJTM=</v>
      </c>
    </row>
    <row r="1484" spans="1:25" ht="39.950000000000003" customHeight="1">
      <c r="A1484">
        <v>1480</v>
      </c>
      <c r="B1484" t="s">
        <v>12819</v>
      </c>
      <c r="C1484" t="s">
        <v>12820</v>
      </c>
      <c r="D1484" t="s">
        <v>12821</v>
      </c>
      <c r="E1484" t="s">
        <v>12822</v>
      </c>
      <c r="F1484" t="s">
        <v>29</v>
      </c>
      <c r="G1484" t="s">
        <v>12823</v>
      </c>
      <c r="H1484" t="s">
        <v>234</v>
      </c>
      <c r="I1484" t="s">
        <v>168</v>
      </c>
      <c r="J1484" t="s">
        <v>86</v>
      </c>
      <c r="K1484" t="s">
        <v>4145</v>
      </c>
      <c r="L1484" t="s">
        <v>582</v>
      </c>
      <c r="M1484" t="s">
        <v>238</v>
      </c>
      <c r="N1484" t="s">
        <v>4861</v>
      </c>
      <c r="O1484" t="s">
        <v>186</v>
      </c>
      <c r="P1484" t="s">
        <v>940</v>
      </c>
      <c r="Q1484" t="s">
        <v>123</v>
      </c>
      <c r="R1484" t="s">
        <v>124</v>
      </c>
      <c r="S1484" t="s">
        <v>12824</v>
      </c>
      <c r="T1484" t="s">
        <v>561</v>
      </c>
      <c r="U1484" t="s">
        <v>43</v>
      </c>
      <c r="V1484" t="s">
        <v>12825</v>
      </c>
      <c r="W1484" t="s">
        <v>12826</v>
      </c>
      <c r="Y1484" t="str">
        <f>HYPERLINK("https://recruiter.shine.com/resume/download/?resumeid=gAAAAABbk2ULyOi_cvmLKVpgOXs3VzjJ4UIQdTeEExAz_9Vemj_XFaKtwL331AJz2bcY-VmX2bddWpFc7eCuI0BYQDKCSw0pnnkDdPB1sEBqiEQ1xgODy70vWLhH_D0mGMJvnURtQjv7")</f>
        <v>https://recruiter.shine.com/resume/download/?resumeid=gAAAAABbk2ULyOi_cvmLKVpgOXs3VzjJ4UIQdTeEExAz_9Vemj_XFaKtwL331AJz2bcY-VmX2bddWpFc7eCuI0BYQDKCSw0pnnkDdPB1sEBqiEQ1xgODy70vWLhH_D0mGMJvnURtQjv7</v>
      </c>
    </row>
    <row r="1485" spans="1:25" ht="39.950000000000003" customHeight="1">
      <c r="A1485">
        <v>1481</v>
      </c>
      <c r="B1485" t="s">
        <v>12827</v>
      </c>
      <c r="C1485" t="s">
        <v>12828</v>
      </c>
      <c r="D1485" t="s">
        <v>12829</v>
      </c>
      <c r="E1485" t="s">
        <v>12830</v>
      </c>
      <c r="F1485" t="s">
        <v>29</v>
      </c>
      <c r="G1485" t="s">
        <v>29</v>
      </c>
      <c r="H1485" t="s">
        <v>31</v>
      </c>
      <c r="I1485" t="s">
        <v>362</v>
      </c>
      <c r="J1485" t="s">
        <v>135</v>
      </c>
      <c r="L1485" t="s">
        <v>363</v>
      </c>
      <c r="M1485" t="s">
        <v>364</v>
      </c>
      <c r="Q1485" t="s">
        <v>107</v>
      </c>
      <c r="R1485" t="s">
        <v>108</v>
      </c>
      <c r="S1485" t="s">
        <v>12831</v>
      </c>
      <c r="T1485" t="s">
        <v>126</v>
      </c>
      <c r="U1485" t="s">
        <v>43</v>
      </c>
      <c r="V1485" t="s">
        <v>12832</v>
      </c>
      <c r="W1485" t="s">
        <v>12832</v>
      </c>
      <c r="Y1485" t="str">
        <f>HYPERLINK("https://recruiter.shine.com/resume/download/?resumeid=gAAAAABbk2UMvSP0JAHlhiXPHxJRcFzIcDaiTqUt5kOYJXoTBlJsXhLM-GAMlmyn55hkZBjSwAHUA7SlfLFudcMNdJ_WshSYeCchzHjaVUuFjVsVrRbGnpNfH2p-rMSj2QW7AJoy5uT3wf2A37aLraoGyxuBApwU-GR5b7z9UemKQGEZRF3Tvkg=")</f>
        <v>https://recruiter.shine.com/resume/download/?resumeid=gAAAAABbk2UMvSP0JAHlhiXPHxJRcFzIcDaiTqUt5kOYJXoTBlJsXhLM-GAMlmyn55hkZBjSwAHUA7SlfLFudcMNdJ_WshSYeCchzHjaVUuFjVsVrRbGnpNfH2p-rMSj2QW7AJoy5uT3wf2A37aLraoGyxuBApwU-GR5b7z9UemKQGEZRF3Tvkg=</v>
      </c>
    </row>
    <row r="1486" spans="1:25" ht="39.950000000000003" customHeight="1">
      <c r="A1486">
        <v>1482</v>
      </c>
      <c r="B1486" t="s">
        <v>12833</v>
      </c>
      <c r="C1486" t="s">
        <v>12834</v>
      </c>
      <c r="D1486" t="s">
        <v>12835</v>
      </c>
      <c r="E1486" t="s">
        <v>12836</v>
      </c>
      <c r="F1486" t="s">
        <v>29</v>
      </c>
      <c r="G1486" t="s">
        <v>29</v>
      </c>
      <c r="H1486" t="s">
        <v>234</v>
      </c>
      <c r="I1486" t="s">
        <v>714</v>
      </c>
      <c r="J1486" t="s">
        <v>801</v>
      </c>
      <c r="K1486" t="s">
        <v>210</v>
      </c>
      <c r="L1486" t="s">
        <v>88</v>
      </c>
      <c r="M1486" t="s">
        <v>717</v>
      </c>
      <c r="N1486" t="s">
        <v>12837</v>
      </c>
      <c r="O1486" t="s">
        <v>186</v>
      </c>
      <c r="Q1486" t="s">
        <v>412</v>
      </c>
      <c r="R1486" t="s">
        <v>2364</v>
      </c>
      <c r="S1486" t="s">
        <v>12838</v>
      </c>
      <c r="T1486" t="s">
        <v>2554</v>
      </c>
      <c r="U1486" t="s">
        <v>43</v>
      </c>
      <c r="V1486" t="s">
        <v>12839</v>
      </c>
      <c r="W1486" t="s">
        <v>12840</v>
      </c>
      <c r="Y1486" t="str">
        <f>HYPERLINK("https://recruiter.shine.com/resume/download/?resumeid=gAAAAABbk2UNUCP5F4qSW6J9D7du_DCBj2pOvW8WLneAfbhiHOjNLLisZuA4ypsleGk_I4V7_tSp3ER6LWd--SdB46PKNW5lPwdYxYS3aHp-FUknR-9ndf7vT1nULJUlQ67mdj9Ln_np_KIrzJl8kY6h9fYWNOUNkg==")</f>
        <v>https://recruiter.shine.com/resume/download/?resumeid=gAAAAABbk2UNUCP5F4qSW6J9D7du_DCBj2pOvW8WLneAfbhiHOjNLLisZuA4ypsleGk_I4V7_tSp3ER6LWd--SdB46PKNW5lPwdYxYS3aHp-FUknR-9ndf7vT1nULJUlQ67mdj9Ln_np_KIrzJl8kY6h9fYWNOUNkg==</v>
      </c>
    </row>
    <row r="1487" spans="1:25" ht="39.950000000000003" customHeight="1">
      <c r="A1487">
        <v>1483</v>
      </c>
      <c r="B1487" t="s">
        <v>12841</v>
      </c>
      <c r="C1487" t="s">
        <v>12842</v>
      </c>
      <c r="D1487" t="s">
        <v>12843</v>
      </c>
      <c r="E1487" t="s">
        <v>12844</v>
      </c>
      <c r="F1487" t="s">
        <v>29</v>
      </c>
      <c r="G1487" t="s">
        <v>29</v>
      </c>
      <c r="H1487" t="s">
        <v>31</v>
      </c>
      <c r="I1487" t="s">
        <v>2074</v>
      </c>
      <c r="J1487" t="s">
        <v>51</v>
      </c>
      <c r="K1487" t="s">
        <v>12845</v>
      </c>
      <c r="L1487" t="s">
        <v>35</v>
      </c>
      <c r="M1487" t="s">
        <v>583</v>
      </c>
      <c r="N1487" t="s">
        <v>12846</v>
      </c>
      <c r="O1487" t="s">
        <v>397</v>
      </c>
      <c r="P1487" t="s">
        <v>73</v>
      </c>
      <c r="Q1487" t="s">
        <v>40</v>
      </c>
      <c r="R1487" t="s">
        <v>2364</v>
      </c>
      <c r="S1487" t="s">
        <v>12847</v>
      </c>
      <c r="T1487" t="s">
        <v>77</v>
      </c>
      <c r="U1487" t="s">
        <v>43</v>
      </c>
      <c r="V1487" t="s">
        <v>12848</v>
      </c>
      <c r="W1487" t="s">
        <v>12849</v>
      </c>
      <c r="Y1487" t="str">
        <f>HYPERLINK("https://recruiter.shine.com/resume/download/?resumeid=gAAAAABbk2ULkZFDXGRZZVNTBz0vZ5OVzszN1K0rnKZN48IMx4EZrDZ_3MvvTCQtrlMH5kikk0ezFM3CdbijR-Z2r4uOZGDSrQmCNmhWFCR-g6fDGoJwo6Qv51iQGmzkffy6bW-jNDxRlPEFENBisIjMm7kz3YFxOg==")</f>
        <v>https://recruiter.shine.com/resume/download/?resumeid=gAAAAABbk2ULkZFDXGRZZVNTBz0vZ5OVzszN1K0rnKZN48IMx4EZrDZ_3MvvTCQtrlMH5kikk0ezFM3CdbijR-Z2r4uOZGDSrQmCNmhWFCR-g6fDGoJwo6Qv51iQGmzkffy6bW-jNDxRlPEFENBisIjMm7kz3YFxOg==</v>
      </c>
    </row>
    <row r="1488" spans="1:25" ht="39.950000000000003" customHeight="1">
      <c r="A1488">
        <v>1484</v>
      </c>
      <c r="B1488" t="s">
        <v>284</v>
      </c>
      <c r="C1488" t="s">
        <v>3869</v>
      </c>
      <c r="D1488" t="s">
        <v>12850</v>
      </c>
      <c r="E1488" t="s">
        <v>12851</v>
      </c>
      <c r="F1488" t="s">
        <v>29</v>
      </c>
      <c r="G1488" t="s">
        <v>29</v>
      </c>
      <c r="H1488" t="s">
        <v>31</v>
      </c>
      <c r="I1488" t="s">
        <v>287</v>
      </c>
      <c r="J1488" t="s">
        <v>288</v>
      </c>
      <c r="K1488" t="s">
        <v>3871</v>
      </c>
      <c r="L1488" t="s">
        <v>290</v>
      </c>
      <c r="M1488" t="s">
        <v>238</v>
      </c>
      <c r="N1488" t="s">
        <v>291</v>
      </c>
      <c r="O1488" t="s">
        <v>56</v>
      </c>
      <c r="P1488" t="s">
        <v>39</v>
      </c>
      <c r="Q1488" t="s">
        <v>90</v>
      </c>
      <c r="R1488" t="s">
        <v>292</v>
      </c>
      <c r="S1488" t="s">
        <v>12852</v>
      </c>
      <c r="T1488" t="s">
        <v>415</v>
      </c>
      <c r="U1488" t="s">
        <v>43</v>
      </c>
      <c r="V1488" t="s">
        <v>12853</v>
      </c>
      <c r="W1488" t="s">
        <v>12854</v>
      </c>
      <c r="Y1488" t="str">
        <f>HYPERLINK("https://recruiter.shine.com/resume/download/?resumeid=gAAAAABbk2UMSTiTzCnMZjepYIViHytHedU2J4HErfO2TjCaiWspMQozGDiG_OuVeuZFpoYQdN5XW3RE5ZxeXYNu3jTfcWG8Bu7aua7I9MHIiwBTCS30j_DAL2tUM2jqlzWReby-7o-TnVEq2iUmL3E4OpPHjpr7nr5bCkoaIIQ6Ig6RTKKQKdA=")</f>
        <v>https://recruiter.shine.com/resume/download/?resumeid=gAAAAABbk2UMSTiTzCnMZjepYIViHytHedU2J4HErfO2TjCaiWspMQozGDiG_OuVeuZFpoYQdN5XW3RE5ZxeXYNu3jTfcWG8Bu7aua7I9MHIiwBTCS30j_DAL2tUM2jqlzWReby-7o-TnVEq2iUmL3E4OpPHjpr7nr5bCkoaIIQ6Ig6RTKKQKdA=</v>
      </c>
    </row>
    <row r="1489" spans="1:25" ht="39.950000000000003" customHeight="1">
      <c r="A1489">
        <v>1485</v>
      </c>
      <c r="B1489" t="s">
        <v>12855</v>
      </c>
      <c r="D1489" t="s">
        <v>12856</v>
      </c>
      <c r="E1489" t="s">
        <v>12857</v>
      </c>
      <c r="F1489" t="s">
        <v>29</v>
      </c>
      <c r="H1489" t="s">
        <v>31</v>
      </c>
      <c r="I1489" t="s">
        <v>2354</v>
      </c>
      <c r="J1489" t="s">
        <v>1785</v>
      </c>
      <c r="K1489" t="s">
        <v>12858</v>
      </c>
      <c r="L1489" t="s">
        <v>266</v>
      </c>
      <c r="M1489" t="s">
        <v>105</v>
      </c>
      <c r="N1489" t="s">
        <v>12859</v>
      </c>
      <c r="O1489" t="s">
        <v>3052</v>
      </c>
      <c r="Q1489" t="s">
        <v>107</v>
      </c>
      <c r="R1489" t="s">
        <v>225</v>
      </c>
      <c r="S1489" t="s">
        <v>12860</v>
      </c>
      <c r="T1489" t="s">
        <v>2358</v>
      </c>
      <c r="U1489" t="s">
        <v>127</v>
      </c>
      <c r="V1489" t="s">
        <v>12861</v>
      </c>
      <c r="W1489" t="s">
        <v>12862</v>
      </c>
      <c r="Y1489" t="str">
        <f>HYPERLINK("https://recruiter.shine.com/resume/download/?resumeid=gAAAAABbk2UNiLb1qSbr9qhKk5QUWGu4-6IsuqX_-75g1EVaMOBnCrW3UOwVnWJ0I8PlbvxX5RGf5basW8twsrLsKAuXQ2uV9HjbkUUgGddNQRd7d021lTa4WjJRNv9NFdn6S2Iu1VwmTpfjqCW0-_AX1P5Bh_YhLA==")</f>
        <v>https://recruiter.shine.com/resume/download/?resumeid=gAAAAABbk2UNiLb1qSbr9qhKk5QUWGu4-6IsuqX_-75g1EVaMOBnCrW3UOwVnWJ0I8PlbvxX5RGf5basW8twsrLsKAuXQ2uV9HjbkUUgGddNQRd7d021lTa4WjJRNv9NFdn6S2Iu1VwmTpfjqCW0-_AX1P5Bh_YhLA==</v>
      </c>
    </row>
    <row r="1490" spans="1:25" ht="39.950000000000003" customHeight="1">
      <c r="A1490">
        <v>1486</v>
      </c>
      <c r="B1490" t="s">
        <v>12863</v>
      </c>
      <c r="C1490" t="s">
        <v>12864</v>
      </c>
      <c r="D1490" t="s">
        <v>12865</v>
      </c>
      <c r="E1490" t="s">
        <v>12866</v>
      </c>
      <c r="F1490" t="s">
        <v>29</v>
      </c>
      <c r="G1490" t="s">
        <v>29</v>
      </c>
      <c r="H1490" t="s">
        <v>31</v>
      </c>
      <c r="I1490" t="s">
        <v>1208</v>
      </c>
      <c r="J1490" t="s">
        <v>1294</v>
      </c>
      <c r="K1490" t="s">
        <v>12867</v>
      </c>
      <c r="L1490" t="s">
        <v>120</v>
      </c>
      <c r="M1490" t="s">
        <v>238</v>
      </c>
      <c r="N1490" t="s">
        <v>12868</v>
      </c>
      <c r="O1490" t="s">
        <v>56</v>
      </c>
      <c r="P1490" t="s">
        <v>57</v>
      </c>
      <c r="Q1490" t="s">
        <v>123</v>
      </c>
      <c r="R1490" t="s">
        <v>124</v>
      </c>
      <c r="S1490" t="s">
        <v>12869</v>
      </c>
      <c r="T1490" t="s">
        <v>110</v>
      </c>
      <c r="U1490" t="s">
        <v>43</v>
      </c>
      <c r="V1490" t="s">
        <v>12870</v>
      </c>
      <c r="W1490" t="s">
        <v>12871</v>
      </c>
      <c r="Y1490" t="str">
        <f>HYPERLINK("https://recruiter.shine.com/resume/download/?resumeid=gAAAAABbk2ULQlhSMFJrVNaVyg3GPUr3-UQgGaeR53lwTE151DOnjKZswftaL4vE1AxL-6GfRrFjlAYtPq_-KAFPQ__PrDRq9TSKebWdOH6QCsbfqPxIKLxMK_7zeRuS2Kk5odLUPOnEY-uNw23HcweYvlMozL-JDpBzjan1zCr7tBPmiMQut9A=")</f>
        <v>https://recruiter.shine.com/resume/download/?resumeid=gAAAAABbk2ULQlhSMFJrVNaVyg3GPUr3-UQgGaeR53lwTE151DOnjKZswftaL4vE1AxL-6GfRrFjlAYtPq_-KAFPQ__PrDRq9TSKebWdOH6QCsbfqPxIKLxMK_7zeRuS2Kk5odLUPOnEY-uNw23HcweYvlMozL-JDpBzjan1zCr7tBPmiMQut9A=</v>
      </c>
    </row>
    <row r="1491" spans="1:25" ht="39.950000000000003" customHeight="1">
      <c r="A1491">
        <v>1487</v>
      </c>
      <c r="B1491" t="s">
        <v>12872</v>
      </c>
      <c r="D1491" t="s">
        <v>12873</v>
      </c>
      <c r="E1491" t="s">
        <v>12874</v>
      </c>
      <c r="F1491" t="s">
        <v>29</v>
      </c>
      <c r="G1491" t="s">
        <v>29</v>
      </c>
      <c r="H1491" t="s">
        <v>31</v>
      </c>
      <c r="I1491" t="s">
        <v>32</v>
      </c>
      <c r="J1491" t="s">
        <v>12083</v>
      </c>
      <c r="K1491" t="s">
        <v>12875</v>
      </c>
      <c r="L1491" t="s">
        <v>120</v>
      </c>
      <c r="M1491" t="s">
        <v>105</v>
      </c>
      <c r="N1491" t="s">
        <v>12876</v>
      </c>
      <c r="O1491" t="s">
        <v>804</v>
      </c>
      <c r="Q1491" t="s">
        <v>699</v>
      </c>
      <c r="R1491" t="s">
        <v>41</v>
      </c>
      <c r="S1491" t="s">
        <v>12877</v>
      </c>
      <c r="T1491" t="s">
        <v>227</v>
      </c>
      <c r="U1491" t="s">
        <v>127</v>
      </c>
      <c r="V1491" t="s">
        <v>12878</v>
      </c>
      <c r="W1491" t="s">
        <v>12879</v>
      </c>
      <c r="Y1491" t="str">
        <f>HYPERLINK("https://recruiter.shine.com/resume/download/?resumeid=gAAAAABbk2UMJwYrR4SWRdS3bp-CWB_HgZeu0Qrd2Viy4MPDswMb8YOz34NBJxsuSCCpPwYFqhUSrp3E2Cj2Yvu1Wc3os41sfeIa9ypHtM3RbKoxeutNHUeEy_RFZcHzA3SAGkFJg2jeWZoSJlpI75Rl6ExFXYHwr_k2G9mm0wH0HBqhQCh11qw=")</f>
        <v>https://recruiter.shine.com/resume/download/?resumeid=gAAAAABbk2UMJwYrR4SWRdS3bp-CWB_HgZeu0Qrd2Viy4MPDswMb8YOz34NBJxsuSCCpPwYFqhUSrp3E2Cj2Yvu1Wc3os41sfeIa9ypHtM3RbKoxeutNHUeEy_RFZcHzA3SAGkFJg2jeWZoSJlpI75Rl6ExFXYHwr_k2G9mm0wH0HBqhQCh11qw=</v>
      </c>
    </row>
    <row r="1492" spans="1:25" ht="39.950000000000003" customHeight="1">
      <c r="A1492">
        <v>1488</v>
      </c>
      <c r="B1492" t="s">
        <v>12880</v>
      </c>
      <c r="D1492" t="s">
        <v>12881</v>
      </c>
      <c r="E1492" t="s">
        <v>12882</v>
      </c>
      <c r="F1492" t="s">
        <v>29</v>
      </c>
      <c r="H1492" t="s">
        <v>31</v>
      </c>
      <c r="I1492" t="s">
        <v>32</v>
      </c>
      <c r="J1492" t="s">
        <v>871</v>
      </c>
      <c r="K1492" t="s">
        <v>9218</v>
      </c>
      <c r="L1492" t="s">
        <v>155</v>
      </c>
      <c r="M1492" t="s">
        <v>105</v>
      </c>
      <c r="N1492" t="s">
        <v>12883</v>
      </c>
      <c r="O1492" t="s">
        <v>186</v>
      </c>
      <c r="Q1492" t="s">
        <v>107</v>
      </c>
      <c r="R1492" t="s">
        <v>159</v>
      </c>
      <c r="S1492" t="s">
        <v>12884</v>
      </c>
      <c r="T1492" t="s">
        <v>1842</v>
      </c>
      <c r="U1492" t="s">
        <v>127</v>
      </c>
      <c r="V1492" t="s">
        <v>12885</v>
      </c>
      <c r="W1492" t="s">
        <v>12885</v>
      </c>
      <c r="Y1492" t="str">
        <f>HYPERLINK("https://recruiter.shine.com/resume/download/?resumeid=gAAAAABbk2UNI0ftW4mPRPysSR8Y3QFeMh1gcDxMoScs40H3-5uawwaAlAwtF1ahbC-pbRHEeM11uncdE80jG-oWh_vNUvru0kdMJdsvuj8DwbKDjN8qfyawDKYyYhFgXdPdvTl4bIDj535RMC_lL_QXiFJjTGXSj29MiYyx7jji7G71AgEICBw=")</f>
        <v>https://recruiter.shine.com/resume/download/?resumeid=gAAAAABbk2UNI0ftW4mPRPysSR8Y3QFeMh1gcDxMoScs40H3-5uawwaAlAwtF1ahbC-pbRHEeM11uncdE80jG-oWh_vNUvru0kdMJdsvuj8DwbKDjN8qfyawDKYyYhFgXdPdvTl4bIDj535RMC_lL_QXiFJjTGXSj29MiYyx7jji7G71AgEICBw=</v>
      </c>
    </row>
    <row r="1493" spans="1:25" ht="39.950000000000003" customHeight="1">
      <c r="A1493">
        <v>1489</v>
      </c>
      <c r="B1493" t="s">
        <v>12886</v>
      </c>
      <c r="D1493" t="s">
        <v>12887</v>
      </c>
      <c r="E1493" t="s">
        <v>12888</v>
      </c>
      <c r="F1493" t="s">
        <v>29</v>
      </c>
      <c r="G1493" t="s">
        <v>29</v>
      </c>
      <c r="H1493" t="s">
        <v>31</v>
      </c>
      <c r="I1493" t="s">
        <v>50</v>
      </c>
      <c r="J1493" t="s">
        <v>251</v>
      </c>
      <c r="K1493" t="s">
        <v>12889</v>
      </c>
      <c r="L1493" t="s">
        <v>1889</v>
      </c>
      <c r="M1493" t="s">
        <v>138</v>
      </c>
      <c r="N1493" t="s">
        <v>12890</v>
      </c>
      <c r="O1493" t="s">
        <v>224</v>
      </c>
      <c r="Q1493" t="s">
        <v>7688</v>
      </c>
      <c r="R1493" t="s">
        <v>1892</v>
      </c>
      <c r="S1493" t="s">
        <v>10725</v>
      </c>
      <c r="U1493" t="s">
        <v>43</v>
      </c>
      <c r="V1493" t="s">
        <v>12891</v>
      </c>
      <c r="W1493" t="s">
        <v>12892</v>
      </c>
      <c r="Y1493" t="str">
        <f>HYPERLINK("https://recruiter.shine.com/resume/download/?resumeid=gAAAAABbk2UK9H4ZsPLy1oInc8K0Rz2LvzxlOWdO53CMMXqpKN3PMySbxWv9HzLwsPND0o0RnRGl-z-QH4AaDrmEAcPmM-ywyQVTXpMfKifxE0Y2BX1ubqeJGiTm8CRerTgXR1g-00TF1cWIZN2PYJWRwOrUzubo-LeNYB_4zWcIErjFTuL73fc=")</f>
        <v>https://recruiter.shine.com/resume/download/?resumeid=gAAAAABbk2UK9H4ZsPLy1oInc8K0Rz2LvzxlOWdO53CMMXqpKN3PMySbxWv9HzLwsPND0o0RnRGl-z-QH4AaDrmEAcPmM-ywyQVTXpMfKifxE0Y2BX1ubqeJGiTm8CRerTgXR1g-00TF1cWIZN2PYJWRwOrUzubo-LeNYB_4zWcIErjFTuL73fc=</v>
      </c>
    </row>
    <row r="1494" spans="1:25" ht="39.950000000000003" customHeight="1">
      <c r="A1494">
        <v>1490</v>
      </c>
      <c r="B1494" t="s">
        <v>12893</v>
      </c>
      <c r="D1494" t="s">
        <v>12894</v>
      </c>
      <c r="E1494" t="s">
        <v>12895</v>
      </c>
      <c r="F1494" t="s">
        <v>29</v>
      </c>
      <c r="G1494" t="s">
        <v>724</v>
      </c>
      <c r="I1494" t="s">
        <v>1122</v>
      </c>
      <c r="J1494" t="s">
        <v>135</v>
      </c>
      <c r="K1494" t="s">
        <v>12896</v>
      </c>
      <c r="L1494" t="s">
        <v>1889</v>
      </c>
      <c r="M1494" t="s">
        <v>1356</v>
      </c>
      <c r="N1494" t="s">
        <v>12897</v>
      </c>
      <c r="O1494" t="s">
        <v>186</v>
      </c>
      <c r="P1494" t="s">
        <v>57</v>
      </c>
      <c r="Q1494" t="s">
        <v>40</v>
      </c>
      <c r="R1494" t="s">
        <v>41</v>
      </c>
      <c r="S1494" t="s">
        <v>12898</v>
      </c>
      <c r="T1494" t="s">
        <v>687</v>
      </c>
      <c r="U1494" t="s">
        <v>43</v>
      </c>
      <c r="V1494" t="s">
        <v>12899</v>
      </c>
      <c r="W1494" t="s">
        <v>12900</v>
      </c>
      <c r="Y1494" t="str">
        <f>HYPERLINK("https://recruiter.shine.com/resume/download/?resumeid=gAAAAABbk2UMkODf1VZCAjK3vlTqzspaq15G5F5X2T4KMiRRbvdIzM_D3s8MY0AAdou3hbpDh9jB6uDVr_quwd_ERf6LYTCPr69yPTAfOkQDyxAe1gjfnZzUCddagobRj4nohctFm2P4AoQ-QIFyip1w7xQmPVKE15d6ETxCJw2pM_lIF5z_pSc=")</f>
        <v>https://recruiter.shine.com/resume/download/?resumeid=gAAAAABbk2UMkODf1VZCAjK3vlTqzspaq15G5F5X2T4KMiRRbvdIzM_D3s8MY0AAdou3hbpDh9jB6uDVr_quwd_ERf6LYTCPr69yPTAfOkQDyxAe1gjfnZzUCddagobRj4nohctFm2P4AoQ-QIFyip1w7xQmPVKE15d6ETxCJw2pM_lIF5z_pSc=</v>
      </c>
    </row>
    <row r="1495" spans="1:25" ht="39.950000000000003" customHeight="1">
      <c r="A1495">
        <v>1491</v>
      </c>
      <c r="B1495" t="s">
        <v>12901</v>
      </c>
      <c r="D1495" t="s">
        <v>12902</v>
      </c>
      <c r="E1495" t="s">
        <v>12903</v>
      </c>
      <c r="F1495" t="s">
        <v>29</v>
      </c>
      <c r="G1495" t="s">
        <v>1008</v>
      </c>
      <c r="H1495" t="s">
        <v>31</v>
      </c>
      <c r="I1495" t="s">
        <v>662</v>
      </c>
      <c r="J1495" t="s">
        <v>1060</v>
      </c>
      <c r="K1495" t="s">
        <v>241</v>
      </c>
      <c r="L1495" t="s">
        <v>184</v>
      </c>
      <c r="M1495" t="s">
        <v>36</v>
      </c>
      <c r="N1495" t="s">
        <v>12904</v>
      </c>
      <c r="O1495" t="s">
        <v>186</v>
      </c>
      <c r="P1495" t="s">
        <v>57</v>
      </c>
      <c r="Q1495" t="s">
        <v>240</v>
      </c>
      <c r="R1495" t="s">
        <v>241</v>
      </c>
      <c r="S1495" t="s">
        <v>1796</v>
      </c>
      <c r="T1495" t="s">
        <v>625</v>
      </c>
      <c r="U1495" t="s">
        <v>43</v>
      </c>
      <c r="V1495" t="s">
        <v>12905</v>
      </c>
      <c r="W1495" t="s">
        <v>12906</v>
      </c>
      <c r="Y1495" t="str">
        <f>HYPERLINK("https://recruiter.shine.com/resume/download/?resumeid=gAAAAABbk2UOTFwnJBhv1MeuWZIxBQ7-ri5l-SHRHXhY21EVVwszRXqsibN9QERoJRO7EGzel8-e1WPHRRPwYpRu2lunAkUgfoBtfFPFfhA61wShRVme0KFjfG0LKc412q9sQ5H5vpxktcV6P_rY_9LzdSqWmHyGU89EguLimT0fou1gtvpZNoo=")</f>
        <v>https://recruiter.shine.com/resume/download/?resumeid=gAAAAABbk2UOTFwnJBhv1MeuWZIxBQ7-ri5l-SHRHXhY21EVVwszRXqsibN9QERoJRO7EGzel8-e1WPHRRPwYpRu2lunAkUgfoBtfFPFfhA61wShRVme0KFjfG0LKc412q9sQ5H5vpxktcV6P_rY_9LzdSqWmHyGU89EguLimT0fou1gtvpZNoo=</v>
      </c>
    </row>
    <row r="1496" spans="1:25" ht="39.950000000000003" customHeight="1">
      <c r="A1496">
        <v>1492</v>
      </c>
      <c r="B1496" t="s">
        <v>12907</v>
      </c>
      <c r="D1496" t="s">
        <v>12908</v>
      </c>
      <c r="E1496" t="s">
        <v>12909</v>
      </c>
      <c r="F1496" t="s">
        <v>29</v>
      </c>
      <c r="G1496" t="s">
        <v>67</v>
      </c>
      <c r="H1496" t="s">
        <v>234</v>
      </c>
      <c r="I1496" t="s">
        <v>860</v>
      </c>
      <c r="J1496" t="s">
        <v>871</v>
      </c>
      <c r="K1496" t="s">
        <v>12910</v>
      </c>
      <c r="L1496" t="s">
        <v>199</v>
      </c>
      <c r="M1496" t="s">
        <v>2845</v>
      </c>
      <c r="N1496" t="s">
        <v>12911</v>
      </c>
      <c r="O1496" t="s">
        <v>56</v>
      </c>
      <c r="Q1496" t="s">
        <v>74</v>
      </c>
      <c r="R1496" t="s">
        <v>2047</v>
      </c>
      <c r="S1496" t="s">
        <v>12912</v>
      </c>
      <c r="U1496" t="s">
        <v>43</v>
      </c>
      <c r="V1496" t="s">
        <v>12913</v>
      </c>
      <c r="W1496" t="s">
        <v>12914</v>
      </c>
      <c r="Y1496" t="str">
        <f>HYPERLINK("https://recruiter.shine.com/resume/download/?resumeid=gAAAAABbk2UL_muCEXte7ifuWilNeA3-nfSkJCFc9HbU04I9rUINFPVy2-jUBJ3GQ9oRYJLAim43tCVkxFIU4LRPdoQloGaRGvOmNXN4y1xxIU9QK0qKXnATWLm4wOoD-AnG30f7g6NZslegIbGr50tkSzFYeqHI_g==")</f>
        <v>https://recruiter.shine.com/resume/download/?resumeid=gAAAAABbk2UL_muCEXte7ifuWilNeA3-nfSkJCFc9HbU04I9rUINFPVy2-jUBJ3GQ9oRYJLAim43tCVkxFIU4LRPdoQloGaRGvOmNXN4y1xxIU9QK0qKXnATWLm4wOoD-AnG30f7g6NZslegIbGr50tkSzFYeqHI_g==</v>
      </c>
    </row>
    <row r="1497" spans="1:25" ht="39.950000000000003" customHeight="1">
      <c r="A1497">
        <v>1493</v>
      </c>
      <c r="B1497" t="s">
        <v>12915</v>
      </c>
      <c r="C1497" t="s">
        <v>12916</v>
      </c>
      <c r="D1497" t="s">
        <v>12917</v>
      </c>
      <c r="E1497" t="s">
        <v>12918</v>
      </c>
      <c r="F1497" t="s">
        <v>29</v>
      </c>
      <c r="G1497" t="s">
        <v>29</v>
      </c>
      <c r="H1497" t="s">
        <v>31</v>
      </c>
      <c r="I1497" t="s">
        <v>1224</v>
      </c>
      <c r="J1497" t="s">
        <v>3214</v>
      </c>
      <c r="K1497" t="s">
        <v>12919</v>
      </c>
      <c r="L1497" t="s">
        <v>1524</v>
      </c>
      <c r="M1497" t="s">
        <v>757</v>
      </c>
      <c r="N1497" t="s">
        <v>12920</v>
      </c>
      <c r="O1497" t="s">
        <v>186</v>
      </c>
      <c r="Q1497" t="s">
        <v>699</v>
      </c>
      <c r="R1497" t="s">
        <v>41</v>
      </c>
      <c r="S1497" t="s">
        <v>188</v>
      </c>
      <c r="T1497" t="s">
        <v>161</v>
      </c>
      <c r="U1497" t="s">
        <v>43</v>
      </c>
      <c r="V1497" t="s">
        <v>12921</v>
      </c>
      <c r="W1497" t="s">
        <v>12922</v>
      </c>
      <c r="Y1497" t="str">
        <f>HYPERLINK("https://recruiter.shine.com/resume/download/?resumeid=gAAAAABbk2UMHtJAVmnqXtSxnG5eQNbYqV3klqWOgm0NyHd67g7V2v627HU__reFUZxsGJAQoM1qiEWVj7CY4HDVeWCChT5NXZjkW95si_-i6Jo_SNbTtQkP-tG_ap2k8_wo7wkhS4cD-WgdMtxCnXG7J6EJFTLaVL3fhHqUXTz7CC_zZO2xuFA=")</f>
        <v>https://recruiter.shine.com/resume/download/?resumeid=gAAAAABbk2UMHtJAVmnqXtSxnG5eQNbYqV3klqWOgm0NyHd67g7V2v627HU__reFUZxsGJAQoM1qiEWVj7CY4HDVeWCChT5NXZjkW95si_-i6Jo_SNbTtQkP-tG_ap2k8_wo7wkhS4cD-WgdMtxCnXG7J6EJFTLaVL3fhHqUXTz7CC_zZO2xuFA=</v>
      </c>
    </row>
    <row r="1498" spans="1:25" ht="39.950000000000003" customHeight="1">
      <c r="A1498">
        <v>1494</v>
      </c>
      <c r="B1498" t="s">
        <v>12923</v>
      </c>
      <c r="D1498" t="s">
        <v>12924</v>
      </c>
      <c r="E1498" t="s">
        <v>12925</v>
      </c>
      <c r="F1498" t="s">
        <v>29</v>
      </c>
      <c r="H1498" t="s">
        <v>234</v>
      </c>
      <c r="I1498" t="s">
        <v>2354</v>
      </c>
      <c r="J1498" t="s">
        <v>312</v>
      </c>
      <c r="K1498" t="s">
        <v>7270</v>
      </c>
      <c r="L1498" t="s">
        <v>120</v>
      </c>
      <c r="M1498" t="s">
        <v>2133</v>
      </c>
      <c r="N1498" t="s">
        <v>12926</v>
      </c>
      <c r="O1498" t="s">
        <v>558</v>
      </c>
      <c r="Q1498" t="s">
        <v>40</v>
      </c>
      <c r="R1498" t="s">
        <v>476</v>
      </c>
      <c r="S1498" t="s">
        <v>12927</v>
      </c>
      <c r="T1498" t="s">
        <v>399</v>
      </c>
      <c r="U1498" t="s">
        <v>127</v>
      </c>
      <c r="V1498" t="s">
        <v>12928</v>
      </c>
      <c r="W1498" t="s">
        <v>12929</v>
      </c>
      <c r="Y1498" t="str">
        <f>HYPERLINK("https://recruiter.shine.com/resume/download/?resumeid=gAAAAABbk2UO5bP6FZS2b45aq0ue-v-c2jXySa6fD19ofcsUAxD8by34jndq97f2tiIIHOd33fx4S7rXh33upt6-UBCvTJ5ZuG6c6uie4EzuPtb878yJa4D2A8aX-sEc8FlYjht3Ec_SY_i5nre42eFhlPkNR5chxaR5gTwWGJRfSvBScyL82DM=")</f>
        <v>https://recruiter.shine.com/resume/download/?resumeid=gAAAAABbk2UO5bP6FZS2b45aq0ue-v-c2jXySa6fD19ofcsUAxD8by34jndq97f2tiIIHOd33fx4S7rXh33upt6-UBCvTJ5ZuG6c6uie4EzuPtb878yJa4D2A8aX-sEc8FlYjht3Ec_SY_i5nre42eFhlPkNR5chxaR5gTwWGJRfSvBScyL82DM=</v>
      </c>
    </row>
    <row r="1499" spans="1:25" ht="39.950000000000003" customHeight="1">
      <c r="A1499">
        <v>1495</v>
      </c>
      <c r="B1499" t="s">
        <v>12930</v>
      </c>
      <c r="C1499" t="s">
        <v>12931</v>
      </c>
      <c r="D1499" t="s">
        <v>12932</v>
      </c>
      <c r="E1499" t="s">
        <v>12933</v>
      </c>
      <c r="F1499" t="s">
        <v>29</v>
      </c>
      <c r="G1499" t="s">
        <v>29</v>
      </c>
      <c r="H1499" t="s">
        <v>31</v>
      </c>
      <c r="I1499" t="s">
        <v>12934</v>
      </c>
      <c r="J1499" t="s">
        <v>12935</v>
      </c>
      <c r="K1499" t="s">
        <v>12936</v>
      </c>
      <c r="L1499" t="s">
        <v>1776</v>
      </c>
      <c r="M1499" t="s">
        <v>1124</v>
      </c>
      <c r="N1499" t="s">
        <v>8669</v>
      </c>
      <c r="O1499" t="s">
        <v>1245</v>
      </c>
      <c r="P1499" t="s">
        <v>57</v>
      </c>
      <c r="Q1499" t="s">
        <v>123</v>
      </c>
      <c r="R1499" t="s">
        <v>124</v>
      </c>
      <c r="S1499" t="s">
        <v>12937</v>
      </c>
      <c r="T1499" t="s">
        <v>399</v>
      </c>
      <c r="U1499" t="s">
        <v>43</v>
      </c>
      <c r="V1499" t="s">
        <v>12938</v>
      </c>
      <c r="W1499" t="s">
        <v>12939</v>
      </c>
      <c r="Y1499" t="str">
        <f>HYPERLINK("https://recruiter.shine.com/resume/download/?resumeid=gAAAAABbk2ULpKaEvqbZU_T9WQfxVfjyBInbfaGXoS23Lyw8rcweeq7DTVj-RJZrFNWvBz9_4rwBMmBlcEN0d8bXOu1KeKUAm0eXtwR1m4Q1110XDxV-_4U0eie7SqTFlduWn47s8vnYcPtVqa56qymZqQAf2S0ooZSXvndE69xUr5ZiIuqHfMA=")</f>
        <v>https://recruiter.shine.com/resume/download/?resumeid=gAAAAABbk2ULpKaEvqbZU_T9WQfxVfjyBInbfaGXoS23Lyw8rcweeq7DTVj-RJZrFNWvBz9_4rwBMmBlcEN0d8bXOu1KeKUAm0eXtwR1m4Q1110XDxV-_4U0eie7SqTFlduWn47s8vnYcPtVqa56qymZqQAf2S0ooZSXvndE69xUr5ZiIuqHfMA=</v>
      </c>
    </row>
    <row r="1500" spans="1:25" ht="39.950000000000003" customHeight="1">
      <c r="A1500">
        <v>1496</v>
      </c>
      <c r="B1500" t="s">
        <v>12940</v>
      </c>
      <c r="D1500" t="s">
        <v>12941</v>
      </c>
      <c r="E1500" t="s">
        <v>12942</v>
      </c>
      <c r="F1500" t="s">
        <v>29</v>
      </c>
      <c r="G1500" t="s">
        <v>29</v>
      </c>
      <c r="H1500" t="s">
        <v>31</v>
      </c>
      <c r="I1500" t="s">
        <v>825</v>
      </c>
      <c r="J1500" t="s">
        <v>51</v>
      </c>
      <c r="K1500" t="s">
        <v>12943</v>
      </c>
      <c r="L1500" t="s">
        <v>266</v>
      </c>
      <c r="M1500" t="s">
        <v>105</v>
      </c>
      <c r="N1500" t="s">
        <v>10765</v>
      </c>
      <c r="O1500" t="s">
        <v>224</v>
      </c>
      <c r="Q1500" t="s">
        <v>107</v>
      </c>
      <c r="R1500" t="s">
        <v>864</v>
      </c>
      <c r="S1500" t="s">
        <v>12944</v>
      </c>
      <c r="T1500" t="s">
        <v>687</v>
      </c>
      <c r="U1500" t="s">
        <v>43</v>
      </c>
      <c r="V1500" t="s">
        <v>12945</v>
      </c>
      <c r="W1500" t="s">
        <v>12946</v>
      </c>
      <c r="Y1500" t="str">
        <f>HYPERLINK("https://recruiter.shine.com/resume/download/?resumeid=gAAAAABbk2UM4zxyzn_uvfHYxZjwyPf6bLg4gOL3XuT3UkVeVn26-ihP-mH2Vtj5YQV_GO4bPO8Okd-9bTaUvKO-XiFA1ZZVC9QATKoX84OZVLR02JqFKKihXobJzwYCwwwN8YYSmHcRHgGdC17w-FMhIMHiDT85R1t1q7iUQjS8YsdG3fDlAaw=")</f>
        <v>https://recruiter.shine.com/resume/download/?resumeid=gAAAAABbk2UM4zxyzn_uvfHYxZjwyPf6bLg4gOL3XuT3UkVeVn26-ihP-mH2Vtj5YQV_GO4bPO8Okd-9bTaUvKO-XiFA1ZZVC9QATKoX84OZVLR02JqFKKihXobJzwYCwwwN8YYSmHcRHgGdC17w-FMhIMHiDT85R1t1q7iUQjS8YsdG3fDlAaw=</v>
      </c>
    </row>
    <row r="1501" spans="1:25" ht="39.950000000000003" customHeight="1">
      <c r="A1501">
        <v>1497</v>
      </c>
      <c r="B1501" t="s">
        <v>12947</v>
      </c>
      <c r="C1501" t="s">
        <v>12948</v>
      </c>
      <c r="D1501" t="s">
        <v>12949</v>
      </c>
      <c r="E1501" t="s">
        <v>12950</v>
      </c>
      <c r="F1501" t="s">
        <v>29</v>
      </c>
      <c r="G1501" t="s">
        <v>1008</v>
      </c>
      <c r="H1501" t="s">
        <v>234</v>
      </c>
      <c r="I1501" t="s">
        <v>68</v>
      </c>
      <c r="J1501" t="s">
        <v>11194</v>
      </c>
      <c r="K1501" t="s">
        <v>8039</v>
      </c>
      <c r="L1501" t="s">
        <v>8039</v>
      </c>
      <c r="M1501" t="s">
        <v>1124</v>
      </c>
      <c r="N1501" t="s">
        <v>12951</v>
      </c>
      <c r="O1501" t="s">
        <v>3583</v>
      </c>
      <c r="P1501" t="s">
        <v>201</v>
      </c>
      <c r="Q1501" t="s">
        <v>40</v>
      </c>
      <c r="R1501" t="s">
        <v>760</v>
      </c>
      <c r="S1501" t="s">
        <v>3199</v>
      </c>
      <c r="T1501" t="s">
        <v>77</v>
      </c>
      <c r="U1501" t="s">
        <v>127</v>
      </c>
      <c r="V1501" t="s">
        <v>12952</v>
      </c>
      <c r="W1501" t="s">
        <v>12953</v>
      </c>
      <c r="Y1501" t="str">
        <f>HYPERLINK("https://recruiter.shine.com/resume/download/?resumeid=gAAAAABbk2UNUirumHwZDZ-q3wpgugPS4nmx2oXkiPAixdedcRR369rR7zzJSHml89FzvJ7575f2YkqswR-CTd7yKjMExSDyS77bczttU7ofMDVfn76A1EJME0QwZTaGjK20lAac8FWQJadJ-bimLqFyXw2ZpFBPOA==")</f>
        <v>https://recruiter.shine.com/resume/download/?resumeid=gAAAAABbk2UNUirumHwZDZ-q3wpgugPS4nmx2oXkiPAixdedcRR369rR7zzJSHml89FzvJ7575f2YkqswR-CTd7yKjMExSDyS77bczttU7ofMDVfn76A1EJME0QwZTaGjK20lAac8FWQJadJ-bimLqFyXw2ZpFBPOA==</v>
      </c>
    </row>
    <row r="1502" spans="1:25" ht="39.950000000000003" customHeight="1">
      <c r="A1502">
        <v>1498</v>
      </c>
      <c r="B1502" t="s">
        <v>12954</v>
      </c>
      <c r="C1502" t="s">
        <v>12955</v>
      </c>
      <c r="D1502" t="s">
        <v>12956</v>
      </c>
      <c r="E1502" t="s">
        <v>12957</v>
      </c>
      <c r="F1502" t="s">
        <v>29</v>
      </c>
      <c r="G1502" t="s">
        <v>12958</v>
      </c>
      <c r="H1502" t="s">
        <v>31</v>
      </c>
      <c r="I1502" t="s">
        <v>1721</v>
      </c>
      <c r="J1502" t="s">
        <v>4694</v>
      </c>
      <c r="K1502" t="s">
        <v>12959</v>
      </c>
      <c r="L1502" t="s">
        <v>88</v>
      </c>
      <c r="M1502" t="s">
        <v>339</v>
      </c>
      <c r="N1502" t="s">
        <v>12960</v>
      </c>
      <c r="O1502" t="s">
        <v>157</v>
      </c>
      <c r="P1502" t="s">
        <v>5061</v>
      </c>
      <c r="Q1502" t="s">
        <v>107</v>
      </c>
      <c r="R1502" t="s">
        <v>864</v>
      </c>
      <c r="S1502" t="s">
        <v>12961</v>
      </c>
      <c r="T1502" t="s">
        <v>161</v>
      </c>
      <c r="U1502" t="s">
        <v>43</v>
      </c>
      <c r="V1502" t="s">
        <v>12962</v>
      </c>
      <c r="W1502" t="s">
        <v>12963</v>
      </c>
      <c r="Y1502" t="str">
        <f>HYPERLINK("https://recruiter.shine.com/resume/download/?resumeid=gAAAAABbk2UKpEZMJAdsbToJ0E1FDSk9lv0MBYaVptJsreBWrEKO_Bj7kRW7UOSzT_oyj5FaNUcYWBDYXOnpHIupNb-h-CGI6RPfDPJCU0w85Y83MycF6Irs7E6IMXpkVPtnCom_rX2SM6zFOXzvvMm1icM-AptVVA==")</f>
        <v>https://recruiter.shine.com/resume/download/?resumeid=gAAAAABbk2UKpEZMJAdsbToJ0E1FDSk9lv0MBYaVptJsreBWrEKO_Bj7kRW7UOSzT_oyj5FaNUcYWBDYXOnpHIupNb-h-CGI6RPfDPJCU0w85Y83MycF6Irs7E6IMXpkVPtnCom_rX2SM6zFOXzvvMm1icM-AptVVA==</v>
      </c>
    </row>
    <row r="1503" spans="1:25" ht="39.950000000000003" customHeight="1">
      <c r="A1503">
        <v>1499</v>
      </c>
      <c r="B1503" t="s">
        <v>12964</v>
      </c>
      <c r="D1503" t="s">
        <v>12965</v>
      </c>
      <c r="E1503" t="s">
        <v>12966</v>
      </c>
      <c r="F1503" t="s">
        <v>29</v>
      </c>
      <c r="G1503" t="s">
        <v>29</v>
      </c>
      <c r="I1503" t="s">
        <v>568</v>
      </c>
      <c r="J1503" t="s">
        <v>781</v>
      </c>
      <c r="K1503" t="s">
        <v>8014</v>
      </c>
      <c r="L1503" t="s">
        <v>794</v>
      </c>
      <c r="M1503" t="s">
        <v>339</v>
      </c>
      <c r="N1503" t="s">
        <v>12967</v>
      </c>
      <c r="O1503" t="s">
        <v>157</v>
      </c>
      <c r="Q1503" t="s">
        <v>74</v>
      </c>
      <c r="R1503" t="s">
        <v>559</v>
      </c>
      <c r="S1503" t="s">
        <v>12968</v>
      </c>
      <c r="T1503" t="s">
        <v>399</v>
      </c>
      <c r="U1503" t="s">
        <v>43</v>
      </c>
      <c r="V1503" t="s">
        <v>12969</v>
      </c>
      <c r="W1503" t="s">
        <v>12970</v>
      </c>
      <c r="Y1503" t="str">
        <f>HYPERLINK("https://recruiter.shine.com/resume/download/?resumeid=gAAAAABbk2UM62VZGf3epdDMknpWcrBI6oDhHNFrY3iHtJyFj6B0_6hWS9s953DRPJFNqxFWI9qXSr5KnbEeiKD_HIP2x_PkkRILuUdZIb-OSyVOr7KHIhXeP37s6LwBDLnFvBognALSAeuS5hWuWE_f8ZZaLajaN5yXUk9qTqMcjZznDOdGdZI=")</f>
        <v>https://recruiter.shine.com/resume/download/?resumeid=gAAAAABbk2UM62VZGf3epdDMknpWcrBI6oDhHNFrY3iHtJyFj6B0_6hWS9s953DRPJFNqxFWI9qXSr5KnbEeiKD_HIP2x_PkkRILuUdZIb-OSyVOr7KHIhXeP37s6LwBDLnFvBognALSAeuS5hWuWE_f8ZZaLajaN5yXUk9qTqMcjZznDOdGdZI=</v>
      </c>
    </row>
    <row r="1504" spans="1:25" ht="39.950000000000003" customHeight="1">
      <c r="A1504">
        <v>1500</v>
      </c>
      <c r="B1504" t="s">
        <v>12971</v>
      </c>
      <c r="D1504" t="s">
        <v>12972</v>
      </c>
      <c r="E1504" t="s">
        <v>12973</v>
      </c>
      <c r="F1504" t="s">
        <v>29</v>
      </c>
      <c r="G1504" t="s">
        <v>67</v>
      </c>
      <c r="H1504" t="s">
        <v>234</v>
      </c>
      <c r="I1504" t="s">
        <v>1986</v>
      </c>
      <c r="J1504" t="s">
        <v>1742</v>
      </c>
      <c r="K1504" t="s">
        <v>7929</v>
      </c>
      <c r="L1504" t="s">
        <v>290</v>
      </c>
      <c r="M1504" t="s">
        <v>238</v>
      </c>
      <c r="N1504" t="s">
        <v>12974</v>
      </c>
      <c r="O1504" t="s">
        <v>558</v>
      </c>
      <c r="Q1504" t="s">
        <v>90</v>
      </c>
      <c r="R1504" t="s">
        <v>292</v>
      </c>
      <c r="S1504" t="s">
        <v>5179</v>
      </c>
      <c r="T1504" t="s">
        <v>257</v>
      </c>
      <c r="U1504" t="s">
        <v>127</v>
      </c>
      <c r="V1504" t="s">
        <v>12975</v>
      </c>
      <c r="W1504" t="s">
        <v>12976</v>
      </c>
      <c r="Y1504" t="str">
        <f>HYPERLINK("https://recruiter.shine.com/resume/download/?resumeid=gAAAAABbk2UNlSIzLheqGoxoHRF9TS96VtAjUoShPRJBKLCaXiXaSLoyYBLDLvJPfiXML0LEhRhYOFWh3mUyCI9zZqdmQ55NBdUJv6woXYDR31JiWAHzmjy4adOpA6WhnePZ7VuF7Y_nhdLajB2zQF3cLMiA_n7HOhuv-SEu0vwxTlZZX6UTEEE=")</f>
        <v>https://recruiter.shine.com/resume/download/?resumeid=gAAAAABbk2UNlSIzLheqGoxoHRF9TS96VtAjUoShPRJBKLCaXiXaSLoyYBLDLvJPfiXML0LEhRhYOFWh3mUyCI9zZqdmQ55NBdUJv6woXYDR31JiWAHzmjy4adOpA6WhnePZ7VuF7Y_nhdLajB2zQF3cLMiA_n7HOhuv-SEu0vwxTlZZX6UTEEE=</v>
      </c>
    </row>
    <row r="1506" spans="1:1">
      <c r="A1506" s="2" t="s">
        <v>12977</v>
      </c>
    </row>
  </sheetData>
  <mergeCells count="1">
    <mergeCell ref="A1:CZ3"/>
  </mergeCells>
  <pageMargins left="0.75" right="0.75" top="1" bottom="1" header="0.5" footer="0.5"/>
</worksheet>
</file>

<file path=xl/worksheets/sheet2.xml><?xml version="1.0" encoding="utf-8"?>
<worksheet xmlns="http://schemas.openxmlformats.org/spreadsheetml/2006/main" xmlns:r="http://schemas.openxmlformats.org/officeDocument/2006/relationships">
  <dimension ref="A1:F994"/>
  <sheetViews>
    <sheetView tabSelected="1" workbookViewId="0">
      <selection activeCell="F3" sqref="F3"/>
    </sheetView>
  </sheetViews>
  <sheetFormatPr defaultRowHeight="20.100000000000001" customHeight="1"/>
  <cols>
    <col min="1" max="1" width="26.5703125" style="4" customWidth="1"/>
    <col min="2" max="2" width="23.5703125" style="4" customWidth="1"/>
    <col min="3" max="3" width="38.42578125" style="4" customWidth="1"/>
    <col min="4" max="5" width="9.140625" style="4"/>
    <col min="6" max="6" width="52.140625" style="4" customWidth="1"/>
    <col min="7" max="16384" width="9.140625" style="4"/>
  </cols>
  <sheetData>
    <row r="1" spans="1:6" ht="20.100000000000001" customHeight="1">
      <c r="A1" s="3" t="s">
        <v>2</v>
      </c>
      <c r="B1" s="3" t="s">
        <v>12978</v>
      </c>
      <c r="C1" s="3" t="s">
        <v>14</v>
      </c>
    </row>
    <row r="2" spans="1:6" ht="20.100000000000001" customHeight="1">
      <c r="A2" s="4" t="s">
        <v>2951</v>
      </c>
      <c r="B2" s="4">
        <v>7010422310</v>
      </c>
      <c r="C2" s="4" t="s">
        <v>2957</v>
      </c>
      <c r="F2" s="5" t="s">
        <v>12980</v>
      </c>
    </row>
    <row r="3" spans="1:6" ht="20.100000000000001" customHeight="1">
      <c r="A3" s="4" t="s">
        <v>10720</v>
      </c>
      <c r="B3" s="4">
        <v>7012127627</v>
      </c>
    </row>
    <row r="4" spans="1:6" ht="20.100000000000001" customHeight="1">
      <c r="A4" s="4" t="s">
        <v>11531</v>
      </c>
      <c r="B4" s="4">
        <v>7012127627</v>
      </c>
    </row>
    <row r="5" spans="1:6" ht="20.100000000000001" customHeight="1">
      <c r="A5" s="4" t="s">
        <v>9223</v>
      </c>
      <c r="B5" s="4">
        <v>7020393053</v>
      </c>
      <c r="C5" s="4" t="s">
        <v>9227</v>
      </c>
    </row>
    <row r="6" spans="1:6" ht="20.100000000000001" customHeight="1">
      <c r="A6" s="4" t="s">
        <v>7493</v>
      </c>
      <c r="B6" s="4">
        <v>7021231371</v>
      </c>
      <c r="C6" s="4" t="s">
        <v>7498</v>
      </c>
    </row>
    <row r="7" spans="1:6" ht="20.100000000000001" customHeight="1">
      <c r="A7" s="4" t="s">
        <v>4818</v>
      </c>
      <c r="B7" s="4">
        <v>7021236950</v>
      </c>
      <c r="C7" s="4" t="s">
        <v>4824</v>
      </c>
    </row>
    <row r="8" spans="1:6" ht="20.100000000000001" customHeight="1">
      <c r="A8" s="4" t="s">
        <v>8019</v>
      </c>
      <c r="B8" s="4">
        <v>7021268478</v>
      </c>
      <c r="C8" s="4" t="s">
        <v>8024</v>
      </c>
    </row>
    <row r="9" spans="1:6" ht="20.100000000000001" customHeight="1">
      <c r="A9" s="4" t="s">
        <v>9718</v>
      </c>
      <c r="B9" s="4">
        <v>7021652290</v>
      </c>
      <c r="F9" s="4" t="s">
        <v>12979</v>
      </c>
    </row>
    <row r="10" spans="1:6" ht="20.100000000000001" customHeight="1">
      <c r="A10" s="4" t="s">
        <v>12270</v>
      </c>
      <c r="B10" s="4">
        <v>7021741933</v>
      </c>
      <c r="C10" s="4" t="s">
        <v>12274</v>
      </c>
    </row>
    <row r="11" spans="1:6" ht="20.100000000000001" customHeight="1">
      <c r="A11" s="4" t="s">
        <v>10006</v>
      </c>
      <c r="B11" s="4">
        <v>7021823658</v>
      </c>
    </row>
    <row r="12" spans="1:6" ht="20.100000000000001" customHeight="1">
      <c r="A12" s="4" t="s">
        <v>3781</v>
      </c>
      <c r="B12" s="4">
        <v>7021833050</v>
      </c>
      <c r="C12" s="4" t="s">
        <v>3785</v>
      </c>
    </row>
    <row r="13" spans="1:6" ht="20.100000000000001" customHeight="1">
      <c r="A13" s="4" t="s">
        <v>4220</v>
      </c>
      <c r="B13" s="4">
        <v>7021962359</v>
      </c>
      <c r="C13" s="4" t="s">
        <v>4225</v>
      </c>
    </row>
    <row r="14" spans="1:6" ht="20.100000000000001" customHeight="1">
      <c r="A14" s="4" t="s">
        <v>5890</v>
      </c>
      <c r="B14" s="4">
        <v>7025933388</v>
      </c>
      <c r="C14" s="4" t="s">
        <v>5893</v>
      </c>
    </row>
    <row r="15" spans="1:6" ht="20.100000000000001" customHeight="1">
      <c r="A15" s="4" t="s">
        <v>11896</v>
      </c>
      <c r="B15" s="4">
        <v>7030072000</v>
      </c>
      <c r="C15" s="4" t="s">
        <v>2229</v>
      </c>
    </row>
    <row r="16" spans="1:6" ht="20.100000000000001" customHeight="1">
      <c r="A16" s="4" t="s">
        <v>7780</v>
      </c>
      <c r="B16" s="4">
        <v>7030192946</v>
      </c>
      <c r="C16" s="4" t="s">
        <v>7786</v>
      </c>
    </row>
    <row r="17" spans="1:3" ht="20.100000000000001" customHeight="1">
      <c r="A17" s="4" t="s">
        <v>11039</v>
      </c>
      <c r="B17" s="4">
        <v>7033482793</v>
      </c>
      <c r="C17" s="4" t="s">
        <v>11042</v>
      </c>
    </row>
    <row r="18" spans="1:3" ht="20.100000000000001" customHeight="1">
      <c r="A18" s="4" t="s">
        <v>2195</v>
      </c>
      <c r="B18" s="4">
        <v>7038038322</v>
      </c>
      <c r="C18" s="4" t="s">
        <v>2200</v>
      </c>
    </row>
    <row r="19" spans="1:3" ht="20.100000000000001" customHeight="1">
      <c r="A19" s="4" t="s">
        <v>11425</v>
      </c>
      <c r="B19" s="4">
        <v>7038658878</v>
      </c>
      <c r="C19" s="4" t="s">
        <v>11429</v>
      </c>
    </row>
    <row r="20" spans="1:3" ht="20.100000000000001" customHeight="1">
      <c r="A20" s="4" t="s">
        <v>3510</v>
      </c>
      <c r="B20" s="4">
        <v>7038938191</v>
      </c>
      <c r="C20" s="4" t="s">
        <v>3516</v>
      </c>
    </row>
    <row r="21" spans="1:3" ht="20.100000000000001" customHeight="1">
      <c r="A21" s="4" t="s">
        <v>9636</v>
      </c>
      <c r="B21" s="4">
        <v>7039863450</v>
      </c>
      <c r="C21" s="4" t="s">
        <v>6915</v>
      </c>
    </row>
    <row r="22" spans="1:3" ht="20.100000000000001" customHeight="1">
      <c r="A22" s="4" t="s">
        <v>7445</v>
      </c>
      <c r="B22" s="4">
        <v>7042291669</v>
      </c>
      <c r="C22" s="4" t="s">
        <v>7448</v>
      </c>
    </row>
    <row r="23" spans="1:3" ht="20.100000000000001" customHeight="1">
      <c r="A23" s="4" t="s">
        <v>9039</v>
      </c>
      <c r="B23" s="4">
        <v>7044627659</v>
      </c>
      <c r="C23" s="4" t="s">
        <v>9045</v>
      </c>
    </row>
    <row r="24" spans="1:3" ht="20.100000000000001" customHeight="1">
      <c r="A24" s="4" t="s">
        <v>5930</v>
      </c>
      <c r="B24" s="4">
        <v>7045082775</v>
      </c>
      <c r="C24" s="4" t="s">
        <v>5935</v>
      </c>
    </row>
    <row r="25" spans="1:3" ht="20.100000000000001" customHeight="1">
      <c r="A25" s="4" t="s">
        <v>2931</v>
      </c>
      <c r="B25" s="4">
        <v>7045113324</v>
      </c>
      <c r="C25" s="4" t="s">
        <v>2938</v>
      </c>
    </row>
    <row r="26" spans="1:3" ht="20.100000000000001" customHeight="1">
      <c r="A26" s="4" t="s">
        <v>9578</v>
      </c>
      <c r="B26" s="4">
        <v>7045120090</v>
      </c>
      <c r="C26" s="4" t="s">
        <v>9583</v>
      </c>
    </row>
    <row r="27" spans="1:3" ht="20.100000000000001" customHeight="1">
      <c r="A27" s="4" t="s">
        <v>6080</v>
      </c>
      <c r="B27" s="4">
        <v>7045255719</v>
      </c>
      <c r="C27" s="4" t="s">
        <v>6084</v>
      </c>
    </row>
    <row r="28" spans="1:3" ht="20.100000000000001" customHeight="1">
      <c r="A28" s="4" t="s">
        <v>11776</v>
      </c>
      <c r="B28" s="4">
        <v>7045734176</v>
      </c>
      <c r="C28" s="4" t="s">
        <v>11780</v>
      </c>
    </row>
    <row r="29" spans="1:3" ht="20.100000000000001" customHeight="1">
      <c r="A29" s="4" t="s">
        <v>10398</v>
      </c>
      <c r="B29" s="4">
        <v>7045781118</v>
      </c>
      <c r="C29" s="4" t="s">
        <v>10402</v>
      </c>
    </row>
    <row r="30" spans="1:3" ht="20.100000000000001" customHeight="1">
      <c r="A30" s="4" t="s">
        <v>5578</v>
      </c>
      <c r="B30" s="4">
        <v>7045831257</v>
      </c>
      <c r="C30" s="4" t="s">
        <v>5584</v>
      </c>
    </row>
    <row r="31" spans="1:3" ht="20.100000000000001" customHeight="1">
      <c r="A31" s="4" t="s">
        <v>7209</v>
      </c>
      <c r="B31" s="4">
        <v>7060392573</v>
      </c>
      <c r="C31" s="4" t="s">
        <v>156</v>
      </c>
    </row>
    <row r="32" spans="1:3" ht="20.100000000000001" customHeight="1">
      <c r="A32" s="4" t="s">
        <v>8376</v>
      </c>
      <c r="B32" s="4">
        <v>7066790046</v>
      </c>
    </row>
    <row r="33" spans="1:3" ht="20.100000000000001" customHeight="1">
      <c r="A33" s="4" t="s">
        <v>3077</v>
      </c>
      <c r="B33" s="4">
        <v>7070703648</v>
      </c>
    </row>
    <row r="34" spans="1:3" ht="20.100000000000001" customHeight="1">
      <c r="A34" s="4" t="s">
        <v>11978</v>
      </c>
      <c r="B34" s="4">
        <v>7083465611</v>
      </c>
    </row>
    <row r="35" spans="1:3" ht="20.100000000000001" customHeight="1">
      <c r="A35" s="4" t="s">
        <v>1657</v>
      </c>
      <c r="B35" s="4">
        <v>7087012162</v>
      </c>
      <c r="C35" s="4" t="s">
        <v>1664</v>
      </c>
    </row>
    <row r="36" spans="1:3" ht="20.100000000000001" customHeight="1">
      <c r="A36" s="4" t="s">
        <v>8443</v>
      </c>
      <c r="B36" s="4">
        <v>7088442944</v>
      </c>
      <c r="C36" s="4" t="s">
        <v>8449</v>
      </c>
    </row>
    <row r="37" spans="1:3" ht="20.100000000000001" customHeight="1">
      <c r="A37" s="4" t="s">
        <v>7123</v>
      </c>
      <c r="B37" s="4">
        <v>7091173104</v>
      </c>
      <c r="C37" s="4" t="s">
        <v>7128</v>
      </c>
    </row>
    <row r="38" spans="1:3" ht="20.100000000000001" customHeight="1">
      <c r="A38" s="4" t="s">
        <v>8170</v>
      </c>
      <c r="B38" s="4">
        <v>7208374058</v>
      </c>
    </row>
    <row r="39" spans="1:3" ht="20.100000000000001" customHeight="1">
      <c r="A39" s="4" t="s">
        <v>8615</v>
      </c>
      <c r="B39" s="4">
        <v>7208457843</v>
      </c>
      <c r="C39" s="4" t="s">
        <v>8621</v>
      </c>
    </row>
    <row r="40" spans="1:3" ht="20.100000000000001" customHeight="1">
      <c r="A40" s="4" t="s">
        <v>4699</v>
      </c>
      <c r="B40" s="4">
        <v>7208726325</v>
      </c>
    </row>
    <row r="41" spans="1:3" ht="20.100000000000001" customHeight="1">
      <c r="A41" s="4" t="s">
        <v>11657</v>
      </c>
      <c r="B41" s="4">
        <v>7208786208</v>
      </c>
    </row>
    <row r="42" spans="1:3" ht="20.100000000000001" customHeight="1">
      <c r="A42" s="4" t="s">
        <v>6752</v>
      </c>
      <c r="B42" s="4">
        <v>7208874767</v>
      </c>
    </row>
    <row r="43" spans="1:3" ht="20.100000000000001" customHeight="1">
      <c r="A43" s="4" t="s">
        <v>3371</v>
      </c>
      <c r="B43" s="4">
        <v>7208980320</v>
      </c>
    </row>
    <row r="44" spans="1:3" ht="20.100000000000001" customHeight="1">
      <c r="A44" s="4" t="s">
        <v>6992</v>
      </c>
      <c r="B44" s="4">
        <v>7219276494</v>
      </c>
      <c r="C44" s="4" t="s">
        <v>6996</v>
      </c>
    </row>
    <row r="45" spans="1:3" ht="20.100000000000001" customHeight="1">
      <c r="A45" s="4" t="s">
        <v>10517</v>
      </c>
      <c r="B45" s="4">
        <v>7226016698</v>
      </c>
      <c r="C45" s="4" t="s">
        <v>10523</v>
      </c>
    </row>
    <row r="46" spans="1:3" ht="20.100000000000001" customHeight="1">
      <c r="A46" s="4" t="s">
        <v>6258</v>
      </c>
      <c r="B46" s="4">
        <v>7232998452</v>
      </c>
      <c r="C46" s="4" t="s">
        <v>6264</v>
      </c>
    </row>
    <row r="47" spans="1:3" ht="20.100000000000001" customHeight="1">
      <c r="A47" s="4" t="s">
        <v>764</v>
      </c>
      <c r="B47" s="4">
        <v>7276493921</v>
      </c>
      <c r="C47" s="4" t="s">
        <v>770</v>
      </c>
    </row>
    <row r="48" spans="1:3" ht="20.100000000000001" customHeight="1">
      <c r="A48" s="4" t="s">
        <v>9333</v>
      </c>
      <c r="B48" s="4">
        <v>7276667037</v>
      </c>
    </row>
    <row r="49" spans="1:3" ht="20.100000000000001" customHeight="1">
      <c r="A49" s="4" t="s">
        <v>6812</v>
      </c>
      <c r="B49" s="4">
        <v>7276756967</v>
      </c>
      <c r="C49" s="4" t="s">
        <v>6816</v>
      </c>
    </row>
    <row r="50" spans="1:3" ht="20.100000000000001" customHeight="1">
      <c r="A50" s="4" t="s">
        <v>7826</v>
      </c>
      <c r="B50" s="4">
        <v>7303058872</v>
      </c>
      <c r="C50" s="4" t="s">
        <v>7831</v>
      </c>
    </row>
    <row r="51" spans="1:3" ht="20.100000000000001" customHeight="1">
      <c r="A51" s="4" t="s">
        <v>12779</v>
      </c>
      <c r="B51" s="4">
        <v>7303606405</v>
      </c>
      <c r="C51" s="4" t="s">
        <v>12783</v>
      </c>
    </row>
    <row r="52" spans="1:3" ht="20.100000000000001" customHeight="1">
      <c r="A52" s="4" t="s">
        <v>7943</v>
      </c>
      <c r="B52" s="4">
        <v>7303641001</v>
      </c>
      <c r="C52" s="4" t="s">
        <v>7946</v>
      </c>
    </row>
    <row r="53" spans="1:3" ht="20.100000000000001" customHeight="1">
      <c r="A53" s="4" t="s">
        <v>8453</v>
      </c>
      <c r="B53" s="4">
        <v>7350388678</v>
      </c>
      <c r="C53" s="4" t="s">
        <v>8457</v>
      </c>
    </row>
    <row r="54" spans="1:3" ht="20.100000000000001" customHeight="1">
      <c r="A54" s="4" t="s">
        <v>6560</v>
      </c>
      <c r="B54" s="4">
        <v>7399106917</v>
      </c>
      <c r="C54" s="4" t="s">
        <v>6565</v>
      </c>
    </row>
    <row r="55" spans="1:3" ht="20.100000000000001" customHeight="1">
      <c r="A55" s="4" t="s">
        <v>2585</v>
      </c>
      <c r="B55" s="4">
        <v>7400349470</v>
      </c>
      <c r="C55" s="4" t="s">
        <v>2591</v>
      </c>
    </row>
    <row r="56" spans="1:3" ht="20.100000000000001" customHeight="1">
      <c r="A56" s="4" t="s">
        <v>1088</v>
      </c>
      <c r="B56" s="4">
        <v>7405106293</v>
      </c>
      <c r="C56" s="4" t="s">
        <v>1095</v>
      </c>
    </row>
    <row r="57" spans="1:3" ht="20.100000000000001" customHeight="1">
      <c r="A57" s="4" t="s">
        <v>9143</v>
      </c>
      <c r="B57" s="4">
        <v>7462800416</v>
      </c>
    </row>
    <row r="58" spans="1:3" ht="20.100000000000001" customHeight="1">
      <c r="A58" s="4" t="s">
        <v>11164</v>
      </c>
      <c r="B58" s="4">
        <v>7470884576</v>
      </c>
      <c r="C58" s="4" t="s">
        <v>11169</v>
      </c>
    </row>
    <row r="59" spans="1:3" ht="20.100000000000001" customHeight="1">
      <c r="A59" s="4" t="s">
        <v>11173</v>
      </c>
      <c r="B59" s="4">
        <v>7488158084</v>
      </c>
      <c r="C59" s="4" t="s">
        <v>11178</v>
      </c>
    </row>
    <row r="60" spans="1:3" ht="20.100000000000001" customHeight="1">
      <c r="A60" s="4" t="s">
        <v>9060</v>
      </c>
      <c r="B60" s="4">
        <v>7488222171</v>
      </c>
      <c r="C60" s="4" t="s">
        <v>9064</v>
      </c>
    </row>
    <row r="61" spans="1:3" ht="20.100000000000001" customHeight="1">
      <c r="A61" s="4" t="s">
        <v>4638</v>
      </c>
      <c r="B61" s="4">
        <v>7506030636</v>
      </c>
      <c r="C61" s="4" t="s">
        <v>4645</v>
      </c>
    </row>
    <row r="62" spans="1:3" ht="20.100000000000001" customHeight="1">
      <c r="A62" s="4" t="s">
        <v>6719</v>
      </c>
      <c r="B62" s="4">
        <v>7506059859</v>
      </c>
      <c r="C62" s="4" t="s">
        <v>6723</v>
      </c>
    </row>
    <row r="63" spans="1:3" ht="20.100000000000001" customHeight="1">
      <c r="A63" s="4" t="s">
        <v>6290</v>
      </c>
      <c r="B63" s="4">
        <v>7506202119</v>
      </c>
      <c r="C63" s="4" t="s">
        <v>6295</v>
      </c>
    </row>
    <row r="64" spans="1:3" ht="20.100000000000001" customHeight="1">
      <c r="A64" s="4" t="s">
        <v>4875</v>
      </c>
      <c r="B64" s="4">
        <v>7506255217</v>
      </c>
      <c r="C64" s="4" t="s">
        <v>4880</v>
      </c>
    </row>
    <row r="65" spans="1:3" ht="20.100000000000001" customHeight="1">
      <c r="A65" s="4" t="s">
        <v>6088</v>
      </c>
      <c r="B65" s="4">
        <v>7506259317</v>
      </c>
      <c r="C65" s="4" t="s">
        <v>6093</v>
      </c>
    </row>
    <row r="66" spans="1:3" ht="20.100000000000001" customHeight="1">
      <c r="A66" s="4" t="s">
        <v>5671</v>
      </c>
      <c r="B66" s="4">
        <v>7506273325</v>
      </c>
      <c r="C66" s="4" t="s">
        <v>5675</v>
      </c>
    </row>
    <row r="67" spans="1:3" ht="20.100000000000001" customHeight="1">
      <c r="A67" s="4" t="s">
        <v>1690</v>
      </c>
      <c r="B67" s="4">
        <v>7506302971</v>
      </c>
      <c r="C67" s="4" t="s">
        <v>990</v>
      </c>
    </row>
    <row r="68" spans="1:3" ht="20.100000000000001" customHeight="1">
      <c r="A68" s="4" t="s">
        <v>11377</v>
      </c>
      <c r="B68" s="4">
        <v>7506303567</v>
      </c>
    </row>
    <row r="69" spans="1:3" ht="20.100000000000001" customHeight="1">
      <c r="A69" s="4" t="s">
        <v>1229</v>
      </c>
      <c r="B69" s="4">
        <v>7506349404</v>
      </c>
      <c r="C69" s="4" t="s">
        <v>1234</v>
      </c>
    </row>
    <row r="70" spans="1:3" ht="20.100000000000001" customHeight="1">
      <c r="A70" s="4" t="s">
        <v>10234</v>
      </c>
      <c r="B70" s="4">
        <v>7506454227</v>
      </c>
      <c r="C70" s="4" t="s">
        <v>10238</v>
      </c>
    </row>
    <row r="71" spans="1:3" ht="20.100000000000001" customHeight="1">
      <c r="A71" s="4" t="s">
        <v>8583</v>
      </c>
      <c r="B71" s="4">
        <v>7506483121</v>
      </c>
      <c r="C71" s="4" t="s">
        <v>8587</v>
      </c>
    </row>
    <row r="72" spans="1:3" ht="20.100000000000001" customHeight="1">
      <c r="A72" s="4" t="s">
        <v>3300</v>
      </c>
      <c r="B72" s="4">
        <v>7506524336</v>
      </c>
      <c r="C72" s="4" t="s">
        <v>3307</v>
      </c>
    </row>
    <row r="73" spans="1:3" ht="20.100000000000001" customHeight="1">
      <c r="A73" s="4" t="s">
        <v>5401</v>
      </c>
      <c r="B73" s="4">
        <v>7506536916</v>
      </c>
      <c r="C73" s="4" t="s">
        <v>5406</v>
      </c>
    </row>
    <row r="74" spans="1:3" ht="20.100000000000001" customHeight="1">
      <c r="A74" s="4" t="s">
        <v>1324</v>
      </c>
      <c r="B74" s="4">
        <v>7506559536</v>
      </c>
    </row>
    <row r="75" spans="1:3" ht="20.100000000000001" customHeight="1">
      <c r="A75" s="4" t="s">
        <v>5840</v>
      </c>
      <c r="B75" s="4">
        <v>7506655572</v>
      </c>
      <c r="C75" s="4" t="s">
        <v>5844</v>
      </c>
    </row>
    <row r="76" spans="1:3" ht="20.100000000000001" customHeight="1">
      <c r="A76" s="4" t="s">
        <v>4682</v>
      </c>
      <c r="B76" s="4">
        <v>7506699628</v>
      </c>
    </row>
    <row r="77" spans="1:3" ht="20.100000000000001" customHeight="1">
      <c r="A77" s="4" t="s">
        <v>9443</v>
      </c>
      <c r="B77" s="4">
        <v>7506774571</v>
      </c>
      <c r="C77" s="4" t="s">
        <v>9448</v>
      </c>
    </row>
    <row r="78" spans="1:3" ht="20.100000000000001" customHeight="1">
      <c r="A78" s="4" t="s">
        <v>646</v>
      </c>
      <c r="B78" s="4">
        <v>7506889552</v>
      </c>
      <c r="C78" s="4" t="s">
        <v>654</v>
      </c>
    </row>
    <row r="79" spans="1:3" ht="20.100000000000001" customHeight="1">
      <c r="A79" s="4" t="s">
        <v>12371</v>
      </c>
      <c r="B79" s="4">
        <v>7506986569</v>
      </c>
      <c r="C79" s="4" t="s">
        <v>12377</v>
      </c>
    </row>
    <row r="80" spans="1:3" ht="20.100000000000001" customHeight="1">
      <c r="A80" s="4" t="s">
        <v>9238</v>
      </c>
      <c r="B80" s="4">
        <v>7506991148</v>
      </c>
      <c r="C80" s="4" t="s">
        <v>9242</v>
      </c>
    </row>
    <row r="81" spans="1:3" ht="20.100000000000001" customHeight="1">
      <c r="A81" s="4" t="s">
        <v>9164</v>
      </c>
      <c r="B81" s="4">
        <v>7507748060</v>
      </c>
      <c r="C81" s="4" t="s">
        <v>9169</v>
      </c>
    </row>
    <row r="82" spans="1:3" ht="20.100000000000001" customHeight="1">
      <c r="A82" s="4" t="s">
        <v>7702</v>
      </c>
      <c r="B82" s="4">
        <v>7507899653</v>
      </c>
      <c r="C82" s="4" t="s">
        <v>7707</v>
      </c>
    </row>
    <row r="83" spans="1:3" ht="20.100000000000001" customHeight="1">
      <c r="A83" s="4" t="s">
        <v>12656</v>
      </c>
      <c r="B83" s="4">
        <v>7510592550</v>
      </c>
      <c r="C83" s="4" t="s">
        <v>12661</v>
      </c>
    </row>
    <row r="84" spans="1:3" ht="20.100000000000001" customHeight="1">
      <c r="A84" s="4" t="s">
        <v>4577</v>
      </c>
      <c r="B84" s="4">
        <v>7541905230</v>
      </c>
      <c r="C84" s="4" t="s">
        <v>4582</v>
      </c>
    </row>
    <row r="85" spans="1:3" ht="20.100000000000001" customHeight="1">
      <c r="A85" s="4" t="s">
        <v>11260</v>
      </c>
      <c r="B85" s="4">
        <v>7558225926</v>
      </c>
      <c r="C85" s="4" t="s">
        <v>11264</v>
      </c>
    </row>
    <row r="86" spans="1:3" ht="20.100000000000001" customHeight="1">
      <c r="A86" s="4" t="s">
        <v>8544</v>
      </c>
      <c r="B86" s="4">
        <v>7559980032</v>
      </c>
    </row>
    <row r="87" spans="1:3" ht="20.100000000000001" customHeight="1">
      <c r="A87" s="4" t="s">
        <v>8044</v>
      </c>
      <c r="B87" s="4">
        <v>7560987867</v>
      </c>
      <c r="C87" s="4" t="s">
        <v>8051</v>
      </c>
    </row>
    <row r="88" spans="1:3" ht="20.100000000000001" customHeight="1">
      <c r="A88" s="4" t="s">
        <v>6710</v>
      </c>
      <c r="B88" s="4">
        <v>7567474210</v>
      </c>
      <c r="C88" s="4" t="s">
        <v>6715</v>
      </c>
    </row>
    <row r="89" spans="1:3" ht="20.100000000000001" customHeight="1">
      <c r="A89" s="4" t="s">
        <v>6195</v>
      </c>
      <c r="B89" s="4">
        <v>7588592039</v>
      </c>
      <c r="C89" s="4" t="s">
        <v>6201</v>
      </c>
    </row>
    <row r="90" spans="1:3" ht="20.100000000000001" customHeight="1">
      <c r="A90" s="4" t="s">
        <v>12698</v>
      </c>
      <c r="B90" s="4">
        <v>7588613532</v>
      </c>
    </row>
    <row r="91" spans="1:3" ht="20.100000000000001" customHeight="1">
      <c r="A91" s="4" t="s">
        <v>4130</v>
      </c>
      <c r="B91" s="4">
        <v>7589017731</v>
      </c>
      <c r="C91" s="4" t="s">
        <v>37</v>
      </c>
    </row>
    <row r="92" spans="1:3" ht="20.100000000000001" customHeight="1">
      <c r="A92" s="4" t="s">
        <v>12747</v>
      </c>
      <c r="B92" s="4">
        <v>7600910008</v>
      </c>
      <c r="C92" s="4" t="s">
        <v>12669</v>
      </c>
    </row>
    <row r="93" spans="1:3" ht="20.100000000000001" customHeight="1">
      <c r="A93" s="4" t="s">
        <v>1470</v>
      </c>
      <c r="B93" s="4">
        <v>7666321234</v>
      </c>
      <c r="C93" s="4" t="s">
        <v>1477</v>
      </c>
    </row>
    <row r="94" spans="1:3" ht="20.100000000000001" customHeight="1">
      <c r="A94" s="4" t="s">
        <v>6470</v>
      </c>
      <c r="B94" s="4">
        <v>7666781212</v>
      </c>
      <c r="C94" s="4" t="s">
        <v>3285</v>
      </c>
    </row>
    <row r="95" spans="1:3" ht="20.100000000000001" customHeight="1">
      <c r="A95" s="4" t="s">
        <v>7685</v>
      </c>
      <c r="B95" s="4">
        <v>7709376181</v>
      </c>
    </row>
    <row r="96" spans="1:3" ht="20.100000000000001" customHeight="1">
      <c r="A96" s="4" t="s">
        <v>3676</v>
      </c>
      <c r="B96" s="4">
        <v>7709909146</v>
      </c>
      <c r="C96" s="4" t="s">
        <v>3681</v>
      </c>
    </row>
    <row r="97" spans="1:3" ht="20.100000000000001" customHeight="1">
      <c r="A97" s="4" t="s">
        <v>4803</v>
      </c>
      <c r="B97" s="4">
        <v>7709967361</v>
      </c>
      <c r="C97" s="4" t="s">
        <v>4808</v>
      </c>
    </row>
    <row r="98" spans="1:3" ht="20.100000000000001" customHeight="1">
      <c r="A98" s="4" t="s">
        <v>3587</v>
      </c>
      <c r="B98" s="4">
        <v>7710020255</v>
      </c>
      <c r="C98" s="4" t="s">
        <v>1636</v>
      </c>
    </row>
    <row r="99" spans="1:3" ht="20.100000000000001" customHeight="1">
      <c r="A99" s="4" t="s">
        <v>7574</v>
      </c>
      <c r="B99" s="4">
        <v>7710067708</v>
      </c>
      <c r="C99" s="4" t="s">
        <v>1579</v>
      </c>
    </row>
    <row r="100" spans="1:3" ht="20.100000000000001" customHeight="1">
      <c r="A100" s="4" t="s">
        <v>12067</v>
      </c>
      <c r="B100" s="4">
        <v>7710096052</v>
      </c>
      <c r="C100" s="4" t="s">
        <v>1636</v>
      </c>
    </row>
    <row r="101" spans="1:3" ht="20.100000000000001" customHeight="1">
      <c r="A101" s="4" t="s">
        <v>6964</v>
      </c>
      <c r="B101" s="4">
        <v>7710817404</v>
      </c>
      <c r="C101" s="4" t="s">
        <v>6968</v>
      </c>
    </row>
    <row r="102" spans="1:3" ht="20.100000000000001" customHeight="1">
      <c r="A102" s="4" t="s">
        <v>2051</v>
      </c>
      <c r="B102" s="4">
        <v>7710901242</v>
      </c>
    </row>
    <row r="103" spans="1:3" ht="20.100000000000001" customHeight="1">
      <c r="A103" s="4" t="s">
        <v>2547</v>
      </c>
      <c r="B103" s="4">
        <v>7710953124</v>
      </c>
      <c r="C103" s="4" t="s">
        <v>2552</v>
      </c>
    </row>
    <row r="104" spans="1:3" ht="20.100000000000001" customHeight="1">
      <c r="A104" s="4" t="s">
        <v>11842</v>
      </c>
      <c r="B104" s="4">
        <v>7710966360</v>
      </c>
      <c r="C104" s="4" t="s">
        <v>11847</v>
      </c>
    </row>
    <row r="105" spans="1:3" ht="20.100000000000001" customHeight="1">
      <c r="A105" s="4" t="s">
        <v>8071</v>
      </c>
      <c r="B105" s="4">
        <v>7715071839</v>
      </c>
      <c r="C105" s="4" t="s">
        <v>8075</v>
      </c>
    </row>
    <row r="106" spans="1:3" ht="20.100000000000001" customHeight="1">
      <c r="A106" s="4" t="s">
        <v>6392</v>
      </c>
      <c r="B106" s="4">
        <v>7715085158</v>
      </c>
      <c r="C106" s="4" t="s">
        <v>6397</v>
      </c>
    </row>
    <row r="107" spans="1:3" ht="20.100000000000001" customHeight="1">
      <c r="A107" s="4" t="s">
        <v>2039</v>
      </c>
      <c r="B107" s="4">
        <v>7715833164</v>
      </c>
      <c r="C107" s="4" t="s">
        <v>2046</v>
      </c>
    </row>
    <row r="108" spans="1:3" ht="20.100000000000001" customHeight="1">
      <c r="A108" s="4" t="s">
        <v>628</v>
      </c>
      <c r="B108" s="4">
        <v>7715892163</v>
      </c>
      <c r="C108" s="4" t="s">
        <v>635</v>
      </c>
    </row>
    <row r="109" spans="1:3" ht="20.100000000000001" customHeight="1">
      <c r="A109" s="4" t="s">
        <v>8599</v>
      </c>
      <c r="B109" s="4">
        <v>7718219817</v>
      </c>
    </row>
    <row r="110" spans="1:3" ht="20.100000000000001" customHeight="1">
      <c r="A110" s="4" t="s">
        <v>2898</v>
      </c>
      <c r="B110" s="4">
        <v>7718822300</v>
      </c>
      <c r="C110" s="4" t="s">
        <v>2904</v>
      </c>
    </row>
    <row r="111" spans="1:3" ht="20.100000000000001" customHeight="1">
      <c r="A111" s="4" t="s">
        <v>10415</v>
      </c>
      <c r="B111" s="4">
        <v>7718831017</v>
      </c>
      <c r="C111" s="4" t="s">
        <v>10421</v>
      </c>
    </row>
    <row r="112" spans="1:3" ht="20.100000000000001" customHeight="1">
      <c r="A112" s="4" t="s">
        <v>4040</v>
      </c>
      <c r="B112" s="4">
        <v>7738046651</v>
      </c>
      <c r="C112" s="4" t="s">
        <v>4044</v>
      </c>
    </row>
    <row r="113" spans="1:3" ht="20.100000000000001" customHeight="1">
      <c r="A113" s="4" t="s">
        <v>2269</v>
      </c>
      <c r="B113" s="4">
        <v>7738059744</v>
      </c>
      <c r="C113" s="4" t="s">
        <v>2274</v>
      </c>
    </row>
    <row r="114" spans="1:3" ht="20.100000000000001" customHeight="1">
      <c r="A114" s="4" t="s">
        <v>10998</v>
      </c>
      <c r="B114" s="4">
        <v>7738111292</v>
      </c>
      <c r="C114" s="4" t="s">
        <v>11004</v>
      </c>
    </row>
    <row r="115" spans="1:3" ht="20.100000000000001" customHeight="1">
      <c r="A115" s="4" t="s">
        <v>9725</v>
      </c>
      <c r="B115" s="4">
        <v>7738145770</v>
      </c>
      <c r="C115" s="4" t="s">
        <v>9730</v>
      </c>
    </row>
    <row r="116" spans="1:3" ht="20.100000000000001" customHeight="1">
      <c r="A116" s="4" t="s">
        <v>6130</v>
      </c>
      <c r="B116" s="4">
        <v>7738263661</v>
      </c>
      <c r="C116" s="4" t="s">
        <v>6135</v>
      </c>
    </row>
    <row r="117" spans="1:3" ht="20.100000000000001" customHeight="1">
      <c r="A117" s="4" t="s">
        <v>2361</v>
      </c>
      <c r="B117" s="4">
        <v>7738287995</v>
      </c>
    </row>
    <row r="118" spans="1:3" ht="20.100000000000001" customHeight="1">
      <c r="A118" s="4" t="s">
        <v>12157</v>
      </c>
      <c r="B118" s="4">
        <v>7738310760</v>
      </c>
      <c r="C118" s="4" t="s">
        <v>12161</v>
      </c>
    </row>
    <row r="119" spans="1:3" ht="20.100000000000001" customHeight="1">
      <c r="A119" s="4" t="s">
        <v>12157</v>
      </c>
      <c r="B119" s="4">
        <v>7738310760</v>
      </c>
      <c r="C119" s="4" t="s">
        <v>12388</v>
      </c>
    </row>
    <row r="120" spans="1:3" ht="20.100000000000001" customHeight="1">
      <c r="A120" s="4" t="s">
        <v>8009</v>
      </c>
      <c r="B120" s="4">
        <v>7738387751</v>
      </c>
      <c r="C120" s="4" t="s">
        <v>8015</v>
      </c>
    </row>
    <row r="121" spans="1:3" ht="20.100000000000001" customHeight="1">
      <c r="A121" s="4" t="s">
        <v>1279</v>
      </c>
      <c r="B121" s="4">
        <v>7738394439</v>
      </c>
      <c r="C121" s="4" t="s">
        <v>1284</v>
      </c>
    </row>
    <row r="122" spans="1:3" ht="20.100000000000001" customHeight="1">
      <c r="A122" s="4" t="s">
        <v>6651</v>
      </c>
      <c r="B122" s="4">
        <v>7738445861</v>
      </c>
      <c r="C122" s="4" t="s">
        <v>6655</v>
      </c>
    </row>
    <row r="123" spans="1:3" ht="20.100000000000001" customHeight="1">
      <c r="A123" s="4" t="s">
        <v>5306</v>
      </c>
      <c r="B123" s="4">
        <v>7738689809</v>
      </c>
      <c r="C123" s="4" t="s">
        <v>2229</v>
      </c>
    </row>
    <row r="124" spans="1:3" ht="20.100000000000001" customHeight="1">
      <c r="A124" s="4" t="s">
        <v>11576</v>
      </c>
      <c r="B124" s="4">
        <v>7738786404</v>
      </c>
      <c r="C124" s="4" t="s">
        <v>156</v>
      </c>
    </row>
    <row r="125" spans="1:3" ht="20.100000000000001" customHeight="1">
      <c r="A125" s="4" t="s">
        <v>1914</v>
      </c>
      <c r="B125" s="4">
        <v>7738924682</v>
      </c>
      <c r="C125" s="4" t="s">
        <v>1919</v>
      </c>
    </row>
    <row r="126" spans="1:3" ht="20.100000000000001" customHeight="1">
      <c r="A126" s="4" t="s">
        <v>8536</v>
      </c>
      <c r="B126" s="4">
        <v>7738934947</v>
      </c>
      <c r="C126" s="4" t="s">
        <v>8540</v>
      </c>
    </row>
    <row r="127" spans="1:3" ht="20.100000000000001" customHeight="1">
      <c r="A127" s="4" t="s">
        <v>6315</v>
      </c>
      <c r="B127" s="4">
        <v>7767053788</v>
      </c>
    </row>
    <row r="128" spans="1:3" ht="20.100000000000001" customHeight="1">
      <c r="A128" s="4" t="s">
        <v>12407</v>
      </c>
      <c r="B128" s="4">
        <v>7769847909</v>
      </c>
    </row>
    <row r="129" spans="1:3" ht="20.100000000000001" customHeight="1">
      <c r="A129" s="4" t="s">
        <v>9246</v>
      </c>
      <c r="B129" s="4">
        <v>7770047896</v>
      </c>
    </row>
    <row r="130" spans="1:3" ht="20.100000000000001" customHeight="1">
      <c r="A130" s="4" t="s">
        <v>7452</v>
      </c>
      <c r="B130" s="4">
        <v>7770938352</v>
      </c>
    </row>
    <row r="131" spans="1:3" ht="20.100000000000001" customHeight="1">
      <c r="A131" s="4" t="s">
        <v>7860</v>
      </c>
      <c r="B131" s="4">
        <v>7774956876</v>
      </c>
      <c r="C131" s="4" t="s">
        <v>7864</v>
      </c>
    </row>
    <row r="132" spans="1:3" ht="20.100000000000001" customHeight="1">
      <c r="A132" s="4" t="s">
        <v>4992</v>
      </c>
      <c r="B132" s="4">
        <v>7799550005</v>
      </c>
      <c r="C132" s="4" t="s">
        <v>4998</v>
      </c>
    </row>
    <row r="133" spans="1:3" ht="20.100000000000001" customHeight="1">
      <c r="A133" s="4" t="s">
        <v>6775</v>
      </c>
      <c r="B133" s="4">
        <v>7835917191</v>
      </c>
      <c r="C133" s="4" t="s">
        <v>6782</v>
      </c>
    </row>
    <row r="134" spans="1:3" ht="20.100000000000001" customHeight="1">
      <c r="A134" s="4" t="s">
        <v>5020</v>
      </c>
      <c r="B134" s="4">
        <v>7847996628</v>
      </c>
    </row>
    <row r="135" spans="1:3" ht="20.100000000000001" customHeight="1">
      <c r="A135" s="4" t="s">
        <v>2306</v>
      </c>
      <c r="B135" s="4">
        <v>7860080487</v>
      </c>
    </row>
    <row r="136" spans="1:3" ht="20.100000000000001" customHeight="1">
      <c r="A136" s="4" t="s">
        <v>4055</v>
      </c>
      <c r="B136" s="4">
        <v>7875555887</v>
      </c>
      <c r="C136" s="4" t="s">
        <v>355</v>
      </c>
    </row>
    <row r="137" spans="1:3" ht="20.100000000000001" customHeight="1">
      <c r="A137" s="4" t="s">
        <v>7065</v>
      </c>
      <c r="B137" s="4">
        <v>7875842625</v>
      </c>
      <c r="C137" s="4" t="s">
        <v>7068</v>
      </c>
    </row>
    <row r="138" spans="1:3" ht="20.100000000000001" customHeight="1">
      <c r="A138" s="4" t="s">
        <v>1530</v>
      </c>
      <c r="B138" s="4">
        <v>7887543249</v>
      </c>
    </row>
    <row r="139" spans="1:3" ht="20.100000000000001" customHeight="1">
      <c r="A139" s="4" t="s">
        <v>10152</v>
      </c>
      <c r="B139" s="4">
        <v>7893572330</v>
      </c>
      <c r="C139" s="4" t="s">
        <v>10157</v>
      </c>
    </row>
    <row r="140" spans="1:3" ht="20.100000000000001" customHeight="1">
      <c r="A140" s="4" t="s">
        <v>11118</v>
      </c>
      <c r="B140" s="4">
        <v>7894446607</v>
      </c>
    </row>
    <row r="141" spans="1:3" ht="20.100000000000001" customHeight="1">
      <c r="A141" s="4" t="s">
        <v>4436</v>
      </c>
      <c r="B141" s="4">
        <v>7900013545</v>
      </c>
      <c r="C141" s="4" t="s">
        <v>4442</v>
      </c>
    </row>
    <row r="142" spans="1:3" ht="20.100000000000001" customHeight="1">
      <c r="A142" s="4" t="s">
        <v>1519</v>
      </c>
      <c r="B142" s="4">
        <v>7900185930</v>
      </c>
      <c r="C142" s="4" t="s">
        <v>1525</v>
      </c>
    </row>
    <row r="143" spans="1:3" ht="20.100000000000001" customHeight="1">
      <c r="A143" s="4" t="s">
        <v>11767</v>
      </c>
      <c r="B143" s="4">
        <v>7903588819</v>
      </c>
      <c r="C143" s="4" t="s">
        <v>11772</v>
      </c>
    </row>
    <row r="144" spans="1:3" ht="20.100000000000001" customHeight="1">
      <c r="A144" s="4" t="s">
        <v>12690</v>
      </c>
      <c r="B144" s="4">
        <v>7906876152</v>
      </c>
    </row>
    <row r="145" spans="1:3" ht="20.100000000000001" customHeight="1">
      <c r="A145" s="4" t="s">
        <v>7312</v>
      </c>
      <c r="B145" s="4">
        <v>7907490929</v>
      </c>
    </row>
    <row r="146" spans="1:3" ht="20.100000000000001" customHeight="1">
      <c r="A146" s="4" t="s">
        <v>191</v>
      </c>
      <c r="B146" s="4">
        <v>7977055063</v>
      </c>
      <c r="C146" s="4" t="s">
        <v>200</v>
      </c>
    </row>
    <row r="147" spans="1:3" ht="20.100000000000001" customHeight="1">
      <c r="A147" s="4" t="s">
        <v>9983</v>
      </c>
      <c r="B147" s="4">
        <v>7977224320</v>
      </c>
      <c r="C147" s="4" t="s">
        <v>9988</v>
      </c>
    </row>
    <row r="148" spans="1:3" ht="20.100000000000001" customHeight="1">
      <c r="A148" s="4" t="s">
        <v>9859</v>
      </c>
      <c r="B148" s="4">
        <v>7977706162</v>
      </c>
      <c r="C148" s="4" t="s">
        <v>9864</v>
      </c>
    </row>
    <row r="149" spans="1:3" ht="20.100000000000001" customHeight="1">
      <c r="A149" s="4" t="s">
        <v>10355</v>
      </c>
      <c r="B149" s="4">
        <v>7977709592</v>
      </c>
      <c r="C149" s="4" t="s">
        <v>4354</v>
      </c>
    </row>
    <row r="150" spans="1:3" ht="20.100000000000001" customHeight="1">
      <c r="A150" s="4" t="s">
        <v>11889</v>
      </c>
      <c r="B150" s="4">
        <v>7977723055</v>
      </c>
      <c r="C150" s="4" t="s">
        <v>11893</v>
      </c>
    </row>
    <row r="151" spans="1:3" ht="20.100000000000001" customHeight="1">
      <c r="A151" s="4" t="s">
        <v>2923</v>
      </c>
      <c r="B151" s="4">
        <v>7977767463</v>
      </c>
      <c r="C151" s="4" t="s">
        <v>2928</v>
      </c>
    </row>
    <row r="152" spans="1:3" ht="20.100000000000001" customHeight="1">
      <c r="A152" s="4" t="s">
        <v>1799</v>
      </c>
      <c r="B152" s="4">
        <v>7977768247</v>
      </c>
      <c r="C152" s="4" t="s">
        <v>1807</v>
      </c>
    </row>
    <row r="153" spans="1:3" ht="20.100000000000001" customHeight="1">
      <c r="A153" s="4" t="s">
        <v>11937</v>
      </c>
      <c r="B153" s="4">
        <v>7979734150</v>
      </c>
      <c r="C153" s="4" t="s">
        <v>11941</v>
      </c>
    </row>
    <row r="154" spans="1:3" ht="20.100000000000001" customHeight="1">
      <c r="A154" s="4" t="s">
        <v>7240</v>
      </c>
      <c r="B154" s="4">
        <v>7982336977</v>
      </c>
    </row>
    <row r="155" spans="1:3" ht="20.100000000000001" customHeight="1">
      <c r="A155" s="4" t="s">
        <v>4673</v>
      </c>
      <c r="B155" s="4">
        <v>7984668958</v>
      </c>
      <c r="C155" s="4" t="s">
        <v>4679</v>
      </c>
    </row>
    <row r="156" spans="1:3" ht="20.100000000000001" customHeight="1">
      <c r="A156" s="4" t="s">
        <v>9794</v>
      </c>
      <c r="B156" s="4">
        <v>7987507660</v>
      </c>
      <c r="C156" s="4" t="s">
        <v>9799</v>
      </c>
    </row>
    <row r="157" spans="1:3" ht="20.100000000000001" customHeight="1">
      <c r="A157" s="4" t="s">
        <v>11757</v>
      </c>
      <c r="B157" s="4">
        <v>8007094655</v>
      </c>
      <c r="C157" s="4" t="s">
        <v>11763</v>
      </c>
    </row>
    <row r="158" spans="1:3" ht="20.100000000000001" customHeight="1">
      <c r="A158" s="4" t="s">
        <v>205</v>
      </c>
      <c r="B158" s="4">
        <v>8007879719</v>
      </c>
      <c r="C158" s="4" t="s">
        <v>211</v>
      </c>
    </row>
    <row r="159" spans="1:3" ht="20.100000000000001" customHeight="1">
      <c r="A159" s="4" t="s">
        <v>11215</v>
      </c>
      <c r="B159" s="4">
        <v>8015750941</v>
      </c>
      <c r="C159" s="4" t="s">
        <v>11220</v>
      </c>
    </row>
    <row r="160" spans="1:3" ht="20.100000000000001" customHeight="1">
      <c r="A160" s="4" t="s">
        <v>1045</v>
      </c>
      <c r="B160" s="4">
        <v>8015811370</v>
      </c>
      <c r="C160" s="4" t="s">
        <v>1052</v>
      </c>
    </row>
    <row r="161" spans="1:3" ht="20.100000000000001" customHeight="1">
      <c r="A161" s="4" t="s">
        <v>10405</v>
      </c>
      <c r="B161" s="4">
        <v>8016099349</v>
      </c>
      <c r="C161" s="4" t="s">
        <v>10411</v>
      </c>
    </row>
    <row r="162" spans="1:3" ht="20.100000000000001" customHeight="1">
      <c r="A162" s="4" t="s">
        <v>7460</v>
      </c>
      <c r="B162" s="4">
        <v>8016195690</v>
      </c>
      <c r="C162" s="4" t="s">
        <v>7464</v>
      </c>
    </row>
    <row r="163" spans="1:3" ht="20.100000000000001" customHeight="1">
      <c r="A163" s="4" t="s">
        <v>993</v>
      </c>
      <c r="B163" s="4">
        <v>8072238697</v>
      </c>
      <c r="C163" s="4" t="s">
        <v>1000</v>
      </c>
    </row>
    <row r="164" spans="1:3" ht="20.100000000000001" customHeight="1">
      <c r="A164" s="4" t="s">
        <v>12181</v>
      </c>
      <c r="B164" s="4">
        <v>8073601998</v>
      </c>
    </row>
    <row r="165" spans="1:3" ht="20.100000000000001" customHeight="1">
      <c r="A165" s="4" t="s">
        <v>10982</v>
      </c>
      <c r="B165" s="4">
        <v>8080708015</v>
      </c>
      <c r="C165" s="4" t="s">
        <v>10986</v>
      </c>
    </row>
    <row r="166" spans="1:3" ht="20.100000000000001" customHeight="1">
      <c r="A166" s="4" t="s">
        <v>7582</v>
      </c>
      <c r="B166" s="4">
        <v>8082026036</v>
      </c>
      <c r="C166" s="4" t="s">
        <v>7587</v>
      </c>
    </row>
    <row r="167" spans="1:3" ht="20.100000000000001" customHeight="1">
      <c r="A167" s="4" t="s">
        <v>10747</v>
      </c>
      <c r="B167" s="4">
        <v>8082298949</v>
      </c>
      <c r="C167" s="4" t="s">
        <v>7740</v>
      </c>
    </row>
    <row r="168" spans="1:3" ht="20.100000000000001" customHeight="1">
      <c r="A168" s="4" t="s">
        <v>1140</v>
      </c>
      <c r="B168" s="4">
        <v>8082798922</v>
      </c>
      <c r="C168" s="4" t="s">
        <v>1146</v>
      </c>
    </row>
    <row r="169" spans="1:3" ht="20.100000000000001" customHeight="1">
      <c r="A169" s="4" t="s">
        <v>9101</v>
      </c>
      <c r="B169" s="4">
        <v>8085772779</v>
      </c>
      <c r="C169" s="4" t="s">
        <v>9105</v>
      </c>
    </row>
    <row r="170" spans="1:3" ht="20.100000000000001" customHeight="1">
      <c r="A170" s="4" t="s">
        <v>7950</v>
      </c>
      <c r="B170" s="4">
        <v>8086056669</v>
      </c>
    </row>
    <row r="171" spans="1:3" ht="20.100000000000001" customHeight="1">
      <c r="A171" s="4" t="s">
        <v>8054</v>
      </c>
      <c r="B171" s="4">
        <v>8086238418</v>
      </c>
    </row>
    <row r="172" spans="1:3" ht="20.100000000000001" customHeight="1">
      <c r="A172" s="4" t="s">
        <v>730</v>
      </c>
      <c r="B172" s="4">
        <v>8087264159</v>
      </c>
      <c r="C172" s="4" t="s">
        <v>737</v>
      </c>
    </row>
    <row r="173" spans="1:3" ht="20.100000000000001" customHeight="1">
      <c r="A173" s="4" t="s">
        <v>9748</v>
      </c>
      <c r="B173" s="4">
        <v>8087297926</v>
      </c>
      <c r="C173" s="4" t="s">
        <v>9752</v>
      </c>
    </row>
    <row r="174" spans="1:3" ht="20.100000000000001" customHeight="1">
      <c r="A174" s="4" t="s">
        <v>11133</v>
      </c>
      <c r="B174" s="4">
        <v>8087568808</v>
      </c>
      <c r="C174" s="4" t="s">
        <v>11138</v>
      </c>
    </row>
    <row r="175" spans="1:3" ht="20.100000000000001" customHeight="1">
      <c r="A175" s="4" t="s">
        <v>9528</v>
      </c>
      <c r="B175" s="4">
        <v>8087796835</v>
      </c>
      <c r="C175" s="4" t="s">
        <v>9533</v>
      </c>
    </row>
    <row r="176" spans="1:3" ht="20.100000000000001" customHeight="1">
      <c r="A176" s="4" t="s">
        <v>5451</v>
      </c>
      <c r="B176" s="4">
        <v>8097046167</v>
      </c>
      <c r="C176" s="4" t="s">
        <v>5456</v>
      </c>
    </row>
    <row r="177" spans="1:3" ht="20.100000000000001" customHeight="1">
      <c r="A177" s="4" t="s">
        <v>6892</v>
      </c>
      <c r="B177" s="4">
        <v>8097392625</v>
      </c>
      <c r="C177" s="4" t="s">
        <v>4815</v>
      </c>
    </row>
    <row r="178" spans="1:3" ht="20.100000000000001" customHeight="1">
      <c r="A178" s="4" t="s">
        <v>11836</v>
      </c>
      <c r="B178" s="4">
        <v>8097693481</v>
      </c>
    </row>
    <row r="179" spans="1:3" ht="20.100000000000001" customHeight="1">
      <c r="A179" s="4" t="s">
        <v>12827</v>
      </c>
      <c r="B179" s="4">
        <v>8097752952</v>
      </c>
    </row>
    <row r="180" spans="1:3" ht="20.100000000000001" customHeight="1">
      <c r="A180" s="4" t="s">
        <v>7476</v>
      </c>
      <c r="B180" s="4">
        <v>8097948429</v>
      </c>
      <c r="C180" s="4" t="s">
        <v>7481</v>
      </c>
    </row>
    <row r="181" spans="1:3" ht="20.100000000000001" customHeight="1">
      <c r="A181" s="4" t="s">
        <v>6936</v>
      </c>
      <c r="B181" s="4">
        <v>8104731705</v>
      </c>
      <c r="C181" s="4" t="s">
        <v>6941</v>
      </c>
    </row>
    <row r="182" spans="1:3" ht="20.100000000000001" customHeight="1">
      <c r="A182" s="4" t="s">
        <v>9733</v>
      </c>
      <c r="B182" s="4">
        <v>8108077302</v>
      </c>
    </row>
    <row r="183" spans="1:3" ht="20.100000000000001" customHeight="1">
      <c r="A183" s="4" t="s">
        <v>7072</v>
      </c>
      <c r="B183" s="4">
        <v>8108282390</v>
      </c>
      <c r="C183" s="4" t="s">
        <v>7079</v>
      </c>
    </row>
    <row r="184" spans="1:3" ht="20.100000000000001" customHeight="1">
      <c r="A184" s="4" t="s">
        <v>1150</v>
      </c>
      <c r="B184" s="4">
        <v>8108704559</v>
      </c>
      <c r="C184" s="4" t="s">
        <v>1157</v>
      </c>
    </row>
    <row r="185" spans="1:3" ht="20.100000000000001" customHeight="1">
      <c r="A185" s="4" t="s">
        <v>3536</v>
      </c>
      <c r="B185" s="4">
        <v>8108944903</v>
      </c>
      <c r="C185" s="4" t="s">
        <v>3541</v>
      </c>
    </row>
    <row r="186" spans="1:3" ht="20.100000000000001" customHeight="1">
      <c r="A186" s="4" t="s">
        <v>5098</v>
      </c>
      <c r="B186" s="4">
        <v>8123032009</v>
      </c>
      <c r="C186" s="4" t="s">
        <v>5104</v>
      </c>
    </row>
    <row r="187" spans="1:3" ht="20.100000000000001" customHeight="1">
      <c r="A187" s="4" t="s">
        <v>4419</v>
      </c>
      <c r="B187" s="4">
        <v>8123357127</v>
      </c>
      <c r="C187" s="4" t="s">
        <v>4424</v>
      </c>
    </row>
    <row r="188" spans="1:3" ht="20.100000000000001" customHeight="1">
      <c r="A188" s="4" t="s">
        <v>10667</v>
      </c>
      <c r="B188" s="4">
        <v>8139046700</v>
      </c>
    </row>
    <row r="189" spans="1:3" ht="20.100000000000001" customHeight="1">
      <c r="A189" s="4" t="s">
        <v>12365</v>
      </c>
      <c r="B189" s="4">
        <v>8143361993</v>
      </c>
      <c r="C189" s="4" t="s">
        <v>5032</v>
      </c>
    </row>
    <row r="190" spans="1:3" ht="20.100000000000001" customHeight="1">
      <c r="A190" s="4" t="s">
        <v>1614</v>
      </c>
      <c r="B190" s="4">
        <v>8149700998</v>
      </c>
    </row>
    <row r="191" spans="1:3" ht="20.100000000000001" customHeight="1">
      <c r="A191" s="4" t="s">
        <v>5192</v>
      </c>
      <c r="B191" s="4">
        <v>8157996202</v>
      </c>
      <c r="C191" s="4" t="s">
        <v>5198</v>
      </c>
    </row>
    <row r="192" spans="1:3" ht="20.100000000000001" customHeight="1">
      <c r="A192" s="4" t="s">
        <v>8266</v>
      </c>
      <c r="B192" s="4">
        <v>8169070263</v>
      </c>
      <c r="C192" s="4" t="s">
        <v>7556</v>
      </c>
    </row>
    <row r="193" spans="1:3" ht="20.100000000000001" customHeight="1">
      <c r="A193" s="4" t="s">
        <v>6676</v>
      </c>
      <c r="B193" s="4">
        <v>8169084249</v>
      </c>
      <c r="C193" s="4" t="s">
        <v>6681</v>
      </c>
    </row>
    <row r="194" spans="1:3" ht="20.100000000000001" customHeight="1">
      <c r="A194" s="4" t="s">
        <v>5044</v>
      </c>
      <c r="B194" s="4">
        <v>8169831687</v>
      </c>
      <c r="C194" s="4" t="s">
        <v>5050</v>
      </c>
    </row>
    <row r="195" spans="1:3" ht="20.100000000000001" customHeight="1">
      <c r="A195" s="4" t="s">
        <v>5128</v>
      </c>
      <c r="B195" s="4">
        <v>8169916265</v>
      </c>
      <c r="C195" s="4" t="s">
        <v>2229</v>
      </c>
    </row>
    <row r="196" spans="1:3" ht="20.100000000000001" customHeight="1">
      <c r="A196" s="4" t="s">
        <v>3141</v>
      </c>
      <c r="B196" s="4">
        <v>8170000732</v>
      </c>
      <c r="C196" s="4" t="s">
        <v>3149</v>
      </c>
    </row>
    <row r="197" spans="1:3" ht="20.100000000000001" customHeight="1">
      <c r="A197" s="4" t="s">
        <v>3859</v>
      </c>
      <c r="B197" s="4">
        <v>8208892038</v>
      </c>
      <c r="C197" s="4" t="s">
        <v>3864</v>
      </c>
    </row>
    <row r="198" spans="1:3" ht="20.100000000000001" customHeight="1">
      <c r="A198" s="4" t="s">
        <v>6054</v>
      </c>
      <c r="B198" s="4">
        <v>8237257792</v>
      </c>
      <c r="C198" s="4" t="s">
        <v>6058</v>
      </c>
    </row>
    <row r="199" spans="1:3" ht="20.100000000000001" customHeight="1">
      <c r="A199" s="4" t="s">
        <v>3825</v>
      </c>
      <c r="B199" s="4">
        <v>8237770041</v>
      </c>
      <c r="C199" s="4" t="s">
        <v>3831</v>
      </c>
    </row>
    <row r="200" spans="1:3" ht="20.100000000000001" customHeight="1">
      <c r="A200" s="4" t="s">
        <v>12510</v>
      </c>
      <c r="B200" s="4">
        <v>8275286704</v>
      </c>
      <c r="C200" s="4" t="s">
        <v>12516</v>
      </c>
    </row>
    <row r="201" spans="1:3" ht="20.100000000000001" customHeight="1">
      <c r="A201" s="4" t="s">
        <v>12550</v>
      </c>
      <c r="B201" s="4">
        <v>8281525203</v>
      </c>
      <c r="C201" s="4" t="s">
        <v>12553</v>
      </c>
    </row>
    <row r="202" spans="1:3" ht="20.100000000000001" customHeight="1">
      <c r="A202" s="4" t="s">
        <v>9519</v>
      </c>
      <c r="B202" s="4">
        <v>8286283353</v>
      </c>
      <c r="C202" s="4" t="s">
        <v>9524</v>
      </c>
    </row>
    <row r="203" spans="1:3" ht="20.100000000000001" customHeight="1">
      <c r="A203" s="4" t="s">
        <v>432</v>
      </c>
      <c r="B203" s="4">
        <v>8286661640</v>
      </c>
      <c r="C203" s="4" t="s">
        <v>439</v>
      </c>
    </row>
    <row r="204" spans="1:3" ht="20.100000000000001" customHeight="1">
      <c r="A204" s="4" t="s">
        <v>6694</v>
      </c>
      <c r="B204" s="4">
        <v>8286841266</v>
      </c>
      <c r="C204" s="4" t="s">
        <v>6699</v>
      </c>
    </row>
    <row r="205" spans="1:3" ht="20.100000000000001" customHeight="1">
      <c r="A205" s="4" t="s">
        <v>6043</v>
      </c>
      <c r="B205" s="4">
        <v>8291261409</v>
      </c>
      <c r="C205" s="4" t="s">
        <v>6050</v>
      </c>
    </row>
    <row r="206" spans="1:3" ht="20.100000000000001" customHeight="1">
      <c r="A206" s="4" t="s">
        <v>10908</v>
      </c>
      <c r="B206" s="4">
        <v>8291286556</v>
      </c>
    </row>
    <row r="207" spans="1:3" ht="20.100000000000001" customHeight="1">
      <c r="A207" s="4" t="s">
        <v>6416</v>
      </c>
      <c r="B207" s="4">
        <v>8291390082</v>
      </c>
    </row>
    <row r="208" spans="1:3" ht="20.100000000000001" customHeight="1">
      <c r="A208" s="4" t="s">
        <v>5168</v>
      </c>
      <c r="B208" s="4">
        <v>8291418445</v>
      </c>
      <c r="C208" s="4" t="s">
        <v>5172</v>
      </c>
    </row>
    <row r="209" spans="1:3" ht="20.100000000000001" customHeight="1">
      <c r="A209" s="4" t="s">
        <v>7983</v>
      </c>
      <c r="B209" s="4">
        <v>8291489697</v>
      </c>
      <c r="C209" s="4" t="s">
        <v>7990</v>
      </c>
    </row>
    <row r="210" spans="1:3" ht="20.100000000000001" customHeight="1">
      <c r="A210" s="4" t="s">
        <v>10533</v>
      </c>
      <c r="B210" s="4">
        <v>8291895839</v>
      </c>
      <c r="C210" s="4" t="s">
        <v>10540</v>
      </c>
    </row>
    <row r="211" spans="1:3" ht="20.100000000000001" customHeight="1">
      <c r="A211" s="4" t="s">
        <v>64</v>
      </c>
      <c r="B211" s="4">
        <v>8334007186</v>
      </c>
      <c r="C211" s="4" t="s">
        <v>72</v>
      </c>
    </row>
    <row r="212" spans="1:3" ht="20.100000000000001" customHeight="1">
      <c r="A212" s="4" t="s">
        <v>10138</v>
      </c>
      <c r="B212" s="4">
        <v>8347529435</v>
      </c>
      <c r="C212" s="4" t="s">
        <v>10143</v>
      </c>
    </row>
    <row r="213" spans="1:3" ht="20.100000000000001" customHeight="1">
      <c r="A213" s="4" t="s">
        <v>7719</v>
      </c>
      <c r="B213" s="4">
        <v>8356923775</v>
      </c>
      <c r="C213" s="4" t="s">
        <v>7723</v>
      </c>
    </row>
    <row r="214" spans="1:3" ht="20.100000000000001" customHeight="1">
      <c r="A214" s="4" t="s">
        <v>4341</v>
      </c>
      <c r="B214" s="4">
        <v>8368001493</v>
      </c>
      <c r="C214" s="4" t="s">
        <v>4345</v>
      </c>
    </row>
    <row r="215" spans="1:3" ht="20.100000000000001" customHeight="1">
      <c r="A215" s="4" t="s">
        <v>7770</v>
      </c>
      <c r="B215" s="4">
        <v>8369117147</v>
      </c>
      <c r="C215" s="4" t="s">
        <v>7776</v>
      </c>
    </row>
    <row r="216" spans="1:3" ht="20.100000000000001" customHeight="1">
      <c r="A216" s="4" t="s">
        <v>3164</v>
      </c>
      <c r="B216" s="4">
        <v>8369212406</v>
      </c>
      <c r="C216" s="4" t="s">
        <v>3171</v>
      </c>
    </row>
    <row r="217" spans="1:3" ht="20.100000000000001" customHeight="1">
      <c r="A217" s="4" t="s">
        <v>8200</v>
      </c>
      <c r="B217" s="4">
        <v>8369790784</v>
      </c>
      <c r="C217" s="4" t="s">
        <v>8206</v>
      </c>
    </row>
    <row r="218" spans="1:3" ht="20.100000000000001" customHeight="1">
      <c r="A218" s="4" t="s">
        <v>890</v>
      </c>
      <c r="B218" s="4">
        <v>8378941575</v>
      </c>
      <c r="C218" s="4" t="s">
        <v>896</v>
      </c>
    </row>
    <row r="219" spans="1:3" ht="20.100000000000001" customHeight="1">
      <c r="A219" s="4" t="s">
        <v>4245</v>
      </c>
      <c r="B219" s="4">
        <v>8379049744</v>
      </c>
      <c r="C219" s="4" t="s">
        <v>4251</v>
      </c>
    </row>
    <row r="220" spans="1:3" ht="20.100000000000001" customHeight="1">
      <c r="A220" s="4" t="s">
        <v>5284</v>
      </c>
      <c r="B220" s="4">
        <v>8407901320</v>
      </c>
      <c r="C220" s="4" t="s">
        <v>5289</v>
      </c>
    </row>
    <row r="221" spans="1:3" ht="20.100000000000001" customHeight="1">
      <c r="A221" s="4" t="s">
        <v>8191</v>
      </c>
      <c r="B221" s="4">
        <v>8411904994</v>
      </c>
      <c r="C221" s="4" t="s">
        <v>8196</v>
      </c>
    </row>
    <row r="222" spans="1:3" ht="20.100000000000001" customHeight="1">
      <c r="A222" s="4" t="s">
        <v>11872</v>
      </c>
      <c r="B222" s="4">
        <v>8412049813</v>
      </c>
      <c r="C222" s="4" t="s">
        <v>11878</v>
      </c>
    </row>
    <row r="223" spans="1:3" ht="20.100000000000001" customHeight="1">
      <c r="A223" s="4" t="s">
        <v>5633</v>
      </c>
      <c r="B223" s="4">
        <v>8424010547</v>
      </c>
      <c r="C223" s="4" t="s">
        <v>5641</v>
      </c>
    </row>
    <row r="224" spans="1:3" ht="20.100000000000001" customHeight="1">
      <c r="A224" s="4" t="s">
        <v>11507</v>
      </c>
      <c r="B224" s="4">
        <v>8424041628</v>
      </c>
      <c r="C224" s="4" t="s">
        <v>7556</v>
      </c>
    </row>
    <row r="225" spans="1:3" ht="20.100000000000001" customHeight="1">
      <c r="A225" s="4" t="s">
        <v>2577</v>
      </c>
      <c r="B225" s="4">
        <v>8424066366</v>
      </c>
      <c r="C225" s="4" t="s">
        <v>2581</v>
      </c>
    </row>
    <row r="226" spans="1:3" ht="20.100000000000001" customHeight="1">
      <c r="A226" s="4" t="s">
        <v>12097</v>
      </c>
      <c r="B226" s="4">
        <v>8424860856</v>
      </c>
      <c r="C226" s="4" t="s">
        <v>12102</v>
      </c>
    </row>
    <row r="227" spans="1:3" ht="20.100000000000001" customHeight="1">
      <c r="A227" s="4" t="s">
        <v>9669</v>
      </c>
      <c r="B227" s="4">
        <v>8424870470</v>
      </c>
      <c r="C227" s="4" t="s">
        <v>9673</v>
      </c>
    </row>
    <row r="228" spans="1:3" ht="20.100000000000001" customHeight="1">
      <c r="A228" s="4" t="s">
        <v>7283</v>
      </c>
      <c r="B228" s="4">
        <v>8424908494</v>
      </c>
    </row>
    <row r="229" spans="1:3" ht="20.100000000000001" customHeight="1">
      <c r="A229" s="4" t="s">
        <v>4022</v>
      </c>
      <c r="B229" s="4">
        <v>8425897744</v>
      </c>
      <c r="C229" s="4" t="s">
        <v>4026</v>
      </c>
    </row>
    <row r="230" spans="1:3" ht="20.100000000000001" customHeight="1">
      <c r="A230" s="4" t="s">
        <v>8478</v>
      </c>
      <c r="B230" s="4">
        <v>8425980401</v>
      </c>
      <c r="C230" s="4" t="s">
        <v>8483</v>
      </c>
    </row>
    <row r="231" spans="1:3" ht="20.100000000000001" customHeight="1">
      <c r="A231" s="4" t="s">
        <v>8814</v>
      </c>
      <c r="B231" s="4">
        <v>8433516070</v>
      </c>
      <c r="C231" s="4" t="s">
        <v>8819</v>
      </c>
    </row>
    <row r="232" spans="1:3" ht="20.100000000000001" customHeight="1">
      <c r="A232" s="4" t="s">
        <v>2942</v>
      </c>
      <c r="B232" s="4">
        <v>8433643949</v>
      </c>
      <c r="C232" s="4" t="s">
        <v>2947</v>
      </c>
    </row>
    <row r="233" spans="1:3" ht="20.100000000000001" customHeight="1">
      <c r="A233" s="4" t="s">
        <v>1549</v>
      </c>
      <c r="B233" s="4">
        <v>8433864061</v>
      </c>
      <c r="C233" s="4" t="s">
        <v>1557</v>
      </c>
    </row>
    <row r="234" spans="1:3" ht="20.100000000000001" customHeight="1">
      <c r="A234" s="4" t="s">
        <v>8315</v>
      </c>
      <c r="B234" s="4">
        <v>8433925016</v>
      </c>
      <c r="C234" s="4" t="s">
        <v>2904</v>
      </c>
    </row>
    <row r="235" spans="1:3" ht="20.100000000000001" customHeight="1">
      <c r="A235" s="4" t="s">
        <v>9919</v>
      </c>
      <c r="B235" s="4">
        <v>8436165855</v>
      </c>
      <c r="C235" s="4" t="s">
        <v>9925</v>
      </c>
    </row>
    <row r="236" spans="1:3" ht="20.100000000000001" customHeight="1">
      <c r="A236" s="4" t="s">
        <v>7735</v>
      </c>
      <c r="B236" s="4">
        <v>8451035108</v>
      </c>
      <c r="C236" s="4" t="s">
        <v>7740</v>
      </c>
    </row>
    <row r="237" spans="1:3" ht="20.100000000000001" customHeight="1">
      <c r="A237" s="4" t="s">
        <v>4383</v>
      </c>
      <c r="B237" s="4">
        <v>8451060036</v>
      </c>
      <c r="C237" s="4" t="s">
        <v>4387</v>
      </c>
    </row>
    <row r="238" spans="1:3" ht="20.100000000000001" customHeight="1">
      <c r="A238" s="4" t="s">
        <v>10217</v>
      </c>
      <c r="B238" s="4">
        <v>8452982756</v>
      </c>
      <c r="C238" s="4" t="s">
        <v>10222</v>
      </c>
    </row>
    <row r="239" spans="1:3" ht="20.100000000000001" customHeight="1">
      <c r="A239" s="4" t="s">
        <v>10026</v>
      </c>
      <c r="B239" s="4">
        <v>8456978399</v>
      </c>
      <c r="C239" s="4" t="s">
        <v>10031</v>
      </c>
    </row>
    <row r="240" spans="1:3" ht="20.100000000000001" customHeight="1">
      <c r="A240" s="4" t="s">
        <v>7000</v>
      </c>
      <c r="B240" s="4">
        <v>8473885103</v>
      </c>
      <c r="C240" s="4" t="s">
        <v>7005</v>
      </c>
    </row>
    <row r="241" spans="1:3" ht="20.100000000000001" customHeight="1">
      <c r="A241" s="4" t="s">
        <v>6071</v>
      </c>
      <c r="B241" s="4">
        <v>8486672435</v>
      </c>
      <c r="C241" s="4" t="s">
        <v>6076</v>
      </c>
    </row>
    <row r="242" spans="1:3" ht="20.100000000000001" customHeight="1">
      <c r="A242" s="4" t="s">
        <v>7551</v>
      </c>
      <c r="B242" s="4">
        <v>8493897490</v>
      </c>
      <c r="C242" s="4" t="s">
        <v>7556</v>
      </c>
    </row>
    <row r="243" spans="1:3" ht="20.100000000000001" customHeight="1">
      <c r="A243" s="4" t="s">
        <v>2170</v>
      </c>
      <c r="B243" s="4">
        <v>8522939397</v>
      </c>
    </row>
    <row r="244" spans="1:3" ht="20.100000000000001" customHeight="1">
      <c r="A244" s="4" t="s">
        <v>7668</v>
      </c>
      <c r="B244" s="4">
        <v>8528010882</v>
      </c>
    </row>
    <row r="245" spans="1:3" ht="20.100000000000001" customHeight="1">
      <c r="A245" s="4" t="s">
        <v>6573</v>
      </c>
      <c r="B245" s="4">
        <v>8547608475</v>
      </c>
      <c r="C245" s="4" t="s">
        <v>6578</v>
      </c>
    </row>
    <row r="246" spans="1:3" ht="20.100000000000001" customHeight="1">
      <c r="A246" s="4" t="s">
        <v>2658</v>
      </c>
      <c r="B246" s="4">
        <v>8550963132</v>
      </c>
      <c r="C246" s="4" t="s">
        <v>2663</v>
      </c>
    </row>
    <row r="247" spans="1:3" ht="20.100000000000001" customHeight="1">
      <c r="A247" s="4" t="s">
        <v>12801</v>
      </c>
      <c r="B247" s="4">
        <v>8554864959</v>
      </c>
      <c r="C247" s="4" t="s">
        <v>12807</v>
      </c>
    </row>
    <row r="248" spans="1:3" ht="20.100000000000001" customHeight="1">
      <c r="A248" s="4" t="s">
        <v>7174</v>
      </c>
      <c r="B248" s="4">
        <v>8578062531</v>
      </c>
      <c r="C248" s="4" t="s">
        <v>7180</v>
      </c>
    </row>
    <row r="249" spans="1:3" ht="20.100000000000001" customHeight="1">
      <c r="A249" s="4" t="s">
        <v>11704</v>
      </c>
      <c r="B249" s="4">
        <v>8593868985</v>
      </c>
    </row>
    <row r="250" spans="1:3" ht="20.100000000000001" customHeight="1">
      <c r="A250" s="4" t="s">
        <v>4398</v>
      </c>
      <c r="B250" s="4">
        <v>8596950738</v>
      </c>
      <c r="C250" s="4" t="s">
        <v>4406</v>
      </c>
    </row>
    <row r="251" spans="1:3" ht="20.100000000000001" customHeight="1">
      <c r="A251" s="4" t="s">
        <v>975</v>
      </c>
      <c r="B251" s="4">
        <v>8600392973</v>
      </c>
      <c r="C251" s="4" t="s">
        <v>981</v>
      </c>
    </row>
    <row r="252" spans="1:3" ht="20.100000000000001" customHeight="1">
      <c r="A252" s="4" t="s">
        <v>7818</v>
      </c>
      <c r="B252" s="4">
        <v>8619926261</v>
      </c>
      <c r="C252" s="4" t="s">
        <v>7822</v>
      </c>
    </row>
    <row r="253" spans="1:3" ht="20.100000000000001" customHeight="1">
      <c r="A253" s="4" t="s">
        <v>10499</v>
      </c>
      <c r="B253" s="4">
        <v>8621874121</v>
      </c>
      <c r="C253" s="4" t="s">
        <v>10504</v>
      </c>
    </row>
    <row r="254" spans="1:3" ht="20.100000000000001" customHeight="1">
      <c r="A254" s="4" t="s">
        <v>7275</v>
      </c>
      <c r="B254" s="4">
        <v>8639065120</v>
      </c>
    </row>
    <row r="255" spans="1:3" ht="20.100000000000001" customHeight="1">
      <c r="A255" s="4" t="s">
        <v>4775</v>
      </c>
      <c r="B255" s="4">
        <v>8652011626</v>
      </c>
      <c r="C255" s="4" t="s">
        <v>4782</v>
      </c>
    </row>
    <row r="256" spans="1:3" ht="20.100000000000001" customHeight="1">
      <c r="A256" s="4" t="s">
        <v>1698</v>
      </c>
      <c r="B256" s="4">
        <v>8652042827</v>
      </c>
    </row>
    <row r="257" spans="1:3" ht="20.100000000000001" customHeight="1">
      <c r="A257" s="4" t="s">
        <v>11968</v>
      </c>
      <c r="B257" s="4">
        <v>8652046864</v>
      </c>
      <c r="C257" s="4" t="s">
        <v>11974</v>
      </c>
    </row>
    <row r="258" spans="1:3" ht="20.100000000000001" customHeight="1">
      <c r="A258" s="4" t="s">
        <v>12008</v>
      </c>
      <c r="B258" s="4">
        <v>8652186561</v>
      </c>
      <c r="C258" s="4" t="s">
        <v>12012</v>
      </c>
    </row>
    <row r="259" spans="1:3" ht="20.100000000000001" customHeight="1">
      <c r="A259" s="4" t="s">
        <v>12150</v>
      </c>
      <c r="B259" s="4">
        <v>8652459991</v>
      </c>
      <c r="C259" s="4" t="s">
        <v>156</v>
      </c>
    </row>
    <row r="260" spans="1:3" ht="20.100000000000001" customHeight="1">
      <c r="A260" s="4" t="s">
        <v>7726</v>
      </c>
      <c r="B260" s="4">
        <v>8652654437</v>
      </c>
      <c r="C260" s="4" t="s">
        <v>7731</v>
      </c>
    </row>
    <row r="261" spans="1:3" ht="20.100000000000001" customHeight="1">
      <c r="A261" s="4" t="s">
        <v>2863</v>
      </c>
      <c r="B261" s="4">
        <v>8652755175</v>
      </c>
      <c r="C261" s="4" t="s">
        <v>2867</v>
      </c>
    </row>
    <row r="262" spans="1:3" ht="20.100000000000001" customHeight="1">
      <c r="A262" s="4" t="s">
        <v>10201</v>
      </c>
      <c r="B262" s="4">
        <v>8655237115</v>
      </c>
      <c r="C262" s="4" t="s">
        <v>10206</v>
      </c>
    </row>
    <row r="263" spans="1:3" ht="20.100000000000001" customHeight="1">
      <c r="A263" s="4" t="s">
        <v>511</v>
      </c>
      <c r="B263" s="4">
        <v>8655302691</v>
      </c>
      <c r="C263" s="4" t="s">
        <v>520</v>
      </c>
    </row>
    <row r="264" spans="1:3" ht="20.100000000000001" customHeight="1">
      <c r="A264" s="4" t="s">
        <v>9885</v>
      </c>
      <c r="B264" s="4">
        <v>8655467646</v>
      </c>
      <c r="C264" s="4" t="s">
        <v>5658</v>
      </c>
    </row>
    <row r="265" spans="1:3" ht="20.100000000000001" customHeight="1">
      <c r="A265" s="4" t="s">
        <v>6231</v>
      </c>
      <c r="B265" s="4">
        <v>8655506020</v>
      </c>
      <c r="C265" s="4" t="s">
        <v>6236</v>
      </c>
    </row>
    <row r="266" spans="1:3" ht="20.100000000000001" customHeight="1">
      <c r="A266" s="4" t="s">
        <v>7348</v>
      </c>
      <c r="B266" s="4">
        <v>8655752110</v>
      </c>
      <c r="C266" s="4" t="s">
        <v>7353</v>
      </c>
    </row>
    <row r="267" spans="1:3" ht="20.100000000000001" customHeight="1">
      <c r="A267" s="4" t="s">
        <v>10091</v>
      </c>
      <c r="B267" s="4">
        <v>8655830272</v>
      </c>
    </row>
    <row r="268" spans="1:3" ht="20.100000000000001" customHeight="1">
      <c r="A268" s="4" t="s">
        <v>3912</v>
      </c>
      <c r="B268" s="4">
        <v>8655850885</v>
      </c>
      <c r="C268" s="4" t="s">
        <v>3917</v>
      </c>
    </row>
    <row r="269" spans="1:3" ht="20.100000000000001" customHeight="1">
      <c r="A269" s="4" t="s">
        <v>10786</v>
      </c>
      <c r="B269" s="4">
        <v>8668383652</v>
      </c>
    </row>
    <row r="270" spans="1:3" ht="20.100000000000001" customHeight="1">
      <c r="A270" s="4" t="s">
        <v>8461</v>
      </c>
      <c r="B270" s="4">
        <v>8689979912</v>
      </c>
      <c r="C270" s="4" t="s">
        <v>8466</v>
      </c>
    </row>
    <row r="271" spans="1:3" ht="20.100000000000001" customHeight="1">
      <c r="A271" s="4" t="s">
        <v>1361</v>
      </c>
      <c r="B271" s="4">
        <v>8691095604</v>
      </c>
      <c r="C271" s="4" t="s">
        <v>1367</v>
      </c>
    </row>
    <row r="272" spans="1:3" ht="20.100000000000001" customHeight="1">
      <c r="A272" s="4" t="s">
        <v>3985</v>
      </c>
      <c r="B272" s="4">
        <v>8691868824</v>
      </c>
      <c r="C272" s="4" t="s">
        <v>3990</v>
      </c>
    </row>
    <row r="273" spans="1:3" ht="20.100000000000001" customHeight="1">
      <c r="A273" s="4" t="s">
        <v>9626</v>
      </c>
      <c r="B273" s="4">
        <v>8692016769</v>
      </c>
    </row>
    <row r="274" spans="1:3" ht="20.100000000000001" customHeight="1">
      <c r="A274" s="4" t="s">
        <v>5709</v>
      </c>
      <c r="B274" s="4">
        <v>8692029076</v>
      </c>
      <c r="C274" s="4" t="s">
        <v>5715</v>
      </c>
    </row>
    <row r="275" spans="1:3" ht="20.100000000000001" customHeight="1">
      <c r="A275" s="4" t="s">
        <v>1924</v>
      </c>
      <c r="B275" s="4">
        <v>8692080372</v>
      </c>
      <c r="C275" s="4" t="s">
        <v>1929</v>
      </c>
    </row>
    <row r="276" spans="1:3" ht="20.100000000000001" customHeight="1">
      <c r="A276" s="4" t="s">
        <v>5539</v>
      </c>
      <c r="B276" s="4">
        <v>8692832178</v>
      </c>
    </row>
    <row r="277" spans="1:3" ht="20.100000000000001" customHeight="1">
      <c r="A277" s="4" t="s">
        <v>11284</v>
      </c>
      <c r="B277" s="4">
        <v>8692868944</v>
      </c>
    </row>
    <row r="278" spans="1:3" ht="20.100000000000001" customHeight="1">
      <c r="A278" s="4" t="s">
        <v>4958</v>
      </c>
      <c r="B278" s="4">
        <v>8692951835</v>
      </c>
      <c r="C278" s="4" t="s">
        <v>4964</v>
      </c>
    </row>
    <row r="279" spans="1:3" ht="20.100000000000001" customHeight="1">
      <c r="A279" s="4" t="s">
        <v>5562</v>
      </c>
      <c r="B279" s="4">
        <v>8693865361</v>
      </c>
    </row>
    <row r="280" spans="1:3" ht="20.100000000000001" customHeight="1">
      <c r="A280" s="4" t="s">
        <v>10828</v>
      </c>
      <c r="B280" s="4">
        <v>8767313513</v>
      </c>
      <c r="C280" s="4" t="s">
        <v>156</v>
      </c>
    </row>
    <row r="281" spans="1:3" ht="20.100000000000001" customHeight="1">
      <c r="A281" s="4" t="s">
        <v>6019</v>
      </c>
      <c r="B281" s="4">
        <v>8779504705</v>
      </c>
      <c r="C281" s="4" t="s">
        <v>6025</v>
      </c>
    </row>
    <row r="282" spans="1:3" ht="20.100000000000001" customHeight="1">
      <c r="A282" s="4" t="s">
        <v>12105</v>
      </c>
      <c r="B282" s="4">
        <v>8788115105</v>
      </c>
      <c r="C282" s="4" t="s">
        <v>12110</v>
      </c>
    </row>
    <row r="283" spans="1:3" ht="20.100000000000001" customHeight="1">
      <c r="A283" s="4" t="s">
        <v>7383</v>
      </c>
      <c r="B283" s="4">
        <v>8788225722</v>
      </c>
      <c r="C283" s="4" t="s">
        <v>7389</v>
      </c>
    </row>
    <row r="284" spans="1:3" ht="20.100000000000001" customHeight="1">
      <c r="A284" s="4" t="s">
        <v>5257</v>
      </c>
      <c r="B284" s="4">
        <v>8788330492</v>
      </c>
      <c r="C284" s="4" t="s">
        <v>5261</v>
      </c>
    </row>
    <row r="285" spans="1:3" ht="20.100000000000001" customHeight="1">
      <c r="A285" s="4" t="s">
        <v>4463</v>
      </c>
      <c r="B285" s="4">
        <v>8792000416</v>
      </c>
      <c r="C285" s="4" t="s">
        <v>4469</v>
      </c>
    </row>
    <row r="286" spans="1:3" ht="20.100000000000001" customHeight="1">
      <c r="A286" s="4" t="s">
        <v>11640</v>
      </c>
      <c r="B286" s="4">
        <v>8793034672</v>
      </c>
      <c r="C286" s="4" t="s">
        <v>11645</v>
      </c>
    </row>
    <row r="287" spans="1:3" ht="20.100000000000001" customHeight="1">
      <c r="A287" s="4" t="s">
        <v>9677</v>
      </c>
      <c r="B287" s="4">
        <v>8793490980</v>
      </c>
      <c r="C287" s="4" t="s">
        <v>355</v>
      </c>
    </row>
    <row r="288" spans="1:3" ht="20.100000000000001" customHeight="1">
      <c r="A288" s="4" t="s">
        <v>9267</v>
      </c>
      <c r="B288" s="4">
        <v>8793527273</v>
      </c>
      <c r="C288" s="4" t="s">
        <v>9272</v>
      </c>
    </row>
    <row r="289" spans="1:3" ht="20.100000000000001" customHeight="1">
      <c r="A289" s="4" t="s">
        <v>12632</v>
      </c>
      <c r="B289" s="4">
        <v>8793608710</v>
      </c>
      <c r="C289" s="4" t="s">
        <v>12637</v>
      </c>
    </row>
    <row r="290" spans="1:3" ht="20.100000000000001" customHeight="1">
      <c r="A290" s="4" t="s">
        <v>12901</v>
      </c>
      <c r="B290" s="4">
        <v>8800841150</v>
      </c>
      <c r="C290" s="4" t="s">
        <v>12904</v>
      </c>
    </row>
    <row r="291" spans="1:3" ht="20.100000000000001" customHeight="1">
      <c r="A291" s="4" t="s">
        <v>4968</v>
      </c>
      <c r="B291" s="4">
        <v>8808278552</v>
      </c>
    </row>
    <row r="292" spans="1:3" ht="20.100000000000001" customHeight="1">
      <c r="A292" s="4" t="s">
        <v>8104</v>
      </c>
      <c r="B292" s="4">
        <v>8819022088</v>
      </c>
    </row>
    <row r="293" spans="1:3" ht="20.100000000000001" customHeight="1">
      <c r="A293" s="4" t="s">
        <v>3279</v>
      </c>
      <c r="B293" s="4">
        <v>8826121735</v>
      </c>
      <c r="C293" s="4" t="s">
        <v>3285</v>
      </c>
    </row>
    <row r="294" spans="1:3" ht="20.100000000000001" customHeight="1">
      <c r="A294" s="4" t="s">
        <v>8759</v>
      </c>
      <c r="B294" s="4">
        <v>8828115161</v>
      </c>
      <c r="C294" s="4" t="s">
        <v>8763</v>
      </c>
    </row>
    <row r="295" spans="1:3" ht="20.100000000000001" customHeight="1">
      <c r="A295" s="4" t="s">
        <v>5963</v>
      </c>
      <c r="B295" s="4">
        <v>8848935648</v>
      </c>
    </row>
    <row r="296" spans="1:3" ht="20.100000000000001" customHeight="1">
      <c r="A296" s="4" t="s">
        <v>1160</v>
      </c>
      <c r="B296" s="4">
        <v>8850054481</v>
      </c>
      <c r="C296" s="4" t="s">
        <v>1168</v>
      </c>
    </row>
    <row r="297" spans="1:3" ht="20.100000000000001" customHeight="1">
      <c r="A297" s="4" t="s">
        <v>12833</v>
      </c>
      <c r="B297" s="4">
        <v>8850324396</v>
      </c>
      <c r="C297" s="4" t="s">
        <v>12837</v>
      </c>
    </row>
    <row r="298" spans="1:3" ht="20.100000000000001" customHeight="1">
      <c r="A298" s="4" t="s">
        <v>7975</v>
      </c>
      <c r="B298" s="4">
        <v>8850460972</v>
      </c>
      <c r="C298" s="4" t="s">
        <v>7979</v>
      </c>
    </row>
    <row r="299" spans="1:3" ht="20.100000000000001" customHeight="1">
      <c r="A299" s="4" t="s">
        <v>10304</v>
      </c>
      <c r="B299" s="4">
        <v>8850624530</v>
      </c>
      <c r="C299" s="4" t="s">
        <v>10309</v>
      </c>
    </row>
    <row r="300" spans="1:3" ht="20.100000000000001" customHeight="1">
      <c r="A300" s="4" t="s">
        <v>12175</v>
      </c>
      <c r="B300" s="4">
        <v>8850668304</v>
      </c>
      <c r="C300" s="4" t="s">
        <v>156</v>
      </c>
    </row>
    <row r="301" spans="1:3" ht="20.100000000000001" customHeight="1">
      <c r="A301" s="4" t="s">
        <v>11960</v>
      </c>
      <c r="B301" s="4">
        <v>8860864594</v>
      </c>
      <c r="C301" s="4" t="s">
        <v>11964</v>
      </c>
    </row>
    <row r="302" spans="1:3" ht="20.100000000000001" customHeight="1">
      <c r="A302" s="4" t="s">
        <v>8281</v>
      </c>
      <c r="B302" s="4">
        <v>8866135534</v>
      </c>
      <c r="C302" s="4" t="s">
        <v>8286</v>
      </c>
    </row>
    <row r="303" spans="1:3" ht="20.100000000000001" customHeight="1">
      <c r="A303" s="4" t="s">
        <v>4254</v>
      </c>
      <c r="B303" s="4">
        <v>8870661353</v>
      </c>
      <c r="C303" s="4" t="s">
        <v>4260</v>
      </c>
    </row>
    <row r="304" spans="1:3" ht="20.100000000000001" customHeight="1">
      <c r="A304" s="4" t="s">
        <v>4272</v>
      </c>
      <c r="B304" s="4">
        <v>8878294492</v>
      </c>
      <c r="C304" s="4" t="s">
        <v>4275</v>
      </c>
    </row>
    <row r="305" spans="1:3" ht="20.100000000000001" customHeight="1">
      <c r="A305" s="4" t="s">
        <v>26</v>
      </c>
      <c r="B305" s="4">
        <v>8879222430</v>
      </c>
      <c r="C305" s="4" t="s">
        <v>37</v>
      </c>
    </row>
    <row r="306" spans="1:3" ht="20.100000000000001" customHeight="1">
      <c r="A306" s="4" t="s">
        <v>12730</v>
      </c>
      <c r="B306" s="4">
        <v>8879294004</v>
      </c>
      <c r="C306" s="4" t="s">
        <v>5741</v>
      </c>
    </row>
    <row r="307" spans="1:3" ht="20.100000000000001" customHeight="1">
      <c r="A307" s="4" t="s">
        <v>2116</v>
      </c>
      <c r="B307" s="4">
        <v>8879386963</v>
      </c>
      <c r="C307" s="4" t="s">
        <v>2120</v>
      </c>
    </row>
    <row r="308" spans="1:3" ht="20.100000000000001" customHeight="1">
      <c r="A308" s="4" t="s">
        <v>1872</v>
      </c>
      <c r="B308" s="4">
        <v>8879406062</v>
      </c>
      <c r="C308" s="4" t="s">
        <v>1879</v>
      </c>
    </row>
    <row r="309" spans="1:3" ht="20.100000000000001" customHeight="1">
      <c r="A309" s="4" t="s">
        <v>12811</v>
      </c>
      <c r="B309" s="4">
        <v>8879515664</v>
      </c>
      <c r="C309" s="4" t="s">
        <v>12815</v>
      </c>
    </row>
    <row r="310" spans="1:3" ht="20.100000000000001" customHeight="1">
      <c r="A310" s="4" t="s">
        <v>10193</v>
      </c>
      <c r="B310" s="4">
        <v>8879536654</v>
      </c>
      <c r="C310" s="4" t="s">
        <v>10197</v>
      </c>
    </row>
    <row r="311" spans="1:3" ht="20.100000000000001" customHeight="1">
      <c r="A311" s="4" t="s">
        <v>7167</v>
      </c>
      <c r="B311" s="4">
        <v>8879548910</v>
      </c>
      <c r="C311" s="4" t="s">
        <v>3673</v>
      </c>
    </row>
    <row r="312" spans="1:3" ht="20.100000000000001" customHeight="1">
      <c r="A312" s="4" t="s">
        <v>11253</v>
      </c>
      <c r="B312" s="4">
        <v>8879552909</v>
      </c>
      <c r="C312" s="4" t="s">
        <v>11256</v>
      </c>
    </row>
    <row r="313" spans="1:3" ht="20.100000000000001" customHeight="1">
      <c r="A313" s="4" t="s">
        <v>12072</v>
      </c>
      <c r="B313" s="4">
        <v>8879553436</v>
      </c>
      <c r="C313" s="4" t="s">
        <v>12076</v>
      </c>
    </row>
    <row r="314" spans="1:3" ht="20.100000000000001" customHeight="1">
      <c r="A314" s="4" t="s">
        <v>2446</v>
      </c>
      <c r="B314" s="4">
        <v>8879610503</v>
      </c>
      <c r="C314" s="4" t="s">
        <v>2451</v>
      </c>
    </row>
    <row r="315" spans="1:3" ht="20.100000000000001" customHeight="1">
      <c r="A315" s="4" t="s">
        <v>1396</v>
      </c>
      <c r="B315" s="4">
        <v>8879640010</v>
      </c>
      <c r="C315" s="4" t="s">
        <v>1401</v>
      </c>
    </row>
    <row r="316" spans="1:3" ht="20.100000000000001" customHeight="1">
      <c r="A316" s="4" t="s">
        <v>4072</v>
      </c>
      <c r="B316" s="4">
        <v>8879672244</v>
      </c>
      <c r="C316" s="4" t="s">
        <v>4076</v>
      </c>
    </row>
    <row r="317" spans="1:3" ht="20.100000000000001" customHeight="1">
      <c r="A317" s="4" t="s">
        <v>9409</v>
      </c>
      <c r="B317" s="4">
        <v>8879769293</v>
      </c>
      <c r="C317" s="4" t="s">
        <v>4354</v>
      </c>
    </row>
    <row r="318" spans="1:3" ht="20.100000000000001" customHeight="1">
      <c r="A318" s="4" t="s">
        <v>3958</v>
      </c>
      <c r="B318" s="4">
        <v>8879839672</v>
      </c>
      <c r="C318" s="4" t="s">
        <v>2229</v>
      </c>
    </row>
    <row r="319" spans="1:3" ht="20.100000000000001" customHeight="1">
      <c r="A319" s="4" t="s">
        <v>4013</v>
      </c>
      <c r="B319" s="4">
        <v>8879848016</v>
      </c>
      <c r="C319" s="4" t="s">
        <v>2451</v>
      </c>
    </row>
    <row r="320" spans="1:3" ht="20.100000000000001" customHeight="1">
      <c r="A320" s="4" t="s">
        <v>6795</v>
      </c>
      <c r="B320" s="4">
        <v>8879908076</v>
      </c>
      <c r="C320" s="4" t="s">
        <v>6799</v>
      </c>
    </row>
    <row r="321" spans="1:3" ht="20.100000000000001" customHeight="1">
      <c r="A321" s="4" t="s">
        <v>4111</v>
      </c>
      <c r="B321" s="4">
        <v>8879908747</v>
      </c>
      <c r="C321" s="4" t="s">
        <v>4116</v>
      </c>
    </row>
    <row r="322" spans="1:3" ht="20.100000000000001" customHeight="1">
      <c r="A322" s="4" t="s">
        <v>10070</v>
      </c>
      <c r="B322" s="4">
        <v>8879921112</v>
      </c>
      <c r="C322" s="4" t="s">
        <v>10073</v>
      </c>
    </row>
    <row r="323" spans="1:3" ht="20.100000000000001" customHeight="1">
      <c r="A323" s="4" t="s">
        <v>9875</v>
      </c>
      <c r="B323" s="4">
        <v>8884440761</v>
      </c>
      <c r="C323" s="4" t="s">
        <v>9881</v>
      </c>
    </row>
    <row r="324" spans="1:3" ht="20.100000000000001" customHeight="1">
      <c r="A324" s="4" t="s">
        <v>5341</v>
      </c>
      <c r="B324" s="4">
        <v>8888055977</v>
      </c>
      <c r="C324" s="4" t="s">
        <v>5346</v>
      </c>
    </row>
    <row r="325" spans="1:3" ht="20.100000000000001" customHeight="1">
      <c r="A325" s="4" t="s">
        <v>8673</v>
      </c>
      <c r="B325" s="4">
        <v>8888421050</v>
      </c>
    </row>
    <row r="326" spans="1:3" ht="20.100000000000001" customHeight="1">
      <c r="A326" s="4" t="s">
        <v>5904</v>
      </c>
      <c r="B326" s="4">
        <v>8888449664</v>
      </c>
      <c r="C326" s="4" t="s">
        <v>355</v>
      </c>
    </row>
    <row r="327" spans="1:3" ht="20.100000000000001" customHeight="1">
      <c r="A327" s="4" t="s">
        <v>6504</v>
      </c>
      <c r="B327" s="4">
        <v>8891969532</v>
      </c>
      <c r="C327" s="4" t="s">
        <v>6508</v>
      </c>
    </row>
    <row r="328" spans="1:3" ht="20.100000000000001" customHeight="1">
      <c r="A328" s="4" t="s">
        <v>358</v>
      </c>
      <c r="B328" s="4">
        <v>8898031601</v>
      </c>
    </row>
    <row r="329" spans="1:3" ht="20.100000000000001" customHeight="1">
      <c r="A329" s="4" t="s">
        <v>8419</v>
      </c>
      <c r="B329" s="4">
        <v>8898189832</v>
      </c>
      <c r="C329" s="4" t="s">
        <v>8424</v>
      </c>
    </row>
    <row r="330" spans="1:3" ht="20.100000000000001" customHeight="1">
      <c r="A330" s="4" t="s">
        <v>702</v>
      </c>
      <c r="B330" s="4">
        <v>8898251248</v>
      </c>
      <c r="C330" s="4" t="s">
        <v>708</v>
      </c>
    </row>
    <row r="331" spans="1:3" ht="20.100000000000001" customHeight="1">
      <c r="A331" s="4" t="s">
        <v>11320</v>
      </c>
      <c r="B331" s="4">
        <v>8898260228</v>
      </c>
    </row>
    <row r="332" spans="1:3" ht="20.100000000000001" customHeight="1">
      <c r="A332" s="4" t="s">
        <v>7158</v>
      </c>
      <c r="B332" s="4">
        <v>8898289889</v>
      </c>
      <c r="C332" s="4" t="s">
        <v>7163</v>
      </c>
    </row>
    <row r="333" spans="1:3" ht="20.100000000000001" customHeight="1">
      <c r="A333" s="4" t="s">
        <v>8325</v>
      </c>
      <c r="B333" s="4">
        <v>8898346403</v>
      </c>
      <c r="C333" s="4" t="s">
        <v>8330</v>
      </c>
    </row>
    <row r="334" spans="1:3" ht="20.100000000000001" customHeight="1">
      <c r="A334" s="4" t="s">
        <v>12001</v>
      </c>
      <c r="B334" s="4">
        <v>8898415183</v>
      </c>
      <c r="C334" s="4" t="s">
        <v>2543</v>
      </c>
    </row>
    <row r="335" spans="1:3" ht="20.100000000000001" customHeight="1">
      <c r="A335" s="4" t="s">
        <v>2253</v>
      </c>
      <c r="B335" s="4">
        <v>8898476491</v>
      </c>
    </row>
    <row r="336" spans="1:3" ht="20.100000000000001" customHeight="1">
      <c r="A336" s="4" t="s">
        <v>8726</v>
      </c>
      <c r="B336" s="4">
        <v>8898522053</v>
      </c>
      <c r="C336" s="4" t="s">
        <v>8730</v>
      </c>
    </row>
    <row r="337" spans="1:3" ht="20.100000000000001" customHeight="1">
      <c r="A337" s="4" t="s">
        <v>1943</v>
      </c>
      <c r="B337" s="4">
        <v>8898525179</v>
      </c>
    </row>
    <row r="338" spans="1:3" ht="20.100000000000001" customHeight="1">
      <c r="A338" s="4" t="s">
        <v>5364</v>
      </c>
      <c r="B338" s="4">
        <v>8898747505</v>
      </c>
      <c r="C338" s="4" t="s">
        <v>520</v>
      </c>
    </row>
    <row r="339" spans="1:3" ht="20.100000000000001" customHeight="1">
      <c r="A339" s="4" t="s">
        <v>4606</v>
      </c>
      <c r="B339" s="4">
        <v>8907005884</v>
      </c>
      <c r="C339" s="4" t="s">
        <v>4611</v>
      </c>
    </row>
    <row r="340" spans="1:3" ht="20.100000000000001" customHeight="1">
      <c r="A340" s="4" t="s">
        <v>10690</v>
      </c>
      <c r="B340" s="4">
        <v>8921694637</v>
      </c>
      <c r="C340" s="4" t="s">
        <v>156</v>
      </c>
    </row>
    <row r="341" spans="1:3" ht="20.100000000000001" customHeight="1">
      <c r="A341" s="4" t="s">
        <v>11441</v>
      </c>
      <c r="B341" s="4">
        <v>8921930603</v>
      </c>
      <c r="C341" s="4" t="s">
        <v>11445</v>
      </c>
    </row>
    <row r="342" spans="1:3" ht="20.100000000000001" customHeight="1">
      <c r="A342" s="4" t="s">
        <v>6380</v>
      </c>
      <c r="B342" s="4">
        <v>8928330792</v>
      </c>
    </row>
    <row r="343" spans="1:3" ht="20.100000000000001" customHeight="1">
      <c r="A343" s="4" t="s">
        <v>11239</v>
      </c>
      <c r="B343" s="4">
        <v>8928420803</v>
      </c>
    </row>
    <row r="344" spans="1:3" ht="20.100000000000001" customHeight="1">
      <c r="A344" s="4" t="s">
        <v>5202</v>
      </c>
      <c r="B344" s="4">
        <v>8939206318</v>
      </c>
      <c r="C344" s="4" t="s">
        <v>534</v>
      </c>
    </row>
    <row r="345" spans="1:3" ht="20.100000000000001" customHeight="1">
      <c r="A345" s="4" t="s">
        <v>1727</v>
      </c>
      <c r="B345" s="4">
        <v>8956809907</v>
      </c>
      <c r="C345" s="4" t="s">
        <v>1733</v>
      </c>
    </row>
    <row r="346" spans="1:3" ht="20.100000000000001" customHeight="1">
      <c r="A346" s="4" t="s">
        <v>1239</v>
      </c>
      <c r="B346" s="4">
        <v>8971315779</v>
      </c>
      <c r="C346" s="4" t="s">
        <v>1244</v>
      </c>
    </row>
    <row r="347" spans="1:3" ht="20.100000000000001" customHeight="1">
      <c r="A347" s="4" t="s">
        <v>10369</v>
      </c>
      <c r="B347" s="4">
        <v>8976164758</v>
      </c>
      <c r="C347" s="4" t="s">
        <v>10373</v>
      </c>
    </row>
    <row r="348" spans="1:3" ht="20.100000000000001" customHeight="1">
      <c r="A348" s="4" t="s">
        <v>11880</v>
      </c>
      <c r="B348" s="4">
        <v>8976372544</v>
      </c>
      <c r="C348" s="4" t="s">
        <v>11885</v>
      </c>
    </row>
    <row r="349" spans="1:3" ht="20.100000000000001" customHeight="1">
      <c r="A349" s="4" t="s">
        <v>4749</v>
      </c>
      <c r="B349" s="4">
        <v>8976434291</v>
      </c>
      <c r="C349" s="4" t="s">
        <v>4753</v>
      </c>
    </row>
    <row r="350" spans="1:3" ht="20.100000000000001" customHeight="1">
      <c r="A350" s="4" t="s">
        <v>918</v>
      </c>
      <c r="B350" s="4">
        <v>8976792846</v>
      </c>
      <c r="C350" s="4" t="s">
        <v>926</v>
      </c>
    </row>
    <row r="351" spans="1:3" ht="20.100000000000001" customHeight="1">
      <c r="A351" s="4" t="s">
        <v>12542</v>
      </c>
      <c r="B351" s="4">
        <v>8976883577</v>
      </c>
      <c r="C351" s="4" t="s">
        <v>12547</v>
      </c>
    </row>
    <row r="352" spans="1:3" ht="20.100000000000001" customHeight="1">
      <c r="A352" s="4" t="s">
        <v>12400</v>
      </c>
      <c r="B352" s="4">
        <v>8976944439</v>
      </c>
      <c r="C352" s="4" t="s">
        <v>990</v>
      </c>
    </row>
    <row r="353" spans="1:3" ht="20.100000000000001" customHeight="1">
      <c r="A353" s="4" t="s">
        <v>7295</v>
      </c>
      <c r="B353" s="4">
        <v>8976994454</v>
      </c>
      <c r="C353" s="4" t="s">
        <v>7299</v>
      </c>
    </row>
    <row r="354" spans="1:3" ht="20.100000000000001" customHeight="1">
      <c r="A354" s="4" t="s">
        <v>1590</v>
      </c>
      <c r="B354" s="4">
        <v>8977951750</v>
      </c>
    </row>
    <row r="355" spans="1:3" ht="20.100000000000001" customHeight="1">
      <c r="A355" s="4" t="s">
        <v>5718</v>
      </c>
      <c r="B355" s="4">
        <v>8980802870</v>
      </c>
      <c r="C355" s="4" t="s">
        <v>5723</v>
      </c>
    </row>
    <row r="356" spans="1:3" ht="20.100000000000001" customHeight="1">
      <c r="A356" s="4" t="s">
        <v>8901</v>
      </c>
      <c r="B356" s="4">
        <v>8980920439</v>
      </c>
      <c r="C356" s="4" t="s">
        <v>8907</v>
      </c>
    </row>
    <row r="357" spans="1:3" ht="20.100000000000001" customHeight="1">
      <c r="A357" s="4" t="s">
        <v>2465</v>
      </c>
      <c r="B357" s="4">
        <v>8981542106</v>
      </c>
    </row>
    <row r="358" spans="1:3" ht="20.100000000000001" customHeight="1">
      <c r="A358" s="4" t="s">
        <v>10912</v>
      </c>
      <c r="B358" s="4">
        <v>8983216118</v>
      </c>
      <c r="C358" s="4" t="s">
        <v>10916</v>
      </c>
    </row>
    <row r="359" spans="1:3" ht="20.100000000000001" customHeight="1">
      <c r="A359" s="4" t="s">
        <v>10819</v>
      </c>
      <c r="B359" s="4">
        <v>8983523637</v>
      </c>
      <c r="C359" s="4" t="s">
        <v>5032</v>
      </c>
    </row>
    <row r="360" spans="1:3" ht="20.100000000000001" customHeight="1">
      <c r="A360" s="4" t="s">
        <v>669</v>
      </c>
      <c r="B360" s="4">
        <v>8983657976</v>
      </c>
      <c r="C360" s="4" t="s">
        <v>676</v>
      </c>
    </row>
    <row r="361" spans="1:3" ht="20.100000000000001" customHeight="1">
      <c r="A361" s="4" t="s">
        <v>2629</v>
      </c>
      <c r="B361" s="4">
        <v>8987538823</v>
      </c>
      <c r="C361" s="4" t="s">
        <v>2637</v>
      </c>
    </row>
    <row r="362" spans="1:3" ht="20.100000000000001" customHeight="1">
      <c r="A362" s="4" t="s">
        <v>3493</v>
      </c>
      <c r="B362" s="4">
        <v>9001345247</v>
      </c>
      <c r="C362" s="4" t="s">
        <v>3498</v>
      </c>
    </row>
    <row r="363" spans="1:3" ht="20.100000000000001" customHeight="1">
      <c r="A363" s="4" t="s">
        <v>4865</v>
      </c>
      <c r="B363" s="4">
        <v>9001962172</v>
      </c>
      <c r="C363" s="4" t="s">
        <v>4870</v>
      </c>
    </row>
    <row r="364" spans="1:3" ht="20.100000000000001" customHeight="1">
      <c r="A364" s="4" t="s">
        <v>1884</v>
      </c>
      <c r="B364" s="4">
        <v>9004067275</v>
      </c>
      <c r="C364" s="4" t="s">
        <v>1890</v>
      </c>
    </row>
    <row r="365" spans="1:3" ht="20.100000000000001" customHeight="1">
      <c r="A365" s="4" t="s">
        <v>3562</v>
      </c>
      <c r="B365" s="4">
        <v>9004122531</v>
      </c>
      <c r="C365" s="4" t="s">
        <v>3567</v>
      </c>
    </row>
    <row r="366" spans="1:3" ht="20.100000000000001" customHeight="1">
      <c r="A366" s="4" t="s">
        <v>11224</v>
      </c>
      <c r="B366" s="4">
        <v>9004526414</v>
      </c>
      <c r="C366" s="4" t="s">
        <v>11227</v>
      </c>
    </row>
    <row r="367" spans="1:3" ht="20.100000000000001" customHeight="1">
      <c r="A367" s="4" t="s">
        <v>2323</v>
      </c>
      <c r="B367" s="4">
        <v>9004579990</v>
      </c>
      <c r="C367" s="4" t="s">
        <v>2328</v>
      </c>
    </row>
    <row r="368" spans="1:3" ht="20.100000000000001" customHeight="1">
      <c r="A368" s="4" t="s">
        <v>5523</v>
      </c>
      <c r="B368" s="4">
        <v>9004657683</v>
      </c>
      <c r="C368" s="4" t="s">
        <v>5527</v>
      </c>
    </row>
    <row r="369" spans="1:3" ht="20.100000000000001" customHeight="1">
      <c r="A369" s="4" t="s">
        <v>10479</v>
      </c>
      <c r="B369" s="4">
        <v>9004675847</v>
      </c>
      <c r="C369" s="4" t="s">
        <v>10484</v>
      </c>
    </row>
    <row r="370" spans="1:3" ht="20.100000000000001" customHeight="1">
      <c r="A370" s="4" t="s">
        <v>10392</v>
      </c>
      <c r="B370" s="4">
        <v>9004678283</v>
      </c>
      <c r="C370" s="4" t="s">
        <v>2274</v>
      </c>
    </row>
    <row r="371" spans="1:3" ht="20.100000000000001" customHeight="1">
      <c r="A371" s="4" t="s">
        <v>8503</v>
      </c>
      <c r="B371" s="4">
        <v>9004827100</v>
      </c>
    </row>
    <row r="372" spans="1:3" ht="20.100000000000001" customHeight="1">
      <c r="A372" s="4" t="s">
        <v>6436</v>
      </c>
      <c r="B372" s="4">
        <v>9004845420</v>
      </c>
      <c r="C372" s="4" t="s">
        <v>6442</v>
      </c>
    </row>
    <row r="373" spans="1:3" ht="20.100000000000001" customHeight="1">
      <c r="A373" s="4" t="s">
        <v>9778</v>
      </c>
      <c r="B373" s="4">
        <v>9004852630</v>
      </c>
      <c r="C373" s="4" t="s">
        <v>9783</v>
      </c>
    </row>
    <row r="374" spans="1:3" ht="20.100000000000001" customHeight="1">
      <c r="A374" s="4" t="s">
        <v>6175</v>
      </c>
      <c r="B374" s="4">
        <v>9004869265</v>
      </c>
      <c r="C374" s="4" t="s">
        <v>6180</v>
      </c>
    </row>
    <row r="375" spans="1:3" ht="20.100000000000001" customHeight="1">
      <c r="A375" s="4" t="s">
        <v>11449</v>
      </c>
      <c r="B375" s="4">
        <v>9004946881</v>
      </c>
      <c r="C375" s="4" t="s">
        <v>11452</v>
      </c>
    </row>
    <row r="376" spans="1:3" ht="20.100000000000001" customHeight="1">
      <c r="A376" s="4" t="s">
        <v>11608</v>
      </c>
      <c r="B376" s="4">
        <v>9004956397</v>
      </c>
      <c r="C376" s="4" t="s">
        <v>11612</v>
      </c>
    </row>
    <row r="377" spans="1:3" ht="20.100000000000001" customHeight="1">
      <c r="A377" s="4" t="s">
        <v>8275</v>
      </c>
      <c r="B377" s="4">
        <v>9007885599</v>
      </c>
      <c r="C377" s="4" t="s">
        <v>8278</v>
      </c>
    </row>
    <row r="378" spans="1:3" ht="20.100000000000001" customHeight="1">
      <c r="A378" s="4" t="s">
        <v>5531</v>
      </c>
      <c r="B378" s="4">
        <v>9008287155</v>
      </c>
      <c r="C378" s="4" t="s">
        <v>5536</v>
      </c>
    </row>
    <row r="379" spans="1:3" ht="20.100000000000001" customHeight="1">
      <c r="A379" s="4" t="s">
        <v>11670</v>
      </c>
      <c r="B379" s="4">
        <v>9021714050</v>
      </c>
      <c r="C379" s="4" t="s">
        <v>11675</v>
      </c>
    </row>
    <row r="380" spans="1:3" ht="20.100000000000001" customHeight="1">
      <c r="B380" s="4">
        <v>9021714050</v>
      </c>
    </row>
    <row r="381" spans="1:3" ht="20.100000000000001" customHeight="1">
      <c r="A381" s="4" t="s">
        <v>5373</v>
      </c>
      <c r="B381" s="4">
        <v>9022060141</v>
      </c>
      <c r="C381" s="4" t="s">
        <v>5377</v>
      </c>
    </row>
    <row r="382" spans="1:3" ht="20.100000000000001" customHeight="1">
      <c r="A382" s="4" t="s">
        <v>6282</v>
      </c>
      <c r="B382" s="4">
        <v>9022272009</v>
      </c>
      <c r="C382" s="4" t="s">
        <v>5893</v>
      </c>
    </row>
    <row r="383" spans="1:3" ht="20.100000000000001" customHeight="1">
      <c r="A383" s="4" t="s">
        <v>6459</v>
      </c>
      <c r="B383" s="4">
        <v>9022366550</v>
      </c>
      <c r="C383" s="4" t="s">
        <v>6466</v>
      </c>
    </row>
    <row r="384" spans="1:3" ht="20.100000000000001" customHeight="1">
      <c r="A384" s="4" t="s">
        <v>944</v>
      </c>
      <c r="B384" s="4">
        <v>9022392455</v>
      </c>
      <c r="C384" s="4" t="s">
        <v>950</v>
      </c>
    </row>
    <row r="385" spans="1:3" ht="20.100000000000001" customHeight="1">
      <c r="A385" s="4" t="s">
        <v>2734</v>
      </c>
      <c r="B385" s="4">
        <v>9022520265</v>
      </c>
      <c r="C385" s="4" t="s">
        <v>5040</v>
      </c>
    </row>
    <row r="386" spans="1:3" ht="20.100000000000001" customHeight="1">
      <c r="A386" s="4" t="s">
        <v>5469</v>
      </c>
      <c r="B386" s="4">
        <v>9022587880</v>
      </c>
      <c r="C386" s="4" t="s">
        <v>5474</v>
      </c>
    </row>
    <row r="387" spans="1:3" ht="20.100000000000001" customHeight="1">
      <c r="A387" s="4" t="s">
        <v>5469</v>
      </c>
      <c r="B387" s="4">
        <v>9022587880</v>
      </c>
      <c r="C387" s="4" t="s">
        <v>10264</v>
      </c>
    </row>
    <row r="388" spans="1:3" ht="20.100000000000001" customHeight="1">
      <c r="A388" s="4" t="s">
        <v>2707</v>
      </c>
      <c r="B388" s="4">
        <v>9028367326</v>
      </c>
    </row>
    <row r="389" spans="1:3" ht="20.100000000000001" customHeight="1">
      <c r="A389" s="4" t="s">
        <v>4349</v>
      </c>
      <c r="B389" s="4">
        <v>9029000757</v>
      </c>
      <c r="C389" s="4" t="s">
        <v>4354</v>
      </c>
    </row>
    <row r="390" spans="1:3" ht="20.100000000000001" customHeight="1">
      <c r="A390" s="4" t="s">
        <v>11433</v>
      </c>
      <c r="B390" s="4">
        <v>9029090027</v>
      </c>
      <c r="C390" s="4" t="s">
        <v>11438</v>
      </c>
    </row>
    <row r="391" spans="1:3" ht="20.100000000000001" customHeight="1">
      <c r="A391" s="4" t="s">
        <v>8510</v>
      </c>
      <c r="B391" s="4">
        <v>9029102886</v>
      </c>
      <c r="C391" s="4" t="s">
        <v>8516</v>
      </c>
    </row>
    <row r="392" spans="1:3" ht="20.100000000000001" customHeight="1">
      <c r="A392" s="4" t="s">
        <v>8687</v>
      </c>
      <c r="B392" s="4">
        <v>9029294006</v>
      </c>
    </row>
    <row r="393" spans="1:3" ht="20.100000000000001" customHeight="1">
      <c r="A393" s="4" t="s">
        <v>402</v>
      </c>
      <c r="B393" s="4">
        <v>9029418900</v>
      </c>
      <c r="C393" s="4" t="s">
        <v>411</v>
      </c>
    </row>
    <row r="394" spans="1:3" ht="20.100000000000001" customHeight="1">
      <c r="A394" s="4" t="s">
        <v>1648</v>
      </c>
      <c r="B394" s="4">
        <v>9029473054</v>
      </c>
      <c r="C394" s="4" t="s">
        <v>1653</v>
      </c>
    </row>
    <row r="395" spans="1:3" ht="20.100000000000001" customHeight="1">
      <c r="A395" s="4" t="s">
        <v>3210</v>
      </c>
      <c r="B395" s="4">
        <v>9029515181</v>
      </c>
      <c r="C395" s="4" t="s">
        <v>2654</v>
      </c>
    </row>
    <row r="396" spans="1:3" ht="20.100000000000001" customHeight="1">
      <c r="A396" s="4" t="s">
        <v>8211</v>
      </c>
      <c r="B396" s="4">
        <v>9029637179</v>
      </c>
      <c r="C396" s="4" t="s">
        <v>8215</v>
      </c>
    </row>
    <row r="397" spans="1:3" ht="20.100000000000001" customHeight="1">
      <c r="A397" s="4" t="s">
        <v>8003</v>
      </c>
      <c r="B397" s="4">
        <v>9029794473</v>
      </c>
    </row>
    <row r="398" spans="1:3" ht="20.100000000000001" customHeight="1">
      <c r="A398" s="4" t="s">
        <v>6168</v>
      </c>
      <c r="B398" s="4">
        <v>9029806383</v>
      </c>
      <c r="C398" s="4" t="s">
        <v>6172</v>
      </c>
    </row>
    <row r="399" spans="1:3" ht="20.100000000000001" customHeight="1">
      <c r="A399" s="4" t="s">
        <v>8306</v>
      </c>
      <c r="B399" s="4">
        <v>9029892944</v>
      </c>
      <c r="C399" s="4" t="s">
        <v>8311</v>
      </c>
    </row>
    <row r="400" spans="1:3" ht="20.100000000000001" customHeight="1">
      <c r="A400" s="4" t="s">
        <v>11550</v>
      </c>
      <c r="B400" s="4">
        <v>9030566610</v>
      </c>
      <c r="C400" s="4" t="s">
        <v>11555</v>
      </c>
    </row>
    <row r="401" spans="1:3" ht="20.100000000000001" customHeight="1">
      <c r="A401" s="4" t="s">
        <v>2058</v>
      </c>
      <c r="B401" s="4">
        <v>9039622592</v>
      </c>
      <c r="C401" s="4" t="s">
        <v>2065</v>
      </c>
    </row>
    <row r="402" spans="1:3" ht="20.100000000000001" customHeight="1">
      <c r="A402" s="4" t="s">
        <v>7008</v>
      </c>
      <c r="B402" s="4">
        <v>9039940412</v>
      </c>
      <c r="C402" s="4" t="s">
        <v>7013</v>
      </c>
    </row>
    <row r="403" spans="1:3" ht="20.100000000000001" customHeight="1">
      <c r="A403" s="4" t="s">
        <v>9557</v>
      </c>
      <c r="B403" s="4">
        <v>9041905895</v>
      </c>
      <c r="C403" s="4" t="s">
        <v>9561</v>
      </c>
    </row>
    <row r="404" spans="1:3" ht="20.100000000000001" customHeight="1">
      <c r="A404" s="4" t="s">
        <v>8290</v>
      </c>
      <c r="B404" s="4">
        <v>9049121331</v>
      </c>
      <c r="C404" s="4" t="s">
        <v>8296</v>
      </c>
    </row>
    <row r="405" spans="1:3" ht="20.100000000000001" customHeight="1">
      <c r="A405" s="4" t="s">
        <v>12529</v>
      </c>
      <c r="B405" s="4">
        <v>9049390834</v>
      </c>
      <c r="C405" s="4" t="s">
        <v>9908</v>
      </c>
    </row>
    <row r="406" spans="1:3" ht="20.100000000000001" customHeight="1">
      <c r="A406" s="4" t="s">
        <v>8349</v>
      </c>
      <c r="B406" s="4">
        <v>9049787783</v>
      </c>
      <c r="C406" s="4" t="s">
        <v>5032</v>
      </c>
    </row>
    <row r="407" spans="1:3" ht="20.100000000000001" customHeight="1">
      <c r="A407" s="4" t="s">
        <v>8163</v>
      </c>
      <c r="B407" s="4">
        <v>9049934433</v>
      </c>
      <c r="C407" s="4" t="s">
        <v>355</v>
      </c>
    </row>
    <row r="408" spans="1:3" ht="20.100000000000001" customHeight="1">
      <c r="A408" s="4" t="s">
        <v>12713</v>
      </c>
      <c r="B408" s="4">
        <v>9061912874</v>
      </c>
      <c r="C408" s="4" t="s">
        <v>12717</v>
      </c>
    </row>
    <row r="409" spans="1:3" ht="20.100000000000001" customHeight="1">
      <c r="A409" s="4" t="s">
        <v>1821</v>
      </c>
      <c r="B409" s="4">
        <v>9062070651</v>
      </c>
      <c r="C409" s="4" t="s">
        <v>1828</v>
      </c>
    </row>
    <row r="410" spans="1:3" ht="20.100000000000001" customHeight="1">
      <c r="A410" s="4" t="s">
        <v>10382</v>
      </c>
      <c r="B410" s="4">
        <v>9067399881</v>
      </c>
      <c r="C410" s="4" t="s">
        <v>10388</v>
      </c>
    </row>
    <row r="411" spans="1:3" ht="20.100000000000001" customHeight="1">
      <c r="A411" s="4" t="s">
        <v>12610</v>
      </c>
      <c r="B411" s="4">
        <v>9075099227</v>
      </c>
    </row>
    <row r="412" spans="1:3" ht="20.100000000000001" customHeight="1">
      <c r="A412" s="4" t="s">
        <v>12414</v>
      </c>
      <c r="B412" s="4">
        <v>9075449217</v>
      </c>
      <c r="C412" s="4" t="s">
        <v>12419</v>
      </c>
    </row>
    <row r="413" spans="1:3" ht="20.100000000000001" customHeight="1">
      <c r="A413" s="4" t="s">
        <v>10424</v>
      </c>
      <c r="B413" s="4">
        <v>9082127589</v>
      </c>
      <c r="C413" s="4" t="s">
        <v>10428</v>
      </c>
    </row>
    <row r="414" spans="1:3" ht="20.100000000000001" customHeight="1">
      <c r="A414" s="4" t="s">
        <v>8623</v>
      </c>
      <c r="B414" s="4">
        <v>9082321454</v>
      </c>
      <c r="C414" s="4" t="s">
        <v>2229</v>
      </c>
    </row>
    <row r="415" spans="1:3" ht="20.100000000000001" customHeight="1">
      <c r="A415" s="4" t="s">
        <v>147</v>
      </c>
      <c r="B415" s="4">
        <v>9082508879</v>
      </c>
      <c r="C415" s="4" t="s">
        <v>156</v>
      </c>
    </row>
    <row r="416" spans="1:3" ht="20.100000000000001" customHeight="1">
      <c r="A416" s="4" t="s">
        <v>4560</v>
      </c>
      <c r="B416" s="4">
        <v>9082578085</v>
      </c>
      <c r="C416" s="4" t="s">
        <v>1889</v>
      </c>
    </row>
    <row r="417" spans="1:3" ht="20.100000000000001" customHeight="1">
      <c r="A417" s="4" t="s">
        <v>10451</v>
      </c>
      <c r="B417" s="4">
        <v>9082656339</v>
      </c>
      <c r="C417" s="4" t="s">
        <v>10456</v>
      </c>
    </row>
    <row r="418" spans="1:3" ht="20.100000000000001" customHeight="1">
      <c r="A418" s="4" t="s">
        <v>12228</v>
      </c>
      <c r="B418" s="4">
        <v>9082671663</v>
      </c>
    </row>
    <row r="419" spans="1:3" ht="20.100000000000001" customHeight="1">
      <c r="A419" s="4" t="s">
        <v>8235</v>
      </c>
      <c r="B419" s="4">
        <v>9082805377</v>
      </c>
      <c r="C419" s="4" t="s">
        <v>8240</v>
      </c>
    </row>
    <row r="420" spans="1:3" ht="20.100000000000001" customHeight="1">
      <c r="A420" s="4" t="s">
        <v>9055</v>
      </c>
      <c r="B420" s="4">
        <v>9088663613</v>
      </c>
    </row>
    <row r="421" spans="1:3" ht="20.100000000000001" customHeight="1">
      <c r="A421" s="4" t="s">
        <v>10242</v>
      </c>
      <c r="B421" s="4">
        <v>9096442140</v>
      </c>
      <c r="C421" s="4" t="s">
        <v>10248</v>
      </c>
    </row>
    <row r="422" spans="1:3" ht="20.100000000000001" customHeight="1">
      <c r="A422" s="4" t="s">
        <v>3219</v>
      </c>
      <c r="B422" s="4">
        <v>9096776898</v>
      </c>
      <c r="C422" s="4" t="s">
        <v>3224</v>
      </c>
    </row>
    <row r="423" spans="1:3" ht="20.100000000000001" customHeight="1">
      <c r="A423" s="4" t="s">
        <v>7116</v>
      </c>
      <c r="B423" s="4">
        <v>9096851410</v>
      </c>
    </row>
    <row r="424" spans="1:3" ht="20.100000000000001" customHeight="1">
      <c r="A424" s="4" t="s">
        <v>4391</v>
      </c>
      <c r="B424" s="4">
        <v>9096992456</v>
      </c>
      <c r="C424" s="4" t="s">
        <v>4395</v>
      </c>
    </row>
    <row r="425" spans="1:3" ht="20.100000000000001" customHeight="1">
      <c r="A425" s="4" t="s">
        <v>9346</v>
      </c>
      <c r="B425" s="4">
        <v>9099421856</v>
      </c>
      <c r="C425" s="4" t="s">
        <v>9353</v>
      </c>
    </row>
    <row r="426" spans="1:3" ht="20.100000000000001" customHeight="1">
      <c r="A426" s="4" t="s">
        <v>9300</v>
      </c>
      <c r="B426" s="4">
        <v>9130018299</v>
      </c>
      <c r="C426" s="4" t="s">
        <v>9306</v>
      </c>
    </row>
    <row r="427" spans="1:3" ht="20.100000000000001" customHeight="1">
      <c r="A427" s="4" t="s">
        <v>2032</v>
      </c>
      <c r="B427" s="4">
        <v>9136743692</v>
      </c>
    </row>
    <row r="428" spans="1:3" ht="20.100000000000001" customHeight="1">
      <c r="A428" s="4" t="s">
        <v>11046</v>
      </c>
      <c r="B428" s="4">
        <v>9137173856</v>
      </c>
    </row>
    <row r="429" spans="1:3" ht="20.100000000000001" customHeight="1">
      <c r="A429" s="4" t="s">
        <v>4926</v>
      </c>
      <c r="B429" s="4">
        <v>9140955195</v>
      </c>
      <c r="C429" s="4" t="s">
        <v>4932</v>
      </c>
    </row>
    <row r="430" spans="1:3" ht="20.100000000000001" customHeight="1">
      <c r="A430" s="4" t="s">
        <v>12880</v>
      </c>
      <c r="B430" s="4">
        <v>9148407884</v>
      </c>
      <c r="C430" s="4" t="s">
        <v>12883</v>
      </c>
    </row>
    <row r="431" spans="1:3" ht="20.100000000000001" customHeight="1">
      <c r="A431" s="4" t="s">
        <v>6785</v>
      </c>
      <c r="B431" s="4">
        <v>9156377517</v>
      </c>
      <c r="C431" s="4" t="s">
        <v>6791</v>
      </c>
    </row>
    <row r="432" spans="1:3" ht="20.100000000000001" customHeight="1">
      <c r="A432" s="4" t="s">
        <v>1769</v>
      </c>
      <c r="B432" s="4">
        <v>9158371879</v>
      </c>
      <c r="C432" s="4" t="s">
        <v>1777</v>
      </c>
    </row>
    <row r="433" spans="1:3" ht="20.100000000000001" customHeight="1">
      <c r="A433" s="4" t="s">
        <v>6364</v>
      </c>
      <c r="B433" s="4">
        <v>9162186494</v>
      </c>
      <c r="C433" s="4" t="s">
        <v>6368</v>
      </c>
    </row>
    <row r="434" spans="1:3" ht="20.100000000000001" customHeight="1">
      <c r="A434" s="4" t="s">
        <v>7711</v>
      </c>
      <c r="B434" s="4">
        <v>9163922016</v>
      </c>
      <c r="C434" s="4" t="s">
        <v>7715</v>
      </c>
    </row>
    <row r="435" spans="1:3" ht="20.100000000000001" customHeight="1">
      <c r="A435" s="4" t="s">
        <v>11932</v>
      </c>
      <c r="B435" s="4">
        <v>9167102479</v>
      </c>
    </row>
    <row r="436" spans="1:3" ht="20.100000000000001" customHeight="1">
      <c r="A436" s="4" t="s">
        <v>5379</v>
      </c>
      <c r="B436" s="4">
        <v>9167106765</v>
      </c>
      <c r="C436" s="4" t="s">
        <v>5386</v>
      </c>
    </row>
    <row r="437" spans="1:3" ht="20.100000000000001" customHeight="1">
      <c r="A437" s="4" t="s">
        <v>11454</v>
      </c>
      <c r="B437" s="4">
        <v>9167214013</v>
      </c>
      <c r="C437" s="4" t="s">
        <v>11460</v>
      </c>
    </row>
    <row r="438" spans="1:3" ht="20.100000000000001" customHeight="1">
      <c r="A438" s="4" t="s">
        <v>8259</v>
      </c>
      <c r="B438" s="4">
        <v>9167229696</v>
      </c>
      <c r="C438" s="4" t="s">
        <v>8264</v>
      </c>
    </row>
    <row r="439" spans="1:3" ht="20.100000000000001" customHeight="1">
      <c r="A439" s="4" t="s">
        <v>6348</v>
      </c>
      <c r="B439" s="4">
        <v>9167237996</v>
      </c>
      <c r="C439" s="4" t="s">
        <v>6353</v>
      </c>
    </row>
    <row r="440" spans="1:3" ht="20.100000000000001" customHeight="1">
      <c r="A440" s="4" t="s">
        <v>8551</v>
      </c>
      <c r="B440" s="4">
        <v>9167344114</v>
      </c>
      <c r="C440" s="4" t="s">
        <v>8555</v>
      </c>
    </row>
    <row r="441" spans="1:3" ht="20.100000000000001" customHeight="1">
      <c r="A441" s="4" t="s">
        <v>6035</v>
      </c>
      <c r="B441" s="4">
        <v>9167446426</v>
      </c>
      <c r="C441" s="4" t="s">
        <v>355</v>
      </c>
    </row>
    <row r="442" spans="1:3" ht="20.100000000000001" customHeight="1">
      <c r="A442" s="4" t="s">
        <v>113</v>
      </c>
      <c r="B442" s="4">
        <v>9167525089</v>
      </c>
      <c r="C442" s="4" t="s">
        <v>122</v>
      </c>
    </row>
    <row r="443" spans="1:3" ht="20.100000000000001" customHeight="1">
      <c r="A443" s="4" t="s">
        <v>4706</v>
      </c>
      <c r="B443" s="4">
        <v>9167582869</v>
      </c>
      <c r="C443" s="4" t="s">
        <v>4711</v>
      </c>
    </row>
    <row r="444" spans="1:3" ht="20.100000000000001" customHeight="1">
      <c r="A444" s="4" t="s">
        <v>5355</v>
      </c>
      <c r="B444" s="4">
        <v>9167620880</v>
      </c>
      <c r="C444" s="4" t="s">
        <v>5359</v>
      </c>
    </row>
    <row r="445" spans="1:3" ht="20.100000000000001" customHeight="1">
      <c r="A445" s="4" t="s">
        <v>12923</v>
      </c>
      <c r="B445" s="4">
        <v>9167696420</v>
      </c>
      <c r="C445" s="4" t="s">
        <v>12926</v>
      </c>
    </row>
    <row r="446" spans="1:3" ht="20.100000000000001" customHeight="1">
      <c r="A446" s="4" t="s">
        <v>4756</v>
      </c>
      <c r="B446" s="4">
        <v>9167717368</v>
      </c>
      <c r="C446" s="4" t="s">
        <v>4762</v>
      </c>
    </row>
    <row r="447" spans="1:3" ht="20.100000000000001" customHeight="1">
      <c r="A447" s="4" t="s">
        <v>6121</v>
      </c>
      <c r="B447" s="4">
        <v>9167719889</v>
      </c>
      <c r="C447" s="4" t="s">
        <v>6125</v>
      </c>
    </row>
    <row r="448" spans="1:3" ht="20.100000000000001" customHeight="1">
      <c r="A448" s="4" t="s">
        <v>12316</v>
      </c>
      <c r="B448" s="4">
        <v>9167795447</v>
      </c>
      <c r="C448" s="4" t="s">
        <v>12320</v>
      </c>
    </row>
    <row r="449" spans="1:3" ht="20.100000000000001" customHeight="1">
      <c r="A449" s="4" t="s">
        <v>3251</v>
      </c>
      <c r="B449" s="4">
        <v>9167830809</v>
      </c>
      <c r="C449" s="4" t="s">
        <v>3257</v>
      </c>
    </row>
    <row r="450" spans="1:3" ht="20.100000000000001" customHeight="1">
      <c r="A450" s="4" t="s">
        <v>4982</v>
      </c>
      <c r="B450" s="4">
        <v>9168512363</v>
      </c>
      <c r="C450" s="4" t="s">
        <v>4988</v>
      </c>
    </row>
    <row r="451" spans="1:3" ht="20.100000000000001" customHeight="1">
      <c r="A451" s="4" t="s">
        <v>12300</v>
      </c>
      <c r="B451" s="4">
        <v>9176007714</v>
      </c>
      <c r="C451" s="4" t="s">
        <v>1062</v>
      </c>
    </row>
    <row r="452" spans="1:3" ht="20.100000000000001" customHeight="1">
      <c r="A452" s="4" t="s">
        <v>6096</v>
      </c>
      <c r="B452" s="4">
        <v>9198042667</v>
      </c>
      <c r="C452" s="4" t="s">
        <v>6102</v>
      </c>
    </row>
    <row r="453" spans="1:3" ht="20.100000000000001" customHeight="1">
      <c r="A453" s="4" t="s">
        <v>5081</v>
      </c>
      <c r="B453" s="4">
        <v>9199759893</v>
      </c>
      <c r="C453" s="4" t="s">
        <v>5089</v>
      </c>
    </row>
    <row r="454" spans="1:3" ht="20.100000000000001" customHeight="1">
      <c r="A454" s="4" t="s">
        <v>8358</v>
      </c>
      <c r="B454" s="4">
        <v>9205765232</v>
      </c>
      <c r="C454" s="4" t="s">
        <v>8364</v>
      </c>
    </row>
    <row r="455" spans="1:3" ht="20.100000000000001" customHeight="1">
      <c r="A455" s="4" t="s">
        <v>5092</v>
      </c>
      <c r="B455" s="4">
        <v>9220455411</v>
      </c>
    </row>
    <row r="456" spans="1:3" ht="20.100000000000001" customHeight="1">
      <c r="A456" s="4" t="s">
        <v>680</v>
      </c>
      <c r="B456" s="4">
        <v>9221966335</v>
      </c>
      <c r="C456" s="4" t="s">
        <v>685</v>
      </c>
    </row>
    <row r="457" spans="1:3" ht="20.100000000000001" customHeight="1">
      <c r="A457" s="4" t="s">
        <v>3186</v>
      </c>
      <c r="B457" s="4">
        <v>9221966335</v>
      </c>
      <c r="C457" s="4" t="s">
        <v>3190</v>
      </c>
    </row>
    <row r="458" spans="1:3" ht="20.100000000000001" customHeight="1">
      <c r="A458" s="4" t="s">
        <v>741</v>
      </c>
      <c r="B458" s="4">
        <v>9222332222</v>
      </c>
      <c r="C458" s="4" t="s">
        <v>747</v>
      </c>
    </row>
    <row r="459" spans="1:3" ht="20.100000000000001" customHeight="1">
      <c r="A459" s="4" t="s">
        <v>4479</v>
      </c>
      <c r="B459" s="4">
        <v>9224604021</v>
      </c>
      <c r="C459" s="4" t="s">
        <v>4484</v>
      </c>
    </row>
    <row r="460" spans="1:3" ht="20.100000000000001" customHeight="1">
      <c r="A460" s="4" t="s">
        <v>2177</v>
      </c>
      <c r="B460" s="4">
        <v>9225108777</v>
      </c>
      <c r="C460" s="4" t="s">
        <v>2181</v>
      </c>
    </row>
    <row r="461" spans="1:3" ht="20.100000000000001" customHeight="1">
      <c r="A461" s="4" t="s">
        <v>525</v>
      </c>
      <c r="B461" s="4">
        <v>9272047486</v>
      </c>
      <c r="C461" s="4" t="s">
        <v>534</v>
      </c>
    </row>
    <row r="462" spans="1:3" ht="20.100000000000001" customHeight="1">
      <c r="A462" s="4" t="s">
        <v>12448</v>
      </c>
      <c r="B462" s="4">
        <v>9310012721</v>
      </c>
      <c r="C462" s="4" t="s">
        <v>12453</v>
      </c>
    </row>
    <row r="463" spans="1:3" ht="20.100000000000001" customHeight="1">
      <c r="A463" s="4" t="s">
        <v>2870</v>
      </c>
      <c r="B463" s="4">
        <v>9313266791</v>
      </c>
      <c r="C463" s="4" t="s">
        <v>2875</v>
      </c>
    </row>
    <row r="464" spans="1:3" ht="20.100000000000001" customHeight="1">
      <c r="A464" s="4" t="s">
        <v>1561</v>
      </c>
      <c r="B464" s="4">
        <v>9313328821</v>
      </c>
      <c r="C464" s="4" t="s">
        <v>1568</v>
      </c>
    </row>
    <row r="465" spans="1:3" ht="20.100000000000001" customHeight="1">
      <c r="A465" s="4" t="s">
        <v>2350</v>
      </c>
      <c r="B465" s="4">
        <v>9320099321</v>
      </c>
      <c r="C465" s="4" t="s">
        <v>2356</v>
      </c>
    </row>
    <row r="466" spans="1:3" ht="20.100000000000001" customHeight="1">
      <c r="A466" s="4" t="s">
        <v>8749</v>
      </c>
      <c r="B466" s="4">
        <v>9320667857</v>
      </c>
      <c r="C466" s="4" t="s">
        <v>8755</v>
      </c>
    </row>
    <row r="467" spans="1:3" ht="20.100000000000001" customHeight="1">
      <c r="A467" s="4" t="s">
        <v>6642</v>
      </c>
      <c r="B467" s="4">
        <v>9321032733</v>
      </c>
      <c r="C467" s="4" t="s">
        <v>6647</v>
      </c>
    </row>
    <row r="468" spans="1:3" ht="20.100000000000001" customHeight="1">
      <c r="A468" s="4" t="s">
        <v>12133</v>
      </c>
      <c r="B468" s="4">
        <v>9321078009</v>
      </c>
      <c r="C468" s="4" t="s">
        <v>12138</v>
      </c>
    </row>
    <row r="469" spans="1:3" ht="20.100000000000001" customHeight="1">
      <c r="A469" s="4" t="s">
        <v>8657</v>
      </c>
      <c r="B469" s="4">
        <v>9322027767</v>
      </c>
      <c r="C469" s="4" t="s">
        <v>8661</v>
      </c>
    </row>
    <row r="470" spans="1:3" ht="20.100000000000001" customHeight="1">
      <c r="A470" s="4" t="s">
        <v>9617</v>
      </c>
      <c r="B470" s="4">
        <v>9322820345</v>
      </c>
      <c r="C470" s="4" t="s">
        <v>9622</v>
      </c>
    </row>
    <row r="471" spans="1:3" ht="20.100000000000001" customHeight="1">
      <c r="A471" s="4" t="s">
        <v>12496</v>
      </c>
      <c r="B471" s="4">
        <v>9323464764</v>
      </c>
      <c r="C471" s="4" t="s">
        <v>2229</v>
      </c>
    </row>
    <row r="472" spans="1:3" ht="20.100000000000001" customHeight="1">
      <c r="A472" s="4" t="s">
        <v>12324</v>
      </c>
      <c r="B472" s="4">
        <v>9323655054</v>
      </c>
      <c r="C472" s="4" t="s">
        <v>2749</v>
      </c>
    </row>
    <row r="473" spans="1:3" ht="20.100000000000001" customHeight="1">
      <c r="A473" s="4" t="s">
        <v>10869</v>
      </c>
      <c r="B473" s="4">
        <v>9324174478</v>
      </c>
      <c r="C473" s="4" t="s">
        <v>9073</v>
      </c>
    </row>
    <row r="474" spans="1:3" ht="20.100000000000001" customHeight="1">
      <c r="A474" s="4" t="s">
        <v>10967</v>
      </c>
      <c r="B474" s="4">
        <v>9324431168</v>
      </c>
      <c r="C474" s="4" t="s">
        <v>10971</v>
      </c>
    </row>
    <row r="475" spans="1:3" ht="20.100000000000001" customHeight="1">
      <c r="A475" s="4" t="s">
        <v>2695</v>
      </c>
      <c r="B475" s="4">
        <v>9324580556</v>
      </c>
      <c r="C475" s="4" t="s">
        <v>2703</v>
      </c>
    </row>
    <row r="476" spans="1:3" ht="20.100000000000001" customHeight="1">
      <c r="A476" s="4" t="s">
        <v>4951</v>
      </c>
      <c r="B476" s="4">
        <v>9324653026</v>
      </c>
      <c r="C476" s="4" t="s">
        <v>2229</v>
      </c>
    </row>
    <row r="477" spans="1:3" ht="20.100000000000001" customHeight="1">
      <c r="A477" s="4" t="s">
        <v>7674</v>
      </c>
      <c r="B477" s="4">
        <v>9324764101</v>
      </c>
      <c r="C477" s="4" t="s">
        <v>7681</v>
      </c>
    </row>
    <row r="478" spans="1:3" ht="20.100000000000001" customHeight="1">
      <c r="A478" s="4" t="s">
        <v>5687</v>
      </c>
      <c r="B478" s="4">
        <v>9324771967</v>
      </c>
      <c r="C478" s="4" t="s">
        <v>5691</v>
      </c>
    </row>
    <row r="479" spans="1:3" ht="20.100000000000001" customHeight="1">
      <c r="A479" s="4" t="s">
        <v>7590</v>
      </c>
      <c r="B479" s="4">
        <v>9326762584</v>
      </c>
      <c r="C479" s="4" t="s">
        <v>7595</v>
      </c>
    </row>
    <row r="480" spans="1:3" ht="20.100000000000001" customHeight="1">
      <c r="A480" s="4" t="s">
        <v>8848</v>
      </c>
      <c r="B480" s="4">
        <v>9331104466</v>
      </c>
      <c r="C480" s="4" t="s">
        <v>8851</v>
      </c>
    </row>
    <row r="481" spans="1:3" ht="20.100000000000001" customHeight="1">
      <c r="A481" s="4" t="s">
        <v>4723</v>
      </c>
      <c r="B481" s="4">
        <v>9342501165</v>
      </c>
      <c r="C481" s="4" t="s">
        <v>4728</v>
      </c>
    </row>
    <row r="482" spans="1:3" ht="20.100000000000001" customHeight="1">
      <c r="A482" s="4" t="s">
        <v>5409</v>
      </c>
      <c r="B482" s="4">
        <v>9349088893</v>
      </c>
      <c r="C482" s="4" t="s">
        <v>2654</v>
      </c>
    </row>
    <row r="483" spans="1:3" ht="20.100000000000001" customHeight="1">
      <c r="A483" s="4" t="s">
        <v>2566</v>
      </c>
      <c r="B483" s="4">
        <v>9369296523</v>
      </c>
      <c r="C483" s="4" t="s">
        <v>2573</v>
      </c>
    </row>
    <row r="484" spans="1:3" ht="20.100000000000001" customHeight="1">
      <c r="A484" s="4" t="s">
        <v>4080</v>
      </c>
      <c r="B484" s="4">
        <v>9370267636</v>
      </c>
      <c r="C484" s="4" t="s">
        <v>4086</v>
      </c>
    </row>
    <row r="485" spans="1:3" ht="20.100000000000001" customHeight="1">
      <c r="A485" s="4" t="s">
        <v>8649</v>
      </c>
      <c r="B485" s="4">
        <v>9370718441</v>
      </c>
      <c r="C485" s="4" t="s">
        <v>8653</v>
      </c>
    </row>
    <row r="486" spans="1:3" ht="20.100000000000001" customHeight="1">
      <c r="A486" s="4" t="s">
        <v>6902</v>
      </c>
      <c r="B486" s="4">
        <v>9376199500</v>
      </c>
      <c r="C486" s="4" t="s">
        <v>6906</v>
      </c>
    </row>
    <row r="487" spans="1:3" ht="20.100000000000001" customHeight="1">
      <c r="A487" s="4" t="s">
        <v>8718</v>
      </c>
      <c r="B487" s="4">
        <v>9404563211</v>
      </c>
      <c r="C487" s="4" t="s">
        <v>8723</v>
      </c>
    </row>
    <row r="488" spans="1:3" ht="20.100000000000001" customHeight="1">
      <c r="A488" s="4" t="s">
        <v>10329</v>
      </c>
      <c r="B488" s="4">
        <v>9404951534</v>
      </c>
      <c r="C488" s="4" t="s">
        <v>597</v>
      </c>
    </row>
    <row r="489" spans="1:3" ht="20.100000000000001" customHeight="1">
      <c r="A489" s="4" t="s">
        <v>11615</v>
      </c>
      <c r="B489" s="4">
        <v>9408708454</v>
      </c>
      <c r="C489" s="4" t="s">
        <v>1062</v>
      </c>
    </row>
    <row r="490" spans="1:3" ht="20.100000000000001" customHeight="1">
      <c r="A490" s="4" t="s">
        <v>9370</v>
      </c>
      <c r="B490" s="4">
        <v>9414424380</v>
      </c>
      <c r="C490" s="4" t="s">
        <v>3454</v>
      </c>
    </row>
    <row r="491" spans="1:3" ht="20.100000000000001" customHeight="1">
      <c r="A491" s="4" t="s">
        <v>5389</v>
      </c>
      <c r="B491" s="4">
        <v>9427621937</v>
      </c>
      <c r="C491" s="4" t="s">
        <v>5396</v>
      </c>
    </row>
    <row r="492" spans="1:3" ht="20.100000000000001" customHeight="1">
      <c r="A492" s="4" t="s">
        <v>11025</v>
      </c>
      <c r="B492" s="4">
        <v>9438108561</v>
      </c>
    </row>
    <row r="493" spans="1:3" ht="20.100000000000001" customHeight="1">
      <c r="A493" s="4" t="s">
        <v>7192</v>
      </c>
      <c r="B493" s="4">
        <v>9439289150</v>
      </c>
      <c r="C493" s="4" t="s">
        <v>7197</v>
      </c>
    </row>
    <row r="494" spans="1:3" ht="20.100000000000001" customHeight="1">
      <c r="A494" s="4" t="s">
        <v>9739</v>
      </c>
      <c r="B494" s="4">
        <v>9444146400</v>
      </c>
      <c r="C494" s="4" t="s">
        <v>9744</v>
      </c>
    </row>
    <row r="495" spans="1:3" ht="20.100000000000001" customHeight="1">
      <c r="A495" s="4" t="s">
        <v>11600</v>
      </c>
      <c r="B495" s="4">
        <v>9447373418</v>
      </c>
      <c r="C495" s="4" t="s">
        <v>11605</v>
      </c>
    </row>
    <row r="496" spans="1:3" ht="20.100000000000001" customHeight="1">
      <c r="A496" s="4" t="s">
        <v>11327</v>
      </c>
      <c r="B496" s="4">
        <v>9447666942</v>
      </c>
      <c r="C496" s="4" t="s">
        <v>11332</v>
      </c>
    </row>
    <row r="497" spans="1:3" ht="20.100000000000001" customHeight="1">
      <c r="A497" s="4" t="s">
        <v>5821</v>
      </c>
      <c r="B497" s="4">
        <v>9457935480</v>
      </c>
    </row>
    <row r="498" spans="1:3" ht="20.100000000000001" customHeight="1">
      <c r="A498" s="4" t="s">
        <v>12755</v>
      </c>
      <c r="B498" s="4">
        <v>9462719709</v>
      </c>
      <c r="C498" s="4" t="s">
        <v>12758</v>
      </c>
    </row>
    <row r="499" spans="1:3" ht="20.100000000000001" customHeight="1">
      <c r="A499" s="4" t="s">
        <v>1213</v>
      </c>
      <c r="B499" s="4">
        <v>9476287960</v>
      </c>
    </row>
    <row r="500" spans="1:3" ht="20.100000000000001" customHeight="1">
      <c r="A500" s="4" t="s">
        <v>7139</v>
      </c>
      <c r="B500" s="4">
        <v>9479132049</v>
      </c>
      <c r="C500" s="4" t="s">
        <v>7144</v>
      </c>
    </row>
    <row r="501" spans="1:3" ht="20.100000000000001" customHeight="1">
      <c r="A501" s="4" t="s">
        <v>11207</v>
      </c>
      <c r="B501" s="4">
        <v>9494839764</v>
      </c>
      <c r="C501" s="4" t="s">
        <v>11212</v>
      </c>
    </row>
    <row r="502" spans="1:3" ht="20.100000000000001" customHeight="1">
      <c r="A502" s="4" t="s">
        <v>12556</v>
      </c>
      <c r="B502" s="4">
        <v>9495080526</v>
      </c>
    </row>
    <row r="503" spans="1:3" ht="20.100000000000001" customHeight="1">
      <c r="A503" s="4" t="s">
        <v>2518</v>
      </c>
      <c r="B503" s="4">
        <v>9496668868</v>
      </c>
      <c r="C503" s="4" t="s">
        <v>2525</v>
      </c>
    </row>
    <row r="504" spans="1:3" ht="20.100000000000001" customHeight="1">
      <c r="A504" s="4" t="s">
        <v>2839</v>
      </c>
      <c r="B504" s="4">
        <v>9503527921</v>
      </c>
      <c r="C504" s="4" t="s">
        <v>2846</v>
      </c>
    </row>
    <row r="505" spans="1:3" ht="20.100000000000001" customHeight="1">
      <c r="A505" s="4" t="s">
        <v>5025</v>
      </c>
      <c r="B505" s="4">
        <v>9503734878</v>
      </c>
      <c r="C505" s="4" t="s">
        <v>5032</v>
      </c>
    </row>
    <row r="506" spans="1:3" ht="20.100000000000001" customHeight="1">
      <c r="A506" s="4" t="s">
        <v>46</v>
      </c>
      <c r="B506" s="4">
        <v>9503887683</v>
      </c>
      <c r="C506" s="4" t="s">
        <v>55</v>
      </c>
    </row>
    <row r="507" spans="1:3" ht="20.100000000000001" customHeight="1">
      <c r="A507" s="4" t="s">
        <v>2798</v>
      </c>
      <c r="B507" s="4">
        <v>9509777482</v>
      </c>
      <c r="C507" s="4" t="s">
        <v>2804</v>
      </c>
    </row>
    <row r="508" spans="1:3" ht="20.100000000000001" customHeight="1">
      <c r="A508" s="4" t="s">
        <v>10097</v>
      </c>
      <c r="B508" s="4">
        <v>9527648037</v>
      </c>
      <c r="C508" s="4" t="s">
        <v>10103</v>
      </c>
    </row>
    <row r="509" spans="1:3" ht="20.100000000000001" customHeight="1">
      <c r="A509" s="4" t="s">
        <v>1414</v>
      </c>
      <c r="B509" s="4">
        <v>9531927503</v>
      </c>
      <c r="C509" s="4" t="s">
        <v>1421</v>
      </c>
    </row>
    <row r="510" spans="1:3" ht="20.100000000000001" customHeight="1">
      <c r="A510" s="4" t="s">
        <v>4213</v>
      </c>
      <c r="B510" s="4">
        <v>9533363412</v>
      </c>
      <c r="C510" s="4" t="s">
        <v>4216</v>
      </c>
    </row>
    <row r="511" spans="1:3" ht="20.100000000000001" customHeight="1">
      <c r="A511" s="4" t="s">
        <v>1604</v>
      </c>
      <c r="B511" s="4">
        <v>9533525577</v>
      </c>
      <c r="C511" s="4" t="s">
        <v>1610</v>
      </c>
    </row>
    <row r="512" spans="1:3" ht="20.100000000000001" customHeight="1">
      <c r="A512" s="4" t="s">
        <v>12124</v>
      </c>
      <c r="B512" s="4">
        <v>9534589277</v>
      </c>
      <c r="C512" s="4" t="s">
        <v>12129</v>
      </c>
    </row>
    <row r="513" spans="1:3" ht="20.100000000000001" customHeight="1">
      <c r="A513" s="4" t="s">
        <v>214</v>
      </c>
      <c r="B513" s="4">
        <v>9538274499</v>
      </c>
      <c r="C513" s="4" t="s">
        <v>223</v>
      </c>
    </row>
    <row r="514" spans="1:3" ht="20.100000000000001" customHeight="1">
      <c r="A514" s="4" t="s">
        <v>1260</v>
      </c>
      <c r="B514" s="4">
        <v>9550246758</v>
      </c>
      <c r="C514" s="4" t="s">
        <v>1267</v>
      </c>
    </row>
    <row r="515" spans="1:3" ht="20.100000000000001" customHeight="1">
      <c r="A515" s="4" t="s">
        <v>6408</v>
      </c>
      <c r="B515" s="4">
        <v>9552189406</v>
      </c>
      <c r="C515" s="4" t="s">
        <v>6413</v>
      </c>
    </row>
    <row r="516" spans="1:3" ht="20.100000000000001" customHeight="1">
      <c r="A516" s="4" t="s">
        <v>4357</v>
      </c>
      <c r="B516" s="4">
        <v>9561194789</v>
      </c>
      <c r="C516" s="4" t="s">
        <v>4362</v>
      </c>
    </row>
    <row r="517" spans="1:3" ht="20.100000000000001" customHeight="1">
      <c r="A517" s="4" t="s">
        <v>11182</v>
      </c>
      <c r="B517" s="4">
        <v>9564949618</v>
      </c>
      <c r="C517" s="4" t="s">
        <v>11187</v>
      </c>
    </row>
    <row r="518" spans="1:3" ht="20.100000000000001" customHeight="1">
      <c r="A518" s="4" t="s">
        <v>1638</v>
      </c>
      <c r="B518" s="4">
        <v>9566207981</v>
      </c>
      <c r="C518" s="4" t="s">
        <v>1644</v>
      </c>
    </row>
    <row r="519" spans="1:3" ht="20.100000000000001" customHeight="1">
      <c r="A519" s="4" t="s">
        <v>616</v>
      </c>
      <c r="B519" s="4">
        <v>9567227624</v>
      </c>
      <c r="C519" s="4" t="s">
        <v>623</v>
      </c>
    </row>
    <row r="520" spans="1:3" ht="20.100000000000001" customHeight="1">
      <c r="A520" s="4" t="s">
        <v>2436</v>
      </c>
      <c r="B520" s="4">
        <v>9567761536</v>
      </c>
      <c r="C520" s="4" t="s">
        <v>2442</v>
      </c>
    </row>
    <row r="521" spans="1:3" ht="20.100000000000001" customHeight="1">
      <c r="A521" s="4" t="s">
        <v>7615</v>
      </c>
      <c r="B521" s="4">
        <v>9573316339</v>
      </c>
      <c r="C521" s="4" t="s">
        <v>7620</v>
      </c>
    </row>
    <row r="522" spans="1:3" ht="20.100000000000001" customHeight="1">
      <c r="A522" s="4" t="s">
        <v>6701</v>
      </c>
      <c r="B522" s="4">
        <v>9588688783</v>
      </c>
      <c r="C522" s="4" t="s">
        <v>6707</v>
      </c>
    </row>
    <row r="523" spans="1:3" ht="20.100000000000001" customHeight="1">
      <c r="A523" s="4" t="s">
        <v>12575</v>
      </c>
      <c r="B523" s="4">
        <v>9594063332</v>
      </c>
      <c r="C523" s="4" t="s">
        <v>12578</v>
      </c>
    </row>
    <row r="524" spans="1:3" ht="20.100000000000001" customHeight="1">
      <c r="A524" s="4" t="s">
        <v>273</v>
      </c>
      <c r="B524" s="4">
        <v>9594080410</v>
      </c>
      <c r="C524" s="4" t="s">
        <v>280</v>
      </c>
    </row>
    <row r="525" spans="1:3" ht="20.100000000000001" customHeight="1">
      <c r="A525" s="4" t="s">
        <v>2411</v>
      </c>
      <c r="B525" s="4">
        <v>9594308443</v>
      </c>
    </row>
    <row r="526" spans="1:3" ht="20.100000000000001" customHeight="1">
      <c r="A526" s="4" t="s">
        <v>7319</v>
      </c>
      <c r="B526" s="4">
        <v>9594310080</v>
      </c>
      <c r="C526" s="4" t="s">
        <v>7325</v>
      </c>
    </row>
    <row r="527" spans="1:3" ht="20.100000000000001" customHeight="1">
      <c r="A527" s="4" t="s">
        <v>7041</v>
      </c>
      <c r="B527" s="4">
        <v>9594312821</v>
      </c>
    </row>
    <row r="528" spans="1:3" ht="20.100000000000001" customHeight="1">
      <c r="A528" s="4" t="s">
        <v>7567</v>
      </c>
      <c r="B528" s="4">
        <v>9594514955</v>
      </c>
      <c r="C528" s="4" t="s">
        <v>7571</v>
      </c>
    </row>
    <row r="529" spans="1:3" ht="20.100000000000001" customHeight="1">
      <c r="A529" s="4" t="s">
        <v>11633</v>
      </c>
      <c r="B529" s="4">
        <v>9594653608</v>
      </c>
    </row>
    <row r="530" spans="1:3" ht="20.100000000000001" customHeight="1">
      <c r="A530" s="4" t="s">
        <v>9894</v>
      </c>
      <c r="B530" s="4">
        <v>9594819150</v>
      </c>
      <c r="C530" s="4" t="s">
        <v>9898</v>
      </c>
    </row>
    <row r="531" spans="1:3" ht="20.100000000000001" customHeight="1">
      <c r="A531" s="4" t="s">
        <v>5913</v>
      </c>
      <c r="B531" s="4">
        <v>9594865148</v>
      </c>
      <c r="C531" s="4" t="s">
        <v>5918</v>
      </c>
    </row>
    <row r="532" spans="1:3" ht="20.100000000000001" customHeight="1">
      <c r="A532" s="4" t="s">
        <v>1508</v>
      </c>
      <c r="B532" s="4">
        <v>9597190601</v>
      </c>
      <c r="C532" s="4" t="s">
        <v>1515</v>
      </c>
    </row>
    <row r="533" spans="1:3" ht="20.100000000000001" customHeight="1">
      <c r="A533" s="4" t="s">
        <v>294</v>
      </c>
      <c r="B533" s="4">
        <v>9599313599</v>
      </c>
      <c r="C533" s="4" t="s">
        <v>302</v>
      </c>
    </row>
    <row r="534" spans="1:3" ht="20.100000000000001" customHeight="1">
      <c r="A534" s="4" t="s">
        <v>8605</v>
      </c>
      <c r="B534" s="4">
        <v>9604212423</v>
      </c>
      <c r="C534" s="4" t="s">
        <v>8610</v>
      </c>
    </row>
    <row r="535" spans="1:3" ht="20.100000000000001" customHeight="1">
      <c r="A535" s="4" t="s">
        <v>4663</v>
      </c>
      <c r="B535" s="4">
        <v>9604898990</v>
      </c>
      <c r="C535" s="4" t="s">
        <v>4670</v>
      </c>
    </row>
    <row r="536" spans="1:3" ht="20.100000000000001" customHeight="1">
      <c r="A536" s="4" t="s">
        <v>12261</v>
      </c>
      <c r="B536" s="4">
        <v>9605534611</v>
      </c>
      <c r="C536" s="4" t="s">
        <v>12266</v>
      </c>
    </row>
    <row r="537" spans="1:3" ht="20.100000000000001" customHeight="1">
      <c r="A537" s="4" t="s">
        <v>11536</v>
      </c>
      <c r="B537" s="4">
        <v>9605812615</v>
      </c>
    </row>
    <row r="538" spans="1:3" ht="20.100000000000001" customHeight="1">
      <c r="A538" s="4" t="s">
        <v>3528</v>
      </c>
      <c r="B538" s="4">
        <v>9606501211</v>
      </c>
    </row>
    <row r="539" spans="1:3" ht="20.100000000000001" customHeight="1">
      <c r="A539" s="4" t="s">
        <v>3630</v>
      </c>
      <c r="B539" s="4">
        <v>9607170078</v>
      </c>
      <c r="C539" s="4" t="s">
        <v>3637</v>
      </c>
    </row>
    <row r="540" spans="1:3" ht="20.100000000000001" customHeight="1">
      <c r="A540" s="4" t="s">
        <v>12737</v>
      </c>
      <c r="B540" s="4">
        <v>9619228682</v>
      </c>
      <c r="C540" s="4" t="s">
        <v>12743</v>
      </c>
    </row>
    <row r="541" spans="1:3" ht="20.100000000000001" customHeight="1">
      <c r="A541" s="4" t="s">
        <v>7925</v>
      </c>
      <c r="B541" s="4">
        <v>9619402057</v>
      </c>
      <c r="C541" s="4" t="s">
        <v>7930</v>
      </c>
    </row>
    <row r="542" spans="1:3" ht="20.100000000000001" customHeight="1">
      <c r="A542" s="4" t="s">
        <v>11246</v>
      </c>
      <c r="B542" s="4">
        <v>9619416140</v>
      </c>
    </row>
    <row r="543" spans="1:3" ht="20.100000000000001" customHeight="1">
      <c r="A543" s="4" t="s">
        <v>1704</v>
      </c>
      <c r="B543" s="4">
        <v>9619430572</v>
      </c>
      <c r="C543" s="4" t="s">
        <v>1712</v>
      </c>
    </row>
    <row r="544" spans="1:3" ht="20.100000000000001" customHeight="1">
      <c r="A544" s="4" t="s">
        <v>9357</v>
      </c>
      <c r="B544" s="4">
        <v>9619462160</v>
      </c>
    </row>
    <row r="545" spans="1:3" ht="20.100000000000001" customHeight="1">
      <c r="A545" s="4" t="s">
        <v>7834</v>
      </c>
      <c r="B545" s="4">
        <v>9619516997</v>
      </c>
      <c r="C545" s="4" t="s">
        <v>7839</v>
      </c>
    </row>
    <row r="546" spans="1:3" ht="20.100000000000001" customHeight="1">
      <c r="A546" s="4" t="s">
        <v>5442</v>
      </c>
      <c r="B546" s="4">
        <v>9619548998</v>
      </c>
      <c r="C546" s="4" t="s">
        <v>5448</v>
      </c>
    </row>
    <row r="547" spans="1:3" ht="20.100000000000001" customHeight="1">
      <c r="A547" s="4" t="s">
        <v>5695</v>
      </c>
      <c r="B547" s="4">
        <v>9619561921</v>
      </c>
    </row>
    <row r="548" spans="1:3" ht="20.100000000000001" customHeight="1">
      <c r="A548" s="4" t="s">
        <v>11727</v>
      </c>
      <c r="B548" s="4">
        <v>9619574952</v>
      </c>
    </row>
    <row r="549" spans="1:3" ht="20.100000000000001" customHeight="1">
      <c r="A549" s="4" t="s">
        <v>1961</v>
      </c>
      <c r="B549" s="4">
        <v>9619829490</v>
      </c>
      <c r="C549" s="4" t="s">
        <v>1967</v>
      </c>
    </row>
    <row r="550" spans="1:3" ht="20.100000000000001" customHeight="1">
      <c r="A550" s="4" t="s">
        <v>4539</v>
      </c>
      <c r="B550" s="4">
        <v>9619839391</v>
      </c>
      <c r="C550" s="4" t="s">
        <v>4545</v>
      </c>
    </row>
    <row r="551" spans="1:3" ht="20.100000000000001" customHeight="1">
      <c r="A551" s="4" t="s">
        <v>9460</v>
      </c>
      <c r="B551" s="4">
        <v>9619916476</v>
      </c>
    </row>
    <row r="552" spans="1:3" ht="20.100000000000001" customHeight="1">
      <c r="A552" s="4" t="s">
        <v>10974</v>
      </c>
      <c r="B552" s="4">
        <v>9619919449</v>
      </c>
      <c r="C552" s="4" t="s">
        <v>10979</v>
      </c>
    </row>
    <row r="553" spans="1:3" ht="20.100000000000001" customHeight="1">
      <c r="A553" s="4" t="s">
        <v>10675</v>
      </c>
      <c r="B553" s="4">
        <v>9619954111</v>
      </c>
      <c r="C553" s="4" t="s">
        <v>10680</v>
      </c>
    </row>
    <row r="554" spans="1:3" ht="20.100000000000001" customHeight="1">
      <c r="A554" s="4" t="s">
        <v>10842</v>
      </c>
      <c r="B554" s="4">
        <v>9619962362</v>
      </c>
      <c r="C554" s="4" t="s">
        <v>10848</v>
      </c>
    </row>
    <row r="555" spans="1:3" ht="20.100000000000001" customHeight="1">
      <c r="A555" s="4" t="s">
        <v>1203</v>
      </c>
      <c r="B555" s="4">
        <v>9629348599</v>
      </c>
      <c r="C555" s="4" t="s">
        <v>156</v>
      </c>
    </row>
    <row r="556" spans="1:3" ht="20.100000000000001" customHeight="1">
      <c r="A556" s="4" t="s">
        <v>10875</v>
      </c>
      <c r="B556" s="4">
        <v>9630967366</v>
      </c>
      <c r="C556" s="4" t="s">
        <v>10880</v>
      </c>
    </row>
    <row r="557" spans="1:3" ht="20.100000000000001" customHeight="1">
      <c r="A557" s="4" t="s">
        <v>6981</v>
      </c>
      <c r="B557" s="4">
        <v>9631309188</v>
      </c>
      <c r="C557" s="4" t="s">
        <v>6988</v>
      </c>
    </row>
    <row r="558" spans="1:3" ht="20.100000000000001" customHeight="1">
      <c r="A558" s="4" t="s">
        <v>12278</v>
      </c>
      <c r="B558" s="4">
        <v>9633021733</v>
      </c>
      <c r="C558" s="4" t="s">
        <v>12283</v>
      </c>
    </row>
    <row r="559" spans="1:3" ht="20.100000000000001" customHeight="1">
      <c r="A559" s="4" t="s">
        <v>10034</v>
      </c>
      <c r="B559" s="4">
        <v>9650501378</v>
      </c>
      <c r="C559" s="4" t="s">
        <v>10039</v>
      </c>
    </row>
    <row r="560" spans="1:3" ht="20.100000000000001" customHeight="1">
      <c r="A560" s="4" t="s">
        <v>6106</v>
      </c>
      <c r="B560" s="4">
        <v>9653171889</v>
      </c>
      <c r="C560" s="4" t="s">
        <v>6111</v>
      </c>
    </row>
    <row r="561" spans="1:3" ht="20.100000000000001" customHeight="1">
      <c r="A561" s="4" t="s">
        <v>2907</v>
      </c>
      <c r="B561" s="4">
        <v>9657445635</v>
      </c>
    </row>
    <row r="562" spans="1:3" ht="20.100000000000001" customHeight="1">
      <c r="A562" s="4" t="s">
        <v>230</v>
      </c>
      <c r="B562" s="4">
        <v>9663710377</v>
      </c>
      <c r="C562" s="4" t="s">
        <v>239</v>
      </c>
    </row>
    <row r="563" spans="1:3" ht="20.100000000000001" customHeight="1">
      <c r="A563" s="4" t="s">
        <v>5759</v>
      </c>
      <c r="B563" s="4">
        <v>9664000381</v>
      </c>
      <c r="C563" s="4" t="s">
        <v>5765</v>
      </c>
    </row>
    <row r="564" spans="1:3" ht="20.100000000000001" customHeight="1">
      <c r="A564" s="4" t="s">
        <v>11904</v>
      </c>
      <c r="B564" s="4">
        <v>9664300056</v>
      </c>
      <c r="C564" s="4" t="s">
        <v>11911</v>
      </c>
    </row>
    <row r="565" spans="1:3" ht="20.100000000000001" customHeight="1">
      <c r="A565" s="4" t="s">
        <v>8795</v>
      </c>
      <c r="B565" s="4">
        <v>9664598880</v>
      </c>
    </row>
    <row r="566" spans="1:3" ht="20.100000000000001" customHeight="1">
      <c r="A566" s="4" t="s">
        <v>9511</v>
      </c>
      <c r="B566" s="4">
        <v>9664677478</v>
      </c>
      <c r="C566" s="4" t="s">
        <v>9516</v>
      </c>
    </row>
    <row r="567" spans="1:3" ht="20.100000000000001" customHeight="1">
      <c r="A567" s="4" t="s">
        <v>9135</v>
      </c>
      <c r="B567" s="4">
        <v>9665611991</v>
      </c>
      <c r="C567" s="4" t="s">
        <v>1284</v>
      </c>
    </row>
    <row r="568" spans="1:3" ht="20.100000000000001" customHeight="1">
      <c r="A568" s="4" t="s">
        <v>10698</v>
      </c>
      <c r="B568" s="4">
        <v>9673010500</v>
      </c>
      <c r="C568" s="4" t="s">
        <v>156</v>
      </c>
    </row>
    <row r="569" spans="1:3" ht="20.100000000000001" customHeight="1">
      <c r="A569" s="4" t="s">
        <v>10526</v>
      </c>
      <c r="B569" s="4">
        <v>9673258240</v>
      </c>
      <c r="C569" s="4" t="s">
        <v>10530</v>
      </c>
    </row>
    <row r="570" spans="1:3" ht="20.100000000000001" customHeight="1">
      <c r="A570" s="4" t="s">
        <v>9012</v>
      </c>
      <c r="B570" s="4">
        <v>9673335885</v>
      </c>
      <c r="C570" s="4" t="s">
        <v>9018</v>
      </c>
    </row>
    <row r="571" spans="1:3" ht="20.100000000000001" customHeight="1">
      <c r="A571" s="4" t="s">
        <v>5249</v>
      </c>
      <c r="B571" s="4">
        <v>9673519519</v>
      </c>
      <c r="C571" s="4" t="s">
        <v>5253</v>
      </c>
    </row>
    <row r="572" spans="1:3" ht="20.100000000000001" customHeight="1">
      <c r="A572" s="4" t="s">
        <v>4120</v>
      </c>
      <c r="B572" s="4">
        <v>9674155413</v>
      </c>
      <c r="C572" s="4" t="s">
        <v>4126</v>
      </c>
    </row>
    <row r="573" spans="1:3" ht="20.100000000000001" customHeight="1">
      <c r="A573" s="4" t="s">
        <v>10161</v>
      </c>
      <c r="B573" s="4">
        <v>9696699670</v>
      </c>
      <c r="C573" s="4" t="s">
        <v>10166</v>
      </c>
    </row>
    <row r="574" spans="1:3" ht="20.100000000000001" customHeight="1">
      <c r="A574" s="4" t="s">
        <v>9787</v>
      </c>
      <c r="B574" s="4">
        <v>9696959504</v>
      </c>
    </row>
    <row r="575" spans="1:3" ht="20.100000000000001" customHeight="1">
      <c r="A575" s="4" t="s">
        <v>9928</v>
      </c>
      <c r="B575" s="4">
        <v>9699087625</v>
      </c>
      <c r="C575" s="4" t="s">
        <v>9933</v>
      </c>
    </row>
    <row r="576" spans="1:3" ht="20.100000000000001" customHeight="1">
      <c r="A576" s="4" t="s">
        <v>8767</v>
      </c>
      <c r="B576" s="4">
        <v>9699184629</v>
      </c>
      <c r="C576" s="4" t="s">
        <v>8773</v>
      </c>
    </row>
    <row r="577" spans="1:3" ht="20.100000000000001" customHeight="1">
      <c r="A577" s="4" t="s">
        <v>1620</v>
      </c>
      <c r="B577" s="4">
        <v>9699269692</v>
      </c>
      <c r="C577" s="4" t="s">
        <v>1626</v>
      </c>
    </row>
    <row r="578" spans="1:3" ht="20.100000000000001" customHeight="1">
      <c r="A578" s="4" t="s">
        <v>10145</v>
      </c>
      <c r="B578" s="4">
        <v>9699322423</v>
      </c>
      <c r="C578" s="4" t="s">
        <v>5741</v>
      </c>
    </row>
    <row r="579" spans="1:3" ht="20.100000000000001" customHeight="1">
      <c r="A579" s="4" t="s">
        <v>9838</v>
      </c>
      <c r="B579" s="4">
        <v>9699444250</v>
      </c>
    </row>
    <row r="580" spans="1:3" ht="20.100000000000001" customHeight="1">
      <c r="A580" s="4" t="s">
        <v>12682</v>
      </c>
      <c r="B580" s="4">
        <v>9699536566</v>
      </c>
      <c r="C580" s="4" t="s">
        <v>12686</v>
      </c>
    </row>
    <row r="581" spans="1:3" ht="20.100000000000001" customHeight="1">
      <c r="A581" s="4" t="s">
        <v>3545</v>
      </c>
      <c r="B581" s="4">
        <v>9699540716</v>
      </c>
      <c r="C581" s="4" t="s">
        <v>3551</v>
      </c>
    </row>
    <row r="582" spans="1:3" ht="20.100000000000001" customHeight="1">
      <c r="A582" s="4" t="s">
        <v>10658</v>
      </c>
      <c r="B582" s="4">
        <v>9699555050</v>
      </c>
      <c r="C582" s="4" t="s">
        <v>10663</v>
      </c>
    </row>
    <row r="583" spans="1:3" ht="20.100000000000001" customHeight="1">
      <c r="A583" s="4" t="s">
        <v>2161</v>
      </c>
      <c r="B583" s="4">
        <v>9699936370</v>
      </c>
      <c r="C583" s="4" t="s">
        <v>2166</v>
      </c>
    </row>
    <row r="584" spans="1:3" ht="20.100000000000001" customHeight="1">
      <c r="A584" s="4" t="s">
        <v>600</v>
      </c>
      <c r="B584" s="4">
        <v>9702143699</v>
      </c>
      <c r="C584" s="4" t="s">
        <v>607</v>
      </c>
    </row>
    <row r="585" spans="1:3" ht="20.100000000000001" customHeight="1">
      <c r="A585" s="4" t="s">
        <v>9812</v>
      </c>
      <c r="B585" s="4">
        <v>9702200642</v>
      </c>
      <c r="C585" s="4" t="s">
        <v>9818</v>
      </c>
    </row>
    <row r="586" spans="1:3" ht="20.100000000000001" customHeight="1">
      <c r="A586" s="4" t="s">
        <v>3272</v>
      </c>
      <c r="B586" s="4">
        <v>9702215553</v>
      </c>
      <c r="C586" s="4" t="s">
        <v>355</v>
      </c>
    </row>
    <row r="587" spans="1:3" ht="20.100000000000001" customHeight="1">
      <c r="A587" s="4" t="s">
        <v>2604</v>
      </c>
      <c r="B587" s="4">
        <v>9702288679</v>
      </c>
      <c r="C587" s="4" t="s">
        <v>2608</v>
      </c>
    </row>
    <row r="588" spans="1:3" ht="20.100000000000001" customHeight="1">
      <c r="A588" s="4" t="s">
        <v>8155</v>
      </c>
      <c r="B588" s="4">
        <v>9702347540</v>
      </c>
      <c r="C588" s="4" t="s">
        <v>8160</v>
      </c>
    </row>
    <row r="589" spans="1:3" ht="20.100000000000001" customHeight="1">
      <c r="A589" s="4" t="s">
        <v>7649</v>
      </c>
      <c r="B589" s="4">
        <v>9702439404</v>
      </c>
      <c r="C589" s="4" t="s">
        <v>7655</v>
      </c>
    </row>
    <row r="590" spans="1:3" ht="20.100000000000001" customHeight="1">
      <c r="A590" s="4" t="s">
        <v>8833</v>
      </c>
      <c r="B590" s="4">
        <v>9702599253</v>
      </c>
      <c r="C590" s="4" t="s">
        <v>8837</v>
      </c>
    </row>
    <row r="591" spans="1:3" ht="20.100000000000001" customHeight="1">
      <c r="A591" s="4" t="s">
        <v>11697</v>
      </c>
      <c r="B591" s="4">
        <v>9702659177</v>
      </c>
      <c r="C591" s="4" t="s">
        <v>11701</v>
      </c>
    </row>
    <row r="592" spans="1:3" ht="20.100000000000001" customHeight="1">
      <c r="A592" s="4" t="s">
        <v>11361</v>
      </c>
      <c r="B592" s="4">
        <v>9710872692</v>
      </c>
      <c r="C592" s="4" t="s">
        <v>11366</v>
      </c>
    </row>
    <row r="593" spans="1:3" ht="20.100000000000001" customHeight="1">
      <c r="A593" s="4" t="s">
        <v>11154</v>
      </c>
      <c r="B593" s="4">
        <v>9716602852</v>
      </c>
      <c r="C593" s="4" t="s">
        <v>11160</v>
      </c>
    </row>
    <row r="594" spans="1:3" ht="20.100000000000001" customHeight="1">
      <c r="A594" s="4" t="s">
        <v>2089</v>
      </c>
      <c r="B594" s="4">
        <v>9718873357</v>
      </c>
    </row>
    <row r="595" spans="1:3" ht="20.100000000000001" customHeight="1">
      <c r="A595" s="4" t="s">
        <v>3693</v>
      </c>
      <c r="B595" s="4">
        <v>9719693666</v>
      </c>
      <c r="C595" s="4" t="s">
        <v>3697</v>
      </c>
    </row>
    <row r="596" spans="1:3" ht="20.100000000000001" customHeight="1">
      <c r="A596" s="4" t="s">
        <v>8632</v>
      </c>
      <c r="B596" s="4">
        <v>9721392546</v>
      </c>
      <c r="C596" s="4" t="s">
        <v>156</v>
      </c>
    </row>
    <row r="597" spans="1:3" ht="20.100000000000001" customHeight="1">
      <c r="A597" s="4" t="s">
        <v>4900</v>
      </c>
      <c r="B597" s="4">
        <v>9725402304</v>
      </c>
      <c r="C597" s="4" t="s">
        <v>4906</v>
      </c>
    </row>
    <row r="598" spans="1:3" ht="20.100000000000001" customHeight="1">
      <c r="A598" s="4" t="s">
        <v>786</v>
      </c>
      <c r="B598" s="4">
        <v>9725909346</v>
      </c>
      <c r="C598" s="4" t="s">
        <v>795</v>
      </c>
    </row>
    <row r="599" spans="1:3" ht="20.100000000000001" customHeight="1">
      <c r="A599" s="4" t="s">
        <v>468</v>
      </c>
      <c r="B599" s="4">
        <v>9730146008</v>
      </c>
      <c r="C599" s="4" t="s">
        <v>474</v>
      </c>
    </row>
    <row r="600" spans="1:3" ht="20.100000000000001" customHeight="1">
      <c r="A600" s="4" t="s">
        <v>11719</v>
      </c>
      <c r="B600" s="4">
        <v>9730683343</v>
      </c>
      <c r="C600" s="4" t="s">
        <v>11723</v>
      </c>
    </row>
    <row r="601" spans="1:3" ht="20.100000000000001" customHeight="1">
      <c r="A601" s="4" t="s">
        <v>9699</v>
      </c>
      <c r="B601" s="4">
        <v>9740631162</v>
      </c>
      <c r="C601" s="4" t="s">
        <v>9705</v>
      </c>
    </row>
    <row r="602" spans="1:3" ht="20.100000000000001" customHeight="1">
      <c r="A602" s="4" t="s">
        <v>6829</v>
      </c>
      <c r="B602" s="4">
        <v>9744012311</v>
      </c>
      <c r="C602" s="4" t="s">
        <v>6834</v>
      </c>
    </row>
    <row r="603" spans="1:3" ht="20.100000000000001" customHeight="1">
      <c r="A603" s="4" t="s">
        <v>5745</v>
      </c>
      <c r="B603" s="4">
        <v>9746207306</v>
      </c>
      <c r="C603" s="4" t="s">
        <v>5748</v>
      </c>
    </row>
    <row r="604" spans="1:3" ht="20.100000000000001" customHeight="1">
      <c r="A604" s="4" t="s">
        <v>7502</v>
      </c>
      <c r="B604" s="4">
        <v>9746871912</v>
      </c>
      <c r="C604" s="4" t="s">
        <v>7507</v>
      </c>
    </row>
    <row r="605" spans="1:3" ht="20.100000000000001" customHeight="1">
      <c r="A605" s="4" t="s">
        <v>5485</v>
      </c>
      <c r="B605" s="4">
        <v>9747242124</v>
      </c>
      <c r="C605" s="4" t="s">
        <v>5491</v>
      </c>
    </row>
    <row r="606" spans="1:3" ht="20.100000000000001" customHeight="1">
      <c r="A606" s="4" t="s">
        <v>5589</v>
      </c>
      <c r="B606" s="4">
        <v>9747483770</v>
      </c>
    </row>
    <row r="607" spans="1:3" ht="20.100000000000001" customHeight="1">
      <c r="A607" s="4" t="s">
        <v>12338</v>
      </c>
      <c r="B607" s="4">
        <v>9749095403</v>
      </c>
      <c r="C607" s="4" t="s">
        <v>12343</v>
      </c>
    </row>
    <row r="608" spans="1:3" ht="20.100000000000001" customHeight="1">
      <c r="A608" s="4" t="s">
        <v>9587</v>
      </c>
      <c r="B608" s="4">
        <v>9757010727</v>
      </c>
      <c r="C608" s="4" t="s">
        <v>9592</v>
      </c>
    </row>
    <row r="609" spans="1:3" ht="20.100000000000001" customHeight="1">
      <c r="A609" s="4" t="s">
        <v>12308</v>
      </c>
      <c r="B609" s="4">
        <v>9757059555</v>
      </c>
      <c r="C609" s="4" t="s">
        <v>12313</v>
      </c>
    </row>
    <row r="610" spans="1:3" ht="20.100000000000001" customHeight="1">
      <c r="A610" s="4" t="s">
        <v>8807</v>
      </c>
      <c r="B610" s="4">
        <v>9757302674</v>
      </c>
      <c r="C610" s="4" t="s">
        <v>8811</v>
      </c>
    </row>
    <row r="611" spans="1:3" ht="20.100000000000001" customHeight="1">
      <c r="A611" s="4" t="s">
        <v>8840</v>
      </c>
      <c r="B611" s="4">
        <v>9757438369</v>
      </c>
      <c r="C611" s="4" t="s">
        <v>2229</v>
      </c>
    </row>
    <row r="612" spans="1:3" ht="20.100000000000001" customHeight="1">
      <c r="A612" s="4" t="s">
        <v>8034</v>
      </c>
      <c r="B612" s="4">
        <v>9760683669</v>
      </c>
      <c r="C612" s="4" t="s">
        <v>8040</v>
      </c>
    </row>
    <row r="613" spans="1:3" ht="20.100000000000001" customHeight="1">
      <c r="A613" s="4" t="s">
        <v>5678</v>
      </c>
      <c r="B613" s="4">
        <v>9762508056</v>
      </c>
      <c r="C613" s="4" t="s">
        <v>5684</v>
      </c>
    </row>
    <row r="614" spans="1:3" ht="20.100000000000001" customHeight="1">
      <c r="A614" s="4" t="s">
        <v>7598</v>
      </c>
      <c r="B614" s="4">
        <v>9762582747</v>
      </c>
      <c r="C614" s="4" t="s">
        <v>7604</v>
      </c>
    </row>
    <row r="615" spans="1:3" ht="20.100000000000001" customHeight="1">
      <c r="A615" s="4" t="s">
        <v>346</v>
      </c>
      <c r="B615" s="4">
        <v>9762940209</v>
      </c>
      <c r="C615" s="4" t="s">
        <v>355</v>
      </c>
    </row>
    <row r="616" spans="1:3" ht="20.100000000000001" customHeight="1">
      <c r="A616" s="4" t="s">
        <v>577</v>
      </c>
      <c r="B616" s="4">
        <v>9763951723</v>
      </c>
      <c r="C616" s="4" t="s">
        <v>584</v>
      </c>
    </row>
    <row r="617" spans="1:3" ht="20.100000000000001" customHeight="1">
      <c r="A617" s="4" t="s">
        <v>12347</v>
      </c>
      <c r="B617" s="4">
        <v>9766416740</v>
      </c>
      <c r="C617" s="4" t="s">
        <v>12353</v>
      </c>
    </row>
    <row r="618" spans="1:3" ht="20.100000000000001" customHeight="1">
      <c r="A618" s="4" t="s">
        <v>2771</v>
      </c>
      <c r="B618" s="4">
        <v>9766666719</v>
      </c>
      <c r="C618" s="4" t="s">
        <v>2776</v>
      </c>
    </row>
    <row r="619" spans="1:3" ht="20.100000000000001" customHeight="1">
      <c r="A619" s="4" t="s">
        <v>6222</v>
      </c>
      <c r="B619" s="4">
        <v>9768035234</v>
      </c>
      <c r="C619" s="4" t="s">
        <v>6228</v>
      </c>
    </row>
    <row r="620" spans="1:3" ht="20.100000000000001" customHeight="1">
      <c r="A620" s="4" t="s">
        <v>479</v>
      </c>
      <c r="B620" s="4">
        <v>9768050832</v>
      </c>
      <c r="C620" s="4" t="s">
        <v>488</v>
      </c>
    </row>
    <row r="621" spans="1:3" ht="20.100000000000001" customHeight="1">
      <c r="A621" s="4" t="s">
        <v>11522</v>
      </c>
      <c r="B621" s="4">
        <v>9768091870</v>
      </c>
      <c r="C621" s="4" t="s">
        <v>11527</v>
      </c>
    </row>
    <row r="622" spans="1:3" ht="20.100000000000001" customHeight="1">
      <c r="A622" s="4" t="s">
        <v>12295</v>
      </c>
      <c r="B622" s="4">
        <v>9768163723</v>
      </c>
    </row>
    <row r="623" spans="1:3" ht="20.100000000000001" customHeight="1">
      <c r="A623" s="4" t="s">
        <v>3194</v>
      </c>
      <c r="B623" s="4">
        <v>9768228220</v>
      </c>
      <c r="C623" s="4" t="s">
        <v>3198</v>
      </c>
    </row>
    <row r="624" spans="1:3" ht="20.100000000000001" customHeight="1">
      <c r="A624" s="4" t="s">
        <v>5119</v>
      </c>
      <c r="B624" s="4">
        <v>9768686907</v>
      </c>
      <c r="C624" s="4" t="s">
        <v>5124</v>
      </c>
    </row>
    <row r="625" spans="1:3" ht="20.100000000000001" customHeight="1">
      <c r="A625" s="4" t="s">
        <v>8981</v>
      </c>
      <c r="B625" s="4">
        <v>9768853563</v>
      </c>
    </row>
    <row r="626" spans="1:3" ht="20.100000000000001" customHeight="1">
      <c r="A626" s="4" t="s">
        <v>1099</v>
      </c>
      <c r="B626" s="4">
        <v>9769063289</v>
      </c>
      <c r="C626" s="4" t="s">
        <v>1104</v>
      </c>
    </row>
    <row r="627" spans="1:3" ht="20.100000000000001" customHeight="1">
      <c r="A627" s="4" t="s">
        <v>9326</v>
      </c>
      <c r="B627" s="4">
        <v>9769138595</v>
      </c>
      <c r="C627" s="4" t="s">
        <v>239</v>
      </c>
    </row>
    <row r="628" spans="1:3" ht="20.100000000000001" customHeight="1">
      <c r="A628" s="4" t="s">
        <v>7525</v>
      </c>
      <c r="B628" s="4">
        <v>9769209154</v>
      </c>
      <c r="C628" s="4" t="s">
        <v>7530</v>
      </c>
    </row>
    <row r="629" spans="1:3" ht="20.100000000000001" customHeight="1">
      <c r="A629" s="4" t="s">
        <v>9394</v>
      </c>
      <c r="B629" s="4">
        <v>9769222544</v>
      </c>
      <c r="C629" s="4" t="s">
        <v>9399</v>
      </c>
    </row>
    <row r="630" spans="1:3" ht="20.100000000000001" customHeight="1">
      <c r="A630" s="4" t="s">
        <v>321</v>
      </c>
      <c r="B630" s="4">
        <v>9769242620</v>
      </c>
      <c r="C630" s="4" t="s">
        <v>327</v>
      </c>
    </row>
    <row r="631" spans="1:3" ht="20.100000000000001" customHeight="1">
      <c r="A631" s="4" t="s">
        <v>2743</v>
      </c>
      <c r="B631" s="4">
        <v>9769261784</v>
      </c>
      <c r="C631" s="4" t="s">
        <v>2749</v>
      </c>
    </row>
    <row r="632" spans="1:3" ht="20.100000000000001" customHeight="1">
      <c r="A632" s="4" t="s">
        <v>8495</v>
      </c>
      <c r="B632" s="4">
        <v>9769314735</v>
      </c>
      <c r="C632" s="4" t="s">
        <v>8500</v>
      </c>
    </row>
    <row r="633" spans="1:3" ht="20.100000000000001" customHeight="1">
      <c r="A633" s="4" t="s">
        <v>11663</v>
      </c>
      <c r="B633" s="4">
        <v>9769401189</v>
      </c>
      <c r="C633" s="4" t="s">
        <v>11668</v>
      </c>
    </row>
    <row r="634" spans="1:3" ht="20.100000000000001" customHeight="1">
      <c r="A634" s="4" t="s">
        <v>2386</v>
      </c>
      <c r="B634" s="4">
        <v>9769464680</v>
      </c>
      <c r="C634" s="4" t="s">
        <v>2391</v>
      </c>
    </row>
    <row r="635" spans="1:3" ht="20.100000000000001" customHeight="1">
      <c r="A635" s="4" t="s">
        <v>11407</v>
      </c>
      <c r="B635" s="4">
        <v>9769558941</v>
      </c>
      <c r="C635" s="4" t="s">
        <v>11412</v>
      </c>
    </row>
    <row r="636" spans="1:3" ht="20.100000000000001" customHeight="1">
      <c r="A636" s="4" t="s">
        <v>8175</v>
      </c>
      <c r="B636" s="4">
        <v>9769627338</v>
      </c>
    </row>
    <row r="637" spans="1:3" ht="20.100000000000001" customHeight="1">
      <c r="A637" s="4" t="s">
        <v>9911</v>
      </c>
      <c r="B637" s="4">
        <v>9769722648</v>
      </c>
      <c r="C637" s="4" t="s">
        <v>9915</v>
      </c>
    </row>
    <row r="638" spans="1:3" ht="20.100000000000001" customHeight="1">
      <c r="A638" s="4" t="s">
        <v>6528</v>
      </c>
      <c r="B638" s="4">
        <v>9769819979</v>
      </c>
      <c r="C638" s="4" t="s">
        <v>6534</v>
      </c>
    </row>
    <row r="639" spans="1:3" ht="20.100000000000001" customHeight="1">
      <c r="A639" s="4" t="s">
        <v>12042</v>
      </c>
      <c r="B639" s="4">
        <v>9769856162</v>
      </c>
      <c r="C639" s="4" t="s">
        <v>12047</v>
      </c>
    </row>
    <row r="640" spans="1:3" ht="20.100000000000001" customHeight="1">
      <c r="A640" s="4" t="s">
        <v>953</v>
      </c>
      <c r="B640" s="4">
        <v>9769953522</v>
      </c>
      <c r="C640" s="4" t="s">
        <v>961</v>
      </c>
    </row>
    <row r="641" spans="1:3" ht="20.100000000000001" customHeight="1">
      <c r="A641" s="4" t="s">
        <v>1288</v>
      </c>
      <c r="B641" s="4">
        <v>9769958859</v>
      </c>
      <c r="C641" s="4" t="s">
        <v>1296</v>
      </c>
    </row>
    <row r="642" spans="1:3" ht="20.100000000000001" customHeight="1">
      <c r="A642" s="4" t="s">
        <v>8881</v>
      </c>
      <c r="B642" s="4">
        <v>9771477824</v>
      </c>
      <c r="C642" s="4" t="s">
        <v>8885</v>
      </c>
    </row>
    <row r="643" spans="1:3" ht="20.100000000000001" customHeight="1">
      <c r="A643" s="4" t="s">
        <v>7303</v>
      </c>
      <c r="B643" s="4">
        <v>9771575206</v>
      </c>
      <c r="C643" s="4" t="s">
        <v>7309</v>
      </c>
    </row>
    <row r="644" spans="1:3" ht="20.100000000000001" customHeight="1">
      <c r="A644" s="4" t="s">
        <v>12640</v>
      </c>
      <c r="B644" s="4">
        <v>9773148027</v>
      </c>
      <c r="C644" s="4" t="s">
        <v>12644</v>
      </c>
    </row>
    <row r="645" spans="1:3" ht="20.100000000000001" customHeight="1">
      <c r="A645" s="4" t="s">
        <v>4586</v>
      </c>
      <c r="B645" s="4">
        <v>9773165346</v>
      </c>
      <c r="C645" s="4" t="s">
        <v>4593</v>
      </c>
    </row>
    <row r="646" spans="1:3" ht="20.100000000000001" customHeight="1">
      <c r="A646" s="4" t="s">
        <v>11307</v>
      </c>
      <c r="B646" s="4">
        <v>9773353647</v>
      </c>
      <c r="C646" s="4" t="s">
        <v>520</v>
      </c>
    </row>
    <row r="647" spans="1:3" ht="20.100000000000001" customHeight="1">
      <c r="A647" s="4" t="s">
        <v>3412</v>
      </c>
      <c r="B647" s="4">
        <v>9773518831</v>
      </c>
      <c r="C647" s="4" t="s">
        <v>426</v>
      </c>
    </row>
    <row r="648" spans="1:3" ht="20.100000000000001" customHeight="1">
      <c r="A648" s="4" t="s">
        <v>284</v>
      </c>
      <c r="B648" s="4">
        <v>9773632567</v>
      </c>
      <c r="C648" s="4" t="s">
        <v>291</v>
      </c>
    </row>
    <row r="649" spans="1:3" ht="20.100000000000001" customHeight="1">
      <c r="A649" s="4" t="s">
        <v>1034</v>
      </c>
      <c r="B649" s="4">
        <v>9773669292</v>
      </c>
      <c r="C649" s="4" t="s">
        <v>1040</v>
      </c>
    </row>
    <row r="650" spans="1:3" ht="20.100000000000001" customHeight="1">
      <c r="A650" s="4" t="s">
        <v>2998</v>
      </c>
      <c r="B650" s="4">
        <v>9773761190</v>
      </c>
    </row>
    <row r="651" spans="1:3" ht="20.100000000000001" customHeight="1">
      <c r="A651" s="4" t="s">
        <v>4891</v>
      </c>
      <c r="B651" s="4">
        <v>9776539465</v>
      </c>
      <c r="C651" s="4" t="s">
        <v>4896</v>
      </c>
    </row>
    <row r="652" spans="1:3" ht="20.100000000000001" customHeight="1">
      <c r="A652" s="4" t="s">
        <v>8640</v>
      </c>
      <c r="B652" s="4">
        <v>9778893997</v>
      </c>
      <c r="C652" s="4" t="s">
        <v>8646</v>
      </c>
    </row>
    <row r="653" spans="1:3" ht="20.100000000000001" customHeight="1">
      <c r="A653" s="4" t="s">
        <v>3430</v>
      </c>
      <c r="B653" s="4">
        <v>9783503718</v>
      </c>
    </row>
    <row r="654" spans="1:3" ht="20.100000000000001" customHeight="1">
      <c r="A654" s="4" t="s">
        <v>6372</v>
      </c>
      <c r="B654" s="4">
        <v>9790597309</v>
      </c>
      <c r="C654" s="4" t="s">
        <v>6376</v>
      </c>
    </row>
    <row r="655" spans="1:3" ht="20.100000000000001" customHeight="1">
      <c r="A655" s="4" t="s">
        <v>9093</v>
      </c>
      <c r="B655" s="4">
        <v>9790840208</v>
      </c>
      <c r="C655" s="4" t="s">
        <v>9098</v>
      </c>
    </row>
    <row r="656" spans="1:3" ht="20.100000000000001" customHeight="1">
      <c r="A656" s="4" t="s">
        <v>3722</v>
      </c>
      <c r="B656" s="4">
        <v>9799026000</v>
      </c>
      <c r="C656" s="4" t="s">
        <v>3728</v>
      </c>
    </row>
    <row r="657" spans="1:3" ht="20.100000000000001" customHeight="1">
      <c r="A657" s="4" t="s">
        <v>10287</v>
      </c>
      <c r="B657" s="4">
        <v>9819009885</v>
      </c>
      <c r="C657" s="4" t="s">
        <v>1135</v>
      </c>
    </row>
    <row r="658" spans="1:3" ht="20.100000000000001" customHeight="1">
      <c r="A658" s="4" t="s">
        <v>2491</v>
      </c>
      <c r="B658" s="4">
        <v>9819010000</v>
      </c>
      <c r="C658" s="4" t="s">
        <v>2495</v>
      </c>
    </row>
    <row r="659" spans="1:3" ht="20.100000000000001" customHeight="1">
      <c r="A659" s="4" t="s">
        <v>8950</v>
      </c>
      <c r="B659" s="4">
        <v>9819031577</v>
      </c>
      <c r="C659" s="4" t="s">
        <v>8956</v>
      </c>
    </row>
    <row r="660" spans="1:3" ht="20.100000000000001" customHeight="1">
      <c r="A660" s="4" t="s">
        <v>2734</v>
      </c>
      <c r="B660" s="4">
        <v>9819058709</v>
      </c>
      <c r="C660" s="4" t="s">
        <v>2740</v>
      </c>
    </row>
    <row r="661" spans="1:3" ht="20.100000000000001" customHeight="1">
      <c r="A661" s="4" t="s">
        <v>3067</v>
      </c>
      <c r="B661" s="4">
        <v>9819108624</v>
      </c>
      <c r="C661" s="4" t="s">
        <v>3073</v>
      </c>
    </row>
    <row r="662" spans="1:3" ht="20.100000000000001" customHeight="1">
      <c r="A662" s="4" t="s">
        <v>9477</v>
      </c>
      <c r="B662" s="4">
        <v>9819112851</v>
      </c>
      <c r="C662" s="4" t="s">
        <v>9482</v>
      </c>
    </row>
    <row r="663" spans="1:3" ht="20.100000000000001" customHeight="1">
      <c r="A663" s="4" t="s">
        <v>8227</v>
      </c>
      <c r="B663" s="4">
        <v>9819174332</v>
      </c>
      <c r="C663" s="4" t="s">
        <v>8231</v>
      </c>
    </row>
    <row r="664" spans="1:3" ht="20.100000000000001" customHeight="1">
      <c r="A664" s="4" t="s">
        <v>7882</v>
      </c>
      <c r="B664" s="4">
        <v>9819186635</v>
      </c>
      <c r="C664" s="4" t="s">
        <v>7887</v>
      </c>
    </row>
    <row r="665" spans="1:3" ht="20.100000000000001" customHeight="1">
      <c r="A665" s="4" t="s">
        <v>9318</v>
      </c>
      <c r="B665" s="4">
        <v>9819189461</v>
      </c>
      <c r="C665" s="4" t="s">
        <v>9322</v>
      </c>
    </row>
    <row r="666" spans="1:3" ht="20.100000000000001" customHeight="1">
      <c r="A666" s="4" t="s">
        <v>10610</v>
      </c>
      <c r="B666" s="4">
        <v>9819192982</v>
      </c>
      <c r="C666" s="4" t="s">
        <v>10614</v>
      </c>
    </row>
    <row r="667" spans="1:3" ht="20.100000000000001" customHeight="1">
      <c r="A667" s="4" t="s">
        <v>10060</v>
      </c>
      <c r="B667" s="4">
        <v>9819199136</v>
      </c>
      <c r="C667" s="4" t="s">
        <v>1967</v>
      </c>
    </row>
    <row r="668" spans="1:3" ht="20.100000000000001" customHeight="1">
      <c r="A668" s="4" t="s">
        <v>1383</v>
      </c>
      <c r="B668" s="4">
        <v>9819208249</v>
      </c>
      <c r="C668" s="4" t="s">
        <v>1391</v>
      </c>
    </row>
    <row r="669" spans="1:3" ht="20.100000000000001" customHeight="1">
      <c r="A669" s="4" t="s">
        <v>10570</v>
      </c>
      <c r="B669" s="4">
        <v>9819212464</v>
      </c>
      <c r="C669" s="4" t="s">
        <v>10574</v>
      </c>
    </row>
    <row r="670" spans="1:3" ht="20.100000000000001" customHeight="1">
      <c r="A670" s="4" t="s">
        <v>11472</v>
      </c>
      <c r="B670" s="4">
        <v>9819287116</v>
      </c>
      <c r="C670" s="4" t="s">
        <v>11475</v>
      </c>
    </row>
    <row r="671" spans="1:3" ht="20.100000000000001" customHeight="1">
      <c r="A671" s="4" t="s">
        <v>2988</v>
      </c>
      <c r="B671" s="4">
        <v>9819292606</v>
      </c>
      <c r="C671" s="4" t="s">
        <v>2994</v>
      </c>
    </row>
    <row r="672" spans="1:3" ht="20.100000000000001" customHeight="1">
      <c r="A672" s="4" t="s">
        <v>6512</v>
      </c>
      <c r="B672" s="4">
        <v>9819349819</v>
      </c>
      <c r="C672" s="4" t="s">
        <v>6517</v>
      </c>
    </row>
    <row r="673" spans="1:3" ht="20.100000000000001" customHeight="1">
      <c r="A673" s="4" t="s">
        <v>8679</v>
      </c>
      <c r="B673" s="4">
        <v>9819379779</v>
      </c>
      <c r="C673" s="4" t="s">
        <v>8684</v>
      </c>
    </row>
    <row r="674" spans="1:3" ht="20.100000000000001" customHeight="1">
      <c r="A674" s="4" t="s">
        <v>1056</v>
      </c>
      <c r="B674" s="4">
        <v>9819397842</v>
      </c>
      <c r="C674" s="4" t="s">
        <v>1062</v>
      </c>
    </row>
    <row r="675" spans="1:3" ht="20.100000000000001" customHeight="1">
      <c r="A675" s="4" t="s">
        <v>3796</v>
      </c>
      <c r="B675" s="4">
        <v>9819419462</v>
      </c>
      <c r="C675" s="4" t="s">
        <v>3802</v>
      </c>
    </row>
    <row r="676" spans="1:3" ht="20.100000000000001" customHeight="1">
      <c r="A676" s="4" t="s">
        <v>3787</v>
      </c>
      <c r="B676" s="4">
        <v>9819453201</v>
      </c>
      <c r="C676" s="4" t="s">
        <v>3793</v>
      </c>
    </row>
    <row r="677" spans="1:3" ht="20.100000000000001" customHeight="1">
      <c r="A677" s="4" t="s">
        <v>4229</v>
      </c>
      <c r="B677" s="4">
        <v>9819524768</v>
      </c>
      <c r="C677" s="4" t="s">
        <v>4234</v>
      </c>
    </row>
    <row r="678" spans="1:3" ht="20.100000000000001" customHeight="1">
      <c r="A678" s="4" t="s">
        <v>6521</v>
      </c>
      <c r="B678" s="4">
        <v>9819524768</v>
      </c>
      <c r="C678" s="4" t="s">
        <v>6525</v>
      </c>
    </row>
    <row r="679" spans="1:3" ht="20.100000000000001" customHeight="1">
      <c r="A679" s="4" t="s">
        <v>1192</v>
      </c>
      <c r="B679" s="4">
        <v>9819547840</v>
      </c>
      <c r="C679" s="4" t="s">
        <v>1198</v>
      </c>
    </row>
    <row r="680" spans="1:3" ht="20.100000000000001" customHeight="1">
      <c r="A680" s="4" t="s">
        <v>2244</v>
      </c>
      <c r="B680" s="4">
        <v>9819573412</v>
      </c>
      <c r="C680" s="4" t="s">
        <v>2250</v>
      </c>
    </row>
    <row r="681" spans="1:3" ht="20.100000000000001" customHeight="1">
      <c r="A681" s="4" t="s">
        <v>5768</v>
      </c>
      <c r="B681" s="4">
        <v>9819651334</v>
      </c>
      <c r="C681" s="4" t="s">
        <v>5772</v>
      </c>
    </row>
    <row r="682" spans="1:3" ht="20.100000000000001" customHeight="1">
      <c r="A682" s="4" t="s">
        <v>11649</v>
      </c>
      <c r="B682" s="4">
        <v>9819660615</v>
      </c>
      <c r="C682" s="4" t="s">
        <v>1987</v>
      </c>
    </row>
    <row r="683" spans="1:3" ht="20.100000000000001" customHeight="1">
      <c r="A683" s="4" t="s">
        <v>11200</v>
      </c>
      <c r="B683" s="4">
        <v>9819664660</v>
      </c>
      <c r="C683" s="4" t="s">
        <v>11204</v>
      </c>
    </row>
    <row r="684" spans="1:3" ht="20.100000000000001" customHeight="1">
      <c r="A684" s="4" t="s">
        <v>12621</v>
      </c>
      <c r="B684" s="4">
        <v>9819726787</v>
      </c>
      <c r="C684" s="4" t="s">
        <v>12628</v>
      </c>
    </row>
    <row r="685" spans="1:3" ht="20.100000000000001" customHeight="1">
      <c r="A685" s="4" t="s">
        <v>7265</v>
      </c>
      <c r="B685" s="4">
        <v>9819727878</v>
      </c>
      <c r="C685" s="4" t="s">
        <v>7271</v>
      </c>
    </row>
    <row r="686" spans="1:3" ht="20.100000000000001" customHeight="1">
      <c r="A686" s="4" t="s">
        <v>12197</v>
      </c>
      <c r="B686" s="4">
        <v>9819745138</v>
      </c>
      <c r="C686" s="4" t="s">
        <v>12202</v>
      </c>
    </row>
    <row r="687" spans="1:3" ht="20.100000000000001" customHeight="1">
      <c r="A687" s="4" t="s">
        <v>2753</v>
      </c>
      <c r="B687" s="4">
        <v>9819786981</v>
      </c>
      <c r="C687" s="4" t="s">
        <v>2758</v>
      </c>
    </row>
    <row r="688" spans="1:3" ht="20.100000000000001" customHeight="1">
      <c r="A688" s="4" t="s">
        <v>12535</v>
      </c>
      <c r="B688" s="4">
        <v>9819822716</v>
      </c>
      <c r="C688" s="4" t="s">
        <v>12539</v>
      </c>
    </row>
    <row r="689" spans="1:3" ht="20.100000000000001" customHeight="1">
      <c r="A689" s="4" t="s">
        <v>2368</v>
      </c>
      <c r="B689" s="4">
        <v>9819854933</v>
      </c>
      <c r="C689" s="4" t="s">
        <v>2373</v>
      </c>
    </row>
    <row r="690" spans="1:3" ht="20.100000000000001" customHeight="1">
      <c r="A690" s="4" t="s">
        <v>6928</v>
      </c>
      <c r="B690" s="4">
        <v>9819876561</v>
      </c>
      <c r="C690" s="4" t="s">
        <v>6932</v>
      </c>
    </row>
    <row r="691" spans="1:3" ht="20.100000000000001" customHeight="1">
      <c r="A691" s="4" t="s">
        <v>4798</v>
      </c>
      <c r="B691" s="4">
        <v>9819882489</v>
      </c>
      <c r="C691" s="4" t="s">
        <v>961</v>
      </c>
    </row>
    <row r="692" spans="1:3" ht="20.100000000000001" customHeight="1">
      <c r="A692" s="4" t="s">
        <v>9260</v>
      </c>
      <c r="B692" s="4">
        <v>9819894224</v>
      </c>
      <c r="C692" s="4" t="s">
        <v>9264</v>
      </c>
    </row>
    <row r="693" spans="1:3" ht="20.100000000000001" customHeight="1">
      <c r="A693" s="4" t="s">
        <v>8925</v>
      </c>
      <c r="B693" s="4">
        <v>9819897806</v>
      </c>
      <c r="C693" s="4" t="s">
        <v>8930</v>
      </c>
    </row>
    <row r="694" spans="1:3" ht="20.100000000000001" customHeight="1">
      <c r="A694" s="4" t="s">
        <v>8864</v>
      </c>
      <c r="B694" s="4">
        <v>9819915485</v>
      </c>
    </row>
    <row r="695" spans="1:3" ht="20.100000000000001" customHeight="1">
      <c r="A695" s="4" t="s">
        <v>9284</v>
      </c>
      <c r="B695" s="4">
        <v>9819965613</v>
      </c>
      <c r="C695" s="4" t="s">
        <v>9288</v>
      </c>
    </row>
    <row r="696" spans="1:3" ht="20.100000000000001" customHeight="1">
      <c r="A696" s="4" t="s">
        <v>9903</v>
      </c>
      <c r="B696" s="4">
        <v>9819966773</v>
      </c>
      <c r="C696" s="4" t="s">
        <v>9908</v>
      </c>
    </row>
    <row r="697" spans="1:3" ht="20.100000000000001" customHeight="1">
      <c r="A697" s="4" t="s">
        <v>11559</v>
      </c>
      <c r="B697" s="4">
        <v>9819971145</v>
      </c>
      <c r="C697" s="4" t="s">
        <v>11563</v>
      </c>
    </row>
    <row r="698" spans="1:3" ht="20.100000000000001" customHeight="1">
      <c r="A698" s="4" t="s">
        <v>1172</v>
      </c>
      <c r="B698" s="4">
        <v>9819980976</v>
      </c>
      <c r="C698" s="4" t="s">
        <v>1177</v>
      </c>
    </row>
    <row r="699" spans="1:3" ht="20.100000000000001" customHeight="1">
      <c r="A699" s="4" t="s">
        <v>3641</v>
      </c>
      <c r="B699" s="4">
        <v>9820035758</v>
      </c>
      <c r="C699" s="4" t="s">
        <v>3646</v>
      </c>
    </row>
    <row r="700" spans="1:3" ht="20.100000000000001" customHeight="1">
      <c r="A700" s="4" t="s">
        <v>388</v>
      </c>
      <c r="B700" s="4">
        <v>9820054444</v>
      </c>
      <c r="C700" s="4" t="s">
        <v>396</v>
      </c>
    </row>
    <row r="701" spans="1:3" ht="20.100000000000001" customHeight="1">
      <c r="A701" s="4" t="s">
        <v>9204</v>
      </c>
      <c r="B701" s="4">
        <v>9820115086</v>
      </c>
      <c r="C701" s="4" t="s">
        <v>9210</v>
      </c>
    </row>
    <row r="702" spans="1:3" ht="20.100000000000001" customHeight="1">
      <c r="A702" s="4" t="s">
        <v>8341</v>
      </c>
      <c r="B702" s="4">
        <v>9820171163</v>
      </c>
      <c r="C702" s="4" t="s">
        <v>8345</v>
      </c>
    </row>
    <row r="703" spans="1:3" ht="20.100000000000001" customHeight="1">
      <c r="A703" s="4" t="s">
        <v>8777</v>
      </c>
      <c r="B703" s="4">
        <v>9820171332</v>
      </c>
      <c r="C703" s="4" t="s">
        <v>8781</v>
      </c>
    </row>
    <row r="704" spans="1:3" ht="20.100000000000001" customHeight="1">
      <c r="A704" s="4" t="s">
        <v>10041</v>
      </c>
      <c r="B704" s="4">
        <v>9820212204</v>
      </c>
    </row>
    <row r="705" spans="1:3" ht="20.100000000000001" customHeight="1">
      <c r="A705" s="4" t="s">
        <v>2473</v>
      </c>
      <c r="B705" s="4">
        <v>9820226137</v>
      </c>
      <c r="C705" s="4" t="s">
        <v>2479</v>
      </c>
    </row>
    <row r="706" spans="1:3" ht="20.100000000000001" customHeight="1">
      <c r="A706" s="4" t="s">
        <v>7056</v>
      </c>
      <c r="B706" s="4">
        <v>9820247240</v>
      </c>
      <c r="C706" s="4" t="s">
        <v>7062</v>
      </c>
    </row>
    <row r="707" spans="1:3" ht="20.100000000000001" customHeight="1">
      <c r="A707" s="4" t="s">
        <v>7659</v>
      </c>
      <c r="B707" s="4">
        <v>9820326503</v>
      </c>
      <c r="C707" s="4" t="s">
        <v>7665</v>
      </c>
    </row>
    <row r="708" spans="1:3" ht="20.100000000000001" customHeight="1">
      <c r="A708" s="4" t="s">
        <v>4504</v>
      </c>
      <c r="B708" s="4">
        <v>9820329412</v>
      </c>
      <c r="C708" s="4" t="s">
        <v>4510</v>
      </c>
    </row>
    <row r="709" spans="1:3" ht="20.100000000000001" customHeight="1">
      <c r="A709" s="4" t="s">
        <v>9768</v>
      </c>
      <c r="B709" s="4">
        <v>9820527772</v>
      </c>
      <c r="C709" s="4" t="s">
        <v>9774</v>
      </c>
    </row>
    <row r="710" spans="1:3" ht="20.100000000000001" customHeight="1">
      <c r="A710" s="4" t="s">
        <v>5606</v>
      </c>
      <c r="B710" s="4">
        <v>9820530954</v>
      </c>
      <c r="C710" s="4" t="s">
        <v>5612</v>
      </c>
    </row>
    <row r="711" spans="1:3" ht="20.100000000000001" customHeight="1">
      <c r="A711" s="4" t="s">
        <v>5324</v>
      </c>
      <c r="B711" s="4">
        <v>9820530984</v>
      </c>
      <c r="C711" s="4" t="s">
        <v>5329</v>
      </c>
    </row>
    <row r="712" spans="1:3" ht="20.100000000000001" customHeight="1">
      <c r="A712" s="4" t="s">
        <v>5856</v>
      </c>
      <c r="B712" s="4">
        <v>9820556689</v>
      </c>
      <c r="C712" s="4" t="s">
        <v>5861</v>
      </c>
    </row>
    <row r="713" spans="1:3" ht="20.100000000000001" customHeight="1">
      <c r="A713" s="4" t="s">
        <v>1596</v>
      </c>
      <c r="B713" s="4">
        <v>9820680799</v>
      </c>
      <c r="C713" s="4" t="s">
        <v>1601</v>
      </c>
    </row>
    <row r="714" spans="1:3" ht="20.100000000000001" customHeight="1">
      <c r="A714" s="4" t="s">
        <v>3351</v>
      </c>
      <c r="B714" s="4">
        <v>9820744653</v>
      </c>
      <c r="C714" s="4" t="s">
        <v>3356</v>
      </c>
    </row>
    <row r="715" spans="1:3" ht="20.100000000000001" customHeight="1">
      <c r="A715" s="4" t="s">
        <v>2021</v>
      </c>
      <c r="B715" s="4">
        <v>9820798172</v>
      </c>
      <c r="C715" s="4" t="s">
        <v>2028</v>
      </c>
    </row>
    <row r="716" spans="1:3" ht="20.100000000000001" customHeight="1">
      <c r="A716" s="4" t="s">
        <v>12503</v>
      </c>
      <c r="B716" s="4">
        <v>9820826710</v>
      </c>
      <c r="C716" s="4" t="s">
        <v>12507</v>
      </c>
    </row>
    <row r="717" spans="1:3" ht="20.100000000000001" customHeight="1">
      <c r="A717" s="4" t="s">
        <v>720</v>
      </c>
      <c r="B717" s="4">
        <v>9820862044</v>
      </c>
      <c r="C717" s="4" t="s">
        <v>727</v>
      </c>
    </row>
    <row r="718" spans="1:3" ht="20.100000000000001" customHeight="1">
      <c r="A718" s="4" t="s">
        <v>8889</v>
      </c>
      <c r="B718" s="4">
        <v>9820866440</v>
      </c>
      <c r="C718" s="4" t="s">
        <v>8892</v>
      </c>
    </row>
    <row r="719" spans="1:3" ht="20.100000000000001" customHeight="1">
      <c r="A719" s="4" t="s">
        <v>11390</v>
      </c>
      <c r="B719" s="4">
        <v>9820879113</v>
      </c>
      <c r="C719" s="4" t="s">
        <v>11396</v>
      </c>
    </row>
    <row r="720" spans="1:3" ht="20.100000000000001" customHeight="1">
      <c r="A720" s="4" t="s">
        <v>1481</v>
      </c>
      <c r="B720" s="4">
        <v>9820978364</v>
      </c>
      <c r="C720" s="4" t="s">
        <v>1488</v>
      </c>
    </row>
    <row r="721" spans="1:3" ht="20.100000000000001" customHeight="1">
      <c r="A721" s="4" t="s">
        <v>10936</v>
      </c>
      <c r="B721" s="4">
        <v>9821020334</v>
      </c>
      <c r="C721" s="4" t="s">
        <v>10940</v>
      </c>
    </row>
    <row r="722" spans="1:3" ht="20.100000000000001" customHeight="1">
      <c r="A722" s="4" t="s">
        <v>11688</v>
      </c>
      <c r="B722" s="4">
        <v>9821035686</v>
      </c>
      <c r="C722" s="4" t="s">
        <v>11694</v>
      </c>
    </row>
    <row r="723" spans="1:3" ht="20.100000000000001" customHeight="1">
      <c r="A723" s="4" t="s">
        <v>9708</v>
      </c>
      <c r="B723" s="4">
        <v>9821194171</v>
      </c>
      <c r="C723" s="4" t="s">
        <v>9714</v>
      </c>
    </row>
    <row r="724" spans="1:3" ht="20.100000000000001" customHeight="1">
      <c r="A724" s="4" t="s">
        <v>8470</v>
      </c>
      <c r="B724" s="4">
        <v>9821415636</v>
      </c>
      <c r="C724" s="4" t="s">
        <v>8475</v>
      </c>
    </row>
    <row r="725" spans="1:3" ht="20.100000000000001" customHeight="1">
      <c r="A725" s="4" t="s">
        <v>4919</v>
      </c>
      <c r="B725" s="4">
        <v>9821493373</v>
      </c>
      <c r="C725" s="4" t="s">
        <v>4923</v>
      </c>
    </row>
    <row r="726" spans="1:3" ht="20.100000000000001" customHeight="1">
      <c r="A726" s="4" t="s">
        <v>5700</v>
      </c>
      <c r="B726" s="4">
        <v>9821536974</v>
      </c>
      <c r="C726" s="4" t="s">
        <v>5706</v>
      </c>
    </row>
    <row r="727" spans="1:3" ht="20.100000000000001" customHeight="1">
      <c r="A727" s="4" t="s">
        <v>2153</v>
      </c>
      <c r="B727" s="4">
        <v>9821576711</v>
      </c>
      <c r="C727" s="4" t="s">
        <v>2158</v>
      </c>
    </row>
    <row r="728" spans="1:3" ht="20.100000000000001" customHeight="1">
      <c r="A728" s="4" t="s">
        <v>11400</v>
      </c>
      <c r="B728" s="4">
        <v>9821630694</v>
      </c>
      <c r="C728" s="4" t="s">
        <v>11404</v>
      </c>
    </row>
    <row r="729" spans="1:3" ht="20.100000000000001" customHeight="1">
      <c r="A729" s="4" t="s">
        <v>798</v>
      </c>
      <c r="B729" s="4">
        <v>9821667084</v>
      </c>
      <c r="C729" s="4" t="s">
        <v>803</v>
      </c>
    </row>
    <row r="730" spans="1:3" ht="20.100000000000001" customHeight="1">
      <c r="A730" s="4" t="s">
        <v>4374</v>
      </c>
      <c r="B730" s="4">
        <v>9821710239</v>
      </c>
      <c r="C730" s="4" t="s">
        <v>4379</v>
      </c>
    </row>
    <row r="731" spans="1:3" ht="20.100000000000001" customHeight="1">
      <c r="A731" s="4" t="s">
        <v>11584</v>
      </c>
      <c r="B731" s="4">
        <v>9821920247</v>
      </c>
      <c r="C731" s="4" t="s">
        <v>11588</v>
      </c>
    </row>
    <row r="732" spans="1:3" ht="20.100000000000001" customHeight="1">
      <c r="A732" s="4" t="s">
        <v>11109</v>
      </c>
      <c r="B732" s="4">
        <v>9822319368</v>
      </c>
      <c r="C732" s="4" t="s">
        <v>11114</v>
      </c>
    </row>
    <row r="733" spans="1:3" ht="20.100000000000001" customHeight="1">
      <c r="A733" s="4" t="s">
        <v>6605</v>
      </c>
      <c r="B733" s="4">
        <v>9823089564</v>
      </c>
      <c r="C733" s="4" t="s">
        <v>6612</v>
      </c>
    </row>
    <row r="734" spans="1:3" ht="20.100000000000001" customHeight="1">
      <c r="A734" s="4" t="s">
        <v>5221</v>
      </c>
      <c r="B734" s="4">
        <v>9823492106</v>
      </c>
      <c r="C734" s="4" t="s">
        <v>5227</v>
      </c>
    </row>
    <row r="735" spans="1:3" ht="20.100000000000001" customHeight="1">
      <c r="A735" s="4" t="s">
        <v>7329</v>
      </c>
      <c r="B735" s="4">
        <v>9823585548</v>
      </c>
      <c r="C735" s="4" t="s">
        <v>7334</v>
      </c>
    </row>
    <row r="736" spans="1:3" ht="20.100000000000001" customHeight="1">
      <c r="A736" s="4" t="s">
        <v>12762</v>
      </c>
      <c r="B736" s="4">
        <v>9823704128</v>
      </c>
      <c r="C736" s="4" t="s">
        <v>12767</v>
      </c>
    </row>
    <row r="737" spans="1:3" ht="20.100000000000001" customHeight="1">
      <c r="A737" s="4" t="s">
        <v>3614</v>
      </c>
      <c r="B737" s="4">
        <v>9824996921</v>
      </c>
      <c r="C737" s="4" t="s">
        <v>3619</v>
      </c>
    </row>
    <row r="738" spans="1:3" ht="20.100000000000001" customHeight="1">
      <c r="A738" s="4" t="s">
        <v>2667</v>
      </c>
      <c r="B738" s="4">
        <v>9829598031</v>
      </c>
      <c r="C738" s="4" t="s">
        <v>2672</v>
      </c>
    </row>
    <row r="739" spans="1:3" ht="20.100000000000001" customHeight="1">
      <c r="A739" s="4" t="s">
        <v>6838</v>
      </c>
      <c r="B739" s="4">
        <v>9831291143</v>
      </c>
      <c r="C739" s="4" t="s">
        <v>6843</v>
      </c>
    </row>
    <row r="740" spans="1:3" ht="20.100000000000001" customHeight="1">
      <c r="A740" s="4" t="s">
        <v>820</v>
      </c>
      <c r="B740" s="4">
        <v>9833020071</v>
      </c>
      <c r="C740" s="4" t="s">
        <v>828</v>
      </c>
    </row>
    <row r="741" spans="1:3" ht="20.100000000000001" customHeight="1">
      <c r="A741" s="4" t="s">
        <v>5661</v>
      </c>
      <c r="B741" s="4">
        <v>9833104608</v>
      </c>
      <c r="C741" s="4" t="s">
        <v>5667</v>
      </c>
    </row>
    <row r="742" spans="1:3" ht="20.100000000000001" customHeight="1">
      <c r="A742" s="4" t="s">
        <v>12059</v>
      </c>
      <c r="B742" s="4">
        <v>9833117383</v>
      </c>
      <c r="C742" s="4" t="s">
        <v>11645</v>
      </c>
    </row>
    <row r="743" spans="1:3" ht="20.100000000000001" customHeight="1">
      <c r="A743" s="4" t="s">
        <v>832</v>
      </c>
      <c r="B743" s="4">
        <v>9833149268</v>
      </c>
      <c r="C743" s="4" t="s">
        <v>838</v>
      </c>
    </row>
    <row r="744" spans="1:3" ht="20.100000000000001" customHeight="1">
      <c r="A744" s="4" t="s">
        <v>9031</v>
      </c>
      <c r="B744" s="4">
        <v>9833243861</v>
      </c>
      <c r="C744" s="4" t="s">
        <v>9035</v>
      </c>
    </row>
    <row r="745" spans="1:3" ht="20.100000000000001" customHeight="1">
      <c r="A745" s="4" t="s">
        <v>12520</v>
      </c>
      <c r="B745" s="4">
        <v>9833250633</v>
      </c>
      <c r="C745" s="4" t="s">
        <v>12525</v>
      </c>
    </row>
    <row r="746" spans="1:3" ht="20.100000000000001" customHeight="1">
      <c r="A746" s="4" t="s">
        <v>9493</v>
      </c>
      <c r="B746" s="4">
        <v>9833256052</v>
      </c>
      <c r="C746" s="4" t="s">
        <v>9498</v>
      </c>
    </row>
    <row r="747" spans="1:3" ht="20.100000000000001" customHeight="1">
      <c r="A747" s="4" t="s">
        <v>8566</v>
      </c>
      <c r="B747" s="4">
        <v>9833289123</v>
      </c>
      <c r="C747" s="4" t="s">
        <v>8570</v>
      </c>
    </row>
    <row r="748" spans="1:3" ht="20.100000000000001" customHeight="1">
      <c r="A748" s="4" t="s">
        <v>10618</v>
      </c>
      <c r="B748" s="4">
        <v>9833289201</v>
      </c>
      <c r="C748" s="4" t="s">
        <v>10622</v>
      </c>
    </row>
    <row r="749" spans="1:3" ht="20.100000000000001" customHeight="1">
      <c r="A749" s="4" t="s">
        <v>2790</v>
      </c>
      <c r="B749" s="4">
        <v>9833295938</v>
      </c>
      <c r="C749" s="4" t="s">
        <v>2794</v>
      </c>
    </row>
    <row r="750" spans="1:3" ht="20.100000000000001" customHeight="1">
      <c r="A750" s="4" t="s">
        <v>12234</v>
      </c>
      <c r="B750" s="4">
        <v>9833301984</v>
      </c>
      <c r="C750" s="4" t="s">
        <v>12238</v>
      </c>
    </row>
    <row r="751" spans="1:3" ht="20.100000000000001" customHeight="1">
      <c r="A751" s="4" t="s">
        <v>550</v>
      </c>
      <c r="B751" s="4">
        <v>9833303366</v>
      </c>
      <c r="C751" s="4" t="s">
        <v>557</v>
      </c>
    </row>
    <row r="752" spans="1:3" ht="20.100000000000001" customHeight="1">
      <c r="A752" s="4" t="s">
        <v>3466</v>
      </c>
      <c r="B752" s="4">
        <v>9833325419</v>
      </c>
      <c r="C752" s="4" t="s">
        <v>3472</v>
      </c>
    </row>
    <row r="753" spans="1:3" ht="20.100000000000001" customHeight="1">
      <c r="A753" s="4" t="s">
        <v>6758</v>
      </c>
      <c r="B753" s="4">
        <v>9833350152</v>
      </c>
      <c r="C753" s="4" t="s">
        <v>6763</v>
      </c>
    </row>
    <row r="754" spans="1:3" ht="20.100000000000001" customHeight="1">
      <c r="A754" s="4" t="s">
        <v>8910</v>
      </c>
      <c r="B754" s="4">
        <v>9833366244</v>
      </c>
      <c r="C754" s="4" t="s">
        <v>8913</v>
      </c>
    </row>
    <row r="755" spans="1:3" ht="20.100000000000001" customHeight="1">
      <c r="A755" s="4" t="s">
        <v>9601</v>
      </c>
      <c r="B755" s="4">
        <v>9833407278</v>
      </c>
      <c r="C755" s="4" t="s">
        <v>9606</v>
      </c>
    </row>
    <row r="756" spans="1:3" ht="20.100000000000001" customHeight="1">
      <c r="A756" s="4" t="s">
        <v>10507</v>
      </c>
      <c r="B756" s="4">
        <v>9833426431</v>
      </c>
      <c r="C756" s="4" t="s">
        <v>10513</v>
      </c>
    </row>
    <row r="757" spans="1:3" ht="20.100000000000001" customHeight="1">
      <c r="A757" s="4" t="s">
        <v>5293</v>
      </c>
      <c r="B757" s="4">
        <v>9833496457</v>
      </c>
      <c r="C757" s="4" t="s">
        <v>5297</v>
      </c>
    </row>
    <row r="758" spans="1:3" ht="20.100000000000001" customHeight="1">
      <c r="A758" s="4" t="s">
        <v>6139</v>
      </c>
      <c r="B758" s="4">
        <v>9833514645</v>
      </c>
      <c r="C758" s="4" t="s">
        <v>6145</v>
      </c>
    </row>
    <row r="759" spans="1:3" ht="20.100000000000001" customHeight="1">
      <c r="A759" s="4" t="s">
        <v>2529</v>
      </c>
      <c r="B759" s="4">
        <v>9833570377</v>
      </c>
      <c r="C759" s="4" t="s">
        <v>2535</v>
      </c>
    </row>
    <row r="760" spans="1:3" ht="20.100000000000001" customHeight="1">
      <c r="A760" s="4" t="s">
        <v>1118</v>
      </c>
      <c r="B760" s="4">
        <v>9833573683</v>
      </c>
      <c r="C760" s="4" t="s">
        <v>1125</v>
      </c>
    </row>
    <row r="761" spans="1:3" ht="20.100000000000001" customHeight="1">
      <c r="A761" s="4" t="s">
        <v>8895</v>
      </c>
      <c r="B761" s="4">
        <v>9833648247</v>
      </c>
    </row>
    <row r="762" spans="1:3" ht="20.100000000000001" customHeight="1">
      <c r="A762" s="4" t="s">
        <v>4689</v>
      </c>
      <c r="B762" s="4">
        <v>9833681225</v>
      </c>
      <c r="C762" s="4" t="s">
        <v>4696</v>
      </c>
    </row>
    <row r="763" spans="1:3" ht="20.100000000000001" customHeight="1">
      <c r="A763" s="4" t="s">
        <v>8559</v>
      </c>
      <c r="B763" s="4">
        <v>9833721766</v>
      </c>
      <c r="C763" s="4" t="s">
        <v>8563</v>
      </c>
    </row>
    <row r="764" spans="1:3" ht="20.100000000000001" customHeight="1">
      <c r="A764" s="4" t="s">
        <v>6445</v>
      </c>
      <c r="B764" s="4">
        <v>9833731445</v>
      </c>
      <c r="C764" s="4" t="s">
        <v>6451</v>
      </c>
    </row>
    <row r="765" spans="1:3" ht="20.100000000000001" customHeight="1">
      <c r="A765" s="4" t="s">
        <v>9682</v>
      </c>
      <c r="B765" s="4">
        <v>9833752185</v>
      </c>
      <c r="C765" s="4" t="s">
        <v>9686</v>
      </c>
    </row>
    <row r="766" spans="1:3" ht="20.100000000000001" customHeight="1">
      <c r="A766" s="4" t="s">
        <v>965</v>
      </c>
      <c r="B766" s="4">
        <v>9833853622</v>
      </c>
      <c r="C766" s="4" t="s">
        <v>971</v>
      </c>
    </row>
    <row r="767" spans="1:3" ht="20.100000000000001" customHeight="1">
      <c r="A767" s="4" t="s">
        <v>12487</v>
      </c>
      <c r="B767" s="4">
        <v>9833856832</v>
      </c>
      <c r="C767" s="4" t="s">
        <v>12492</v>
      </c>
    </row>
    <row r="768" spans="1:3" ht="20.100000000000001" customHeight="1">
      <c r="A768" s="4" t="s">
        <v>3396</v>
      </c>
      <c r="B768" s="4">
        <v>9833918904</v>
      </c>
      <c r="C768" s="4" t="s">
        <v>3402</v>
      </c>
    </row>
    <row r="769" spans="1:3" ht="20.100000000000001" customHeight="1">
      <c r="A769" s="4" t="s">
        <v>1991</v>
      </c>
      <c r="B769" s="4">
        <v>9833919582</v>
      </c>
      <c r="C769" s="4" t="s">
        <v>1998</v>
      </c>
    </row>
    <row r="770" spans="1:3" ht="20.100000000000001" customHeight="1">
      <c r="A770" s="4" t="s">
        <v>12665</v>
      </c>
      <c r="B770" s="4">
        <v>9833965542</v>
      </c>
      <c r="C770" s="4" t="s">
        <v>12669</v>
      </c>
    </row>
    <row r="771" spans="1:3" ht="20.100000000000001" customHeight="1">
      <c r="A771" s="4" t="s">
        <v>7519</v>
      </c>
      <c r="B771" s="4">
        <v>9839639907</v>
      </c>
    </row>
    <row r="772" spans="1:3" ht="20.100000000000001" customHeight="1">
      <c r="A772" s="4" t="s">
        <v>3850</v>
      </c>
      <c r="B772" s="4">
        <v>9840678883</v>
      </c>
      <c r="C772" s="4" t="s">
        <v>3855</v>
      </c>
    </row>
    <row r="773" spans="1:3" ht="20.100000000000001" customHeight="1">
      <c r="A773" s="4" t="s">
        <v>12893</v>
      </c>
      <c r="B773" s="4">
        <v>9846474724</v>
      </c>
      <c r="C773" s="4" t="s">
        <v>12897</v>
      </c>
    </row>
    <row r="774" spans="1:3" ht="20.100000000000001" customHeight="1">
      <c r="A774" s="4" t="s">
        <v>5513</v>
      </c>
      <c r="B774" s="4">
        <v>9850160695</v>
      </c>
      <c r="C774" s="4" t="s">
        <v>5519</v>
      </c>
    </row>
    <row r="775" spans="1:3" ht="20.100000000000001" customHeight="1">
      <c r="A775" s="4" t="s">
        <v>7407</v>
      </c>
      <c r="B775" s="4">
        <v>9852081797</v>
      </c>
      <c r="C775" s="4" t="s">
        <v>7413</v>
      </c>
    </row>
    <row r="776" spans="1:3" ht="20.100000000000001" customHeight="1">
      <c r="A776" s="4" t="s">
        <v>8591</v>
      </c>
      <c r="B776" s="4">
        <v>9853522335</v>
      </c>
      <c r="C776" s="4" t="s">
        <v>1062</v>
      </c>
    </row>
    <row r="777" spans="1:3" ht="20.100000000000001" customHeight="1">
      <c r="A777" s="4" t="s">
        <v>9594</v>
      </c>
      <c r="B777" s="4">
        <v>9860326402</v>
      </c>
      <c r="C777" s="4" t="s">
        <v>9598</v>
      </c>
    </row>
    <row r="778" spans="1:3" ht="20.100000000000001" customHeight="1">
      <c r="A778" s="4" t="s">
        <v>11093</v>
      </c>
      <c r="B778" s="4">
        <v>9860415455</v>
      </c>
      <c r="C778" s="4" t="s">
        <v>11097</v>
      </c>
    </row>
    <row r="779" spans="1:3" ht="20.100000000000001" customHeight="1">
      <c r="A779" s="4" t="s">
        <v>8702</v>
      </c>
      <c r="B779" s="4">
        <v>9860618348</v>
      </c>
      <c r="C779" s="4" t="s">
        <v>1391</v>
      </c>
    </row>
    <row r="780" spans="1:3" ht="20.100000000000001" customHeight="1">
      <c r="A780" s="4" t="s">
        <v>6766</v>
      </c>
      <c r="B780" s="4">
        <v>9860646582</v>
      </c>
      <c r="C780" s="4" t="s">
        <v>6771</v>
      </c>
    </row>
    <row r="781" spans="1:3" ht="20.100000000000001" customHeight="1">
      <c r="A781" s="4" t="s">
        <v>639</v>
      </c>
      <c r="B781" s="4">
        <v>9860868327</v>
      </c>
    </row>
    <row r="782" spans="1:3" ht="20.100000000000001" customHeight="1">
      <c r="A782" s="4" t="s">
        <v>11125</v>
      </c>
      <c r="B782" s="4">
        <v>9860941223</v>
      </c>
      <c r="C782" s="4" t="s">
        <v>11130</v>
      </c>
    </row>
    <row r="783" spans="1:3" ht="20.100000000000001" customHeight="1">
      <c r="A783" s="4" t="s">
        <v>4845</v>
      </c>
      <c r="B783" s="4">
        <v>9867001189</v>
      </c>
      <c r="C783" s="4" t="s">
        <v>4852</v>
      </c>
    </row>
    <row r="784" spans="1:3" ht="20.100000000000001" customHeight="1">
      <c r="A784" s="4" t="s">
        <v>10437</v>
      </c>
      <c r="B784" s="4">
        <v>9867046011</v>
      </c>
      <c r="C784" s="4" t="s">
        <v>10442</v>
      </c>
    </row>
    <row r="785" spans="1:3" ht="20.100000000000001" customHeight="1">
      <c r="A785" s="4" t="s">
        <v>931</v>
      </c>
      <c r="B785" s="4">
        <v>9867112227</v>
      </c>
      <c r="C785" s="4" t="s">
        <v>939</v>
      </c>
    </row>
    <row r="786" spans="1:3" ht="20.100000000000001" customHeight="1">
      <c r="A786" s="4" t="s">
        <v>4826</v>
      </c>
      <c r="B786" s="4">
        <v>9867168657</v>
      </c>
      <c r="C786" s="4" t="s">
        <v>4831</v>
      </c>
    </row>
    <row r="787" spans="1:3" ht="20.100000000000001" customHeight="1">
      <c r="A787" s="4" t="s">
        <v>9830</v>
      </c>
      <c r="B787" s="4">
        <v>9867352501</v>
      </c>
      <c r="C787" s="4" t="s">
        <v>9834</v>
      </c>
    </row>
    <row r="788" spans="1:3" ht="20.100000000000001" customHeight="1">
      <c r="A788" s="4" t="s">
        <v>8119</v>
      </c>
      <c r="B788" s="4">
        <v>9867412705</v>
      </c>
      <c r="C788" s="4" t="s">
        <v>8124</v>
      </c>
    </row>
    <row r="789" spans="1:3" ht="20.100000000000001" customHeight="1">
      <c r="A789" s="4" t="s">
        <v>10560</v>
      </c>
      <c r="B789" s="4">
        <v>9867449434</v>
      </c>
      <c r="C789" s="4" t="s">
        <v>10567</v>
      </c>
    </row>
    <row r="790" spans="1:3" ht="20.100000000000001" customHeight="1">
      <c r="A790" s="4" t="s">
        <v>10123</v>
      </c>
      <c r="B790" s="4">
        <v>9867492746</v>
      </c>
      <c r="C790" s="4" t="s">
        <v>10127</v>
      </c>
    </row>
    <row r="791" spans="1:3" ht="20.100000000000001" customHeight="1">
      <c r="A791" s="4" t="s">
        <v>3751</v>
      </c>
      <c r="B791" s="4">
        <v>9867509686</v>
      </c>
      <c r="C791" s="4" t="s">
        <v>3758</v>
      </c>
    </row>
    <row r="792" spans="1:3" ht="20.100000000000001" customHeight="1">
      <c r="A792" s="4" t="s">
        <v>3571</v>
      </c>
      <c r="B792" s="4">
        <v>9867529954</v>
      </c>
      <c r="C792" s="4" t="s">
        <v>718</v>
      </c>
    </row>
    <row r="793" spans="1:3" ht="20.100000000000001" customHeight="1">
      <c r="A793" s="4" t="s">
        <v>6477</v>
      </c>
      <c r="B793" s="4">
        <v>9867573947</v>
      </c>
      <c r="C793" s="4" t="s">
        <v>6482</v>
      </c>
    </row>
    <row r="794" spans="1:3" ht="20.100000000000001" customHeight="1">
      <c r="A794" s="4" t="s">
        <v>12457</v>
      </c>
      <c r="B794" s="4">
        <v>9867617647</v>
      </c>
      <c r="C794" s="4" t="s">
        <v>12462</v>
      </c>
    </row>
    <row r="795" spans="1:3" ht="20.100000000000001" customHeight="1">
      <c r="A795" s="4" t="s">
        <v>12599</v>
      </c>
      <c r="B795" s="4">
        <v>9867729937</v>
      </c>
      <c r="C795" s="4" t="s">
        <v>12605</v>
      </c>
    </row>
    <row r="796" spans="1:3" ht="20.100000000000001" customHeight="1">
      <c r="A796" s="4" t="s">
        <v>10634</v>
      </c>
      <c r="B796" s="4">
        <v>9867787189</v>
      </c>
      <c r="C796" s="4" t="s">
        <v>10639</v>
      </c>
    </row>
    <row r="797" spans="1:3" ht="20.100000000000001" customHeight="1">
      <c r="A797" s="4" t="s">
        <v>8694</v>
      </c>
      <c r="B797" s="4">
        <v>9867787675</v>
      </c>
      <c r="C797" s="4" t="s">
        <v>8698</v>
      </c>
    </row>
    <row r="798" spans="1:3" ht="20.100000000000001" customHeight="1">
      <c r="A798" s="4" t="s">
        <v>7218</v>
      </c>
      <c r="B798" s="4">
        <v>9867935991</v>
      </c>
      <c r="C798" s="4" t="s">
        <v>3673</v>
      </c>
    </row>
    <row r="799" spans="1:3" ht="20.100000000000001" customHeight="1">
      <c r="A799" s="4" t="s">
        <v>4454</v>
      </c>
      <c r="B799" s="4">
        <v>9867948286</v>
      </c>
      <c r="C799" s="4" t="s">
        <v>4459</v>
      </c>
    </row>
    <row r="800" spans="1:3" ht="20.100000000000001" customHeight="1">
      <c r="A800" s="4" t="s">
        <v>2724</v>
      </c>
      <c r="B800" s="4">
        <v>9867971711</v>
      </c>
      <c r="C800" s="4" t="s">
        <v>1967</v>
      </c>
    </row>
    <row r="801" spans="1:3" ht="20.100000000000001" customHeight="1">
      <c r="A801" s="4" t="s">
        <v>2676</v>
      </c>
      <c r="B801" s="4">
        <v>9867977337</v>
      </c>
      <c r="C801" s="4" t="s">
        <v>2681</v>
      </c>
    </row>
    <row r="802" spans="1:3" ht="20.100000000000001" customHeight="1">
      <c r="A802" s="4" t="s">
        <v>2483</v>
      </c>
      <c r="B802" s="4">
        <v>9867988307</v>
      </c>
      <c r="C802" s="4" t="s">
        <v>2487</v>
      </c>
    </row>
    <row r="803" spans="1:3" ht="20.100000000000001" customHeight="1">
      <c r="A803" s="4" t="s">
        <v>12886</v>
      </c>
      <c r="B803" s="4">
        <v>9869162925</v>
      </c>
      <c r="C803" s="4" t="s">
        <v>12890</v>
      </c>
    </row>
    <row r="804" spans="1:3" ht="20.100000000000001" customHeight="1">
      <c r="A804" s="4" t="s">
        <v>1181</v>
      </c>
      <c r="B804" s="4">
        <v>9869170795</v>
      </c>
      <c r="C804" s="4" t="s">
        <v>1188</v>
      </c>
    </row>
    <row r="805" spans="1:3" ht="20.100000000000001" customHeight="1">
      <c r="A805" s="4" t="s">
        <v>6061</v>
      </c>
      <c r="B805" s="4">
        <v>9869381889</v>
      </c>
      <c r="C805" s="4" t="s">
        <v>6067</v>
      </c>
    </row>
    <row r="806" spans="1:3" ht="20.100000000000001" customHeight="1">
      <c r="A806" s="4" t="s">
        <v>9085</v>
      </c>
      <c r="B806" s="4">
        <v>9869434769</v>
      </c>
      <c r="C806" s="4" t="s">
        <v>9090</v>
      </c>
    </row>
    <row r="807" spans="1:3" ht="20.100000000000001" customHeight="1">
      <c r="A807" s="4" t="s">
        <v>10275</v>
      </c>
      <c r="B807" s="4">
        <v>9869450296</v>
      </c>
      <c r="C807" s="4" t="s">
        <v>10278</v>
      </c>
    </row>
    <row r="808" spans="1:3" ht="20.100000000000001" customHeight="1">
      <c r="A808" s="4" t="s">
        <v>7790</v>
      </c>
      <c r="B808" s="4">
        <v>9869586901</v>
      </c>
      <c r="C808" s="4" t="s">
        <v>7797</v>
      </c>
    </row>
    <row r="809" spans="1:3" ht="20.100000000000001" customHeight="1">
      <c r="A809" s="4" t="s">
        <v>3114</v>
      </c>
      <c r="B809" s="4">
        <v>9869624172</v>
      </c>
      <c r="C809" s="4" t="s">
        <v>3120</v>
      </c>
    </row>
    <row r="810" spans="1:3" ht="20.100000000000001" customHeight="1">
      <c r="A810" s="4" t="s">
        <v>10107</v>
      </c>
      <c r="B810" s="4">
        <v>9869698416</v>
      </c>
      <c r="C810" s="4" t="s">
        <v>10111</v>
      </c>
    </row>
    <row r="811" spans="1:3" ht="20.100000000000001" customHeight="1">
      <c r="A811" s="4" t="s">
        <v>984</v>
      </c>
      <c r="B811" s="4">
        <v>9869838226</v>
      </c>
      <c r="C811" s="4" t="s">
        <v>990</v>
      </c>
    </row>
    <row r="812" spans="1:3" ht="20.100000000000001" customHeight="1">
      <c r="A812" s="4" t="s">
        <v>5939</v>
      </c>
      <c r="B812" s="4">
        <v>9869924537</v>
      </c>
      <c r="C812" s="4" t="s">
        <v>5943</v>
      </c>
    </row>
    <row r="813" spans="1:3" ht="20.100000000000001" customHeight="1">
      <c r="A813" s="4" t="s">
        <v>7867</v>
      </c>
      <c r="B813" s="4">
        <v>9869927043</v>
      </c>
    </row>
    <row r="814" spans="1:3" ht="20.100000000000001" customHeight="1">
      <c r="A814" s="4" t="s">
        <v>12205</v>
      </c>
      <c r="B814" s="4">
        <v>9869939090</v>
      </c>
      <c r="C814" s="4" t="s">
        <v>12209</v>
      </c>
    </row>
    <row r="815" spans="1:3" ht="20.100000000000001" customHeight="1">
      <c r="A815" s="4" t="s">
        <v>2762</v>
      </c>
      <c r="B815" s="4">
        <v>9870035523</v>
      </c>
      <c r="C815" s="4" t="s">
        <v>2767</v>
      </c>
    </row>
    <row r="816" spans="1:3" ht="20.100000000000001" customHeight="1">
      <c r="A816" s="4" t="s">
        <v>3608</v>
      </c>
      <c r="B816" s="4">
        <v>9870109610</v>
      </c>
      <c r="C816" s="4" t="s">
        <v>3611</v>
      </c>
    </row>
    <row r="817" spans="1:3" ht="20.100000000000001" customHeight="1">
      <c r="A817" s="4" t="s">
        <v>10860</v>
      </c>
      <c r="B817" s="4">
        <v>9870136873</v>
      </c>
      <c r="C817" s="4" t="s">
        <v>10866</v>
      </c>
    </row>
    <row r="818" spans="1:3" ht="20.100000000000001" customHeight="1">
      <c r="A818" s="4" t="s">
        <v>5417</v>
      </c>
      <c r="B818" s="4">
        <v>9870200765</v>
      </c>
      <c r="C818" s="4" t="s">
        <v>5422</v>
      </c>
    </row>
    <row r="819" spans="1:3" ht="20.100000000000001" customHeight="1">
      <c r="A819" s="4" t="s">
        <v>3842</v>
      </c>
      <c r="B819" s="4">
        <v>9870220375</v>
      </c>
      <c r="C819" s="4" t="s">
        <v>3847</v>
      </c>
    </row>
    <row r="820" spans="1:3" ht="20.100000000000001" customHeight="1">
      <c r="A820" s="4" t="s">
        <v>3938</v>
      </c>
      <c r="B820" s="4">
        <v>9870243355</v>
      </c>
      <c r="C820" s="4" t="s">
        <v>3943</v>
      </c>
    </row>
    <row r="821" spans="1:3" ht="20.100000000000001" customHeight="1">
      <c r="A821" s="4" t="s">
        <v>7607</v>
      </c>
      <c r="B821" s="4">
        <v>9870418982</v>
      </c>
      <c r="C821" s="4" t="s">
        <v>4745</v>
      </c>
    </row>
    <row r="822" spans="1:3" ht="20.100000000000001" customHeight="1">
      <c r="A822" s="4" t="s">
        <v>1371</v>
      </c>
      <c r="B822" s="4">
        <v>9870508282</v>
      </c>
      <c r="C822" s="4" t="s">
        <v>1376</v>
      </c>
    </row>
    <row r="823" spans="1:3" ht="20.100000000000001" customHeight="1">
      <c r="A823" s="4" t="s">
        <v>2394</v>
      </c>
      <c r="B823" s="4">
        <v>9870642923</v>
      </c>
      <c r="C823" s="4" t="s">
        <v>718</v>
      </c>
    </row>
    <row r="824" spans="1:3" ht="20.100000000000001" customHeight="1">
      <c r="A824" s="4" t="s">
        <v>5883</v>
      </c>
      <c r="B824" s="4">
        <v>9870714874</v>
      </c>
      <c r="C824" s="4" t="s">
        <v>5888</v>
      </c>
    </row>
    <row r="825" spans="1:3" ht="20.100000000000001" customHeight="1">
      <c r="A825" s="4" t="s">
        <v>4169</v>
      </c>
      <c r="B825" s="4">
        <v>9870745164</v>
      </c>
      <c r="C825" s="4" t="s">
        <v>4173</v>
      </c>
    </row>
    <row r="826" spans="1:3" ht="20.100000000000001" customHeight="1">
      <c r="A826" s="4" t="s">
        <v>7745</v>
      </c>
      <c r="B826" s="4">
        <v>9873066862</v>
      </c>
      <c r="C826" s="4" t="s">
        <v>7749</v>
      </c>
    </row>
    <row r="827" spans="1:3" ht="20.100000000000001" customHeight="1">
      <c r="A827" s="4" t="s">
        <v>3650</v>
      </c>
      <c r="B827" s="4">
        <v>9879409140</v>
      </c>
      <c r="C827" s="4" t="s">
        <v>718</v>
      </c>
    </row>
    <row r="828" spans="1:3" ht="20.100000000000001" customHeight="1">
      <c r="A828" s="4" t="s">
        <v>3084</v>
      </c>
      <c r="B828" s="4">
        <v>9879908614</v>
      </c>
      <c r="C828" s="4" t="s">
        <v>3090</v>
      </c>
    </row>
    <row r="829" spans="1:3" ht="20.100000000000001" customHeight="1">
      <c r="A829" s="4" t="s">
        <v>11709</v>
      </c>
      <c r="B829" s="4">
        <v>9886400744</v>
      </c>
      <c r="C829" s="4" t="s">
        <v>11715</v>
      </c>
    </row>
    <row r="830" spans="1:3" ht="20.100000000000001" customHeight="1">
      <c r="A830" s="4" t="s">
        <v>9338</v>
      </c>
      <c r="B830" s="4">
        <v>9890342582</v>
      </c>
      <c r="C830" s="4" t="s">
        <v>6058</v>
      </c>
    </row>
    <row r="831" spans="1:3" ht="20.100000000000001" customHeight="1">
      <c r="A831" s="4" t="s">
        <v>6149</v>
      </c>
      <c r="B831" s="4">
        <v>9890664939</v>
      </c>
      <c r="C831" s="4" t="s">
        <v>6155</v>
      </c>
    </row>
    <row r="832" spans="1:3" ht="20.100000000000001" customHeight="1">
      <c r="A832" s="4" t="s">
        <v>6685</v>
      </c>
      <c r="B832" s="4">
        <v>9890698926</v>
      </c>
      <c r="C832" s="4" t="s">
        <v>6690</v>
      </c>
    </row>
    <row r="833" spans="1:3" ht="20.100000000000001" customHeight="1">
      <c r="A833" s="4" t="s">
        <v>9845</v>
      </c>
      <c r="B833" s="4">
        <v>9892056259</v>
      </c>
      <c r="C833" s="4" t="s">
        <v>9849</v>
      </c>
    </row>
    <row r="834" spans="1:3" ht="20.100000000000001" customHeight="1">
      <c r="A834" s="4" t="s">
        <v>11492</v>
      </c>
      <c r="B834" s="4">
        <v>9892116872</v>
      </c>
    </row>
    <row r="835" spans="1:3" ht="20.100000000000001" customHeight="1">
      <c r="A835" s="4" t="s">
        <v>3457</v>
      </c>
      <c r="B835" s="4">
        <v>9892125125</v>
      </c>
      <c r="C835" s="4" t="s">
        <v>3462</v>
      </c>
    </row>
    <row r="836" spans="1:3" ht="20.100000000000001" customHeight="1">
      <c r="A836" s="4" t="s">
        <v>2002</v>
      </c>
      <c r="B836" s="4">
        <v>9892160771</v>
      </c>
      <c r="C836" s="4" t="s">
        <v>2009</v>
      </c>
    </row>
    <row r="837" spans="1:3" ht="20.100000000000001" customHeight="1">
      <c r="A837" s="4" t="s">
        <v>3134</v>
      </c>
      <c r="B837" s="4">
        <v>9892220409</v>
      </c>
      <c r="C837" s="4" t="s">
        <v>3138</v>
      </c>
    </row>
    <row r="838" spans="1:3" ht="20.100000000000001" customHeight="1">
      <c r="A838" s="4" t="s">
        <v>12025</v>
      </c>
      <c r="B838" s="4">
        <v>9892243750</v>
      </c>
      <c r="C838" s="4" t="s">
        <v>12030</v>
      </c>
    </row>
    <row r="839" spans="1:3" ht="20.100000000000001" customHeight="1">
      <c r="A839" s="4" t="s">
        <v>7357</v>
      </c>
      <c r="B839" s="4">
        <v>9892307058</v>
      </c>
      <c r="C839" s="4" t="s">
        <v>7361</v>
      </c>
    </row>
    <row r="840" spans="1:3" ht="20.100000000000001" customHeight="1">
      <c r="A840" s="4" t="s">
        <v>7692</v>
      </c>
      <c r="B840" s="4">
        <v>9892353697</v>
      </c>
      <c r="C840" s="4" t="s">
        <v>7697</v>
      </c>
    </row>
    <row r="841" spans="1:3" ht="20.100000000000001" customHeight="1">
      <c r="A841" s="4" t="s">
        <v>10267</v>
      </c>
      <c r="B841" s="4">
        <v>9892368378</v>
      </c>
      <c r="C841" s="4" t="s">
        <v>10271</v>
      </c>
    </row>
    <row r="842" spans="1:3" ht="20.100000000000001" customHeight="1">
      <c r="A842" s="4" t="s">
        <v>6803</v>
      </c>
      <c r="B842" s="4">
        <v>9892453433</v>
      </c>
      <c r="C842" s="4" t="s">
        <v>6807</v>
      </c>
    </row>
    <row r="843" spans="1:3" ht="20.100000000000001" customHeight="1">
      <c r="A843" s="4" t="s">
        <v>3261</v>
      </c>
      <c r="B843" s="4">
        <v>9892644125</v>
      </c>
      <c r="C843" s="4" t="s">
        <v>3267</v>
      </c>
    </row>
    <row r="844" spans="1:3" ht="20.100000000000001" customHeight="1">
      <c r="A844" s="4" t="s">
        <v>10626</v>
      </c>
      <c r="B844" s="4">
        <v>9892644125</v>
      </c>
      <c r="C844" s="4" t="s">
        <v>10629</v>
      </c>
    </row>
    <row r="845" spans="1:3" ht="20.100000000000001" customHeight="1">
      <c r="A845" s="4" t="s">
        <v>10836</v>
      </c>
      <c r="B845" s="4">
        <v>9892808011</v>
      </c>
    </row>
    <row r="846" spans="1:3" ht="20.100000000000001" customHeight="1">
      <c r="A846" s="4" t="s">
        <v>8061</v>
      </c>
      <c r="B846" s="4">
        <v>9892881228</v>
      </c>
      <c r="C846" s="4" t="s">
        <v>8067</v>
      </c>
    </row>
    <row r="847" spans="1:3" ht="20.100000000000001" customHeight="1">
      <c r="A847" s="4" t="s">
        <v>4811</v>
      </c>
      <c r="B847" s="4">
        <v>9892958700</v>
      </c>
      <c r="C847" s="4" t="s">
        <v>4815</v>
      </c>
    </row>
    <row r="848" spans="1:3" ht="20.100000000000001" customHeight="1">
      <c r="A848" s="4" t="s">
        <v>418</v>
      </c>
      <c r="B848" s="4">
        <v>9892979894</v>
      </c>
      <c r="C848" s="4" t="s">
        <v>426</v>
      </c>
    </row>
    <row r="849" spans="1:3" ht="20.100000000000001" customHeight="1">
      <c r="A849" s="4" t="s">
        <v>6159</v>
      </c>
      <c r="B849" s="4">
        <v>9895181651</v>
      </c>
      <c r="C849" s="4" t="s">
        <v>6164</v>
      </c>
    </row>
    <row r="850" spans="1:3" ht="20.100000000000001" customHeight="1">
      <c r="A850" s="4" t="s">
        <v>5333</v>
      </c>
      <c r="B850" s="4">
        <v>9895830307</v>
      </c>
      <c r="C850" s="4" t="s">
        <v>5337</v>
      </c>
    </row>
    <row r="851" spans="1:3" ht="20.100000000000001" customHeight="1">
      <c r="A851" s="4" t="s">
        <v>6554</v>
      </c>
      <c r="B851" s="4">
        <v>9898551892</v>
      </c>
      <c r="C851" s="4" t="s">
        <v>5465</v>
      </c>
    </row>
    <row r="852" spans="1:3" ht="20.100000000000001" customHeight="1">
      <c r="A852" s="4" t="s">
        <v>11369</v>
      </c>
      <c r="B852" s="4">
        <v>9899016903</v>
      </c>
      <c r="C852" s="4" t="s">
        <v>11373</v>
      </c>
    </row>
    <row r="853" spans="1:3" ht="20.100000000000001" customHeight="1">
      <c r="A853" s="4" t="s">
        <v>9077</v>
      </c>
      <c r="B853" s="4">
        <v>9899113380</v>
      </c>
      <c r="C853" s="4" t="s">
        <v>2552</v>
      </c>
    </row>
    <row r="854" spans="1:3" ht="20.100000000000001" customHeight="1">
      <c r="A854" s="4" t="s">
        <v>7365</v>
      </c>
      <c r="B854" s="4">
        <v>9903363373</v>
      </c>
      <c r="C854" s="4" t="s">
        <v>7371</v>
      </c>
    </row>
    <row r="855" spans="1:3" ht="20.100000000000001" customHeight="1">
      <c r="A855" s="4" t="s">
        <v>7624</v>
      </c>
      <c r="B855" s="4">
        <v>9910061712</v>
      </c>
      <c r="C855" s="4" t="s">
        <v>7630</v>
      </c>
    </row>
    <row r="856" spans="1:3" ht="20.100000000000001" customHeight="1">
      <c r="A856" s="4" t="s">
        <v>6624</v>
      </c>
      <c r="B856" s="4">
        <v>9917587631</v>
      </c>
      <c r="C856" s="4" t="s">
        <v>6629</v>
      </c>
    </row>
    <row r="857" spans="1:3" ht="20.100000000000001" customHeight="1">
      <c r="A857" s="4" t="s">
        <v>9690</v>
      </c>
      <c r="B857" s="4">
        <v>9920018118</v>
      </c>
      <c r="C857" s="4" t="s">
        <v>9695</v>
      </c>
    </row>
    <row r="858" spans="1:3" ht="20.100000000000001" customHeight="1">
      <c r="A858" s="4" t="s">
        <v>4279</v>
      </c>
      <c r="B858" s="4">
        <v>9920058680</v>
      </c>
      <c r="C858" s="4" t="s">
        <v>4284</v>
      </c>
    </row>
    <row r="859" spans="1:3" ht="20.100000000000001" customHeight="1">
      <c r="A859" s="4" t="s">
        <v>12212</v>
      </c>
      <c r="B859" s="4">
        <v>9920068844</v>
      </c>
      <c r="C859" s="4" t="s">
        <v>12218</v>
      </c>
    </row>
    <row r="860" spans="1:3" ht="20.100000000000001" customHeight="1">
      <c r="A860" s="4" t="s">
        <v>11915</v>
      </c>
      <c r="B860" s="4">
        <v>9920079094</v>
      </c>
      <c r="C860" s="4" t="s">
        <v>11920</v>
      </c>
    </row>
    <row r="861" spans="1:3" ht="20.100000000000001" customHeight="1">
      <c r="A861" s="4" t="s">
        <v>6616</v>
      </c>
      <c r="B861" s="4">
        <v>9920138013</v>
      </c>
      <c r="C861" s="4" t="s">
        <v>6621</v>
      </c>
    </row>
    <row r="862" spans="1:3" ht="20.100000000000001" customHeight="1">
      <c r="A862" s="4" t="s">
        <v>11497</v>
      </c>
      <c r="B862" s="4">
        <v>9920173755</v>
      </c>
      <c r="C862" s="4" t="s">
        <v>11503</v>
      </c>
    </row>
    <row r="863" spans="1:3" ht="20.100000000000001" customHeight="1">
      <c r="A863" s="4" t="s">
        <v>8332</v>
      </c>
      <c r="B863" s="4">
        <v>9920182731</v>
      </c>
      <c r="C863" s="4" t="s">
        <v>8337</v>
      </c>
    </row>
    <row r="864" spans="1:3" ht="20.100000000000001" customHeight="1">
      <c r="A864" s="4" t="s">
        <v>1631</v>
      </c>
      <c r="B864" s="4">
        <v>9920278141</v>
      </c>
      <c r="C864" s="4" t="s">
        <v>1636</v>
      </c>
    </row>
    <row r="865" spans="1:3" ht="20.100000000000001" customHeight="1">
      <c r="A865" s="4" t="s">
        <v>7289</v>
      </c>
      <c r="B865" s="4">
        <v>9920285945</v>
      </c>
      <c r="C865" s="4" t="s">
        <v>156</v>
      </c>
    </row>
    <row r="866" spans="1:3" ht="20.100000000000001" customHeight="1">
      <c r="A866" s="4" t="s">
        <v>3761</v>
      </c>
      <c r="B866" s="4">
        <v>9920291898</v>
      </c>
      <c r="C866" s="4" t="s">
        <v>3768</v>
      </c>
    </row>
    <row r="867" spans="1:3" ht="20.100000000000001" customHeight="1">
      <c r="A867" s="4" t="s">
        <v>2780</v>
      </c>
      <c r="B867" s="4">
        <v>9920330364</v>
      </c>
      <c r="C867" s="4" t="s">
        <v>2786</v>
      </c>
    </row>
    <row r="868" spans="1:3" ht="20.100000000000001" customHeight="1">
      <c r="A868" s="4" t="s">
        <v>1309</v>
      </c>
      <c r="B868" s="4">
        <v>9920331266</v>
      </c>
      <c r="C868" s="4" t="s">
        <v>1314</v>
      </c>
    </row>
    <row r="869" spans="1:3" ht="20.100000000000001" customHeight="1">
      <c r="A869" s="4" t="s">
        <v>11291</v>
      </c>
      <c r="B869" s="4">
        <v>9920357053</v>
      </c>
      <c r="C869" s="4" t="s">
        <v>11296</v>
      </c>
    </row>
    <row r="870" spans="1:3" ht="20.100000000000001" customHeight="1">
      <c r="A870" s="4" t="s">
        <v>4530</v>
      </c>
      <c r="B870" s="4">
        <v>9920365109</v>
      </c>
      <c r="C870" s="4" t="s">
        <v>4535</v>
      </c>
    </row>
    <row r="871" spans="1:3" ht="20.100000000000001" customHeight="1">
      <c r="A871" s="4" t="s">
        <v>2417</v>
      </c>
      <c r="B871" s="4">
        <v>9920427254</v>
      </c>
      <c r="C871" s="4" t="s">
        <v>2424</v>
      </c>
    </row>
    <row r="872" spans="1:3" ht="20.100000000000001" customHeight="1">
      <c r="A872" s="4" t="s">
        <v>10021</v>
      </c>
      <c r="B872" s="4">
        <v>9920442795</v>
      </c>
      <c r="C872" s="4" t="s">
        <v>7135</v>
      </c>
    </row>
    <row r="873" spans="1:3" ht="20.100000000000001" customHeight="1">
      <c r="A873" s="4" t="s">
        <v>10740</v>
      </c>
      <c r="B873" s="4">
        <v>9920457734</v>
      </c>
    </row>
    <row r="874" spans="1:3" ht="20.100000000000001" customHeight="1">
      <c r="A874" s="4" t="s">
        <v>11785</v>
      </c>
      <c r="B874" s="4">
        <v>9920477026</v>
      </c>
      <c r="C874" s="4" t="s">
        <v>11790</v>
      </c>
    </row>
    <row r="875" spans="1:3" ht="20.100000000000001" customHeight="1">
      <c r="A875" s="4" t="s">
        <v>8089</v>
      </c>
      <c r="B875" s="4">
        <v>9920520832</v>
      </c>
      <c r="C875" s="4" t="s">
        <v>8093</v>
      </c>
    </row>
    <row r="876" spans="1:3" ht="20.100000000000001" customHeight="1">
      <c r="A876" s="4" t="s">
        <v>776</v>
      </c>
      <c r="B876" s="4">
        <v>9920550500</v>
      </c>
      <c r="C876" s="4" t="s">
        <v>782</v>
      </c>
    </row>
    <row r="877" spans="1:3" ht="20.100000000000001" customHeight="1">
      <c r="A877" s="4" t="s">
        <v>5984</v>
      </c>
      <c r="B877" s="4">
        <v>9920568629</v>
      </c>
      <c r="C877" s="4" t="s">
        <v>5989</v>
      </c>
    </row>
    <row r="878" spans="1:3" ht="20.100000000000001" customHeight="1">
      <c r="A878" s="4" t="s">
        <v>9952</v>
      </c>
      <c r="B878" s="4">
        <v>9920577398</v>
      </c>
      <c r="C878" s="4" t="s">
        <v>239</v>
      </c>
    </row>
    <row r="879" spans="1:3" ht="20.100000000000001" customHeight="1">
      <c r="A879" s="4" t="s">
        <v>7890</v>
      </c>
      <c r="B879" s="4">
        <v>9920605665</v>
      </c>
      <c r="C879" s="4" t="s">
        <v>7894</v>
      </c>
    </row>
    <row r="880" spans="1:3" ht="20.100000000000001" customHeight="1">
      <c r="A880" s="4" t="s">
        <v>11864</v>
      </c>
      <c r="B880" s="4">
        <v>9920629117</v>
      </c>
      <c r="C880" s="4" t="s">
        <v>11869</v>
      </c>
    </row>
    <row r="881" spans="1:3" ht="20.100000000000001" customHeight="1">
      <c r="A881" s="4" t="s">
        <v>7131</v>
      </c>
      <c r="B881" s="4">
        <v>9920637070</v>
      </c>
      <c r="C881" s="4" t="s">
        <v>7135</v>
      </c>
    </row>
    <row r="882" spans="1:3" ht="20.100000000000001" customHeight="1">
      <c r="A882" s="4" t="s">
        <v>245</v>
      </c>
      <c r="B882" s="4">
        <v>9920703850</v>
      </c>
      <c r="C882" s="4" t="s">
        <v>255</v>
      </c>
    </row>
    <row r="883" spans="1:3" ht="20.100000000000001" customHeight="1">
      <c r="A883" s="4" t="s">
        <v>8528</v>
      </c>
      <c r="B883" s="4">
        <v>9920708960</v>
      </c>
      <c r="C883" s="4" t="s">
        <v>8532</v>
      </c>
    </row>
    <row r="884" spans="1:3" ht="20.100000000000001" customHeight="1">
      <c r="A884" s="4" t="s">
        <v>7048</v>
      </c>
      <c r="B884" s="4">
        <v>9920763576</v>
      </c>
      <c r="C884" s="4" t="s">
        <v>7052</v>
      </c>
    </row>
    <row r="885" spans="1:3" ht="20.100000000000001" customHeight="1">
      <c r="A885" s="4" t="s">
        <v>3623</v>
      </c>
      <c r="B885" s="4">
        <v>9920806781</v>
      </c>
      <c r="C885" s="4" t="s">
        <v>3627</v>
      </c>
    </row>
    <row r="886" spans="1:3" ht="20.100000000000001" customHeight="1">
      <c r="A886" s="4" t="s">
        <v>4288</v>
      </c>
      <c r="B886" s="4">
        <v>9920868412</v>
      </c>
      <c r="C886" s="4" t="s">
        <v>4294</v>
      </c>
    </row>
    <row r="887" spans="1:3" ht="20.100000000000001" customHeight="1">
      <c r="A887" s="4" t="s">
        <v>9630</v>
      </c>
      <c r="B887" s="4">
        <v>9920890013</v>
      </c>
      <c r="C887" s="4" t="s">
        <v>4354</v>
      </c>
    </row>
    <row r="888" spans="1:3" ht="20.100000000000001" customHeight="1">
      <c r="A888" s="4" t="s">
        <v>4740</v>
      </c>
      <c r="B888" s="4">
        <v>9920911193</v>
      </c>
      <c r="C888" s="4" t="s">
        <v>4745</v>
      </c>
    </row>
    <row r="889" spans="1:3" ht="20.100000000000001" customHeight="1">
      <c r="A889" s="4" t="s">
        <v>6668</v>
      </c>
      <c r="B889" s="4">
        <v>9920973604</v>
      </c>
      <c r="C889" s="4" t="s">
        <v>156</v>
      </c>
    </row>
    <row r="890" spans="1:3" ht="20.100000000000001" customHeight="1">
      <c r="A890" s="4" t="s">
        <v>5301</v>
      </c>
      <c r="B890" s="4">
        <v>9920977981</v>
      </c>
    </row>
    <row r="891" spans="1:3" ht="20.100000000000001" customHeight="1">
      <c r="A891" s="4" t="s">
        <v>564</v>
      </c>
      <c r="B891" s="4">
        <v>9921083864</v>
      </c>
      <c r="C891" s="4" t="s">
        <v>571</v>
      </c>
    </row>
    <row r="892" spans="1:3" ht="20.100000000000001" customHeight="1">
      <c r="A892" s="4" t="s">
        <v>9609</v>
      </c>
      <c r="B892" s="4">
        <v>9922099684</v>
      </c>
      <c r="C892" s="4" t="s">
        <v>9613</v>
      </c>
    </row>
    <row r="893" spans="1:3" ht="20.100000000000001" customHeight="1">
      <c r="A893" s="4" t="s">
        <v>3360</v>
      </c>
      <c r="B893" s="4">
        <v>9925092032</v>
      </c>
      <c r="C893" s="4" t="s">
        <v>3367</v>
      </c>
    </row>
    <row r="894" spans="1:3" ht="20.100000000000001" customHeight="1">
      <c r="A894" s="4" t="s">
        <v>6298</v>
      </c>
      <c r="B894" s="4">
        <v>9930002057</v>
      </c>
      <c r="C894" s="4" t="s">
        <v>5140</v>
      </c>
    </row>
    <row r="895" spans="1:3" ht="20.100000000000001" customHeight="1">
      <c r="A895" s="4" t="s">
        <v>2538</v>
      </c>
      <c r="B895" s="4">
        <v>9930025281</v>
      </c>
      <c r="C895" s="4" t="s">
        <v>2543</v>
      </c>
    </row>
    <row r="896" spans="1:3" ht="20.100000000000001" customHeight="1">
      <c r="A896" s="4" t="s">
        <v>6633</v>
      </c>
      <c r="B896" s="4">
        <v>9930076226</v>
      </c>
      <c r="C896" s="4" t="s">
        <v>6638</v>
      </c>
    </row>
    <row r="897" spans="1:3" ht="20.100000000000001" customHeight="1">
      <c r="A897" s="4" t="s">
        <v>4030</v>
      </c>
      <c r="B897" s="4">
        <v>9930116435</v>
      </c>
      <c r="C897" s="4" t="s">
        <v>4036</v>
      </c>
    </row>
    <row r="898" spans="1:3" ht="20.100000000000001" customHeight="1">
      <c r="A898" s="4" t="s">
        <v>12582</v>
      </c>
      <c r="B898" s="4">
        <v>9930132338</v>
      </c>
      <c r="C898" s="4" t="s">
        <v>12586</v>
      </c>
    </row>
    <row r="899" spans="1:3" ht="20.100000000000001" customHeight="1">
      <c r="A899" s="4" t="s">
        <v>11828</v>
      </c>
      <c r="B899" s="4">
        <v>9930152757</v>
      </c>
      <c r="C899" s="4" t="s">
        <v>11833</v>
      </c>
    </row>
    <row r="900" spans="1:3" ht="20.100000000000001" customHeight="1">
      <c r="A900" s="4" t="s">
        <v>5072</v>
      </c>
      <c r="B900" s="4">
        <v>9930176607</v>
      </c>
      <c r="C900" s="4" t="s">
        <v>355</v>
      </c>
    </row>
    <row r="901" spans="1:3" ht="20.100000000000001" customHeight="1">
      <c r="A901" s="4" t="s">
        <v>611</v>
      </c>
      <c r="B901" s="4">
        <v>9930187733</v>
      </c>
    </row>
    <row r="902" spans="1:3" ht="20.100000000000001" customHeight="1">
      <c r="A902" s="4" t="s">
        <v>3378</v>
      </c>
      <c r="B902" s="4">
        <v>9930276908</v>
      </c>
      <c r="C902" s="4" t="s">
        <v>3382</v>
      </c>
    </row>
    <row r="903" spans="1:3" ht="20.100000000000001" customHeight="1">
      <c r="A903" s="4" t="s">
        <v>3977</v>
      </c>
      <c r="B903" s="4">
        <v>9930288382</v>
      </c>
      <c r="C903" s="4" t="s">
        <v>3982</v>
      </c>
    </row>
    <row r="904" spans="1:3" ht="20.100000000000001" customHeight="1">
      <c r="A904" s="4" t="s">
        <v>3327</v>
      </c>
      <c r="B904" s="4">
        <v>9930293409</v>
      </c>
      <c r="C904" s="4" t="s">
        <v>3331</v>
      </c>
    </row>
    <row r="905" spans="1:3" ht="20.100000000000001" customHeight="1">
      <c r="A905" s="4" t="s">
        <v>2106</v>
      </c>
      <c r="B905" s="4">
        <v>9930296105</v>
      </c>
      <c r="C905" s="4" t="s">
        <v>2112</v>
      </c>
    </row>
    <row r="906" spans="1:3" ht="20.100000000000001" customHeight="1">
      <c r="A906" s="4" t="s">
        <v>10683</v>
      </c>
      <c r="B906" s="4">
        <v>9930306362</v>
      </c>
      <c r="C906" s="4" t="s">
        <v>10688</v>
      </c>
    </row>
    <row r="907" spans="1:3" ht="20.100000000000001" customHeight="1">
      <c r="A907" s="4" t="s">
        <v>3421</v>
      </c>
      <c r="B907" s="4">
        <v>9930320193</v>
      </c>
      <c r="C907" s="4" t="s">
        <v>3427</v>
      </c>
    </row>
    <row r="908" spans="1:3" ht="20.100000000000001" customHeight="1">
      <c r="A908" s="4" t="s">
        <v>3028</v>
      </c>
      <c r="B908" s="4">
        <v>9930360732</v>
      </c>
      <c r="C908" s="4" t="s">
        <v>3034</v>
      </c>
    </row>
    <row r="909" spans="1:3" ht="20.100000000000001" customHeight="1">
      <c r="A909" s="4" t="s">
        <v>6115</v>
      </c>
      <c r="B909" s="4">
        <v>9930372862</v>
      </c>
      <c r="C909" s="4" t="s">
        <v>6118</v>
      </c>
    </row>
    <row r="910" spans="1:3" ht="20.100000000000001" customHeight="1">
      <c r="A910" s="4" t="s">
        <v>1350</v>
      </c>
      <c r="B910" s="4">
        <v>9930373487</v>
      </c>
      <c r="C910" s="4" t="s">
        <v>1357</v>
      </c>
    </row>
    <row r="911" spans="1:3" ht="20.100000000000001" customHeight="1">
      <c r="A911" s="4" t="s">
        <v>8401</v>
      </c>
      <c r="B911" s="4">
        <v>9930462612</v>
      </c>
      <c r="C911" s="4" t="s">
        <v>8405</v>
      </c>
    </row>
    <row r="912" spans="1:3" ht="20.100000000000001" customHeight="1">
      <c r="A912" s="4" t="s">
        <v>2428</v>
      </c>
      <c r="B912" s="4">
        <v>9930615238</v>
      </c>
      <c r="C912" s="4" t="s">
        <v>2433</v>
      </c>
    </row>
    <row r="913" spans="1:3" ht="20.100000000000001" customHeight="1">
      <c r="A913" s="4" t="s">
        <v>4486</v>
      </c>
      <c r="B913" s="4">
        <v>9930698085</v>
      </c>
      <c r="C913" s="4" t="s">
        <v>4491</v>
      </c>
    </row>
    <row r="914" spans="1:3" ht="20.100000000000001" customHeight="1">
      <c r="A914" s="4" t="s">
        <v>3667</v>
      </c>
      <c r="B914" s="4">
        <v>9930823250</v>
      </c>
      <c r="C914" s="4" t="s">
        <v>3673</v>
      </c>
    </row>
    <row r="915" spans="1:3" ht="20.100000000000001" customHeight="1">
      <c r="A915" s="4" t="s">
        <v>4496</v>
      </c>
      <c r="B915" s="4">
        <v>9930854929</v>
      </c>
      <c r="C915" s="4" t="s">
        <v>4501</v>
      </c>
    </row>
    <row r="916" spans="1:3" ht="20.100000000000001" customHeight="1">
      <c r="A916" s="4" t="s">
        <v>11416</v>
      </c>
      <c r="B916" s="4">
        <v>9930903339</v>
      </c>
      <c r="C916" s="4" t="s">
        <v>11421</v>
      </c>
    </row>
    <row r="917" spans="1:3" ht="20.100000000000001" customHeight="1">
      <c r="A917" s="4" t="s">
        <v>5553</v>
      </c>
      <c r="B917" s="4">
        <v>9930907929</v>
      </c>
      <c r="C917" s="4" t="s">
        <v>5558</v>
      </c>
    </row>
    <row r="918" spans="1:3" ht="20.100000000000001" customHeight="1">
      <c r="A918" s="4" t="s">
        <v>2879</v>
      </c>
      <c r="B918" s="4">
        <v>9930934959</v>
      </c>
      <c r="C918" s="4" t="s">
        <v>2885</v>
      </c>
    </row>
    <row r="919" spans="1:3" ht="20.100000000000001" customHeight="1">
      <c r="A919" s="4" t="s">
        <v>10177</v>
      </c>
      <c r="B919" s="4">
        <v>9930950920</v>
      </c>
      <c r="C919" s="4" t="s">
        <v>10182</v>
      </c>
    </row>
    <row r="920" spans="1:3" ht="20.100000000000001" customHeight="1">
      <c r="A920" s="4" t="s">
        <v>842</v>
      </c>
      <c r="B920" s="4">
        <v>9930961126</v>
      </c>
      <c r="C920" s="4" t="s">
        <v>847</v>
      </c>
    </row>
    <row r="921" spans="1:3" ht="20.100000000000001" customHeight="1">
      <c r="A921" s="4" t="s">
        <v>11268</v>
      </c>
      <c r="B921" s="4">
        <v>9930973306</v>
      </c>
      <c r="C921" s="4" t="s">
        <v>11273</v>
      </c>
    </row>
    <row r="922" spans="1:3" ht="20.100000000000001" customHeight="1">
      <c r="A922" s="4" t="s">
        <v>6742</v>
      </c>
      <c r="B922" s="4">
        <v>9930981108</v>
      </c>
      <c r="C922" s="4" t="s">
        <v>6748</v>
      </c>
    </row>
    <row r="923" spans="1:3" ht="20.100000000000001" customHeight="1">
      <c r="A923" s="4" t="s">
        <v>2889</v>
      </c>
      <c r="B923" s="4">
        <v>9934855140</v>
      </c>
      <c r="C923" s="4" t="s">
        <v>156</v>
      </c>
    </row>
    <row r="924" spans="1:3" ht="20.100000000000001" customHeight="1">
      <c r="A924" s="4" t="s">
        <v>9762</v>
      </c>
      <c r="B924" s="4">
        <v>9937794614</v>
      </c>
    </row>
    <row r="925" spans="1:3" ht="20.100000000000001" customHeight="1">
      <c r="A925" s="4" t="s">
        <v>6486</v>
      </c>
      <c r="B925" s="4">
        <v>9945379900</v>
      </c>
      <c r="C925" s="4" t="s">
        <v>6490</v>
      </c>
    </row>
    <row r="926" spans="1:3" ht="20.100000000000001" customHeight="1">
      <c r="A926" s="4" t="s">
        <v>9187</v>
      </c>
      <c r="B926" s="4">
        <v>9946687300</v>
      </c>
      <c r="C926" s="4" t="s">
        <v>9193</v>
      </c>
    </row>
    <row r="927" spans="1:3" ht="20.100000000000001" customHeight="1">
      <c r="A927" s="4" t="s">
        <v>4316</v>
      </c>
      <c r="B927" s="4">
        <v>9947051159</v>
      </c>
    </row>
    <row r="928" spans="1:3" ht="20.100000000000001" customHeight="1">
      <c r="A928" s="4" t="s">
        <v>4237</v>
      </c>
      <c r="B928" s="4">
        <v>9947338371</v>
      </c>
    </row>
    <row r="929" spans="1:3" ht="20.100000000000001" customHeight="1">
      <c r="A929" s="4" t="s">
        <v>4205</v>
      </c>
      <c r="B929" s="4">
        <v>9947407606</v>
      </c>
    </row>
    <row r="930" spans="1:3" ht="20.100000000000001" customHeight="1">
      <c r="A930" s="4" t="s">
        <v>7642</v>
      </c>
      <c r="B930" s="4">
        <v>9955862452</v>
      </c>
    </row>
    <row r="931" spans="1:3" ht="20.100000000000001" customHeight="1">
      <c r="A931" s="4" t="s">
        <v>12474</v>
      </c>
      <c r="B931" s="4">
        <v>9958398481</v>
      </c>
      <c r="C931" s="4" t="s">
        <v>12478</v>
      </c>
    </row>
    <row r="932" spans="1:3" ht="20.100000000000001" customHeight="1">
      <c r="A932" s="4" t="s">
        <v>2684</v>
      </c>
      <c r="B932" s="4">
        <v>9958426572</v>
      </c>
      <c r="C932" s="4" t="s">
        <v>2691</v>
      </c>
    </row>
    <row r="933" spans="1:3" ht="20.100000000000001" customHeight="1">
      <c r="A933" s="4" t="s">
        <v>3404</v>
      </c>
      <c r="B933" s="4">
        <v>9960279124</v>
      </c>
    </row>
    <row r="934" spans="1:3" ht="20.100000000000001" customHeight="1">
      <c r="A934" s="4" t="s">
        <v>5804</v>
      </c>
      <c r="B934" s="4">
        <v>9967034040</v>
      </c>
      <c r="C934" s="4" t="s">
        <v>5809</v>
      </c>
    </row>
    <row r="935" spans="1:3" ht="20.100000000000001" customHeight="1">
      <c r="A935" s="4" t="s">
        <v>9650</v>
      </c>
      <c r="B935" s="4">
        <v>9967038748</v>
      </c>
      <c r="C935" s="4" t="s">
        <v>9656</v>
      </c>
    </row>
    <row r="936" spans="1:3" ht="20.100000000000001" customHeight="1">
      <c r="A936" s="4" t="s">
        <v>8137</v>
      </c>
      <c r="B936" s="4">
        <v>9967114010</v>
      </c>
      <c r="C936" s="4" t="s">
        <v>8141</v>
      </c>
    </row>
    <row r="937" spans="1:3" ht="20.100000000000001" customHeight="1">
      <c r="A937" s="4" t="s">
        <v>10958</v>
      </c>
      <c r="B937" s="4">
        <v>9967224284</v>
      </c>
      <c r="C937" s="4" t="s">
        <v>10963</v>
      </c>
    </row>
    <row r="938" spans="1:3" ht="20.100000000000001" customHeight="1">
      <c r="A938" s="4" t="s">
        <v>8128</v>
      </c>
      <c r="B938" s="4">
        <v>9967258670</v>
      </c>
      <c r="C938" s="4" t="s">
        <v>8133</v>
      </c>
    </row>
    <row r="939" spans="1:3" ht="20.100000000000001" customHeight="1">
      <c r="A939" s="4" t="s">
        <v>2961</v>
      </c>
      <c r="B939" s="4">
        <v>9967387069</v>
      </c>
      <c r="C939" s="4" t="s">
        <v>2966</v>
      </c>
    </row>
    <row r="940" spans="1:3" ht="20.100000000000001" customHeight="1">
      <c r="A940" s="4" t="s">
        <v>5183</v>
      </c>
      <c r="B940" s="4">
        <v>9967422637</v>
      </c>
      <c r="C940" s="4" t="s">
        <v>5189</v>
      </c>
    </row>
    <row r="941" spans="1:3" ht="20.100000000000001" customHeight="1">
      <c r="A941" s="4" t="s">
        <v>8733</v>
      </c>
      <c r="B941" s="4">
        <v>9967545896</v>
      </c>
      <c r="C941" s="4" t="s">
        <v>8739</v>
      </c>
    </row>
    <row r="942" spans="1:3" ht="20.100000000000001" customHeight="1">
      <c r="A942" s="4" t="s">
        <v>8367</v>
      </c>
      <c r="B942" s="4">
        <v>9967554461</v>
      </c>
      <c r="C942" s="4" t="s">
        <v>8372</v>
      </c>
    </row>
    <row r="943" spans="1:3" ht="20.100000000000001" customHeight="1">
      <c r="A943" s="4" t="s">
        <v>6428</v>
      </c>
      <c r="B943" s="4">
        <v>9967643633</v>
      </c>
      <c r="C943" s="4" t="s">
        <v>6432</v>
      </c>
    </row>
    <row r="944" spans="1:3" ht="20.100000000000001" customHeight="1">
      <c r="A944" s="4" t="s">
        <v>3931</v>
      </c>
      <c r="B944" s="4">
        <v>9967712183</v>
      </c>
    </row>
    <row r="945" spans="1:3" ht="20.100000000000001" customHeight="1">
      <c r="A945" s="4" t="s">
        <v>4472</v>
      </c>
      <c r="B945" s="4">
        <v>9967920572</v>
      </c>
    </row>
    <row r="946" spans="1:3" ht="20.100000000000001" customHeight="1">
      <c r="A946" s="4" t="s">
        <v>10543</v>
      </c>
      <c r="B946" s="4">
        <v>9969136495</v>
      </c>
      <c r="C946" s="4" t="s">
        <v>10547</v>
      </c>
    </row>
    <row r="947" spans="1:3" ht="20.100000000000001" customHeight="1">
      <c r="A947" s="4" t="s">
        <v>9361</v>
      </c>
      <c r="B947" s="4">
        <v>9969228800</v>
      </c>
      <c r="C947" s="4" t="s">
        <v>9365</v>
      </c>
    </row>
    <row r="948" spans="1:3" ht="20.100000000000001" customHeight="1">
      <c r="A948" s="4" t="s">
        <v>7416</v>
      </c>
      <c r="B948" s="4">
        <v>9969394157</v>
      </c>
      <c r="C948" s="4" t="s">
        <v>2229</v>
      </c>
    </row>
    <row r="949" spans="1:3" ht="20.100000000000001" customHeight="1">
      <c r="A949" s="4" t="s">
        <v>1583</v>
      </c>
      <c r="B949" s="4">
        <v>9969490916</v>
      </c>
    </row>
    <row r="950" spans="1:3" ht="20.100000000000001" customHeight="1">
      <c r="A950" s="4" t="s">
        <v>5795</v>
      </c>
      <c r="B950" s="4">
        <v>9969530355</v>
      </c>
      <c r="C950" s="4" t="s">
        <v>5801</v>
      </c>
    </row>
    <row r="951" spans="1:3" ht="20.100000000000001" customHeight="1">
      <c r="A951" s="4" t="s">
        <v>3446</v>
      </c>
      <c r="B951" s="4">
        <v>9969610347</v>
      </c>
      <c r="C951" s="4" t="s">
        <v>3453</v>
      </c>
    </row>
    <row r="952" spans="1:3" ht="20.100000000000001" customHeight="1">
      <c r="A952" s="4" t="s">
        <v>6214</v>
      </c>
      <c r="B952" s="4">
        <v>9969626653</v>
      </c>
      <c r="C952" s="4" t="s">
        <v>6218</v>
      </c>
    </row>
    <row r="953" spans="1:3" ht="20.100000000000001" customHeight="1">
      <c r="A953" s="4" t="s">
        <v>1405</v>
      </c>
      <c r="B953" s="4">
        <v>9969639342</v>
      </c>
      <c r="C953" s="4" t="s">
        <v>1410</v>
      </c>
    </row>
    <row r="954" spans="1:3" ht="20.100000000000001" customHeight="1">
      <c r="A954" s="4" t="s">
        <v>8110</v>
      </c>
      <c r="B954" s="4">
        <v>9969737284</v>
      </c>
      <c r="C954" s="4" t="s">
        <v>8115</v>
      </c>
    </row>
    <row r="955" spans="1:3" ht="20.100000000000001" customHeight="1">
      <c r="A955" s="4" t="s">
        <v>11793</v>
      </c>
      <c r="B955" s="4">
        <v>9969747870</v>
      </c>
      <c r="C955" s="4" t="s">
        <v>11798</v>
      </c>
    </row>
    <row r="956" spans="1:3" ht="20.100000000000001" customHeight="1">
      <c r="A956" s="4" t="s">
        <v>2830</v>
      </c>
      <c r="B956" s="4">
        <v>9969893486</v>
      </c>
      <c r="C956" s="4" t="s">
        <v>1423</v>
      </c>
    </row>
    <row r="957" spans="1:3" ht="20.100000000000001" customHeight="1">
      <c r="A957" s="4" t="s">
        <v>8244</v>
      </c>
      <c r="B957" s="4">
        <v>9969953057</v>
      </c>
      <c r="C957" s="4" t="s">
        <v>8249</v>
      </c>
    </row>
    <row r="958" spans="1:3" ht="20.100000000000001" customHeight="1">
      <c r="A958" s="4" t="s">
        <v>8785</v>
      </c>
      <c r="B958" s="4">
        <v>9970111406</v>
      </c>
      <c r="C958" s="4" t="s">
        <v>8791</v>
      </c>
    </row>
    <row r="959" spans="1:3" ht="20.100000000000001" customHeight="1">
      <c r="A959" s="4" t="s">
        <v>658</v>
      </c>
      <c r="B959" s="4">
        <v>9970325296</v>
      </c>
      <c r="C959" s="4" t="s">
        <v>665</v>
      </c>
    </row>
    <row r="960" spans="1:3" ht="20.100000000000001" customHeight="1">
      <c r="A960" s="4" t="s">
        <v>9485</v>
      </c>
      <c r="B960" s="4">
        <v>9970725433</v>
      </c>
      <c r="C960" s="4" t="s">
        <v>9489</v>
      </c>
    </row>
    <row r="961" spans="1:3" ht="20.100000000000001" customHeight="1">
      <c r="A961" s="4" t="s">
        <v>12841</v>
      </c>
      <c r="B961" s="4">
        <v>9970749307</v>
      </c>
      <c r="C961" s="4" t="s">
        <v>12846</v>
      </c>
    </row>
    <row r="962" spans="1:3" ht="20.100000000000001" customHeight="1">
      <c r="A962" s="4" t="s">
        <v>4410</v>
      </c>
      <c r="B962" s="4">
        <v>9971284224</v>
      </c>
      <c r="C962" s="4" t="s">
        <v>4415</v>
      </c>
    </row>
    <row r="963" spans="1:3" ht="20.100000000000001" customHeight="1">
      <c r="A963" s="4" t="s">
        <v>12256</v>
      </c>
      <c r="B963" s="4">
        <v>9971515420</v>
      </c>
      <c r="C963" s="4" t="s">
        <v>4501</v>
      </c>
    </row>
    <row r="964" spans="1:3" ht="20.100000000000001" customHeight="1">
      <c r="A964" s="4" t="s">
        <v>3701</v>
      </c>
      <c r="B964" s="4">
        <v>9975092442</v>
      </c>
      <c r="C964" s="4" t="s">
        <v>3708</v>
      </c>
    </row>
    <row r="965" spans="1:3" ht="20.100000000000001" customHeight="1">
      <c r="A965" s="4" t="s">
        <v>9274</v>
      </c>
      <c r="B965" s="4">
        <v>9975229276</v>
      </c>
      <c r="C965" s="4" t="s">
        <v>9281</v>
      </c>
    </row>
    <row r="966" spans="1:3" ht="20.100000000000001" customHeight="1">
      <c r="A966" s="4" t="s">
        <v>6205</v>
      </c>
      <c r="B966" s="4">
        <v>9975497636</v>
      </c>
      <c r="C966" s="4" t="s">
        <v>6210</v>
      </c>
    </row>
    <row r="967" spans="1:3" ht="20.100000000000001" customHeight="1">
      <c r="A967" s="4" t="s">
        <v>1108</v>
      </c>
      <c r="B967" s="4">
        <v>9975873463</v>
      </c>
      <c r="C967" s="4" t="s">
        <v>1114</v>
      </c>
    </row>
    <row r="968" spans="1:3" ht="20.100000000000001" customHeight="1">
      <c r="A968" s="4" t="s">
        <v>5645</v>
      </c>
      <c r="B968" s="4">
        <v>9978969738</v>
      </c>
      <c r="C968" s="4" t="s">
        <v>5649</v>
      </c>
    </row>
    <row r="969" spans="1:3" ht="20.100000000000001" customHeight="1">
      <c r="A969" s="4" t="s">
        <v>7102</v>
      </c>
      <c r="B969" s="4">
        <v>9978990867</v>
      </c>
    </row>
    <row r="970" spans="1:3" ht="20.100000000000001" customHeight="1">
      <c r="A970" s="4" t="s">
        <v>6847</v>
      </c>
      <c r="B970" s="4">
        <v>9982889566</v>
      </c>
      <c r="C970" s="4" t="s">
        <v>6853</v>
      </c>
    </row>
    <row r="971" spans="1:3" ht="20.100000000000001" customHeight="1">
      <c r="A971" s="4" t="s">
        <v>4305</v>
      </c>
      <c r="B971" s="4">
        <v>9984473333</v>
      </c>
      <c r="C971" s="4" t="s">
        <v>4312</v>
      </c>
    </row>
    <row r="972" spans="1:3" ht="20.100000000000001" customHeight="1">
      <c r="A972" s="4" t="s">
        <v>12570</v>
      </c>
      <c r="B972" s="4">
        <v>9986052055</v>
      </c>
    </row>
    <row r="973" spans="1:3" ht="20.100000000000001" customHeight="1">
      <c r="A973" s="4" t="s">
        <v>10551</v>
      </c>
      <c r="B973" s="4">
        <v>9987030715</v>
      </c>
      <c r="C973" s="4" t="s">
        <v>10556</v>
      </c>
    </row>
    <row r="974" spans="1:3" ht="20.100000000000001" customHeight="1">
      <c r="A974" s="4" t="s">
        <v>8145</v>
      </c>
      <c r="B974" s="4">
        <v>9987031754</v>
      </c>
      <c r="C974" s="4" t="s">
        <v>8151</v>
      </c>
    </row>
    <row r="975" spans="1:3" ht="20.100000000000001" customHeight="1">
      <c r="A975" s="4" t="s">
        <v>11142</v>
      </c>
      <c r="B975" s="4">
        <v>9987092623</v>
      </c>
    </row>
    <row r="976" spans="1:3" ht="20.100000000000001" customHeight="1">
      <c r="A976" s="4" t="s">
        <v>910</v>
      </c>
      <c r="B976" s="4">
        <v>9987145720</v>
      </c>
      <c r="C976" s="4" t="s">
        <v>916</v>
      </c>
    </row>
    <row r="977" spans="1:3" ht="20.100000000000001" customHeight="1">
      <c r="A977" s="4" t="s">
        <v>4945</v>
      </c>
      <c r="B977" s="4">
        <v>9987145720</v>
      </c>
      <c r="C977" s="4" t="s">
        <v>3718</v>
      </c>
    </row>
    <row r="978" spans="1:3" ht="20.100000000000001" customHeight="1">
      <c r="A978" s="4" t="s">
        <v>7957</v>
      </c>
      <c r="B978" s="4">
        <v>9987173878</v>
      </c>
      <c r="C978" s="4" t="s">
        <v>7962</v>
      </c>
    </row>
    <row r="979" spans="1:3" ht="20.100000000000001" customHeight="1">
      <c r="A979" s="4" t="s">
        <v>2456</v>
      </c>
      <c r="B979" s="4">
        <v>9987177349</v>
      </c>
      <c r="C979" s="4" t="s">
        <v>2462</v>
      </c>
    </row>
    <row r="980" spans="1:3" ht="20.100000000000001" customHeight="1">
      <c r="A980" s="4" t="s">
        <v>9853</v>
      </c>
      <c r="B980" s="4">
        <v>9987263797</v>
      </c>
      <c r="C980" s="4" t="s">
        <v>9856</v>
      </c>
    </row>
    <row r="981" spans="1:3" ht="20.100000000000001" customHeight="1">
      <c r="A981" s="4" t="s">
        <v>8800</v>
      </c>
      <c r="B981" s="4">
        <v>9987266337</v>
      </c>
    </row>
    <row r="982" spans="1:3" ht="20.100000000000001" customHeight="1">
      <c r="A982" s="4" t="s">
        <v>7633</v>
      </c>
      <c r="B982" s="4">
        <v>9987524235</v>
      </c>
      <c r="C982" s="4" t="s">
        <v>7638</v>
      </c>
    </row>
    <row r="983" spans="1:3" ht="20.100000000000001" customHeight="1">
      <c r="A983" s="4" t="s">
        <v>10761</v>
      </c>
      <c r="B983" s="4">
        <v>9987678066</v>
      </c>
      <c r="C983" s="4" t="s">
        <v>10765</v>
      </c>
    </row>
    <row r="984" spans="1:3" ht="20.100000000000001" customHeight="1">
      <c r="A984" s="4" t="s">
        <v>11479</v>
      </c>
      <c r="B984" s="4">
        <v>9987695109</v>
      </c>
      <c r="C984" s="4" t="s">
        <v>11482</v>
      </c>
    </row>
    <row r="985" spans="1:3" ht="20.100000000000001" customHeight="1">
      <c r="A985" s="4" t="s">
        <v>7094</v>
      </c>
      <c r="B985" s="4">
        <v>9987709915</v>
      </c>
      <c r="C985" s="4" t="s">
        <v>7098</v>
      </c>
    </row>
    <row r="986" spans="1:3" ht="20.100000000000001" customHeight="1">
      <c r="A986" s="4" t="s">
        <v>284</v>
      </c>
      <c r="B986" s="4">
        <v>9987770797</v>
      </c>
      <c r="C986" s="4" t="s">
        <v>291</v>
      </c>
    </row>
    <row r="987" spans="1:3" ht="20.100000000000001" customHeight="1">
      <c r="A987" s="4" t="s">
        <v>12016</v>
      </c>
      <c r="B987" s="4">
        <v>9987793412</v>
      </c>
      <c r="C987" s="4" t="s">
        <v>12021</v>
      </c>
    </row>
    <row r="988" spans="1:3" ht="20.100000000000001" customHeight="1">
      <c r="A988" s="4" t="s">
        <v>12771</v>
      </c>
      <c r="B988" s="4">
        <v>9987866847</v>
      </c>
      <c r="C988" s="4" t="s">
        <v>12775</v>
      </c>
    </row>
    <row r="989" spans="1:3" ht="20.100000000000001" customHeight="1">
      <c r="A989" s="4" t="s">
        <v>2508</v>
      </c>
      <c r="B989" s="4">
        <v>9993125870</v>
      </c>
      <c r="C989" s="4" t="s">
        <v>2515</v>
      </c>
    </row>
    <row r="990" spans="1:3" ht="20.100000000000001" customHeight="1">
      <c r="A990" s="4" t="s">
        <v>6248</v>
      </c>
      <c r="B990" s="4">
        <v>9995210392</v>
      </c>
      <c r="C990" s="4" t="s">
        <v>6254</v>
      </c>
    </row>
    <row r="991" spans="1:3" ht="20.100000000000001" customHeight="1">
      <c r="A991" s="4" t="s">
        <v>4366</v>
      </c>
      <c r="B991" s="4">
        <v>9995289944</v>
      </c>
      <c r="C991" s="4" t="s">
        <v>4370</v>
      </c>
    </row>
    <row r="992" spans="1:3" ht="20.100000000000001" customHeight="1">
      <c r="A992" s="4" t="s">
        <v>7801</v>
      </c>
      <c r="B992" s="4">
        <v>9995638498</v>
      </c>
      <c r="C992" s="4" t="s">
        <v>3718</v>
      </c>
    </row>
    <row r="993" spans="1:3" ht="20.100000000000001" customHeight="1">
      <c r="A993" s="4" t="s">
        <v>6582</v>
      </c>
      <c r="B993" s="4">
        <v>9995793241</v>
      </c>
      <c r="C993" s="4" t="s">
        <v>6588</v>
      </c>
    </row>
    <row r="994" spans="1:3" ht="20.100000000000001" customHeight="1">
      <c r="A994" s="4" t="s">
        <v>5143</v>
      </c>
      <c r="B994" s="4">
        <v>9999843163</v>
      </c>
      <c r="C994" s="4" t="s">
        <v>5149</v>
      </c>
    </row>
  </sheetData>
  <sortState ref="A2:C1985">
    <sortCondition ref="B2:B198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Om Computers</cp:lastModifiedBy>
  <cp:revision/>
  <cp:lastPrinted>2018-09-21T05:39:09Z</cp:lastPrinted>
  <dcterms:created xsi:type="dcterms:W3CDTF">2018-09-08T10:31:06Z</dcterms:created>
  <dcterms:modified xsi:type="dcterms:W3CDTF">2018-09-21T05:44:44Z</dcterms:modified>
  <dc:identifier/>
  <dc:language/>
  <cp:version/>
</cp:coreProperties>
</file>