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9440" windowHeight="11760"/>
  </bookViews>
  <sheets>
    <sheet name="GCF-FO-15 Consolidados" sheetId="2" r:id="rId1"/>
    <sheet name="GCF-FO-15 Especificos" sheetId="1" r:id="rId2"/>
  </sheets>
  <externalReferences>
    <externalReference r:id="rId3"/>
  </externalReferences>
  <definedNames>
    <definedName name="_xlnm._FilterDatabase" localSheetId="1" hidden="1">'GCF-FO-15 Especificos'!$A$10:$AC$43</definedName>
    <definedName name="_xlnm.Print_Area" localSheetId="1">'GCF-FO-15 Especificos'!$A$13:$Y$59</definedName>
    <definedName name="_xlnm.Print_Titles" localSheetId="1">'GCF-FO-15 Especificos'!$1:$10</definedName>
  </definedNames>
  <calcPr calcId="145621"/>
</workbook>
</file>

<file path=xl/calcChain.xml><?xml version="1.0" encoding="utf-8"?>
<calcChain xmlns="http://schemas.openxmlformats.org/spreadsheetml/2006/main">
  <c r="E12" i="2" l="1"/>
  <c r="F12" i="2"/>
  <c r="G12" i="2"/>
  <c r="H12" i="2"/>
  <c r="I12" i="2"/>
  <c r="J12" i="2"/>
  <c r="K12" i="2"/>
  <c r="E13" i="2"/>
  <c r="F13" i="2"/>
  <c r="G13" i="2"/>
  <c r="H13" i="2"/>
  <c r="I13" i="2"/>
  <c r="J13" i="2"/>
  <c r="K13" i="2"/>
  <c r="E14" i="2"/>
  <c r="F14" i="2"/>
  <c r="G14" i="2"/>
  <c r="H14" i="2"/>
  <c r="I14" i="2"/>
  <c r="J14" i="2"/>
  <c r="K14" i="2"/>
  <c r="E15" i="2"/>
  <c r="F15" i="2"/>
  <c r="G15" i="2"/>
  <c r="H15" i="2"/>
  <c r="I15" i="2"/>
  <c r="J15" i="2"/>
  <c r="K15" i="2"/>
  <c r="E16" i="2"/>
  <c r="F16" i="2"/>
  <c r="G16" i="2"/>
  <c r="H16" i="2"/>
  <c r="I16" i="2"/>
  <c r="J16" i="2"/>
  <c r="K16" i="2"/>
  <c r="E17" i="2"/>
  <c r="F17" i="2"/>
  <c r="G17" i="2"/>
  <c r="H17" i="2"/>
  <c r="I17" i="2"/>
  <c r="J17" i="2"/>
  <c r="K17" i="2"/>
  <c r="E18" i="2"/>
  <c r="F18" i="2"/>
  <c r="G18" i="2"/>
  <c r="H18" i="2"/>
  <c r="I18" i="2"/>
  <c r="J18" i="2"/>
  <c r="K18" i="2"/>
  <c r="E19" i="2"/>
  <c r="F19" i="2"/>
  <c r="G19" i="2"/>
  <c r="H19" i="2"/>
  <c r="I19" i="2"/>
  <c r="J19" i="2"/>
  <c r="K19" i="2"/>
  <c r="E20" i="2"/>
  <c r="F20" i="2"/>
  <c r="G20" i="2"/>
  <c r="H20" i="2"/>
  <c r="I20" i="2"/>
  <c r="J20" i="2"/>
  <c r="K20" i="2"/>
  <c r="E21" i="2"/>
  <c r="F21" i="2"/>
  <c r="G21" i="2"/>
  <c r="H21" i="2"/>
  <c r="I21" i="2"/>
  <c r="J21" i="2"/>
  <c r="K21" i="2"/>
  <c r="E24" i="2"/>
  <c r="F24" i="2"/>
  <c r="F25" i="2" s="1"/>
  <c r="L25" i="2" s="1"/>
  <c r="G24" i="2"/>
  <c r="G25" i="2" s="1"/>
  <c r="H24" i="2"/>
  <c r="H25" i="2" s="1"/>
  <c r="I24" i="2"/>
  <c r="J24" i="2"/>
  <c r="J25" i="2"/>
  <c r="K24" i="2"/>
  <c r="K25" i="2"/>
  <c r="E25" i="2"/>
  <c r="I25" i="2"/>
  <c r="G190" i="1"/>
  <c r="W189" i="1"/>
  <c r="V189" i="1"/>
  <c r="U189" i="1"/>
  <c r="T189" i="1"/>
  <c r="S189" i="1"/>
  <c r="Q189" i="1"/>
  <c r="P189" i="1"/>
  <c r="N189" i="1"/>
  <c r="M189" i="1"/>
  <c r="L189" i="1"/>
  <c r="K189" i="1"/>
  <c r="J189" i="1"/>
  <c r="I189" i="1"/>
  <c r="H189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AB163" i="1"/>
  <c r="W163" i="1"/>
  <c r="W164" i="1" s="1"/>
  <c r="W165" i="1" s="1"/>
  <c r="V163" i="1"/>
  <c r="V164" i="1"/>
  <c r="V165" i="1" s="1"/>
  <c r="U163" i="1"/>
  <c r="U164" i="1" s="1"/>
  <c r="U165" i="1" s="1"/>
  <c r="T163" i="1"/>
  <c r="T164" i="1"/>
  <c r="T165" i="1" s="1"/>
  <c r="S163" i="1"/>
  <c r="S164" i="1" s="1"/>
  <c r="S165" i="1" s="1"/>
  <c r="R163" i="1"/>
  <c r="H174" i="1"/>
  <c r="Q163" i="1"/>
  <c r="Q164" i="1"/>
  <c r="Q165" i="1" s="1"/>
  <c r="P163" i="1"/>
  <c r="P164" i="1" s="1"/>
  <c r="P165" i="1" s="1"/>
  <c r="O163" i="1"/>
  <c r="O164" i="1"/>
  <c r="O165" i="1" s="1"/>
  <c r="N163" i="1"/>
  <c r="M163" i="1"/>
  <c r="H171" i="1"/>
  <c r="L163" i="1"/>
  <c r="L164" i="1"/>
  <c r="L165" i="1" s="1"/>
  <c r="K163" i="1"/>
  <c r="H167" i="1" s="1"/>
  <c r="H163" i="1"/>
  <c r="H164" i="1"/>
  <c r="H165" i="1" s="1"/>
  <c r="AB146" i="1"/>
  <c r="W146" i="1"/>
  <c r="W147" i="1"/>
  <c r="W148" i="1" s="1"/>
  <c r="V146" i="1"/>
  <c r="H156" i="1" s="1"/>
  <c r="U146" i="1"/>
  <c r="U147" i="1" s="1"/>
  <c r="U148" i="1" s="1"/>
  <c r="T146" i="1"/>
  <c r="T147" i="1"/>
  <c r="T148" i="1" s="1"/>
  <c r="S146" i="1"/>
  <c r="S147" i="1" s="1"/>
  <c r="S148" i="1" s="1"/>
  <c r="R146" i="1"/>
  <c r="H157" i="1"/>
  <c r="Q146" i="1"/>
  <c r="Q147" i="1"/>
  <c r="Q148" i="1" s="1"/>
  <c r="P146" i="1"/>
  <c r="P147" i="1" s="1"/>
  <c r="P148" i="1" s="1"/>
  <c r="O146" i="1"/>
  <c r="O147" i="1"/>
  <c r="O148" i="1" s="1"/>
  <c r="N146" i="1"/>
  <c r="M146" i="1"/>
  <c r="H154" i="1"/>
  <c r="L146" i="1"/>
  <c r="L147" i="1"/>
  <c r="L148" i="1" s="1"/>
  <c r="K146" i="1"/>
  <c r="K147" i="1" s="1"/>
  <c r="K148" i="1" s="1"/>
  <c r="H146" i="1"/>
  <c r="AB129" i="1"/>
  <c r="W129" i="1"/>
  <c r="W130" i="1"/>
  <c r="W131" i="1" s="1"/>
  <c r="V129" i="1"/>
  <c r="V130" i="1" s="1"/>
  <c r="V131" i="1" s="1"/>
  <c r="U129" i="1"/>
  <c r="U130" i="1"/>
  <c r="U131" i="1" s="1"/>
  <c r="T129" i="1"/>
  <c r="T130" i="1" s="1"/>
  <c r="T131" i="1" s="1"/>
  <c r="S129" i="1"/>
  <c r="S130" i="1"/>
  <c r="S131" i="1" s="1"/>
  <c r="Q129" i="1"/>
  <c r="Q130" i="1" s="1"/>
  <c r="Q131" i="1" s="1"/>
  <c r="P129" i="1"/>
  <c r="P130" i="1"/>
  <c r="P131" i="1" s="1"/>
  <c r="N129" i="1"/>
  <c r="M129" i="1"/>
  <c r="H137" i="1"/>
  <c r="L129" i="1"/>
  <c r="L130" i="1"/>
  <c r="L131" i="1" s="1"/>
  <c r="K129" i="1"/>
  <c r="H133" i="1" s="1"/>
  <c r="W112" i="1"/>
  <c r="W113" i="1" s="1"/>
  <c r="W114" i="1" s="1"/>
  <c r="V112" i="1"/>
  <c r="H122" i="1" s="1"/>
  <c r="U112" i="1"/>
  <c r="U113" i="1" s="1"/>
  <c r="U114" i="1" s="1"/>
  <c r="T112" i="1"/>
  <c r="T113" i="1" s="1"/>
  <c r="T114" i="1" s="1"/>
  <c r="S112" i="1"/>
  <c r="S113" i="1" s="1"/>
  <c r="S114" i="1" s="1"/>
  <c r="Q112" i="1"/>
  <c r="Q113" i="1"/>
  <c r="Q114" i="1" s="1"/>
  <c r="N112" i="1"/>
  <c r="M112" i="1"/>
  <c r="H120" i="1"/>
  <c r="AB95" i="1"/>
  <c r="W95" i="1"/>
  <c r="W96" i="1" s="1"/>
  <c r="W97" i="1"/>
  <c r="V95" i="1"/>
  <c r="V96" i="1"/>
  <c r="V97" i="1" s="1"/>
  <c r="U95" i="1"/>
  <c r="U96" i="1" s="1"/>
  <c r="U97" i="1" s="1"/>
  <c r="T95" i="1"/>
  <c r="T96" i="1"/>
  <c r="T97" i="1" s="1"/>
  <c r="S95" i="1"/>
  <c r="S96" i="1" s="1"/>
  <c r="S97" i="1" s="1"/>
  <c r="Q95" i="1"/>
  <c r="Q96" i="1"/>
  <c r="Q97" i="1" s="1"/>
  <c r="P95" i="1"/>
  <c r="P96" i="1" s="1"/>
  <c r="P97" i="1" s="1"/>
  <c r="N95" i="1"/>
  <c r="M95" i="1"/>
  <c r="H103" i="1" s="1"/>
  <c r="L95" i="1"/>
  <c r="L96" i="1" s="1"/>
  <c r="L97" i="1" s="1"/>
  <c r="AB78" i="1"/>
  <c r="W78" i="1"/>
  <c r="W79" i="1" s="1"/>
  <c r="W80" i="1"/>
  <c r="V78" i="1"/>
  <c r="H88" i="1"/>
  <c r="U78" i="1"/>
  <c r="U79" i="1"/>
  <c r="U80" i="1" s="1"/>
  <c r="T78" i="1"/>
  <c r="T79" i="1" s="1"/>
  <c r="T80" i="1" s="1"/>
  <c r="S78" i="1"/>
  <c r="S79" i="1"/>
  <c r="S80" i="1" s="1"/>
  <c r="R78" i="1"/>
  <c r="H89" i="1" s="1"/>
  <c r="Q78" i="1"/>
  <c r="Q79" i="1" s="1"/>
  <c r="Q80" i="1"/>
  <c r="P78" i="1"/>
  <c r="P79" i="1"/>
  <c r="P80" i="1" s="1"/>
  <c r="O78" i="1"/>
  <c r="O79" i="1" s="1"/>
  <c r="O80" i="1" s="1"/>
  <c r="N78" i="1"/>
  <c r="M78" i="1"/>
  <c r="H86" i="1" s="1"/>
  <c r="L78" i="1"/>
  <c r="L79" i="1" s="1"/>
  <c r="L80" i="1" s="1"/>
  <c r="K78" i="1"/>
  <c r="K79" i="1"/>
  <c r="K80" i="1" s="1"/>
  <c r="AB61" i="1"/>
  <c r="W61" i="1"/>
  <c r="W62" i="1" s="1"/>
  <c r="W63" i="1" s="1"/>
  <c r="V61" i="1"/>
  <c r="V62" i="1" s="1"/>
  <c r="V63" i="1" s="1"/>
  <c r="U61" i="1"/>
  <c r="U62" i="1"/>
  <c r="U63" i="1" s="1"/>
  <c r="T61" i="1"/>
  <c r="T62" i="1" s="1"/>
  <c r="T63" i="1"/>
  <c r="S61" i="1"/>
  <c r="S62" i="1"/>
  <c r="S63" i="1" s="1"/>
  <c r="R61" i="1"/>
  <c r="H72" i="1" s="1"/>
  <c r="Q61" i="1"/>
  <c r="Q62" i="1" s="1"/>
  <c r="Q63" i="1"/>
  <c r="P61" i="1"/>
  <c r="P62" i="1"/>
  <c r="P63" i="1" s="1"/>
  <c r="O61" i="1"/>
  <c r="O62" i="1" s="1"/>
  <c r="O63" i="1" s="1"/>
  <c r="N61" i="1"/>
  <c r="M61" i="1"/>
  <c r="H69" i="1" s="1"/>
  <c r="AE58" i="1"/>
  <c r="W46" i="1"/>
  <c r="W47" i="1"/>
  <c r="W48" i="1" s="1"/>
  <c r="V46" i="1"/>
  <c r="U46" i="1"/>
  <c r="U47" i="1" s="1"/>
  <c r="U48" i="1" s="1"/>
  <c r="T46" i="1"/>
  <c r="T47" i="1"/>
  <c r="T48" i="1" s="1"/>
  <c r="S46" i="1"/>
  <c r="S47" i="1" s="1"/>
  <c r="S48" i="1" s="1"/>
  <c r="Q46" i="1"/>
  <c r="Q47" i="1" s="1"/>
  <c r="Q48" i="1" s="1"/>
  <c r="N46" i="1"/>
  <c r="N47" i="1" s="1"/>
  <c r="N48" i="1" s="1"/>
  <c r="M46" i="1"/>
  <c r="H54" i="1" s="1"/>
  <c r="I46" i="1"/>
  <c r="AA43" i="1"/>
  <c r="AC43" i="1" s="1"/>
  <c r="Z43" i="1"/>
  <c r="R43" i="1"/>
  <c r="O43" i="1"/>
  <c r="AA42" i="1"/>
  <c r="AA189" i="1" s="1"/>
  <c r="Z42" i="1"/>
  <c r="Z189" i="1" s="1"/>
  <c r="R42" i="1"/>
  <c r="R189" i="1" s="1"/>
  <c r="O42" i="1"/>
  <c r="Z41" i="1"/>
  <c r="R41" i="1"/>
  <c r="P41" i="1"/>
  <c r="AA41" i="1"/>
  <c r="O41" i="1"/>
  <c r="AA40" i="1"/>
  <c r="Z40" i="1"/>
  <c r="R40" i="1"/>
  <c r="R95" i="1" s="1"/>
  <c r="O40" i="1"/>
  <c r="O95" i="1"/>
  <c r="O96" i="1"/>
  <c r="O97" i="1" s="1"/>
  <c r="Z39" i="1"/>
  <c r="R39" i="1"/>
  <c r="P39" i="1"/>
  <c r="P112" i="1" s="1"/>
  <c r="P113" i="1" s="1"/>
  <c r="P114" i="1" s="1"/>
  <c r="O39" i="1"/>
  <c r="O112" i="1"/>
  <c r="O113" i="1" s="1"/>
  <c r="O114" i="1" s="1"/>
  <c r="AA38" i="1"/>
  <c r="AA188" i="1" s="1"/>
  <c r="Z38" i="1"/>
  <c r="AC38" i="1" s="1"/>
  <c r="AA37" i="1"/>
  <c r="AA187" i="1"/>
  <c r="Z37" i="1"/>
  <c r="Z187" i="1"/>
  <c r="AA36" i="1"/>
  <c r="Z36" i="1"/>
  <c r="Z163" i="1" s="1"/>
  <c r="Z35" i="1"/>
  <c r="H35" i="1"/>
  <c r="Z34" i="1"/>
  <c r="H34" i="1"/>
  <c r="AA34" i="1" s="1"/>
  <c r="AC34" i="1" s="1"/>
  <c r="Z33" i="1"/>
  <c r="H33" i="1"/>
  <c r="AA33" i="1" s="1"/>
  <c r="Z32" i="1"/>
  <c r="H32" i="1"/>
  <c r="AA32" i="1"/>
  <c r="AC32" i="1" s="1"/>
  <c r="Z31" i="1"/>
  <c r="H31" i="1"/>
  <c r="AA30" i="1"/>
  <c r="K30" i="1"/>
  <c r="K95" i="1" s="1"/>
  <c r="AB29" i="1"/>
  <c r="Z29" i="1"/>
  <c r="H29" i="1"/>
  <c r="AC29" i="1" s="1"/>
  <c r="E29" i="1"/>
  <c r="AB28" i="1"/>
  <c r="Z28" i="1"/>
  <c r="L28" i="1"/>
  <c r="AA28" i="1" s="1"/>
  <c r="Z27" i="1"/>
  <c r="H27" i="1"/>
  <c r="Z26" i="1"/>
  <c r="AC26" i="1" s="1"/>
  <c r="H26" i="1"/>
  <c r="AA26" i="1" s="1"/>
  <c r="L25" i="1"/>
  <c r="AA25" i="1"/>
  <c r="K25" i="1"/>
  <c r="K112" i="1" s="1"/>
  <c r="K113" i="1" s="1"/>
  <c r="K114" i="1" s="1"/>
  <c r="D25" i="1"/>
  <c r="Z24" i="1"/>
  <c r="H24" i="1"/>
  <c r="AA23" i="1"/>
  <c r="AC23" i="1" s="1"/>
  <c r="Z23" i="1"/>
  <c r="Z22" i="1"/>
  <c r="H22" i="1"/>
  <c r="H78" i="1"/>
  <c r="H84" i="1" s="1"/>
  <c r="Z21" i="1"/>
  <c r="H21" i="1"/>
  <c r="Z20" i="1"/>
  <c r="H20" i="1"/>
  <c r="H61" i="1" s="1"/>
  <c r="Z19" i="1"/>
  <c r="L19" i="1"/>
  <c r="Z18" i="1"/>
  <c r="H18" i="1"/>
  <c r="L17" i="1"/>
  <c r="AA17" i="1" s="1"/>
  <c r="K17" i="1"/>
  <c r="L16" i="1"/>
  <c r="L61" i="1" s="1"/>
  <c r="L62" i="1" s="1"/>
  <c r="L63" i="1" s="1"/>
  <c r="K16" i="1"/>
  <c r="K61" i="1" s="1"/>
  <c r="K62" i="1" s="1"/>
  <c r="Z15" i="1"/>
  <c r="H15" i="1"/>
  <c r="AB14" i="1"/>
  <c r="AB46" i="1" s="1"/>
  <c r="AA14" i="1"/>
  <c r="Z14" i="1"/>
  <c r="Z13" i="1"/>
  <c r="H13" i="1"/>
  <c r="H112" i="1" s="1"/>
  <c r="H113" i="1" s="1"/>
  <c r="H114" i="1" s="1"/>
  <c r="AA12" i="1"/>
  <c r="Z12" i="1"/>
  <c r="AA11" i="1"/>
  <c r="Z11" i="1"/>
  <c r="AC11" i="1" s="1"/>
  <c r="J22" i="2"/>
  <c r="J23" i="2" s="1"/>
  <c r="J26" i="2"/>
  <c r="F22" i="2"/>
  <c r="F23" i="2" s="1"/>
  <c r="F26" i="2" s="1"/>
  <c r="K22" i="2"/>
  <c r="K23" i="2"/>
  <c r="K26" i="2" s="1"/>
  <c r="G22" i="2"/>
  <c r="G23" i="2" s="1"/>
  <c r="G26" i="2" s="1"/>
  <c r="H22" i="2"/>
  <c r="H23" i="2"/>
  <c r="H26" i="2" s="1"/>
  <c r="L18" i="2"/>
  <c r="L17" i="2"/>
  <c r="L13" i="2"/>
  <c r="L16" i="2"/>
  <c r="L12" i="2"/>
  <c r="L14" i="2"/>
  <c r="L19" i="2"/>
  <c r="L15" i="2"/>
  <c r="H87" i="1"/>
  <c r="AC12" i="1"/>
  <c r="H70" i="1"/>
  <c r="H152" i="1"/>
  <c r="H153" i="1"/>
  <c r="H168" i="1"/>
  <c r="AC41" i="1"/>
  <c r="Z30" i="1"/>
  <c r="Z95" i="1" s="1"/>
  <c r="R112" i="1"/>
  <c r="R113" i="1" s="1"/>
  <c r="R114" i="1" s="1"/>
  <c r="H172" i="1"/>
  <c r="AA15" i="1"/>
  <c r="AC15" i="1" s="1"/>
  <c r="H65" i="1"/>
  <c r="K63" i="1"/>
  <c r="Z16" i="1"/>
  <c r="AA18" i="1"/>
  <c r="H129" i="1"/>
  <c r="AA21" i="1"/>
  <c r="G191" i="1"/>
  <c r="G192" i="1" s="1"/>
  <c r="AA22" i="1"/>
  <c r="AA78" i="1" s="1"/>
  <c r="Z25" i="1"/>
  <c r="Z186" i="1"/>
  <c r="AC36" i="1"/>
  <c r="Z188" i="1"/>
  <c r="Z146" i="1"/>
  <c r="O46" i="1"/>
  <c r="O47" i="1" s="1"/>
  <c r="O48" i="1" s="1"/>
  <c r="AA19" i="1"/>
  <c r="AC19" i="1"/>
  <c r="Z17" i="1"/>
  <c r="Z185" i="1"/>
  <c r="Z129" i="1"/>
  <c r="Z78" i="1"/>
  <c r="AA27" i="1"/>
  <c r="AA95" i="1" s="1"/>
  <c r="AA29" i="1"/>
  <c r="AA186" i="1"/>
  <c r="AA163" i="1"/>
  <c r="AC37" i="1"/>
  <c r="AA146" i="1"/>
  <c r="AC40" i="1"/>
  <c r="R129" i="1"/>
  <c r="R46" i="1"/>
  <c r="R47" i="1" s="1"/>
  <c r="R48" i="1" s="1"/>
  <c r="M47" i="1"/>
  <c r="M48" i="1" s="1"/>
  <c r="H104" i="1"/>
  <c r="M62" i="1"/>
  <c r="M63" i="1" s="1"/>
  <c r="H71" i="1"/>
  <c r="N79" i="1"/>
  <c r="N80" i="1" s="1"/>
  <c r="R79" i="1"/>
  <c r="R80" i="1" s="1"/>
  <c r="V79" i="1"/>
  <c r="V80" i="1" s="1"/>
  <c r="H82" i="1"/>
  <c r="M96" i="1"/>
  <c r="M97" i="1"/>
  <c r="H105" i="1"/>
  <c r="N113" i="1"/>
  <c r="N114" i="1"/>
  <c r="V113" i="1"/>
  <c r="V114" i="1" s="1"/>
  <c r="H134" i="1"/>
  <c r="N62" i="1"/>
  <c r="N63" i="1" s="1"/>
  <c r="R62" i="1"/>
  <c r="R63" i="1" s="1"/>
  <c r="M79" i="1"/>
  <c r="M80" i="1" s="1"/>
  <c r="N96" i="1"/>
  <c r="N97" i="1" s="1"/>
  <c r="M113" i="1"/>
  <c r="M114" i="1" s="1"/>
  <c r="K130" i="1"/>
  <c r="K131" i="1" s="1"/>
  <c r="M130" i="1"/>
  <c r="M131" i="1" s="1"/>
  <c r="H139" i="1"/>
  <c r="H147" i="1"/>
  <c r="H148" i="1"/>
  <c r="N147" i="1"/>
  <c r="N148" i="1" s="1"/>
  <c r="R147" i="1"/>
  <c r="R148" i="1"/>
  <c r="V147" i="1"/>
  <c r="V148" i="1" s="1"/>
  <c r="H150" i="1"/>
  <c r="K164" i="1"/>
  <c r="K165" i="1" s="1"/>
  <c r="M164" i="1"/>
  <c r="M165" i="1" s="1"/>
  <c r="H169" i="1"/>
  <c r="H170" i="1" s="1"/>
  <c r="H173" i="1"/>
  <c r="N130" i="1"/>
  <c r="N131" i="1"/>
  <c r="M147" i="1"/>
  <c r="M148" i="1" s="1"/>
  <c r="N164" i="1"/>
  <c r="N165" i="1"/>
  <c r="R164" i="1"/>
  <c r="R165" i="1" s="1"/>
  <c r="H123" i="1"/>
  <c r="AC22" i="1"/>
  <c r="H151" i="1"/>
  <c r="H83" i="1"/>
  <c r="H57" i="1"/>
  <c r="AA185" i="1"/>
  <c r="H140" i="1"/>
  <c r="R130" i="1"/>
  <c r="R131" i="1" s="1"/>
  <c r="AC27" i="1"/>
  <c r="H130" i="1"/>
  <c r="H131" i="1"/>
  <c r="H135" i="1"/>
  <c r="H136" i="1" s="1"/>
  <c r="Z61" i="1"/>
  <c r="H66" i="1"/>
  <c r="H67" i="1" l="1"/>
  <c r="H62" i="1"/>
  <c r="H63" i="1" s="1"/>
  <c r="H90" i="1"/>
  <c r="H91" i="1" s="1"/>
  <c r="H85" i="1"/>
  <c r="H99" i="1"/>
  <c r="K96" i="1"/>
  <c r="K97" i="1" s="1"/>
  <c r="R96" i="1"/>
  <c r="R97" i="1" s="1"/>
  <c r="H106" i="1"/>
  <c r="O189" i="1"/>
  <c r="AC42" i="1"/>
  <c r="H55" i="1"/>
  <c r="H175" i="1"/>
  <c r="H176" i="1" s="1"/>
  <c r="AC78" i="1"/>
  <c r="Z46" i="1"/>
  <c r="H51" i="1" s="1"/>
  <c r="AC28" i="1"/>
  <c r="AA16" i="1"/>
  <c r="K46" i="1"/>
  <c r="O129" i="1"/>
  <c r="H79" i="1"/>
  <c r="H80" i="1" s="1"/>
  <c r="AC33" i="1"/>
  <c r="AB112" i="1"/>
  <c r="AC14" i="1"/>
  <c r="L112" i="1"/>
  <c r="L113" i="1" s="1"/>
  <c r="L114" i="1" s="1"/>
  <c r="AC17" i="1"/>
  <c r="AA24" i="1"/>
  <c r="AC24" i="1" s="1"/>
  <c r="H95" i="1"/>
  <c r="AA35" i="1"/>
  <c r="AC35" i="1"/>
  <c r="AA129" i="1"/>
  <c r="I192" i="1"/>
  <c r="AC146" i="1"/>
  <c r="H121" i="1"/>
  <c r="L46" i="1"/>
  <c r="L47" i="1" s="1"/>
  <c r="L48" i="1" s="1"/>
  <c r="AA39" i="1"/>
  <c r="AC39" i="1" s="1"/>
  <c r="AC20" i="1"/>
  <c r="H46" i="1"/>
  <c r="H116" i="1"/>
  <c r="L24" i="2"/>
  <c r="H185" i="1"/>
  <c r="AC21" i="1"/>
  <c r="AA31" i="1"/>
  <c r="AC31" i="1"/>
  <c r="J167" i="1"/>
  <c r="AC163" i="1"/>
  <c r="Z112" i="1"/>
  <c r="P46" i="1"/>
  <c r="P47" i="1" s="1"/>
  <c r="P48" i="1" s="1"/>
  <c r="AA13" i="1"/>
  <c r="AC25" i="1"/>
  <c r="AA20" i="1"/>
  <c r="AC30" i="1"/>
  <c r="H155" i="1"/>
  <c r="AC18" i="1"/>
  <c r="H56" i="1"/>
  <c r="V47" i="1"/>
  <c r="V48" i="1" s="1"/>
  <c r="L21" i="2"/>
  <c r="L20" i="2"/>
  <c r="I22" i="2"/>
  <c r="I23" i="2" s="1"/>
  <c r="I26" i="2" s="1"/>
  <c r="E22" i="2"/>
  <c r="H117" i="1" l="1"/>
  <c r="AC16" i="1"/>
  <c r="AA61" i="1"/>
  <c r="AC61" i="1" s="1"/>
  <c r="H118" i="1"/>
  <c r="H119" i="1" s="1"/>
  <c r="H100" i="1"/>
  <c r="H107" i="1"/>
  <c r="H108" i="1" s="1"/>
  <c r="E23" i="2"/>
  <c r="L22" i="2"/>
  <c r="H50" i="1"/>
  <c r="K47" i="1"/>
  <c r="K48" i="1" s="1"/>
  <c r="H47" i="1"/>
  <c r="H52" i="1"/>
  <c r="H101" i="1"/>
  <c r="H102" i="1" s="1"/>
  <c r="H96" i="1"/>
  <c r="H97" i="1" s="1"/>
  <c r="AC95" i="1"/>
  <c r="J82" i="1"/>
  <c r="J65" i="1"/>
  <c r="H68" i="1"/>
  <c r="H73" i="1"/>
  <c r="H74" i="1" s="1"/>
  <c r="H158" i="1"/>
  <c r="H159" i="1" s="1"/>
  <c r="AA46" i="1"/>
  <c r="H53" i="1" s="1"/>
  <c r="AA112" i="1"/>
  <c r="AC112" i="1" s="1"/>
  <c r="AC13" i="1"/>
  <c r="AD46" i="1" s="1"/>
  <c r="H138" i="1"/>
  <c r="O130" i="1"/>
  <c r="O131" i="1" s="1"/>
  <c r="AC129" i="1"/>
  <c r="AC47" i="1" l="1"/>
  <c r="H48" i="1"/>
  <c r="AC48" i="1" s="1"/>
  <c r="J133" i="1"/>
  <c r="H141" i="1"/>
  <c r="H142" i="1" s="1"/>
  <c r="AC46" i="1"/>
  <c r="L23" i="2"/>
  <c r="L26" i="2" s="1"/>
  <c r="E26" i="2"/>
  <c r="H58" i="1"/>
  <c r="H59" i="1" s="1"/>
  <c r="J50" i="1"/>
  <c r="I194" i="1" s="1"/>
  <c r="J150" i="1"/>
  <c r="J99" i="1"/>
  <c r="H124" i="1"/>
  <c r="H125" i="1" s="1"/>
  <c r="J116" i="1" l="1"/>
  <c r="I183" i="1" s="1"/>
  <c r="I193" i="1" s="1"/>
  <c r="I195" i="1" s="1"/>
</calcChain>
</file>

<file path=xl/sharedStrings.xml><?xml version="1.0" encoding="utf-8"?>
<sst xmlns="http://schemas.openxmlformats.org/spreadsheetml/2006/main" count="403" uniqueCount="185">
  <si>
    <t>LOG-2012-003</t>
  </si>
  <si>
    <t>PERIODO</t>
  </si>
  <si>
    <t>Item</t>
  </si>
  <si>
    <t>DIAS DE REFERENCIA ENTRADA</t>
  </si>
  <si>
    <t>DIAS DE REFERENCIA</t>
  </si>
  <si>
    <t>NOMBRE EMPLEADO</t>
  </si>
  <si>
    <t>Centro de Costo</t>
  </si>
  <si>
    <t>CIUDAD DE REFERENCIA</t>
  </si>
  <si>
    <t>Tipo de Transporte</t>
  </si>
  <si>
    <t>Valor Transporte Aereo  con IVA del 16%</t>
  </si>
  <si>
    <t>Valor Transporte Aéreo excluído de IVA</t>
  </si>
  <si>
    <t>Dias - Hotel</t>
  </si>
  <si>
    <t>Vr. Alojamiento (Iva 10%</t>
  </si>
  <si>
    <t>Consumos y Seguro Hotelero (Iva 16%)</t>
  </si>
  <si>
    <t>Impuestos y penalizaciones no gravados</t>
  </si>
  <si>
    <t>Seguros  de Vida      excluídos</t>
  </si>
  <si>
    <t>Legalizaciones de Gastos de Transporte  Autorizados excluídos de IVA</t>
  </si>
  <si>
    <t>Legalizaciones de otros Gastos Autorizados con IVA  16%</t>
  </si>
  <si>
    <t>Legalizaciones de otros Gastos Autorizados con IVA  10%</t>
  </si>
  <si>
    <t>Legalizaciones de otros Gastos Autorizados Regimen Simplificado</t>
  </si>
  <si>
    <t>Gastos de Transporte terrestre excluidos de IVA</t>
  </si>
  <si>
    <t>Gastos de Transporte terrestre de Personal con IVA 16%</t>
  </si>
  <si>
    <t>Compras Autorizadas excluidas de IVA</t>
  </si>
  <si>
    <t>Compras Autorizadas exentas de IVA</t>
  </si>
  <si>
    <t>Compras Autorizadas 16%</t>
  </si>
  <si>
    <t>Documento Contable</t>
  </si>
  <si>
    <t>Referencia proveedor</t>
  </si>
  <si>
    <t>Retención</t>
  </si>
  <si>
    <t>TOTAL FACTURA</t>
  </si>
  <si>
    <t>H</t>
  </si>
  <si>
    <t xml:space="preserve">Andres Barrera </t>
  </si>
  <si>
    <t>Bloques Exploratorios - CR1</t>
  </si>
  <si>
    <t>Riohacha</t>
  </si>
  <si>
    <t>10037</t>
  </si>
  <si>
    <t>HOTEL CONFORT</t>
  </si>
  <si>
    <t>10038</t>
  </si>
  <si>
    <t>A</t>
  </si>
  <si>
    <t>Aereo</t>
  </si>
  <si>
    <t>618-015630</t>
  </si>
  <si>
    <t>AVIATUR</t>
  </si>
  <si>
    <t>0000-5892</t>
  </si>
  <si>
    <t>BARBACOA HOTEL</t>
  </si>
  <si>
    <t>Andres Barrera</t>
  </si>
  <si>
    <t xml:space="preserve">Bogota </t>
  </si>
  <si>
    <t>618-015636</t>
  </si>
  <si>
    <t>Fredy Caballero</t>
  </si>
  <si>
    <t>Pacific Stratus Energy</t>
  </si>
  <si>
    <t>sincelejo</t>
  </si>
  <si>
    <t>4193</t>
  </si>
  <si>
    <t>INVERSIONES HOTELERAS ALBATROS S.A.S.</t>
  </si>
  <si>
    <t xml:space="preserve">Sincelejo </t>
  </si>
  <si>
    <t>093992</t>
  </si>
  <si>
    <t>HOTEL BOSTON LIMITADA</t>
  </si>
  <si>
    <t>618-015641</t>
  </si>
  <si>
    <t xml:space="preserve">Riohacha </t>
  </si>
  <si>
    <t>0000-6043</t>
  </si>
  <si>
    <t xml:space="preserve">Sincelejo - Bogota </t>
  </si>
  <si>
    <t>618-015651</t>
  </si>
  <si>
    <t>Gildardo Losada</t>
  </si>
  <si>
    <t>Bloques Exploratorios - Tacacho</t>
  </si>
  <si>
    <t xml:space="preserve">Florencia </t>
  </si>
  <si>
    <t>618-015657</t>
  </si>
  <si>
    <t>Rodrigo Soto</t>
  </si>
  <si>
    <t>Bloques Exploratorios - Arrendajo</t>
  </si>
  <si>
    <t>Yopal - Bogota</t>
  </si>
  <si>
    <t>618-015656</t>
  </si>
  <si>
    <t>Yopal</t>
  </si>
  <si>
    <t>HB6200</t>
  </si>
  <si>
    <t>C L M E. U. HOTEL VILLA CLARA</t>
  </si>
  <si>
    <t>Liliana Hernandez</t>
  </si>
  <si>
    <t xml:space="preserve">Florencia - Bogota </t>
  </si>
  <si>
    <t>618-015671</t>
  </si>
  <si>
    <t>Florencia</t>
  </si>
  <si>
    <t>HFC 0006733</t>
  </si>
  <si>
    <t>HOTEL FLORENCIA INN</t>
  </si>
  <si>
    <t xml:space="preserve">Liliana Hernandez </t>
  </si>
  <si>
    <t>Bogota - Valledupar</t>
  </si>
  <si>
    <t>618-015680</t>
  </si>
  <si>
    <t xml:space="preserve">Bloques Exploratorios - CPE1 </t>
  </si>
  <si>
    <t xml:space="preserve">Arauca </t>
  </si>
  <si>
    <t>618-015682</t>
  </si>
  <si>
    <t>Valledupar</t>
  </si>
  <si>
    <t>017231</t>
  </si>
  <si>
    <t>VAJAMAR LIMITADA</t>
  </si>
  <si>
    <t>Liliana Hernández</t>
  </si>
  <si>
    <t xml:space="preserve">Riohacha - Bogota </t>
  </si>
  <si>
    <t>618-015686</t>
  </si>
  <si>
    <t>40923</t>
  </si>
  <si>
    <t>HOTEL NOVA PARK</t>
  </si>
  <si>
    <t>618-015678</t>
  </si>
  <si>
    <t>618-015689</t>
  </si>
  <si>
    <t>618-015690</t>
  </si>
  <si>
    <t>618-015698</t>
  </si>
  <si>
    <t>618-015699</t>
  </si>
  <si>
    <t>Fundación PRE</t>
  </si>
  <si>
    <t>Rubiales</t>
  </si>
  <si>
    <t>Bogotá</t>
  </si>
  <si>
    <t>Terrestre</t>
  </si>
  <si>
    <t>1015</t>
  </si>
  <si>
    <t>Royal Travel</t>
  </si>
  <si>
    <t xml:space="preserve">Bloques Exploratorios </t>
  </si>
  <si>
    <t>01001584</t>
  </si>
  <si>
    <t>Alkosto</t>
  </si>
  <si>
    <t>Jorge A. Ramirez Saldaña</t>
  </si>
  <si>
    <t>Quifa Resguardos</t>
  </si>
  <si>
    <t>Puerto Gaitan</t>
  </si>
  <si>
    <t>Admon</t>
  </si>
  <si>
    <t>Iva Admon</t>
  </si>
  <si>
    <t>GASTOS CON IVA DEL 10%</t>
  </si>
  <si>
    <t>IVA 10%</t>
  </si>
  <si>
    <t>GASTOS CON IVA DEL 16%</t>
  </si>
  <si>
    <t>IVA 16%</t>
  </si>
  <si>
    <t>GASTOS NO GRAVADOS</t>
  </si>
  <si>
    <t>GASTOS EXCLUIDOS DE IVA</t>
  </si>
  <si>
    <t>COMPRAS Y GASTOS EXENTOS DE IVA</t>
  </si>
  <si>
    <t>COMPRAS Y GASTOS R. SIMPLIFICADO</t>
  </si>
  <si>
    <t xml:space="preserve">ADMINISTRACION </t>
  </si>
  <si>
    <t>IVA ADMINISTRACION</t>
  </si>
  <si>
    <t>Iva</t>
  </si>
  <si>
    <t>CPE1</t>
  </si>
  <si>
    <t>CR1</t>
  </si>
  <si>
    <t>Modelos Productivos</t>
  </si>
  <si>
    <t>Tacacho</t>
  </si>
  <si>
    <t>Quifa - Resguardo</t>
  </si>
  <si>
    <t>Gastos por asignarles Centro de costos</t>
  </si>
  <si>
    <t>Renglón 20</t>
  </si>
  <si>
    <t>Renglón 35</t>
  </si>
  <si>
    <t>Renglón 36</t>
  </si>
  <si>
    <t>Renglón 37</t>
  </si>
  <si>
    <t>Renglón 41</t>
  </si>
  <si>
    <t>Subtotal</t>
  </si>
  <si>
    <t>Administración</t>
  </si>
  <si>
    <t>IVA Administración</t>
  </si>
  <si>
    <t>Total</t>
  </si>
  <si>
    <t>Control</t>
  </si>
  <si>
    <t>Dif.</t>
  </si>
  <si>
    <t>FACTURACION MES DE AGOSTO</t>
  </si>
  <si>
    <t>IVA</t>
  </si>
  <si>
    <t>A PAGAR GASTOS REEMBOLSABLES</t>
  </si>
  <si>
    <t>TOTAL BIENESTAR</t>
  </si>
  <si>
    <t>IVA (16%)</t>
  </si>
  <si>
    <t>IVA (10%)</t>
  </si>
  <si>
    <t>Compras Autorizadas</t>
  </si>
  <si>
    <t>Transporte excento</t>
  </si>
  <si>
    <t>Legalización de Gasto</t>
  </si>
  <si>
    <t>Seguros de Vida</t>
  </si>
  <si>
    <t>Impuestos y Penalizacion</t>
  </si>
  <si>
    <t>SEGUROS HOTELEROS</t>
  </si>
  <si>
    <t>ALOJAMIENTO</t>
  </si>
  <si>
    <t>TRANSPORTE</t>
  </si>
  <si>
    <t>REEMBOLSABLES</t>
  </si>
  <si>
    <t>Proyectos Productivos PRE</t>
  </si>
  <si>
    <t>Granjas Integrales</t>
  </si>
  <si>
    <t>Modelo Productivo rubiales</t>
  </si>
  <si>
    <r>
      <t xml:space="preserve">Modelos Productivo- Proyecto Productivo </t>
    </r>
    <r>
      <rPr>
        <b/>
        <sz val="10"/>
        <color indexed="10"/>
        <rFont val="Arial"/>
        <family val="2"/>
      </rPr>
      <t>Arrendajo</t>
    </r>
  </si>
  <si>
    <r>
      <t xml:space="preserve">Modelos Productivo- Proyecto Productivo </t>
    </r>
    <r>
      <rPr>
        <b/>
        <sz val="10"/>
        <color indexed="10"/>
        <rFont val="Arial"/>
        <family val="2"/>
      </rPr>
      <t>CPE-1</t>
    </r>
  </si>
  <si>
    <r>
      <t xml:space="preserve">Consulta Previa - Proyectos Productivos                   </t>
    </r>
    <r>
      <rPr>
        <b/>
        <sz val="10"/>
        <color rgb="FFFF0000"/>
        <rFont val="Arial"/>
        <family val="2"/>
      </rPr>
      <t>Tacacho</t>
    </r>
  </si>
  <si>
    <r>
      <t xml:space="preserve">Consulta Previa - Proyectos Productivos                   </t>
    </r>
    <r>
      <rPr>
        <b/>
        <sz val="10"/>
        <color indexed="10"/>
        <rFont val="Arial"/>
        <family val="2"/>
      </rPr>
      <t>CR-1</t>
    </r>
  </si>
  <si>
    <t>Proyectos sostenibles - Iniciativa Productiva- Campo Guaduas</t>
  </si>
  <si>
    <t>Centro de Costos</t>
  </si>
  <si>
    <t>TOTAL</t>
  </si>
  <si>
    <t>METAPETROLEUM</t>
  </si>
  <si>
    <t>BLOQUES EXPLORATORIOS</t>
  </si>
  <si>
    <t>PSE</t>
  </si>
  <si>
    <t>GASTOS REEMBOLSABLES ESPECIFICOS Y CONSOLIDADOS</t>
  </si>
  <si>
    <t>PROCESO GESTIÓN CONTABLE Y FINANCIERA</t>
  </si>
  <si>
    <t>PROYECTO:</t>
  </si>
  <si>
    <t>RESPONSABLES:</t>
  </si>
  <si>
    <t>Fundación Pacific Rubiales</t>
  </si>
  <si>
    <t>CONTRATO N°:</t>
  </si>
  <si>
    <t>Ing. Ivonne Cano</t>
  </si>
  <si>
    <t>Sr. Jaime Moreno</t>
  </si>
  <si>
    <t>Srta. Andrea Sanabria</t>
  </si>
  <si>
    <t>Hasta (dd/mm/aaaa)</t>
  </si>
  <si>
    <t>Desde (dd/mm/aaaa):</t>
  </si>
  <si>
    <t>FECHA DE ACTUALIZACIÓN (dd/mm/aaaa):</t>
  </si>
  <si>
    <t>Pág. 1 de 2</t>
  </si>
  <si>
    <t>Pág. 2 de 2</t>
  </si>
  <si>
    <t>GASTOS REEMBOLSABLES CONSOLIDADOS Y ESPECIFICOS</t>
  </si>
  <si>
    <t>Versión 1</t>
  </si>
  <si>
    <t>GCF-FO-15</t>
  </si>
  <si>
    <r>
      <rPr>
        <b/>
        <sz val="10"/>
        <color theme="1"/>
        <rFont val="Arial"/>
        <family val="2"/>
      </rPr>
      <t>Aprobación:</t>
    </r>
    <r>
      <rPr>
        <b/>
        <sz val="10"/>
        <color indexed="8"/>
        <rFont val="Arial"/>
        <family val="2"/>
      </rPr>
      <t xml:space="preserve"> 
DIRECTOR CONTABLE Y FINANCIERO</t>
    </r>
  </si>
  <si>
    <r>
      <rPr>
        <b/>
        <sz val="10"/>
        <color theme="1"/>
        <rFont val="Arial"/>
        <family val="2"/>
      </rPr>
      <t>Aprobación:</t>
    </r>
    <r>
      <rPr>
        <b/>
        <sz val="10"/>
        <color indexed="8"/>
        <rFont val="Arial"/>
        <family val="2"/>
      </rPr>
      <t xml:space="preserve"> 
GERENTE AFA</t>
    </r>
  </si>
  <si>
    <r>
      <rPr>
        <b/>
        <sz val="10"/>
        <color theme="1"/>
        <rFont val="Arial"/>
        <family val="2"/>
      </rPr>
      <t>Aprobación:</t>
    </r>
    <r>
      <rPr>
        <b/>
        <sz val="10"/>
        <color indexed="8"/>
        <rFont val="Arial"/>
        <family val="2"/>
      </rPr>
      <t xml:space="preserve"> 
DIRECTOR CONTABLE Y ADMINISTRATIVO</t>
    </r>
  </si>
  <si>
    <t>Fecha: 30/01/2013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</si>
</sst>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0.000000"/>
    <numFmt numFmtId="166" formatCode="d/mm/yyyy;@"/>
    <numFmt numFmtId="167" formatCode="dd/mm/yyyy;@"/>
  </numFmts>
  <fonts count="3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rgb="FFFF0000"/>
      <name val="Arial"/>
      <family val="2"/>
    </font>
    <font>
      <sz val="11"/>
      <color indexed="8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6"/>
      <color indexed="10"/>
      <name val="Arial"/>
      <family val="2"/>
    </font>
    <font>
      <sz val="11"/>
      <color indexed="9"/>
      <name val="Arial"/>
      <family val="2"/>
    </font>
    <font>
      <b/>
      <sz val="10"/>
      <color theme="0"/>
      <name val="Arial"/>
      <family val="2"/>
    </font>
    <font>
      <sz val="8"/>
      <color theme="0"/>
      <name val="Arial"/>
      <family val="2"/>
    </font>
    <font>
      <b/>
      <sz val="10"/>
      <color indexed="8"/>
      <name val="Arial"/>
      <family val="2"/>
    </font>
    <font>
      <sz val="10"/>
      <color theme="1"/>
      <name val="Calibri"/>
      <family val="2"/>
      <scheme val="minor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b/>
      <sz val="10"/>
      <color indexed="9"/>
      <name val="Calibri"/>
      <family val="2"/>
    </font>
    <font>
      <sz val="10"/>
      <color theme="1"/>
      <name val="Calibri"/>
      <family val="2"/>
    </font>
    <font>
      <sz val="10"/>
      <color indexed="9"/>
      <name val="Calibri"/>
      <family val="2"/>
    </font>
    <font>
      <b/>
      <sz val="10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sz val="10"/>
      <color indexed="23"/>
      <name val="Calibri"/>
      <family val="2"/>
    </font>
    <font>
      <b/>
      <sz val="10"/>
      <color indexed="10"/>
      <name val="Calibri"/>
      <family val="2"/>
    </font>
    <font>
      <sz val="10"/>
      <color indexed="10"/>
      <name val="Calibri"/>
      <family val="2"/>
    </font>
    <font>
      <b/>
      <i/>
      <sz val="10"/>
      <color indexed="8"/>
      <name val="Calibri"/>
      <family val="2"/>
    </font>
    <font>
      <b/>
      <sz val="10"/>
      <color indexed="12"/>
      <name val="Calibri"/>
      <family val="2"/>
    </font>
    <font>
      <b/>
      <sz val="10"/>
      <color indexed="62"/>
      <name val="Calibri"/>
      <family val="2"/>
    </font>
    <font>
      <sz val="10"/>
      <color indexed="12"/>
      <name val="Calibri"/>
      <family val="2"/>
    </font>
    <font>
      <b/>
      <sz val="10"/>
      <color theme="1"/>
      <name val="Arial"/>
      <family val="2"/>
    </font>
    <font>
      <b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F497D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4" fontId="4" fillId="5" borderId="7" xfId="1" applyNumberFormat="1" applyFont="1" applyFill="1" applyBorder="1"/>
    <xf numFmtId="164" fontId="5" fillId="0" borderId="10" xfId="1" applyNumberFormat="1" applyFont="1" applyBorder="1"/>
    <xf numFmtId="164" fontId="5" fillId="6" borderId="11" xfId="1" applyNumberFormat="1" applyFont="1" applyFill="1" applyBorder="1" applyAlignment="1"/>
    <xf numFmtId="164" fontId="5" fillId="6" borderId="12" xfId="1" applyNumberFormat="1" applyFont="1" applyFill="1" applyBorder="1" applyAlignment="1"/>
    <xf numFmtId="164" fontId="5" fillId="0" borderId="10" xfId="1" applyNumberFormat="1" applyFont="1" applyBorder="1" applyAlignment="1"/>
    <xf numFmtId="164" fontId="5" fillId="6" borderId="10" xfId="1" applyNumberFormat="1" applyFont="1" applyFill="1" applyBorder="1"/>
    <xf numFmtId="9" fontId="2" fillId="0" borderId="1" xfId="3" applyFont="1" applyBorder="1" applyAlignment="1">
      <alignment horizontal="center"/>
    </xf>
    <xf numFmtId="164" fontId="5" fillId="6" borderId="10" xfId="1" applyNumberFormat="1" applyFont="1" applyFill="1" applyBorder="1" applyAlignment="1"/>
    <xf numFmtId="3" fontId="6" fillId="0" borderId="10" xfId="0" applyNumberFormat="1" applyFont="1" applyBorder="1"/>
    <xf numFmtId="3" fontId="6" fillId="6" borderId="10" xfId="0" applyNumberFormat="1" applyFont="1" applyFill="1" applyBorder="1"/>
    <xf numFmtId="3" fontId="5" fillId="6" borderId="10" xfId="0" applyNumberFormat="1" applyFont="1" applyFill="1" applyBorder="1"/>
    <xf numFmtId="3" fontId="5" fillId="0" borderId="10" xfId="0" applyNumberFormat="1" applyFont="1" applyFill="1" applyBorder="1"/>
    <xf numFmtId="3" fontId="5" fillId="6" borderId="11" xfId="0" applyNumberFormat="1" applyFont="1" applyFill="1" applyBorder="1"/>
    <xf numFmtId="3" fontId="5" fillId="6" borderId="13" xfId="0" applyNumberFormat="1" applyFont="1" applyFill="1" applyBorder="1"/>
    <xf numFmtId="0" fontId="10" fillId="6" borderId="19" xfId="0" applyFont="1" applyFill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23" xfId="0" applyFont="1" applyBorder="1" applyAlignment="1">
      <alignment vertical="center" wrapText="1"/>
    </xf>
    <xf numFmtId="17" fontId="12" fillId="0" borderId="23" xfId="0" applyNumberFormat="1" applyFont="1" applyBorder="1" applyAlignment="1">
      <alignment vertical="top"/>
    </xf>
    <xf numFmtId="0" fontId="10" fillId="0" borderId="0" xfId="0" applyFont="1" applyBorder="1" applyAlignment="1">
      <alignment vertical="center" wrapText="1"/>
    </xf>
    <xf numFmtId="0" fontId="12" fillId="0" borderId="0" xfId="0" applyFont="1" applyAlignment="1">
      <alignment vertical="top"/>
    </xf>
    <xf numFmtId="0" fontId="10" fillId="0" borderId="0" xfId="0" applyFont="1" applyBorder="1" applyAlignment="1">
      <alignment horizontal="center" vertical="center" wrapText="1"/>
    </xf>
    <xf numFmtId="164" fontId="17" fillId="0" borderId="0" xfId="1" applyNumberFormat="1" applyFont="1"/>
    <xf numFmtId="0" fontId="17" fillId="0" borderId="0" xfId="0" applyFont="1" applyFill="1"/>
    <xf numFmtId="0" fontId="17" fillId="0" borderId="0" xfId="0" applyFont="1"/>
    <xf numFmtId="14" fontId="17" fillId="0" borderId="0" xfId="0" applyNumberFormat="1" applyFont="1" applyBorder="1" applyAlignment="1">
      <alignment horizontal="center"/>
    </xf>
    <xf numFmtId="0" fontId="18" fillId="0" borderId="0" xfId="0" applyFont="1" applyBorder="1" applyAlignment="1">
      <alignment horizontal="center" vertical="center"/>
    </xf>
    <xf numFmtId="164" fontId="19" fillId="0" borderId="0" xfId="1" applyNumberFormat="1" applyFont="1" applyBorder="1" applyAlignment="1">
      <alignment horizontal="right" vertical="center"/>
    </xf>
    <xf numFmtId="49" fontId="17" fillId="0" borderId="0" xfId="1" applyNumberFormat="1" applyFont="1" applyAlignment="1">
      <alignment horizontal="right"/>
    </xf>
    <xf numFmtId="164" fontId="21" fillId="0" borderId="0" xfId="1" applyNumberFormat="1" applyFont="1" applyAlignment="1">
      <alignment horizontal="center" vertical="center"/>
    </xf>
    <xf numFmtId="164" fontId="21" fillId="0" borderId="0" xfId="1" applyNumberFormat="1" applyFont="1" applyFill="1" applyBorder="1" applyAlignment="1">
      <alignment horizontal="center" vertical="center"/>
    </xf>
    <xf numFmtId="164" fontId="17" fillId="0" borderId="0" xfId="1" applyNumberFormat="1" applyFont="1" applyFill="1" applyBorder="1" applyAlignment="1">
      <alignment horizontal="center" vertical="center"/>
    </xf>
    <xf numFmtId="49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14" fontId="21" fillId="0" borderId="0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164" fontId="19" fillId="0" borderId="0" xfId="1" applyNumberFormat="1" applyFont="1" applyBorder="1" applyAlignment="1">
      <alignment horizontal="center" vertical="center"/>
    </xf>
    <xf numFmtId="164" fontId="19" fillId="0" borderId="0" xfId="1" applyNumberFormat="1" applyFont="1" applyFill="1" applyBorder="1" applyAlignment="1">
      <alignment horizontal="center" vertical="center"/>
    </xf>
    <xf numFmtId="49" fontId="19" fillId="0" borderId="0" xfId="1" applyNumberFormat="1" applyFont="1" applyBorder="1" applyAlignment="1">
      <alignment horizontal="center" vertical="center"/>
    </xf>
    <xf numFmtId="164" fontId="18" fillId="0" borderId="0" xfId="1" applyNumberFormat="1" applyFont="1" applyBorder="1" applyAlignment="1">
      <alignment horizontal="center" vertical="center"/>
    </xf>
    <xf numFmtId="167" fontId="19" fillId="0" borderId="3" xfId="1" applyNumberFormat="1" applyFont="1" applyBorder="1" applyAlignment="1">
      <alignment horizontal="center" vertical="center"/>
    </xf>
    <xf numFmtId="167" fontId="25" fillId="0" borderId="1" xfId="1" applyNumberFormat="1" applyFont="1" applyFill="1" applyBorder="1" applyAlignment="1">
      <alignment horizontal="center" vertical="center"/>
    </xf>
    <xf numFmtId="164" fontId="22" fillId="0" borderId="0" xfId="1" applyNumberFormat="1" applyFont="1" applyFill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17" fillId="0" borderId="1" xfId="0" applyFont="1" applyFill="1" applyBorder="1" applyAlignment="1">
      <alignment horizontal="center" vertical="center"/>
    </xf>
    <xf numFmtId="14" fontId="17" fillId="0" borderId="1" xfId="0" applyNumberFormat="1" applyFont="1" applyFill="1" applyBorder="1" applyAlignment="1">
      <alignment vertical="center"/>
    </xf>
    <xf numFmtId="0" fontId="17" fillId="0" borderId="1" xfId="0" applyFont="1" applyFill="1" applyBorder="1" applyAlignment="1">
      <alignment vertical="center" wrapText="1"/>
    </xf>
    <xf numFmtId="0" fontId="17" fillId="0" borderId="1" xfId="0" applyFont="1" applyFill="1" applyBorder="1" applyAlignment="1">
      <alignment vertical="center"/>
    </xf>
    <xf numFmtId="164" fontId="17" fillId="0" borderId="1" xfId="1" applyNumberFormat="1" applyFont="1" applyFill="1" applyBorder="1" applyAlignment="1">
      <alignment vertical="center"/>
    </xf>
    <xf numFmtId="49" fontId="26" fillId="2" borderId="1" xfId="1" applyNumberFormat="1" applyFont="1" applyFill="1" applyBorder="1" applyAlignment="1">
      <alignment horizontal="right" vertical="center"/>
    </xf>
    <xf numFmtId="164" fontId="17" fillId="0" borderId="0" xfId="1" applyNumberFormat="1" applyFont="1" applyAlignment="1">
      <alignment vertical="center"/>
    </xf>
    <xf numFmtId="164" fontId="17" fillId="0" borderId="0" xfId="1" applyNumberFormat="1" applyFont="1" applyFill="1" applyAlignment="1">
      <alignment vertical="center"/>
    </xf>
    <xf numFmtId="164" fontId="27" fillId="0" borderId="0" xfId="0" applyNumberFormat="1" applyFont="1" applyFill="1" applyAlignment="1">
      <alignment vertical="center"/>
    </xf>
    <xf numFmtId="0" fontId="17" fillId="0" borderId="0" xfId="0" applyFont="1" applyAlignment="1">
      <alignment vertical="center"/>
    </xf>
    <xf numFmtId="164" fontId="17" fillId="0" borderId="0" xfId="0" applyNumberFormat="1" applyFont="1" applyAlignment="1">
      <alignment vertical="center"/>
    </xf>
    <xf numFmtId="164" fontId="17" fillId="0" borderId="1" xfId="1" applyNumberFormat="1" applyFont="1" applyBorder="1" applyAlignment="1">
      <alignment vertical="center"/>
    </xf>
    <xf numFmtId="0" fontId="17" fillId="0" borderId="0" xfId="0" applyFont="1" applyFill="1" applyAlignment="1">
      <alignment vertical="center"/>
    </xf>
    <xf numFmtId="14" fontId="17" fillId="0" borderId="1" xfId="0" applyNumberFormat="1" applyFont="1" applyFill="1" applyBorder="1"/>
    <xf numFmtId="164" fontId="17" fillId="0" borderId="1" xfId="1" applyNumberFormat="1" applyFont="1" applyFill="1" applyBorder="1"/>
    <xf numFmtId="49" fontId="26" fillId="2" borderId="1" xfId="1" applyNumberFormat="1" applyFont="1" applyFill="1" applyBorder="1" applyAlignment="1">
      <alignment horizontal="right"/>
    </xf>
    <xf numFmtId="164" fontId="25" fillId="0" borderId="0" xfId="1" applyNumberFormat="1" applyFont="1" applyFill="1"/>
    <xf numFmtId="164" fontId="17" fillId="0" borderId="0" xfId="0" applyNumberFormat="1" applyFont="1"/>
    <xf numFmtId="164" fontId="17" fillId="0" borderId="0" xfId="1" applyNumberFormat="1" applyFont="1" applyFill="1"/>
    <xf numFmtId="0" fontId="17" fillId="3" borderId="0" xfId="0" applyFont="1" applyFill="1"/>
    <xf numFmtId="164" fontId="17" fillId="3" borderId="1" xfId="1" applyNumberFormat="1" applyFont="1" applyFill="1" applyBorder="1" applyAlignment="1">
      <alignment vertical="center"/>
    </xf>
    <xf numFmtId="164" fontId="17" fillId="0" borderId="0" xfId="0" applyNumberFormat="1" applyFont="1" applyFill="1"/>
    <xf numFmtId="49" fontId="26" fillId="0" borderId="1" xfId="1" applyNumberFormat="1" applyFont="1" applyFill="1" applyBorder="1" applyAlignment="1">
      <alignment horizontal="right" vertical="center"/>
    </xf>
    <xf numFmtId="3" fontId="17" fillId="0" borderId="0" xfId="0" applyNumberFormat="1" applyFont="1" applyFill="1"/>
    <xf numFmtId="0" fontId="17" fillId="0" borderId="0" xfId="0" applyFont="1" applyFill="1" applyBorder="1"/>
    <xf numFmtId="14" fontId="17" fillId="0" borderId="0" xfId="0" applyNumberFormat="1" applyFont="1" applyFill="1" applyBorder="1"/>
    <xf numFmtId="0" fontId="17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center"/>
    </xf>
    <xf numFmtId="164" fontId="17" fillId="0" borderId="0" xfId="1" applyNumberFormat="1" applyFont="1" applyFill="1" applyBorder="1"/>
    <xf numFmtId="164" fontId="17" fillId="0" borderId="0" xfId="1" applyNumberFormat="1" applyFont="1" applyFill="1" applyBorder="1" applyAlignment="1">
      <alignment vertical="center"/>
    </xf>
    <xf numFmtId="49" fontId="26" fillId="2" borderId="0" xfId="1" applyNumberFormat="1" applyFont="1" applyFill="1" applyBorder="1" applyAlignment="1">
      <alignment horizontal="right" vertical="center"/>
    </xf>
    <xf numFmtId="164" fontId="17" fillId="0" borderId="0" xfId="1" applyNumberFormat="1" applyFont="1" applyBorder="1" applyAlignment="1">
      <alignment vertical="center"/>
    </xf>
    <xf numFmtId="14" fontId="17" fillId="0" borderId="0" xfId="0" applyNumberFormat="1" applyFont="1"/>
    <xf numFmtId="0" fontId="28" fillId="0" borderId="0" xfId="0" applyFont="1"/>
    <xf numFmtId="14" fontId="28" fillId="0" borderId="0" xfId="0" applyNumberFormat="1" applyFont="1"/>
    <xf numFmtId="0" fontId="27" fillId="0" borderId="0" xfId="0" applyFont="1"/>
    <xf numFmtId="164" fontId="28" fillId="0" borderId="0" xfId="1" applyNumberFormat="1" applyFont="1"/>
    <xf numFmtId="49" fontId="28" fillId="0" borderId="0" xfId="1" applyNumberFormat="1" applyFont="1" applyAlignment="1">
      <alignment horizontal="right"/>
    </xf>
    <xf numFmtId="164" fontId="28" fillId="0" borderId="0" xfId="0" applyNumberFormat="1" applyFont="1" applyFill="1"/>
    <xf numFmtId="164" fontId="28" fillId="0" borderId="0" xfId="0" applyNumberFormat="1" applyFont="1"/>
    <xf numFmtId="0" fontId="28" fillId="0" borderId="0" xfId="0" applyFont="1" applyFill="1" applyBorder="1" applyAlignment="1">
      <alignment vertical="center"/>
    </xf>
    <xf numFmtId="9" fontId="28" fillId="0" borderId="0" xfId="0" applyNumberFormat="1" applyFont="1"/>
    <xf numFmtId="164" fontId="27" fillId="0" borderId="0" xfId="0" applyNumberFormat="1" applyFont="1"/>
    <xf numFmtId="9" fontId="17" fillId="0" borderId="0" xfId="0" applyNumberFormat="1" applyFont="1"/>
    <xf numFmtId="0" fontId="27" fillId="0" borderId="0" xfId="0" applyFont="1" applyFill="1" applyBorder="1" applyAlignment="1">
      <alignment vertical="center"/>
    </xf>
    <xf numFmtId="164" fontId="27" fillId="0" borderId="0" xfId="1" applyNumberFormat="1" applyFont="1"/>
    <xf numFmtId="9" fontId="27" fillId="0" borderId="0" xfId="0" applyNumberFormat="1" applyFont="1"/>
    <xf numFmtId="0" fontId="29" fillId="4" borderId="0" xfId="0" applyFont="1" applyFill="1"/>
    <xf numFmtId="0" fontId="30" fillId="0" borderId="0" xfId="0" applyFont="1" applyFill="1" applyBorder="1" applyAlignment="1">
      <alignment vertical="center"/>
    </xf>
    <xf numFmtId="0" fontId="31" fillId="0" borderId="0" xfId="0" applyFont="1" applyFill="1" applyBorder="1" applyAlignment="1">
      <alignment vertical="center"/>
    </xf>
    <xf numFmtId="0" fontId="31" fillId="0" borderId="0" xfId="0" applyFont="1"/>
    <xf numFmtId="164" fontId="31" fillId="0" borderId="0" xfId="1" applyNumberFormat="1" applyFont="1"/>
    <xf numFmtId="164" fontId="32" fillId="0" borderId="0" xfId="1" applyNumberFormat="1" applyFont="1"/>
    <xf numFmtId="9" fontId="31" fillId="0" borderId="0" xfId="0" applyNumberFormat="1" applyFont="1"/>
    <xf numFmtId="0" fontId="32" fillId="0" borderId="0" xfId="0" applyFont="1" applyFill="1" applyBorder="1" applyAlignment="1">
      <alignment vertical="center"/>
    </xf>
    <xf numFmtId="164" fontId="18" fillId="0" borderId="0" xfId="1" applyNumberFormat="1" applyFont="1" applyAlignment="1">
      <alignment horizontal="center" vertical="center" textRotation="90"/>
    </xf>
    <xf numFmtId="0" fontId="32" fillId="0" borderId="0" xfId="0" applyFont="1"/>
    <xf numFmtId="9" fontId="32" fillId="0" borderId="0" xfId="0" applyNumberFormat="1" applyFont="1"/>
    <xf numFmtId="0" fontId="29" fillId="0" borderId="0" xfId="0" applyFont="1"/>
    <xf numFmtId="164" fontId="17" fillId="0" borderId="6" xfId="1" applyNumberFormat="1" applyFont="1" applyBorder="1"/>
    <xf numFmtId="165" fontId="17" fillId="0" borderId="0" xfId="1" applyNumberFormat="1" applyFont="1"/>
    <xf numFmtId="164" fontId="34" fillId="0" borderId="0" xfId="1" applyNumberFormat="1" applyFont="1"/>
    <xf numFmtId="0" fontId="34" fillId="0" borderId="0" xfId="0" applyFont="1" applyFill="1"/>
    <xf numFmtId="0" fontId="34" fillId="0" borderId="0" xfId="0" applyFont="1"/>
    <xf numFmtId="0" fontId="20" fillId="7" borderId="1" xfId="0" applyFont="1" applyFill="1" applyBorder="1" applyAlignment="1">
      <alignment horizontal="center" vertical="center" wrapText="1"/>
    </xf>
    <xf numFmtId="14" fontId="20" fillId="7" borderId="2" xfId="0" applyNumberFormat="1" applyFont="1" applyFill="1" applyBorder="1" applyAlignment="1">
      <alignment horizontal="center" vertical="center" wrapText="1"/>
    </xf>
    <xf numFmtId="164" fontId="20" fillId="7" borderId="1" xfId="1" applyNumberFormat="1" applyFont="1" applyFill="1" applyBorder="1" applyAlignment="1">
      <alignment horizontal="center" vertical="center" wrapText="1"/>
    </xf>
    <xf numFmtId="49" fontId="20" fillId="7" borderId="1" xfId="1" applyNumberFormat="1" applyFont="1" applyFill="1" applyBorder="1" applyAlignment="1">
      <alignment horizontal="center" vertical="center" wrapText="1"/>
    </xf>
    <xf numFmtId="9" fontId="20" fillId="7" borderId="1" xfId="2" applyFont="1" applyFill="1" applyBorder="1" applyAlignment="1">
      <alignment horizontal="center" vertical="center" wrapText="1"/>
    </xf>
    <xf numFmtId="164" fontId="16" fillId="0" borderId="0" xfId="1" applyNumberFormat="1" applyFont="1" applyFill="1" applyBorder="1" applyAlignment="1">
      <alignment vertical="center"/>
    </xf>
    <xf numFmtId="0" fontId="4" fillId="0" borderId="0" xfId="0" applyFont="1"/>
    <xf numFmtId="164" fontId="16" fillId="0" borderId="0" xfId="1" applyNumberFormat="1" applyFont="1" applyBorder="1" applyAlignment="1">
      <alignment vertical="center" wrapText="1"/>
    </xf>
    <xf numFmtId="14" fontId="33" fillId="0" borderId="0" xfId="0" applyNumberFormat="1" applyFont="1" applyBorder="1" applyAlignment="1">
      <alignment vertical="center"/>
    </xf>
    <xf numFmtId="0" fontId="33" fillId="0" borderId="1" xfId="0" applyFont="1" applyBorder="1" applyAlignment="1">
      <alignment horizontal="center"/>
    </xf>
    <xf numFmtId="0" fontId="33" fillId="0" borderId="1" xfId="0" applyFont="1" applyBorder="1" applyAlignment="1">
      <alignment horizontal="center" vertical="center"/>
    </xf>
    <xf numFmtId="14" fontId="33" fillId="0" borderId="1" xfId="0" applyNumberFormat="1" applyFont="1" applyBorder="1" applyAlignment="1">
      <alignment horizontal="center" vertical="center"/>
    </xf>
    <xf numFmtId="14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64" fontId="16" fillId="0" borderId="1" xfId="1" applyNumberFormat="1" applyFont="1" applyFill="1" applyBorder="1" applyAlignment="1">
      <alignment horizontal="center" vertical="center"/>
    </xf>
    <xf numFmtId="164" fontId="16" fillId="0" borderId="1" xfId="1" applyNumberFormat="1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0" fillId="6" borderId="21" xfId="0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3" fontId="4" fillId="0" borderId="16" xfId="0" applyNumberFormat="1" applyFont="1" applyFill="1" applyBorder="1" applyAlignment="1">
      <alignment horizontal="center" vertical="center" wrapText="1"/>
    </xf>
    <xf numFmtId="3" fontId="4" fillId="0" borderId="11" xfId="0" applyNumberFormat="1" applyFont="1" applyFill="1" applyBorder="1" applyAlignment="1">
      <alignment horizontal="center" vertical="center" wrapText="1"/>
    </xf>
    <xf numFmtId="3" fontId="4" fillId="6" borderId="17" xfId="0" applyNumberFormat="1" applyFont="1" applyFill="1" applyBorder="1" applyAlignment="1">
      <alignment horizontal="center" vertical="center" wrapText="1"/>
    </xf>
    <xf numFmtId="3" fontId="4" fillId="6" borderId="13" xfId="0" applyNumberFormat="1" applyFont="1" applyFill="1" applyBorder="1" applyAlignment="1">
      <alignment horizontal="center" vertical="center" wrapText="1"/>
    </xf>
    <xf numFmtId="3" fontId="4" fillId="6" borderId="16" xfId="0" applyNumberFormat="1" applyFont="1" applyFill="1" applyBorder="1" applyAlignment="1">
      <alignment horizontal="center" vertical="center" wrapText="1"/>
    </xf>
    <xf numFmtId="3" fontId="4" fillId="6" borderId="11" xfId="0" applyNumberFormat="1" applyFont="1" applyFill="1" applyBorder="1" applyAlignment="1">
      <alignment horizontal="center" vertical="center" wrapText="1"/>
    </xf>
    <xf numFmtId="3" fontId="4" fillId="0" borderId="15" xfId="0" applyNumberFormat="1" applyFont="1" applyFill="1" applyBorder="1" applyAlignment="1">
      <alignment horizontal="center" vertical="center" wrapText="1"/>
    </xf>
    <xf numFmtId="3" fontId="4" fillId="0" borderId="10" xfId="0" applyNumberFormat="1" applyFont="1" applyFill="1" applyBorder="1" applyAlignment="1">
      <alignment horizontal="center" vertical="center" wrapText="1"/>
    </xf>
    <xf numFmtId="49" fontId="13" fillId="7" borderId="1" xfId="1" applyNumberFormat="1" applyFont="1" applyFill="1" applyBorder="1" applyAlignment="1">
      <alignment horizontal="center" vertical="center"/>
    </xf>
    <xf numFmtId="166" fontId="9" fillId="0" borderId="1" xfId="1" applyNumberFormat="1" applyFont="1" applyBorder="1" applyAlignment="1">
      <alignment horizontal="center" vertical="center"/>
    </xf>
    <xf numFmtId="0" fontId="14" fillId="7" borderId="17" xfId="0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3" fontId="4" fillId="6" borderId="15" xfId="0" applyNumberFormat="1" applyFont="1" applyFill="1" applyBorder="1" applyAlignment="1">
      <alignment horizontal="center" vertical="center" wrapText="1"/>
    </xf>
    <xf numFmtId="3" fontId="4" fillId="6" borderId="10" xfId="0" applyNumberFormat="1" applyFont="1" applyFill="1" applyBorder="1" applyAlignment="1">
      <alignment horizontal="center" vertical="center" wrapText="1"/>
    </xf>
    <xf numFmtId="3" fontId="4" fillId="0" borderId="17" xfId="0" applyNumberFormat="1" applyFont="1" applyFill="1" applyBorder="1" applyAlignment="1">
      <alignment horizontal="center" vertical="center" wrapText="1"/>
    </xf>
    <xf numFmtId="3" fontId="4" fillId="0" borderId="13" xfId="0" applyNumberFormat="1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right"/>
    </xf>
    <xf numFmtId="0" fontId="15" fillId="7" borderId="1" xfId="0" applyFont="1" applyFill="1" applyBorder="1" applyAlignment="1">
      <alignment horizontal="right"/>
    </xf>
    <xf numFmtId="0" fontId="4" fillId="5" borderId="9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14" fillId="7" borderId="2" xfId="0" applyFont="1" applyFill="1" applyBorder="1" applyAlignment="1">
      <alignment horizontal="center" vertical="center"/>
    </xf>
    <xf numFmtId="0" fontId="14" fillId="7" borderId="3" xfId="0" applyFont="1" applyFill="1" applyBorder="1" applyAlignment="1">
      <alignment horizontal="center" vertical="center"/>
    </xf>
    <xf numFmtId="0" fontId="14" fillId="7" borderId="14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6" borderId="13" xfId="0" applyFont="1" applyFill="1" applyBorder="1" applyAlignment="1">
      <alignment horizontal="center" vertical="center"/>
    </xf>
    <xf numFmtId="0" fontId="20" fillId="7" borderId="2" xfId="0" applyFont="1" applyFill="1" applyBorder="1" applyAlignment="1">
      <alignment horizontal="center" vertical="center"/>
    </xf>
    <xf numFmtId="0" fontId="20" fillId="7" borderId="4" xfId="0" applyFont="1" applyFill="1" applyBorder="1" applyAlignment="1">
      <alignment horizontal="center" vertical="center"/>
    </xf>
    <xf numFmtId="0" fontId="19" fillId="0" borderId="2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/>
    </xf>
    <xf numFmtId="164" fontId="19" fillId="0" borderId="1" xfId="1" applyNumberFormat="1" applyFont="1" applyBorder="1" applyAlignment="1">
      <alignment horizontal="center" vertical="center"/>
    </xf>
    <xf numFmtId="164" fontId="20" fillId="7" borderId="1" xfId="1" applyNumberFormat="1" applyFont="1" applyFill="1" applyBorder="1" applyAlignment="1">
      <alignment horizontal="center" vertical="center"/>
    </xf>
    <xf numFmtId="164" fontId="18" fillId="0" borderId="0" xfId="1" applyNumberFormat="1" applyFont="1" applyAlignment="1">
      <alignment horizontal="center" vertical="center" textRotation="90"/>
    </xf>
    <xf numFmtId="164" fontId="27" fillId="0" borderId="0" xfId="1" applyNumberFormat="1" applyFont="1" applyAlignment="1">
      <alignment horizontal="center" vertical="center" textRotation="90"/>
    </xf>
    <xf numFmtId="0" fontId="19" fillId="0" borderId="1" xfId="0" applyFont="1" applyBorder="1" applyAlignment="1">
      <alignment horizontal="center" vertical="center"/>
    </xf>
    <xf numFmtId="164" fontId="23" fillId="7" borderId="1" xfId="1" applyNumberFormat="1" applyFont="1" applyFill="1" applyBorder="1" applyAlignment="1">
      <alignment horizontal="center" vertical="center"/>
    </xf>
    <xf numFmtId="0" fontId="24" fillId="7" borderId="1" xfId="0" applyFont="1" applyFill="1" applyBorder="1" applyAlignment="1">
      <alignment horizontal="center" vertical="center"/>
    </xf>
    <xf numFmtId="166" fontId="19" fillId="0" borderId="1" xfId="1" applyNumberFormat="1" applyFont="1" applyBorder="1" applyAlignment="1">
      <alignment horizontal="center" vertical="center"/>
    </xf>
    <xf numFmtId="164" fontId="22" fillId="7" borderId="5" xfId="1" applyNumberFormat="1" applyFont="1" applyFill="1" applyBorder="1" applyAlignment="1">
      <alignment horizontal="center" vertical="center"/>
    </xf>
    <xf numFmtId="164" fontId="22" fillId="7" borderId="0" xfId="1" applyNumberFormat="1" applyFont="1" applyFill="1" applyBorder="1" applyAlignment="1">
      <alignment horizontal="center" vertical="center"/>
    </xf>
    <xf numFmtId="49" fontId="22" fillId="7" borderId="1" xfId="1" applyNumberFormat="1" applyFont="1" applyFill="1" applyBorder="1" applyAlignment="1">
      <alignment horizontal="center" vertical="center"/>
    </xf>
  </cellXfs>
  <cellStyles count="4">
    <cellStyle name="Millares 2" xfId="1"/>
    <cellStyle name="Normal" xfId="0" builtinId="0"/>
    <cellStyle name="Porcentaje 2" xfId="3"/>
    <cellStyle name="Porcentual 2" xfId="2"/>
  </cellStyles>
  <dxfs count="0"/>
  <tableStyles count="0" defaultTableStyle="TableStyleMedium2" defaultPivotStyle="PivotStyleLight16"/>
  <colors>
    <mruColors>
      <color rgb="FF1F497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495299</xdr:colOff>
      <xdr:row>0</xdr:row>
      <xdr:rowOff>76199</xdr:rowOff>
    </xdr:from>
    <xdr:to>
      <xdr:col>1</xdr:col>
      <xdr:colOff>47625</xdr:colOff>
      <xdr:row>3</xdr:row>
      <xdr:rowOff>142875</xdr:rowOff>
    </xdr:to>
    <xdr:pic>
      <xdr:nvPicPr>
        <xdr:cNvPr id="3" name="2 Imagen" descr="LOGO SIMBOLO 2011"/>
        <xdr:cNvPicPr/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r="68661" b="24359"/>
        <a:stretch>
          <a:fillRect/>
        </a:stretch>
      </xdr:blipFill>
      <xdr:spPr bwMode="auto">
        <a:xfrm>
          <a:off x="495299" y="76199"/>
          <a:ext cx="733426" cy="6381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103414</xdr:colOff>
      <xdr:row>0</xdr:row>
      <xdr:rowOff>27407</xdr:rowOff>
    </xdr:from>
    <xdr:to>
      <xdr:col>2</xdr:col>
      <xdr:colOff>252064</xdr:colOff>
      <xdr:row>3</xdr:row>
      <xdr:rowOff>127307</xdr:rowOff>
    </xdr:to>
    <xdr:pic>
      <xdr:nvPicPr>
        <xdr:cNvPr id="3" name="2 Imagen" descr="LOGO SIMBOLO 2011"/>
        <xdr:cNvPicPr/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r="68661" b="24359"/>
        <a:stretch>
          <a:fillRect/>
        </a:stretch>
      </xdr:blipFill>
      <xdr:spPr bwMode="auto">
        <a:xfrm>
          <a:off x="424154" y="27407"/>
          <a:ext cx="1042833" cy="8871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904874</xdr:colOff>
      <xdr:row>0</xdr:row>
      <xdr:rowOff>85724</xdr:rowOff>
    </xdr:from>
    <xdr:to>
      <xdr:col>17</xdr:col>
      <xdr:colOff>95250</xdr:colOff>
      <xdr:row>3</xdr:row>
      <xdr:rowOff>190499</xdr:rowOff>
    </xdr:to>
    <xdr:pic>
      <xdr:nvPicPr>
        <xdr:cNvPr id="4" name="3 Imagen" descr="LOGO SIMBOLO 2011"/>
        <xdr:cNvPicPr/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r="68661" b="24359"/>
        <a:stretch>
          <a:fillRect/>
        </a:stretch>
      </xdr:blipFill>
      <xdr:spPr bwMode="auto">
        <a:xfrm>
          <a:off x="15459074" y="85724"/>
          <a:ext cx="1076326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steo/08-AGOSTO/GCL-FO-007-%20AGOSTO%20Cuadro%20Resumen%20Logistica%20Res%20Mes%20a%20M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IO-12"/>
      <sheetName val="JULIO-12 "/>
      <sheetName val="AGOSTO-12"/>
      <sheetName val="GCL-FO-007  Junio"/>
      <sheetName val="GCL-FO-007 Julio"/>
      <sheetName val="GCL-FO-007 Agosto "/>
    </sheetNames>
    <sheetDataSet>
      <sheetData sheetId="0"/>
      <sheetData sheetId="1"/>
      <sheetData sheetId="2"/>
      <sheetData sheetId="3"/>
      <sheetData sheetId="4"/>
      <sheetData sheetId="5">
        <row r="60">
          <cell r="H60">
            <v>2560400</v>
          </cell>
          <cell r="K60">
            <v>586886</v>
          </cell>
          <cell r="L60">
            <v>20200</v>
          </cell>
          <cell r="M60">
            <v>91400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U60">
            <v>0</v>
          </cell>
          <cell r="V60">
            <v>0</v>
          </cell>
          <cell r="W60">
            <v>0</v>
          </cell>
          <cell r="Z60">
            <v>58687.600000000006</v>
          </cell>
          <cell r="AA60">
            <v>412896</v>
          </cell>
        </row>
        <row r="72">
          <cell r="H72">
            <v>391066.32</v>
          </cell>
        </row>
        <row r="77">
          <cell r="H77">
            <v>306350</v>
          </cell>
          <cell r="K77">
            <v>218182</v>
          </cell>
          <cell r="L77">
            <v>0</v>
          </cell>
          <cell r="M77">
            <v>24700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U77">
            <v>0</v>
          </cell>
          <cell r="V77">
            <v>1049000</v>
          </cell>
          <cell r="W77">
            <v>198189.66666666666</v>
          </cell>
          <cell r="Z77">
            <v>21818.2</v>
          </cell>
          <cell r="AA77">
            <v>80726.346666666665</v>
          </cell>
        </row>
        <row r="89">
          <cell r="H89">
            <v>215570.59999999998</v>
          </cell>
        </row>
        <row r="94">
          <cell r="H94">
            <v>585300</v>
          </cell>
          <cell r="K94">
            <v>145072</v>
          </cell>
          <cell r="L94">
            <v>6000</v>
          </cell>
          <cell r="M94">
            <v>24700</v>
          </cell>
          <cell r="N94">
            <v>0</v>
          </cell>
          <cell r="O94">
            <v>116900</v>
          </cell>
          <cell r="P94">
            <v>10345</v>
          </cell>
          <cell r="Q94">
            <v>0</v>
          </cell>
          <cell r="R94">
            <v>35100</v>
          </cell>
          <cell r="S94">
            <v>0</v>
          </cell>
          <cell r="U94">
            <v>0</v>
          </cell>
          <cell r="V94">
            <v>0</v>
          </cell>
          <cell r="W94">
            <v>0</v>
          </cell>
          <cell r="Z94">
            <v>14508.2</v>
          </cell>
          <cell r="AA94">
            <v>96263.2</v>
          </cell>
        </row>
        <row r="106">
          <cell r="H106">
            <v>110810.04</v>
          </cell>
        </row>
        <row r="111">
          <cell r="H111">
            <v>1524250</v>
          </cell>
          <cell r="K111">
            <v>2223850</v>
          </cell>
          <cell r="L111">
            <v>51086.172413793101</v>
          </cell>
          <cell r="M111">
            <v>96400</v>
          </cell>
          <cell r="N111">
            <v>6687</v>
          </cell>
          <cell r="O111">
            <v>229700</v>
          </cell>
          <cell r="P111">
            <v>131035.79310344828</v>
          </cell>
          <cell r="Q111">
            <v>4909</v>
          </cell>
          <cell r="R111">
            <v>530300</v>
          </cell>
          <cell r="S111">
            <v>0</v>
          </cell>
          <cell r="U111">
            <v>0</v>
          </cell>
          <cell r="V111">
            <v>1049000</v>
          </cell>
          <cell r="W111">
            <v>198189.66666666666</v>
          </cell>
          <cell r="Z111">
            <v>222879.9</v>
          </cell>
          <cell r="AA111">
            <v>304728.86114942527</v>
          </cell>
        </row>
        <row r="123">
          <cell r="H123">
            <v>725448.915862069</v>
          </cell>
        </row>
        <row r="128">
          <cell r="H128">
            <v>215650</v>
          </cell>
          <cell r="K128">
            <v>0</v>
          </cell>
          <cell r="L128">
            <v>0</v>
          </cell>
          <cell r="M128">
            <v>12400</v>
          </cell>
          <cell r="N128">
            <v>0</v>
          </cell>
          <cell r="O128">
            <v>160000</v>
          </cell>
          <cell r="P128">
            <v>0</v>
          </cell>
          <cell r="Q128">
            <v>0</v>
          </cell>
          <cell r="R128">
            <v>262100</v>
          </cell>
          <cell r="S128">
            <v>0</v>
          </cell>
          <cell r="U128">
            <v>0</v>
          </cell>
          <cell r="V128">
            <v>1049000</v>
          </cell>
          <cell r="W128">
            <v>198189.66666666666</v>
          </cell>
          <cell r="Z128">
            <v>0</v>
          </cell>
          <cell r="AA128">
            <v>66214.346666666665</v>
          </cell>
        </row>
        <row r="140">
          <cell r="H140">
            <v>227680.75999999998</v>
          </cell>
        </row>
        <row r="145">
          <cell r="H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U145">
            <v>131200</v>
          </cell>
          <cell r="V145">
            <v>0</v>
          </cell>
          <cell r="W145">
            <v>0</v>
          </cell>
          <cell r="Z145">
            <v>0</v>
          </cell>
          <cell r="AA145">
            <v>0</v>
          </cell>
        </row>
        <row r="157">
          <cell r="H157">
            <v>15744</v>
          </cell>
        </row>
        <row r="162">
          <cell r="H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84000</v>
          </cell>
          <cell r="U162">
            <v>0</v>
          </cell>
          <cell r="V162">
            <v>0</v>
          </cell>
          <cell r="W162">
            <v>0</v>
          </cell>
          <cell r="Z162">
            <v>0</v>
          </cell>
          <cell r="AA162">
            <v>0</v>
          </cell>
        </row>
        <row r="174">
          <cell r="H174">
            <v>10080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zoomScaleNormal="100" workbookViewId="0">
      <selection activeCell="F9" sqref="F9:F11"/>
    </sheetView>
  </sheetViews>
  <sheetFormatPr baseColWidth="10" defaultRowHeight="11.25" x14ac:dyDescent="0.2"/>
  <cols>
    <col min="1" max="1" width="17.7109375" style="1" customWidth="1"/>
    <col min="2" max="2" width="8.28515625" style="1" customWidth="1"/>
    <col min="3" max="3" width="7.140625" style="1" customWidth="1"/>
    <col min="4" max="4" width="8.5703125" style="1" customWidth="1"/>
    <col min="5" max="9" width="21.28515625" style="1" customWidth="1"/>
    <col min="10" max="10" width="15.42578125" style="1" customWidth="1"/>
    <col min="11" max="11" width="17.42578125" style="1" customWidth="1"/>
    <col min="12" max="12" width="14.7109375" style="1" customWidth="1"/>
    <col min="13" max="16384" width="11.42578125" style="1"/>
  </cols>
  <sheetData>
    <row r="1" spans="1:14" s="121" customFormat="1" ht="15" customHeight="1" x14ac:dyDescent="0.2">
      <c r="A1" s="124"/>
      <c r="B1" s="124"/>
      <c r="C1" s="127" t="s">
        <v>165</v>
      </c>
      <c r="D1" s="127"/>
      <c r="E1" s="127"/>
      <c r="F1" s="127"/>
      <c r="G1" s="127"/>
      <c r="H1" s="127"/>
      <c r="I1" s="127"/>
      <c r="J1" s="129" t="s">
        <v>180</v>
      </c>
      <c r="K1" s="129"/>
      <c r="L1" s="129"/>
      <c r="M1" s="120"/>
      <c r="N1" s="120"/>
    </row>
    <row r="2" spans="1:14" s="121" customFormat="1" ht="15" customHeight="1" x14ac:dyDescent="0.2">
      <c r="A2" s="124"/>
      <c r="B2" s="124"/>
      <c r="C2" s="128" t="s">
        <v>164</v>
      </c>
      <c r="D2" s="128"/>
      <c r="E2" s="128"/>
      <c r="F2" s="128"/>
      <c r="G2" s="128"/>
      <c r="H2" s="128"/>
      <c r="I2" s="128"/>
      <c r="J2" s="130" t="s">
        <v>183</v>
      </c>
      <c r="K2" s="130"/>
      <c r="L2" s="130"/>
      <c r="M2" s="122"/>
      <c r="N2" s="122"/>
    </row>
    <row r="3" spans="1:14" s="121" customFormat="1" ht="15" customHeight="1" x14ac:dyDescent="0.2">
      <c r="A3" s="124"/>
      <c r="B3" s="124"/>
      <c r="C3" s="128"/>
      <c r="D3" s="128"/>
      <c r="E3" s="128"/>
      <c r="F3" s="128"/>
      <c r="G3" s="128"/>
      <c r="H3" s="128"/>
      <c r="I3" s="128"/>
      <c r="J3" s="130"/>
      <c r="K3" s="130"/>
      <c r="L3" s="130"/>
      <c r="M3" s="122"/>
      <c r="N3" s="122"/>
    </row>
    <row r="4" spans="1:14" s="121" customFormat="1" ht="15" customHeight="1" x14ac:dyDescent="0.2">
      <c r="A4" s="124"/>
      <c r="B4" s="124"/>
      <c r="C4" s="125" t="s">
        <v>179</v>
      </c>
      <c r="D4" s="125"/>
      <c r="E4" s="125"/>
      <c r="F4" s="125"/>
      <c r="G4" s="126" t="s">
        <v>184</v>
      </c>
      <c r="H4" s="126"/>
      <c r="I4" s="126"/>
      <c r="J4" s="126" t="s">
        <v>176</v>
      </c>
      <c r="K4" s="126"/>
      <c r="L4" s="126"/>
      <c r="M4" s="123"/>
      <c r="N4" s="123"/>
    </row>
    <row r="5" spans="1:14" ht="18.75" customHeight="1" x14ac:dyDescent="0.2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1"/>
    </row>
    <row r="6" spans="1:14" ht="18.75" customHeight="1" x14ac:dyDescent="0.2">
      <c r="A6" s="144" t="s">
        <v>175</v>
      </c>
      <c r="B6" s="144"/>
      <c r="C6" s="144"/>
      <c r="D6" s="144"/>
      <c r="E6" s="145">
        <v>41162</v>
      </c>
      <c r="F6" s="145"/>
      <c r="G6" s="22"/>
      <c r="H6" s="22"/>
      <c r="I6" s="22"/>
      <c r="J6" s="22"/>
      <c r="K6" s="22"/>
      <c r="L6" s="23"/>
    </row>
    <row r="7" spans="1:14" ht="18.75" customHeight="1" thickBot="1" x14ac:dyDescent="0.25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3"/>
    </row>
    <row r="8" spans="1:14" ht="18.75" thickBot="1" x14ac:dyDescent="0.25">
      <c r="A8" s="24"/>
      <c r="B8" s="24"/>
      <c r="C8" s="24"/>
      <c r="D8" s="24"/>
      <c r="E8" s="18" t="s">
        <v>163</v>
      </c>
      <c r="F8" s="131" t="s">
        <v>162</v>
      </c>
      <c r="G8" s="132"/>
      <c r="H8" s="132"/>
      <c r="I8" s="133"/>
      <c r="J8" s="134" t="s">
        <v>161</v>
      </c>
      <c r="K8" s="135"/>
      <c r="L8" s="19" t="s">
        <v>160</v>
      </c>
    </row>
    <row r="9" spans="1:14" ht="18.75" customHeight="1" x14ac:dyDescent="0.2">
      <c r="A9" s="146" t="s">
        <v>159</v>
      </c>
      <c r="B9" s="147"/>
      <c r="C9" s="147"/>
      <c r="D9" s="147"/>
      <c r="E9" s="150" t="s">
        <v>158</v>
      </c>
      <c r="F9" s="152" t="s">
        <v>157</v>
      </c>
      <c r="G9" s="152" t="s">
        <v>156</v>
      </c>
      <c r="H9" s="136" t="s">
        <v>155</v>
      </c>
      <c r="I9" s="136" t="s">
        <v>154</v>
      </c>
      <c r="J9" s="138" t="s">
        <v>153</v>
      </c>
      <c r="K9" s="140" t="s">
        <v>152</v>
      </c>
      <c r="L9" s="142" t="s">
        <v>151</v>
      </c>
    </row>
    <row r="10" spans="1:14" ht="18.75" customHeight="1" x14ac:dyDescent="0.2">
      <c r="A10" s="148"/>
      <c r="B10" s="149"/>
      <c r="C10" s="149"/>
      <c r="D10" s="149"/>
      <c r="E10" s="151"/>
      <c r="F10" s="153"/>
      <c r="G10" s="153"/>
      <c r="H10" s="137"/>
      <c r="I10" s="137"/>
      <c r="J10" s="139"/>
      <c r="K10" s="141"/>
      <c r="L10" s="143"/>
    </row>
    <row r="11" spans="1:14" ht="18.75" customHeight="1" x14ac:dyDescent="0.2">
      <c r="A11" s="148"/>
      <c r="B11" s="149"/>
      <c r="C11" s="149"/>
      <c r="D11" s="149"/>
      <c r="E11" s="151"/>
      <c r="F11" s="153"/>
      <c r="G11" s="153"/>
      <c r="H11" s="137"/>
      <c r="I11" s="137"/>
      <c r="J11" s="139"/>
      <c r="K11" s="141"/>
      <c r="L11" s="143"/>
    </row>
    <row r="12" spans="1:14" ht="12.75" x14ac:dyDescent="0.2">
      <c r="A12" s="165" t="s">
        <v>150</v>
      </c>
      <c r="B12" s="161" t="s">
        <v>149</v>
      </c>
      <c r="C12" s="161"/>
      <c r="D12" s="161"/>
      <c r="E12" s="14">
        <f>+'[1]GCL-FO-007 Agosto '!H60</f>
        <v>2560400</v>
      </c>
      <c r="F12" s="15">
        <f>+'[1]GCL-FO-007 Agosto '!H111</f>
        <v>1524250</v>
      </c>
      <c r="G12" s="15">
        <f>+'[1]GCL-FO-007 Agosto '!H128</f>
        <v>215650</v>
      </c>
      <c r="H12" s="15">
        <f>+'[1]GCL-FO-007 Agosto '!H94</f>
        <v>585300</v>
      </c>
      <c r="I12" s="15">
        <f>+'[1]GCL-FO-007 Agosto '!$H77</f>
        <v>306350</v>
      </c>
      <c r="J12" s="17">
        <f>+'[1]GCL-FO-007 Agosto '!H162</f>
        <v>0</v>
      </c>
      <c r="K12" s="16">
        <f>+'[1]GCL-FO-007 Agosto '!H145</f>
        <v>0</v>
      </c>
      <c r="L12" s="15">
        <f t="shared" ref="L12:L25" si="0">SUM(E12:K12)</f>
        <v>5191950</v>
      </c>
    </row>
    <row r="13" spans="1:14" ht="12.75" x14ac:dyDescent="0.2">
      <c r="A13" s="165"/>
      <c r="B13" s="161" t="s">
        <v>148</v>
      </c>
      <c r="C13" s="161"/>
      <c r="D13" s="161"/>
      <c r="E13" s="14">
        <f>+'[1]GCL-FO-007 Agosto '!K60</f>
        <v>586886</v>
      </c>
      <c r="F13" s="15">
        <f>+'[1]GCL-FO-007 Agosto '!K111</f>
        <v>2223850</v>
      </c>
      <c r="G13" s="15">
        <f>+'[1]GCL-FO-007 Agosto '!K128</f>
        <v>0</v>
      </c>
      <c r="H13" s="15">
        <f>+'[1]GCL-FO-007 Agosto '!K94</f>
        <v>145072</v>
      </c>
      <c r="I13" s="15">
        <f>+'[1]GCL-FO-007 Agosto '!K77</f>
        <v>218182</v>
      </c>
      <c r="J13" s="17">
        <f>+'[1]GCL-FO-007 Agosto '!K162</f>
        <v>0</v>
      </c>
      <c r="K13" s="16">
        <f>+'[1]GCL-FO-007 Agosto '!K145</f>
        <v>0</v>
      </c>
      <c r="L13" s="15">
        <f t="shared" si="0"/>
        <v>3173990</v>
      </c>
    </row>
    <row r="14" spans="1:14" ht="12.75" x14ac:dyDescent="0.2">
      <c r="A14" s="165"/>
      <c r="B14" s="161" t="s">
        <v>147</v>
      </c>
      <c r="C14" s="161"/>
      <c r="D14" s="161"/>
      <c r="E14" s="14">
        <f>+'[1]GCL-FO-007 Agosto '!L60</f>
        <v>20200</v>
      </c>
      <c r="F14" s="15">
        <f>+'[1]GCL-FO-007 Agosto '!L111</f>
        <v>51086.172413793101</v>
      </c>
      <c r="G14" s="15">
        <f>+'[1]GCL-FO-007 Agosto '!L128</f>
        <v>0</v>
      </c>
      <c r="H14" s="15">
        <f>+'[1]GCL-FO-007 Agosto '!L94</f>
        <v>6000</v>
      </c>
      <c r="I14" s="15">
        <f>+'[1]GCL-FO-007 Agosto '!L77</f>
        <v>0</v>
      </c>
      <c r="J14" s="17">
        <f>+'[1]GCL-FO-007 Agosto '!L162</f>
        <v>0</v>
      </c>
      <c r="K14" s="16">
        <f>+'[1]GCL-FO-007 Agosto '!L145</f>
        <v>0</v>
      </c>
      <c r="L14" s="15">
        <f t="shared" si="0"/>
        <v>77286.172413793101</v>
      </c>
    </row>
    <row r="15" spans="1:14" ht="12.75" x14ac:dyDescent="0.2">
      <c r="A15" s="165"/>
      <c r="B15" s="161" t="s">
        <v>146</v>
      </c>
      <c r="C15" s="161"/>
      <c r="D15" s="161"/>
      <c r="E15" s="14">
        <f>+'[1]GCL-FO-007 Agosto '!M60</f>
        <v>91400</v>
      </c>
      <c r="F15" s="15">
        <f>+'[1]GCL-FO-007 Agosto '!M111</f>
        <v>96400</v>
      </c>
      <c r="G15" s="15">
        <f>+'[1]GCL-FO-007 Agosto '!M128</f>
        <v>12400</v>
      </c>
      <c r="H15" s="15">
        <f>+'[1]GCL-FO-007 Agosto '!M94</f>
        <v>24700</v>
      </c>
      <c r="I15" s="15">
        <f>+'[1]GCL-FO-007 Agosto '!M77</f>
        <v>24700</v>
      </c>
      <c r="J15" s="17">
        <f>+'[1]GCL-FO-007 Agosto '!M162</f>
        <v>0</v>
      </c>
      <c r="K15" s="16">
        <f>+'[1]GCL-FO-007 Agosto '!M145</f>
        <v>0</v>
      </c>
      <c r="L15" s="15">
        <f t="shared" si="0"/>
        <v>249600</v>
      </c>
    </row>
    <row r="16" spans="1:14" ht="12.75" x14ac:dyDescent="0.2">
      <c r="A16" s="165"/>
      <c r="B16" s="161" t="s">
        <v>145</v>
      </c>
      <c r="C16" s="161"/>
      <c r="D16" s="161"/>
      <c r="E16" s="14">
        <f>+'[1]GCL-FO-007 Agosto '!N60</f>
        <v>0</v>
      </c>
      <c r="F16" s="15">
        <f>+'[1]GCL-FO-007 Agosto '!N111</f>
        <v>6687</v>
      </c>
      <c r="G16" s="15">
        <f>+'[1]GCL-FO-007 Agosto '!N128</f>
        <v>0</v>
      </c>
      <c r="H16" s="15">
        <f>+'[1]GCL-FO-007 Agosto '!N94</f>
        <v>0</v>
      </c>
      <c r="I16" s="15">
        <f>+'[1]GCL-FO-007 Agosto '!N77</f>
        <v>0</v>
      </c>
      <c r="J16" s="17">
        <f>+'[1]GCL-FO-007 Agosto '!N162</f>
        <v>0</v>
      </c>
      <c r="K16" s="16">
        <f>+'[1]GCL-FO-007 Agosto '!N145</f>
        <v>0</v>
      </c>
      <c r="L16" s="15">
        <f t="shared" si="0"/>
        <v>6687</v>
      </c>
    </row>
    <row r="17" spans="1:14" ht="12.75" x14ac:dyDescent="0.2">
      <c r="A17" s="165"/>
      <c r="B17" s="161" t="s">
        <v>144</v>
      </c>
      <c r="C17" s="161"/>
      <c r="D17" s="161"/>
      <c r="E17" s="14">
        <f>+'[1]GCL-FO-007 Agosto '!O60+'[1]GCL-FO-007 Agosto '!P60+'[1]GCL-FO-007 Agosto '!Q60+'[1]GCL-FO-007 Agosto '!R60</f>
        <v>0</v>
      </c>
      <c r="F17" s="15">
        <f>+'[1]GCL-FO-007 Agosto '!O111+'[1]GCL-FO-007 Agosto '!P111+'[1]GCL-FO-007 Agosto '!Q111+'[1]GCL-FO-007 Agosto '!R111</f>
        <v>895944.79310344835</v>
      </c>
      <c r="G17" s="15">
        <f>+'[1]GCL-FO-007 Agosto '!O128+'[1]GCL-FO-007 Agosto '!P128+'[1]GCL-FO-007 Agosto '!Q128+'[1]GCL-FO-007 Agosto '!R128</f>
        <v>422100</v>
      </c>
      <c r="H17" s="15">
        <f>+'[1]GCL-FO-007 Agosto '!O94+'[1]GCL-FO-007 Agosto '!P94+'[1]GCL-FO-007 Agosto '!Q94+'[1]GCL-FO-007 Agosto '!R94</f>
        <v>162345</v>
      </c>
      <c r="I17" s="15">
        <f>+'[1]GCL-FO-007 Agosto '!O77+'[1]GCL-FO-007 Agosto '!P77+'[1]GCL-FO-007 Agosto '!Q77+'[1]GCL-FO-007 Agosto '!R77</f>
        <v>0</v>
      </c>
      <c r="J17" s="17">
        <f>+'[1]GCL-FO-007 Agosto '!O162+'[1]GCL-FO-007 Agosto '!P162+'[1]GCL-FO-007 Agosto '!Q162+'[1]GCL-FO-007 Agosto '!R162</f>
        <v>0</v>
      </c>
      <c r="K17" s="16">
        <f>+'[1]GCL-FO-007 Agosto '!O145+'[1]GCL-FO-007 Agosto '!P145+'[1]GCL-FO-007 Agosto '!Q145+'[1]GCL-FO-007 Agosto '!R145</f>
        <v>0</v>
      </c>
      <c r="L17" s="15">
        <f t="shared" si="0"/>
        <v>1480389.7931034483</v>
      </c>
    </row>
    <row r="18" spans="1:14" ht="12.75" x14ac:dyDescent="0.2">
      <c r="A18" s="165"/>
      <c r="B18" s="158" t="s">
        <v>143</v>
      </c>
      <c r="C18" s="159"/>
      <c r="D18" s="160"/>
      <c r="E18" s="14">
        <f>+'[1]GCL-FO-007 Agosto '!S60</f>
        <v>0</v>
      </c>
      <c r="F18" s="15">
        <f>+'[1]GCL-FO-007 Agosto '!S111</f>
        <v>0</v>
      </c>
      <c r="G18" s="15">
        <f>+'[1]GCL-FO-007 Agosto '!S128</f>
        <v>0</v>
      </c>
      <c r="H18" s="15">
        <f>+'[1]GCL-FO-007 Agosto '!S94</f>
        <v>0</v>
      </c>
      <c r="I18" s="15">
        <f>+'[1]GCL-FO-007 Agosto '!S77</f>
        <v>0</v>
      </c>
      <c r="J18" s="17">
        <f>+'[1]GCL-FO-007 Agosto '!S162</f>
        <v>84000</v>
      </c>
      <c r="K18" s="16">
        <f>+'[1]GCL-FO-007 Agosto '!S145</f>
        <v>0</v>
      </c>
      <c r="L18" s="15">
        <f t="shared" si="0"/>
        <v>84000</v>
      </c>
    </row>
    <row r="19" spans="1:14" ht="12.75" x14ac:dyDescent="0.2">
      <c r="A19" s="165"/>
      <c r="B19" s="161" t="s">
        <v>142</v>
      </c>
      <c r="C19" s="161"/>
      <c r="D19" s="161"/>
      <c r="E19" s="14">
        <f>+'[1]GCL-FO-007 Agosto '!U60+'[1]GCL-FO-007 Agosto '!V60+'[1]GCL-FO-007 Agosto '!W60</f>
        <v>0</v>
      </c>
      <c r="F19" s="15">
        <f>+'[1]GCL-FO-007 Agosto '!U111+'[1]GCL-FO-007 Agosto '!V111+'[1]GCL-FO-007 Agosto '!W111</f>
        <v>1247189.6666666667</v>
      </c>
      <c r="G19" s="15">
        <f>+'[1]GCL-FO-007 Agosto '!U128+'[1]GCL-FO-007 Agosto '!V128+'[1]GCL-FO-007 Agosto '!W128</f>
        <v>1247189.6666666667</v>
      </c>
      <c r="H19" s="15">
        <f>+'[1]GCL-FO-007 Agosto '!U94+'[1]GCL-FO-007 Agosto '!V94+'[1]GCL-FO-007 Agosto '!W94</f>
        <v>0</v>
      </c>
      <c r="I19" s="15">
        <f>+'[1]GCL-FO-007 Agosto '!U77+'[1]GCL-FO-007 Agosto '!V77+'[1]GCL-FO-007 Agosto '!W77</f>
        <v>1247189.6666666667</v>
      </c>
      <c r="J19" s="17">
        <f>+'[1]GCL-FO-007 Agosto '!U162+'[1]GCL-FO-007 Agosto '!V162+'[1]GCL-FO-007 Agosto '!W162</f>
        <v>0</v>
      </c>
      <c r="K19" s="16">
        <f>+'[1]GCL-FO-007 Agosto '!U145+'[1]GCL-FO-007 Agosto '!V145+'[1]GCL-FO-007 Agosto '!W145</f>
        <v>131200</v>
      </c>
      <c r="L19" s="15">
        <f t="shared" si="0"/>
        <v>3872769</v>
      </c>
    </row>
    <row r="20" spans="1:14" ht="15" customHeight="1" x14ac:dyDescent="0.2">
      <c r="A20" s="165"/>
      <c r="B20" s="161" t="s">
        <v>141</v>
      </c>
      <c r="C20" s="161"/>
      <c r="D20" s="161"/>
      <c r="E20" s="14">
        <f>+'[1]GCL-FO-007 Agosto '!Z60</f>
        <v>58687.600000000006</v>
      </c>
      <c r="F20" s="15">
        <f>+'[1]GCL-FO-007 Agosto '!Z111</f>
        <v>222879.9</v>
      </c>
      <c r="G20" s="15">
        <f>+'[1]GCL-FO-007 Agosto '!Z128</f>
        <v>0</v>
      </c>
      <c r="H20" s="15">
        <f>+'[1]GCL-FO-007 Agosto '!Z94</f>
        <v>14508.2</v>
      </c>
      <c r="I20" s="15">
        <f>+'[1]GCL-FO-007 Agosto '!Z77</f>
        <v>21818.2</v>
      </c>
      <c r="J20" s="17">
        <f>+'[1]GCL-FO-007 Agosto '!Z162</f>
        <v>0</v>
      </c>
      <c r="K20" s="16">
        <f>+'[1]GCL-FO-007 Agosto '!Z145</f>
        <v>0</v>
      </c>
      <c r="L20" s="15">
        <f t="shared" si="0"/>
        <v>317893.90000000002</v>
      </c>
    </row>
    <row r="21" spans="1:14" ht="15" customHeight="1" x14ac:dyDescent="0.2">
      <c r="A21" s="165"/>
      <c r="B21" s="161" t="s">
        <v>140</v>
      </c>
      <c r="C21" s="161"/>
      <c r="D21" s="161"/>
      <c r="E21" s="14">
        <f>+'[1]GCL-FO-007 Agosto '!AA60</f>
        <v>412896</v>
      </c>
      <c r="F21" s="15">
        <f>+'[1]GCL-FO-007 Agosto '!AA111</f>
        <v>304728.86114942527</v>
      </c>
      <c r="G21" s="15">
        <f>+'[1]GCL-FO-007 Agosto '!AA128</f>
        <v>66214.346666666665</v>
      </c>
      <c r="H21" s="15">
        <f>+'[1]GCL-FO-007 Agosto '!AA94</f>
        <v>96263.2</v>
      </c>
      <c r="I21" s="15">
        <f>+'[1]GCL-FO-007 Agosto '!AA77</f>
        <v>80726.346666666665</v>
      </c>
      <c r="J21" s="17">
        <f>+'[1]GCL-FO-007 Agosto '!AA162</f>
        <v>0</v>
      </c>
      <c r="K21" s="16">
        <f>+'[1]GCL-FO-007 Agosto '!AA145</f>
        <v>0</v>
      </c>
      <c r="L21" s="15">
        <f t="shared" si="0"/>
        <v>960828.75448275858</v>
      </c>
    </row>
    <row r="22" spans="1:14" s="3" customFormat="1" ht="15" customHeight="1" x14ac:dyDescent="0.2">
      <c r="A22" s="165"/>
      <c r="B22" s="162" t="s">
        <v>139</v>
      </c>
      <c r="C22" s="162"/>
      <c r="D22" s="162"/>
      <c r="E22" s="14">
        <f t="shared" ref="E22:K22" si="1">SUM(E12:E21)</f>
        <v>3730469.6</v>
      </c>
      <c r="F22" s="14">
        <f t="shared" si="1"/>
        <v>6573016.3933333345</v>
      </c>
      <c r="G22" s="14">
        <f t="shared" si="1"/>
        <v>1963554.0133333334</v>
      </c>
      <c r="H22" s="14">
        <f t="shared" si="1"/>
        <v>1034188.3999999999</v>
      </c>
      <c r="I22" s="14">
        <f t="shared" si="1"/>
        <v>1898966.2133333334</v>
      </c>
      <c r="J22" s="14">
        <f t="shared" si="1"/>
        <v>84000</v>
      </c>
      <c r="K22" s="14">
        <f t="shared" si="1"/>
        <v>131200</v>
      </c>
      <c r="L22" s="14">
        <f t="shared" si="0"/>
        <v>15415394.620000001</v>
      </c>
      <c r="M22" s="1"/>
      <c r="N22" s="1"/>
    </row>
    <row r="23" spans="1:14" ht="12.75" x14ac:dyDescent="0.2">
      <c r="A23" s="163" t="s">
        <v>138</v>
      </c>
      <c r="B23" s="164"/>
      <c r="C23" s="164"/>
      <c r="D23" s="164"/>
      <c r="E23" s="13">
        <f t="shared" ref="E23:K23" si="2">+E22</f>
        <v>3730469.6</v>
      </c>
      <c r="F23" s="12">
        <f t="shared" si="2"/>
        <v>6573016.3933333345</v>
      </c>
      <c r="G23" s="12">
        <f t="shared" si="2"/>
        <v>1963554.0133333334</v>
      </c>
      <c r="H23" s="12">
        <f t="shared" si="2"/>
        <v>1034188.3999999999</v>
      </c>
      <c r="I23" s="12">
        <f t="shared" si="2"/>
        <v>1898966.2133333334</v>
      </c>
      <c r="J23" s="13">
        <f t="shared" si="2"/>
        <v>84000</v>
      </c>
      <c r="K23" s="13">
        <f t="shared" si="2"/>
        <v>131200</v>
      </c>
      <c r="L23" s="12">
        <f t="shared" si="0"/>
        <v>15415394.620000001</v>
      </c>
    </row>
    <row r="24" spans="1:14" ht="12.75" x14ac:dyDescent="0.2">
      <c r="A24" s="154" t="s">
        <v>116</v>
      </c>
      <c r="B24" s="155"/>
      <c r="C24" s="155"/>
      <c r="D24" s="10">
        <v>0.12</v>
      </c>
      <c r="E24" s="11">
        <f>+'[1]GCL-FO-007 Agosto '!H72</f>
        <v>391066.32</v>
      </c>
      <c r="F24" s="8">
        <f>+'[1]GCL-FO-007 Agosto '!H123</f>
        <v>725448.915862069</v>
      </c>
      <c r="G24" s="8">
        <f>+'[1]GCL-FO-007 Agosto '!H140</f>
        <v>227680.75999999998</v>
      </c>
      <c r="H24" s="8">
        <f>+'[1]GCL-FO-007 Agosto '!H106</f>
        <v>110810.04</v>
      </c>
      <c r="I24" s="8">
        <f>+'[1]GCL-FO-007 Agosto '!H89</f>
        <v>215570.59999999998</v>
      </c>
      <c r="J24" s="7">
        <f>+'[1]GCL-FO-007 Agosto '!H174</f>
        <v>10080</v>
      </c>
      <c r="K24" s="6">
        <f>+'[1]GCL-FO-007 Agosto '!H157</f>
        <v>15744</v>
      </c>
      <c r="L24" s="8">
        <f t="shared" si="0"/>
        <v>1696400.6358620692</v>
      </c>
    </row>
    <row r="25" spans="1:14" ht="12.75" x14ac:dyDescent="0.2">
      <c r="A25" s="154" t="s">
        <v>137</v>
      </c>
      <c r="B25" s="155"/>
      <c r="C25" s="155"/>
      <c r="D25" s="10">
        <v>0.16</v>
      </c>
      <c r="E25" s="9">
        <f>+E24*D25</f>
        <v>62570.611199999999</v>
      </c>
      <c r="F25" s="8">
        <f>+F24*D25</f>
        <v>116071.82653793105</v>
      </c>
      <c r="G25" s="8">
        <f>+G24*D25</f>
        <v>36428.921599999994</v>
      </c>
      <c r="H25" s="8">
        <f>+H24*D25</f>
        <v>17729.606400000001</v>
      </c>
      <c r="I25" s="8">
        <f>+I24*D25</f>
        <v>34491.295999999995</v>
      </c>
      <c r="J25" s="7">
        <f>+J24*D25</f>
        <v>1612.8</v>
      </c>
      <c r="K25" s="6">
        <f>+K24*D25</f>
        <v>2519.04</v>
      </c>
      <c r="L25" s="5">
        <f t="shared" si="0"/>
        <v>271424.10173793096</v>
      </c>
    </row>
    <row r="26" spans="1:14" ht="13.5" thickBot="1" x14ac:dyDescent="0.25">
      <c r="A26" s="156" t="s">
        <v>136</v>
      </c>
      <c r="B26" s="157"/>
      <c r="C26" s="157"/>
      <c r="D26" s="157"/>
      <c r="E26" s="4">
        <f t="shared" ref="E26:L26" si="3">+E23+E24+E25</f>
        <v>4184106.5312000001</v>
      </c>
      <c r="F26" s="4">
        <f t="shared" si="3"/>
        <v>7414537.1357333343</v>
      </c>
      <c r="G26" s="4">
        <f t="shared" si="3"/>
        <v>2227663.6949333334</v>
      </c>
      <c r="H26" s="4">
        <f t="shared" si="3"/>
        <v>1162728.0463999999</v>
      </c>
      <c r="I26" s="4">
        <f t="shared" si="3"/>
        <v>2149028.1093333336</v>
      </c>
      <c r="J26" s="4">
        <f t="shared" si="3"/>
        <v>95692.800000000003</v>
      </c>
      <c r="K26" s="4">
        <f t="shared" si="3"/>
        <v>149463.04000000001</v>
      </c>
      <c r="L26" s="4">
        <f t="shared" si="3"/>
        <v>17383219.357600003</v>
      </c>
      <c r="M26" s="3"/>
      <c r="N26" s="3"/>
    </row>
    <row r="29" spans="1:14" x14ac:dyDescent="0.2">
      <c r="F29" s="2"/>
      <c r="G29" s="2"/>
    </row>
  </sheetData>
  <mergeCells count="37">
    <mergeCell ref="A24:C24"/>
    <mergeCell ref="A25:C25"/>
    <mergeCell ref="A26:D26"/>
    <mergeCell ref="B18:D18"/>
    <mergeCell ref="B19:D19"/>
    <mergeCell ref="B20:D20"/>
    <mergeCell ref="B21:D21"/>
    <mergeCell ref="B22:D22"/>
    <mergeCell ref="A23:D23"/>
    <mergeCell ref="A12:A22"/>
    <mergeCell ref="B12:D12"/>
    <mergeCell ref="B13:D13"/>
    <mergeCell ref="B14:D14"/>
    <mergeCell ref="B15:D15"/>
    <mergeCell ref="B16:D16"/>
    <mergeCell ref="B17:D17"/>
    <mergeCell ref="I9:I11"/>
    <mergeCell ref="J9:J11"/>
    <mergeCell ref="K9:K11"/>
    <mergeCell ref="L9:L11"/>
    <mergeCell ref="A6:D6"/>
    <mergeCell ref="E6:F6"/>
    <mergeCell ref="A9:D11"/>
    <mergeCell ref="E9:E11"/>
    <mergeCell ref="F9:F11"/>
    <mergeCell ref="G9:G11"/>
    <mergeCell ref="H9:H11"/>
    <mergeCell ref="J1:L1"/>
    <mergeCell ref="J2:L3"/>
    <mergeCell ref="J4:L4"/>
    <mergeCell ref="F8:I8"/>
    <mergeCell ref="J8:K8"/>
    <mergeCell ref="A1:B4"/>
    <mergeCell ref="C4:F4"/>
    <mergeCell ref="G4:I4"/>
    <mergeCell ref="C1:I1"/>
    <mergeCell ref="C2:I3"/>
  </mergeCells>
  <pageMargins left="0.17" right="0.17" top="0.94" bottom="0.75" header="0.3" footer="0.3"/>
  <pageSetup scale="6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J204"/>
  <sheetViews>
    <sheetView zoomScale="98" zoomScaleNormal="98" workbookViewId="0">
      <selection activeCell="E18" sqref="E18"/>
    </sheetView>
  </sheetViews>
  <sheetFormatPr baseColWidth="10" defaultRowHeight="12.75" x14ac:dyDescent="0.2"/>
  <cols>
    <col min="1" max="1" width="4.85546875" style="27" customWidth="1"/>
    <col min="2" max="3" width="13.42578125" style="83" customWidth="1"/>
    <col min="4" max="4" width="22.85546875" style="27" customWidth="1"/>
    <col min="5" max="5" width="31" style="27" customWidth="1"/>
    <col min="6" max="6" width="13.42578125" style="27" customWidth="1"/>
    <col min="7" max="7" width="10.42578125" style="27" customWidth="1"/>
    <col min="8" max="8" width="15.28515625" style="25" customWidth="1"/>
    <col min="9" max="9" width="12.7109375" style="25" customWidth="1"/>
    <col min="10" max="10" width="10.140625" style="25" customWidth="1"/>
    <col min="11" max="23" width="14.140625" style="25" customWidth="1"/>
    <col min="24" max="24" width="13.5703125" style="31" bestFit="1" customWidth="1"/>
    <col min="25" max="25" width="38.5703125" style="25" customWidth="1"/>
    <col min="26" max="26" width="13.7109375" style="27" customWidth="1"/>
    <col min="27" max="28" width="11.42578125" style="25"/>
    <col min="29" max="29" width="12" style="27" bestFit="1" customWidth="1"/>
    <col min="30" max="30" width="11.5703125" style="26" bestFit="1" customWidth="1"/>
    <col min="31" max="31" width="11.5703125" style="27" bestFit="1" customWidth="1"/>
    <col min="32" max="33" width="11.42578125" style="27"/>
    <col min="34" max="34" width="11.5703125" style="27" bestFit="1" customWidth="1"/>
    <col min="35" max="16384" width="11.42578125" style="27"/>
  </cols>
  <sheetData>
    <row r="1" spans="1:36" s="114" customFormat="1" ht="21" customHeight="1" x14ac:dyDescent="0.2">
      <c r="A1" s="124"/>
      <c r="B1" s="124"/>
      <c r="C1" s="124"/>
      <c r="D1" s="127" t="s">
        <v>165</v>
      </c>
      <c r="E1" s="127"/>
      <c r="F1" s="127"/>
      <c r="G1" s="127"/>
      <c r="H1" s="127"/>
      <c r="I1" s="127"/>
      <c r="J1" s="127"/>
      <c r="K1" s="127"/>
      <c r="L1" s="129" t="s">
        <v>180</v>
      </c>
      <c r="M1" s="129"/>
      <c r="N1" s="129"/>
      <c r="O1" s="112"/>
      <c r="P1" s="124"/>
      <c r="Q1" s="124"/>
      <c r="R1" s="124"/>
      <c r="S1" s="127" t="s">
        <v>165</v>
      </c>
      <c r="T1" s="127"/>
      <c r="U1" s="127"/>
      <c r="V1" s="127"/>
      <c r="W1" s="127"/>
      <c r="X1" s="127"/>
      <c r="Y1" s="127"/>
      <c r="Z1" s="127"/>
      <c r="AA1" s="129" t="s">
        <v>180</v>
      </c>
      <c r="AB1" s="129"/>
      <c r="AC1" s="129"/>
      <c r="AD1" s="113"/>
    </row>
    <row r="2" spans="1:36" s="114" customFormat="1" ht="21" customHeight="1" x14ac:dyDescent="0.2">
      <c r="A2" s="124"/>
      <c r="B2" s="124"/>
      <c r="C2" s="124"/>
      <c r="D2" s="128" t="s">
        <v>178</v>
      </c>
      <c r="E2" s="128"/>
      <c r="F2" s="128"/>
      <c r="G2" s="128"/>
      <c r="H2" s="128"/>
      <c r="I2" s="128"/>
      <c r="J2" s="128"/>
      <c r="K2" s="128"/>
      <c r="L2" s="130" t="s">
        <v>181</v>
      </c>
      <c r="M2" s="130"/>
      <c r="N2" s="130"/>
      <c r="O2" s="112"/>
      <c r="P2" s="124"/>
      <c r="Q2" s="124"/>
      <c r="R2" s="124"/>
      <c r="S2" s="128" t="s">
        <v>164</v>
      </c>
      <c r="T2" s="128"/>
      <c r="U2" s="128"/>
      <c r="V2" s="128"/>
      <c r="W2" s="128"/>
      <c r="X2" s="128"/>
      <c r="Y2" s="128"/>
      <c r="Z2" s="128"/>
      <c r="AA2" s="130" t="s">
        <v>182</v>
      </c>
      <c r="AB2" s="130"/>
      <c r="AC2" s="130"/>
      <c r="AD2" s="113"/>
    </row>
    <row r="3" spans="1:36" s="114" customFormat="1" ht="21" customHeight="1" x14ac:dyDescent="0.2">
      <c r="A3" s="124"/>
      <c r="B3" s="124"/>
      <c r="C3" s="124"/>
      <c r="D3" s="128"/>
      <c r="E3" s="128"/>
      <c r="F3" s="128"/>
      <c r="G3" s="128"/>
      <c r="H3" s="128"/>
      <c r="I3" s="128"/>
      <c r="J3" s="128"/>
      <c r="K3" s="128"/>
      <c r="L3" s="130"/>
      <c r="M3" s="130"/>
      <c r="N3" s="130"/>
      <c r="O3" s="112"/>
      <c r="P3" s="124"/>
      <c r="Q3" s="124"/>
      <c r="R3" s="124"/>
      <c r="S3" s="128"/>
      <c r="T3" s="128"/>
      <c r="U3" s="128"/>
      <c r="V3" s="128"/>
      <c r="W3" s="128"/>
      <c r="X3" s="128"/>
      <c r="Y3" s="128"/>
      <c r="Z3" s="128"/>
      <c r="AA3" s="130"/>
      <c r="AB3" s="130"/>
      <c r="AC3" s="130"/>
      <c r="AD3" s="113"/>
    </row>
    <row r="4" spans="1:36" s="114" customFormat="1" ht="21" customHeight="1" x14ac:dyDescent="0.2">
      <c r="A4" s="124"/>
      <c r="B4" s="124"/>
      <c r="C4" s="124"/>
      <c r="D4" s="125" t="s">
        <v>179</v>
      </c>
      <c r="E4" s="125"/>
      <c r="F4" s="125"/>
      <c r="G4" s="126" t="s">
        <v>184</v>
      </c>
      <c r="H4" s="126"/>
      <c r="I4" s="126"/>
      <c r="J4" s="126"/>
      <c r="K4" s="126"/>
      <c r="L4" s="126" t="s">
        <v>177</v>
      </c>
      <c r="M4" s="126"/>
      <c r="N4" s="126"/>
      <c r="O4" s="112"/>
      <c r="P4" s="124"/>
      <c r="Q4" s="124"/>
      <c r="R4" s="124"/>
      <c r="S4" s="125" t="s">
        <v>179</v>
      </c>
      <c r="T4" s="125"/>
      <c r="U4" s="125"/>
      <c r="V4" s="126" t="s">
        <v>184</v>
      </c>
      <c r="W4" s="126"/>
      <c r="X4" s="126"/>
      <c r="Y4" s="126"/>
      <c r="Z4" s="126"/>
      <c r="AA4" s="126" t="s">
        <v>177</v>
      </c>
      <c r="AB4" s="126"/>
      <c r="AC4" s="126"/>
      <c r="AD4" s="113"/>
    </row>
    <row r="5" spans="1:36" ht="15" customHeight="1" x14ac:dyDescent="0.2">
      <c r="B5" s="28"/>
      <c r="C5" s="29"/>
      <c r="D5" s="29"/>
      <c r="E5" s="29"/>
      <c r="F5" s="29"/>
      <c r="G5" s="29"/>
      <c r="H5" s="29"/>
      <c r="I5" s="29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</row>
    <row r="6" spans="1:36" ht="15" customHeight="1" x14ac:dyDescent="0.2">
      <c r="A6" s="166" t="s">
        <v>166</v>
      </c>
      <c r="B6" s="167"/>
      <c r="C6" s="168" t="s">
        <v>168</v>
      </c>
      <c r="D6" s="169"/>
      <c r="E6" s="170"/>
      <c r="F6" s="32"/>
      <c r="G6" s="171" t="s">
        <v>167</v>
      </c>
      <c r="H6" s="171"/>
      <c r="I6" s="176" t="s">
        <v>170</v>
      </c>
      <c r="J6" s="176"/>
      <c r="K6" s="176"/>
      <c r="L6" s="176"/>
      <c r="M6" s="32"/>
      <c r="N6" s="182" t="s">
        <v>175</v>
      </c>
      <c r="O6" s="182"/>
      <c r="P6" s="182"/>
      <c r="Q6" s="182"/>
      <c r="R6" s="179">
        <v>41162</v>
      </c>
      <c r="S6" s="179"/>
      <c r="V6" s="33"/>
      <c r="W6" s="34"/>
      <c r="X6" s="35"/>
      <c r="Y6" s="36"/>
      <c r="Z6" s="37"/>
      <c r="AA6" s="36"/>
      <c r="AB6" s="36"/>
      <c r="AC6" s="37"/>
    </row>
    <row r="7" spans="1:36" ht="15" customHeight="1" x14ac:dyDescent="0.2">
      <c r="A7" s="38"/>
      <c r="B7" s="39"/>
      <c r="C7" s="40"/>
      <c r="D7" s="40"/>
      <c r="E7" s="40"/>
      <c r="F7" s="40"/>
      <c r="G7" s="171"/>
      <c r="H7" s="171"/>
      <c r="I7" s="176" t="s">
        <v>171</v>
      </c>
      <c r="J7" s="176"/>
      <c r="K7" s="176"/>
      <c r="L7" s="176"/>
      <c r="M7" s="41"/>
      <c r="N7" s="41"/>
      <c r="O7" s="41"/>
      <c r="P7" s="41"/>
      <c r="Q7" s="41"/>
      <c r="R7" s="41"/>
      <c r="S7" s="41"/>
      <c r="T7" s="41"/>
      <c r="U7" s="42"/>
      <c r="V7" s="42"/>
      <c r="W7" s="42"/>
      <c r="X7" s="43"/>
      <c r="Y7" s="44"/>
      <c r="Z7" s="37"/>
      <c r="AA7" s="36"/>
      <c r="AB7" s="36"/>
      <c r="AC7" s="37"/>
    </row>
    <row r="8" spans="1:36" ht="15" customHeight="1" x14ac:dyDescent="0.2">
      <c r="A8" s="173" t="s">
        <v>169</v>
      </c>
      <c r="B8" s="173"/>
      <c r="C8" s="172" t="s">
        <v>0</v>
      </c>
      <c r="D8" s="172"/>
      <c r="E8" s="172"/>
      <c r="F8" s="38"/>
      <c r="G8" s="171"/>
      <c r="H8" s="171"/>
      <c r="I8" s="176" t="s">
        <v>172</v>
      </c>
      <c r="J8" s="176"/>
      <c r="K8" s="176"/>
      <c r="L8" s="176"/>
      <c r="M8" s="40"/>
      <c r="N8" s="180" t="s">
        <v>1</v>
      </c>
      <c r="O8" s="181"/>
      <c r="P8" s="177" t="s">
        <v>174</v>
      </c>
      <c r="Q8" s="177"/>
      <c r="R8" s="45">
        <v>41122</v>
      </c>
      <c r="S8" s="178" t="s">
        <v>173</v>
      </c>
      <c r="T8" s="178"/>
      <c r="U8" s="46">
        <v>41152</v>
      </c>
      <c r="V8" s="47"/>
      <c r="W8" s="34"/>
      <c r="X8" s="35"/>
      <c r="Y8" s="36"/>
      <c r="Z8" s="37"/>
      <c r="AA8" s="36"/>
      <c r="AB8" s="36"/>
      <c r="AC8" s="37"/>
    </row>
    <row r="9" spans="1:36" ht="15" customHeight="1" x14ac:dyDescent="0.2">
      <c r="A9" s="29"/>
      <c r="B9" s="29"/>
      <c r="C9" s="29"/>
      <c r="D9" s="29"/>
      <c r="E9" s="29"/>
      <c r="F9" s="29"/>
      <c r="G9" s="48"/>
      <c r="H9" s="48"/>
      <c r="I9" s="48"/>
      <c r="J9" s="48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3"/>
      <c r="Y9" s="41"/>
      <c r="Z9" s="37"/>
      <c r="AA9" s="36"/>
      <c r="AB9" s="36"/>
      <c r="AC9" s="37"/>
    </row>
    <row r="10" spans="1:36" s="50" customFormat="1" ht="63.75" x14ac:dyDescent="0.2">
      <c r="A10" s="115" t="s">
        <v>2</v>
      </c>
      <c r="B10" s="116" t="s">
        <v>3</v>
      </c>
      <c r="C10" s="116" t="s">
        <v>4</v>
      </c>
      <c r="D10" s="115" t="s">
        <v>5</v>
      </c>
      <c r="E10" s="115" t="s">
        <v>6</v>
      </c>
      <c r="F10" s="115" t="s">
        <v>7</v>
      </c>
      <c r="G10" s="117" t="s">
        <v>8</v>
      </c>
      <c r="H10" s="117" t="s">
        <v>9</v>
      </c>
      <c r="I10" s="117" t="s">
        <v>10</v>
      </c>
      <c r="J10" s="117" t="s">
        <v>11</v>
      </c>
      <c r="K10" s="117" t="s">
        <v>12</v>
      </c>
      <c r="L10" s="117" t="s">
        <v>13</v>
      </c>
      <c r="M10" s="117" t="s">
        <v>14</v>
      </c>
      <c r="N10" s="117" t="s">
        <v>15</v>
      </c>
      <c r="O10" s="117" t="s">
        <v>16</v>
      </c>
      <c r="P10" s="117" t="s">
        <v>17</v>
      </c>
      <c r="Q10" s="117" t="s">
        <v>18</v>
      </c>
      <c r="R10" s="117" t="s">
        <v>19</v>
      </c>
      <c r="S10" s="117" t="s">
        <v>20</v>
      </c>
      <c r="T10" s="117" t="s">
        <v>21</v>
      </c>
      <c r="U10" s="117" t="s">
        <v>22</v>
      </c>
      <c r="V10" s="117" t="s">
        <v>23</v>
      </c>
      <c r="W10" s="117" t="s">
        <v>24</v>
      </c>
      <c r="X10" s="118" t="s">
        <v>25</v>
      </c>
      <c r="Y10" s="117" t="s">
        <v>26</v>
      </c>
      <c r="Z10" s="119">
        <v>0.1</v>
      </c>
      <c r="AA10" s="119">
        <v>0.16</v>
      </c>
      <c r="AB10" s="119" t="s">
        <v>27</v>
      </c>
      <c r="AC10" s="119" t="s">
        <v>28</v>
      </c>
      <c r="AD10" s="49"/>
    </row>
    <row r="11" spans="1:36" s="60" customFormat="1" x14ac:dyDescent="0.25">
      <c r="A11" s="51" t="s">
        <v>29</v>
      </c>
      <c r="B11" s="52">
        <v>41118</v>
      </c>
      <c r="C11" s="52">
        <v>41123</v>
      </c>
      <c r="D11" s="53" t="s">
        <v>30</v>
      </c>
      <c r="E11" s="53" t="s">
        <v>31</v>
      </c>
      <c r="F11" s="54" t="s">
        <v>32</v>
      </c>
      <c r="G11" s="54"/>
      <c r="H11" s="55"/>
      <c r="I11" s="55"/>
      <c r="J11" s="55">
        <v>5</v>
      </c>
      <c r="K11" s="55">
        <v>272727</v>
      </c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6" t="s">
        <v>33</v>
      </c>
      <c r="Y11" s="55" t="s">
        <v>34</v>
      </c>
      <c r="Z11" s="57">
        <f>+(K11+Q11)*$Z$10</f>
        <v>27272.7</v>
      </c>
      <c r="AA11" s="57">
        <f t="shared" ref="AA11:AA41" si="0">+(H11+L11+P11+T11+W11)*($AA$10)</f>
        <v>0</v>
      </c>
      <c r="AB11" s="58">
        <v>9545</v>
      </c>
      <c r="AC11" s="59">
        <f>+H11+I11+K11+L11+M11+N11+O11+P11+Q11+R11+S11+T11+U11+V11+W11+Z11+AA11-AB11</f>
        <v>290454.7</v>
      </c>
      <c r="AE11" s="61"/>
      <c r="AH11" s="61"/>
      <c r="AJ11" s="61"/>
    </row>
    <row r="12" spans="1:36" s="60" customFormat="1" x14ac:dyDescent="0.25">
      <c r="A12" s="51" t="s">
        <v>29</v>
      </c>
      <c r="B12" s="52">
        <v>41123</v>
      </c>
      <c r="C12" s="52">
        <v>41124</v>
      </c>
      <c r="D12" s="53" t="s">
        <v>30</v>
      </c>
      <c r="E12" s="53" t="s">
        <v>31</v>
      </c>
      <c r="F12" s="54" t="s">
        <v>32</v>
      </c>
      <c r="G12" s="54"/>
      <c r="H12" s="55"/>
      <c r="I12" s="55"/>
      <c r="J12" s="55">
        <v>1</v>
      </c>
      <c r="K12" s="55">
        <v>54545</v>
      </c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6" t="s">
        <v>35</v>
      </c>
      <c r="Y12" s="55" t="s">
        <v>34</v>
      </c>
      <c r="Z12" s="57">
        <f t="shared" ref="Z12:Z43" si="1">+(K12+Q12)*$Z$10</f>
        <v>5454.5</v>
      </c>
      <c r="AA12" s="57">
        <f t="shared" si="0"/>
        <v>0</v>
      </c>
      <c r="AB12" s="58">
        <v>1909</v>
      </c>
      <c r="AC12" s="59">
        <f t="shared" ref="AC12:AC43" si="2">+H12+I12+K12+L12+M12+N12+O12+P12+Q12+R12+S12+T12+U12+V12+W12+Z12+AA12-AB12</f>
        <v>58090.5</v>
      </c>
    </row>
    <row r="13" spans="1:36" s="60" customFormat="1" ht="15.75" customHeight="1" x14ac:dyDescent="0.25">
      <c r="A13" s="51" t="s">
        <v>36</v>
      </c>
      <c r="B13" s="52">
        <v>41127</v>
      </c>
      <c r="C13" s="52">
        <v>41127</v>
      </c>
      <c r="D13" s="53" t="s">
        <v>30</v>
      </c>
      <c r="E13" s="53" t="s">
        <v>31</v>
      </c>
      <c r="F13" s="54" t="s">
        <v>32</v>
      </c>
      <c r="G13" s="54" t="s">
        <v>37</v>
      </c>
      <c r="H13" s="55">
        <f>172000+22800+14850</f>
        <v>209650</v>
      </c>
      <c r="I13" s="55"/>
      <c r="J13" s="55"/>
      <c r="K13" s="55"/>
      <c r="L13" s="55"/>
      <c r="M13" s="55">
        <v>12300</v>
      </c>
      <c r="N13" s="55">
        <v>1277</v>
      </c>
      <c r="O13" s="55"/>
      <c r="P13" s="55"/>
      <c r="Q13" s="55"/>
      <c r="R13" s="55"/>
      <c r="S13" s="55"/>
      <c r="T13" s="55"/>
      <c r="U13" s="55"/>
      <c r="V13" s="55"/>
      <c r="W13" s="55"/>
      <c r="X13" s="56" t="s">
        <v>38</v>
      </c>
      <c r="Y13" s="62" t="s">
        <v>39</v>
      </c>
      <c r="Z13" s="57">
        <f t="shared" si="1"/>
        <v>0</v>
      </c>
      <c r="AA13" s="57">
        <f t="shared" si="0"/>
        <v>33544</v>
      </c>
      <c r="AB13" s="57"/>
      <c r="AC13" s="59">
        <f t="shared" si="2"/>
        <v>256771</v>
      </c>
      <c r="AD13" s="63"/>
    </row>
    <row r="14" spans="1:36" x14ac:dyDescent="0.2">
      <c r="A14" s="51" t="s">
        <v>29</v>
      </c>
      <c r="B14" s="52">
        <v>41127</v>
      </c>
      <c r="C14" s="64">
        <v>41129</v>
      </c>
      <c r="D14" s="53" t="s">
        <v>30</v>
      </c>
      <c r="E14" s="53" t="s">
        <v>31</v>
      </c>
      <c r="F14" s="54" t="s">
        <v>32</v>
      </c>
      <c r="G14" s="54"/>
      <c r="H14" s="65"/>
      <c r="I14" s="65"/>
      <c r="J14" s="65">
        <v>3</v>
      </c>
      <c r="K14" s="65">
        <v>278182</v>
      </c>
      <c r="L14" s="65">
        <v>7759</v>
      </c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6" t="s">
        <v>40</v>
      </c>
      <c r="Y14" s="55" t="s">
        <v>41</v>
      </c>
      <c r="Z14" s="57">
        <f t="shared" si="1"/>
        <v>27818.2</v>
      </c>
      <c r="AA14" s="57">
        <f t="shared" si="0"/>
        <v>1241.44</v>
      </c>
      <c r="AB14" s="67">
        <f>0.035*K14</f>
        <v>9736.3700000000008</v>
      </c>
      <c r="AC14" s="59">
        <f t="shared" si="2"/>
        <v>305264.27</v>
      </c>
      <c r="AD14" s="27"/>
      <c r="AE14" s="68"/>
      <c r="AF14" s="60"/>
      <c r="AG14" s="68"/>
      <c r="AH14" s="68"/>
      <c r="AJ14" s="61"/>
    </row>
    <row r="15" spans="1:36" x14ac:dyDescent="0.2">
      <c r="A15" s="51" t="s">
        <v>36</v>
      </c>
      <c r="B15" s="64">
        <v>41129</v>
      </c>
      <c r="C15" s="64">
        <v>41129</v>
      </c>
      <c r="D15" s="53" t="s">
        <v>42</v>
      </c>
      <c r="E15" s="53" t="s">
        <v>31</v>
      </c>
      <c r="F15" s="54" t="s">
        <v>43</v>
      </c>
      <c r="G15" s="54" t="s">
        <v>37</v>
      </c>
      <c r="H15" s="65">
        <f>172000+22800+14850</f>
        <v>209650</v>
      </c>
      <c r="I15" s="65"/>
      <c r="J15" s="65"/>
      <c r="K15" s="65"/>
      <c r="L15" s="65"/>
      <c r="M15" s="65">
        <v>11600</v>
      </c>
      <c r="N15" s="65">
        <v>1274</v>
      </c>
      <c r="O15" s="65"/>
      <c r="P15" s="65"/>
      <c r="Q15" s="65"/>
      <c r="R15" s="65"/>
      <c r="S15" s="65"/>
      <c r="T15" s="65"/>
      <c r="U15" s="65"/>
      <c r="V15" s="65"/>
      <c r="W15" s="65"/>
      <c r="X15" s="56" t="s">
        <v>44</v>
      </c>
      <c r="Y15" s="62" t="s">
        <v>39</v>
      </c>
      <c r="Z15" s="57">
        <f t="shared" si="1"/>
        <v>0</v>
      </c>
      <c r="AA15" s="57">
        <f t="shared" si="0"/>
        <v>33544</v>
      </c>
      <c r="AC15" s="59">
        <f t="shared" si="2"/>
        <v>256068</v>
      </c>
      <c r="AD15" s="27"/>
    </row>
    <row r="16" spans="1:36" x14ac:dyDescent="0.2">
      <c r="A16" s="51" t="s">
        <v>29</v>
      </c>
      <c r="B16" s="52">
        <v>41129</v>
      </c>
      <c r="C16" s="64">
        <v>41130</v>
      </c>
      <c r="D16" s="54" t="s">
        <v>45</v>
      </c>
      <c r="E16" s="53" t="s">
        <v>46</v>
      </c>
      <c r="F16" s="53" t="s">
        <v>47</v>
      </c>
      <c r="G16" s="54"/>
      <c r="H16" s="55"/>
      <c r="I16" s="55"/>
      <c r="J16" s="55">
        <v>2</v>
      </c>
      <c r="K16" s="55">
        <f>89443*2</f>
        <v>178886</v>
      </c>
      <c r="L16" s="55">
        <f>2900*2</f>
        <v>5800</v>
      </c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6" t="s">
        <v>48</v>
      </c>
      <c r="Y16" s="62" t="s">
        <v>49</v>
      </c>
      <c r="Z16" s="57">
        <f>+(K16+Q16)*$Z$10-1</f>
        <v>17887.600000000002</v>
      </c>
      <c r="AA16" s="57">
        <f t="shared" si="0"/>
        <v>928</v>
      </c>
      <c r="AB16" s="57">
        <v>6463</v>
      </c>
      <c r="AC16" s="59">
        <f t="shared" si="2"/>
        <v>197038.6</v>
      </c>
      <c r="AE16" s="68"/>
      <c r="AF16" s="60"/>
      <c r="AG16" s="68"/>
      <c r="AH16" s="68"/>
      <c r="AI16" s="68"/>
      <c r="AJ16" s="61"/>
    </row>
    <row r="17" spans="1:36" x14ac:dyDescent="0.2">
      <c r="A17" s="51" t="s">
        <v>29</v>
      </c>
      <c r="B17" s="64">
        <v>41130</v>
      </c>
      <c r="C17" s="64">
        <v>41130</v>
      </c>
      <c r="D17" s="53" t="s">
        <v>45</v>
      </c>
      <c r="E17" s="53" t="s">
        <v>46</v>
      </c>
      <c r="F17" s="54" t="s">
        <v>50</v>
      </c>
      <c r="G17" s="54"/>
      <c r="H17" s="65"/>
      <c r="I17" s="65"/>
      <c r="J17" s="65">
        <v>3</v>
      </c>
      <c r="K17" s="65">
        <f>136000*3</f>
        <v>408000</v>
      </c>
      <c r="L17" s="65">
        <f>4800*3</f>
        <v>14400</v>
      </c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6" t="s">
        <v>51</v>
      </c>
      <c r="Y17" s="55" t="s">
        <v>52</v>
      </c>
      <c r="Z17" s="57">
        <f t="shared" si="1"/>
        <v>40800</v>
      </c>
      <c r="AA17" s="57">
        <f t="shared" si="0"/>
        <v>2304</v>
      </c>
      <c r="AB17" s="69">
        <v>14784</v>
      </c>
      <c r="AC17" s="59">
        <f t="shared" si="2"/>
        <v>450720</v>
      </c>
      <c r="AE17" s="26"/>
      <c r="AF17" s="26"/>
      <c r="AG17" s="26"/>
    </row>
    <row r="18" spans="1:36" s="70" customFormat="1" x14ac:dyDescent="0.2">
      <c r="A18" s="51" t="s">
        <v>36</v>
      </c>
      <c r="B18" s="52">
        <v>41132</v>
      </c>
      <c r="C18" s="52">
        <v>41132</v>
      </c>
      <c r="D18" s="53" t="s">
        <v>30</v>
      </c>
      <c r="E18" s="53" t="s">
        <v>31</v>
      </c>
      <c r="F18" s="54" t="s">
        <v>32</v>
      </c>
      <c r="G18" s="54" t="s">
        <v>37</v>
      </c>
      <c r="H18" s="55">
        <f>172000+22800+14850</f>
        <v>209650</v>
      </c>
      <c r="I18" s="55"/>
      <c r="J18" s="65"/>
      <c r="K18" s="65"/>
      <c r="L18" s="65"/>
      <c r="M18" s="65">
        <v>12300</v>
      </c>
      <c r="N18" s="65">
        <v>1277</v>
      </c>
      <c r="O18" s="65"/>
      <c r="P18" s="65"/>
      <c r="Q18" s="65"/>
      <c r="R18" s="65"/>
      <c r="S18" s="65"/>
      <c r="T18" s="65"/>
      <c r="U18" s="65"/>
      <c r="V18" s="65"/>
      <c r="W18" s="65"/>
      <c r="X18" s="56" t="s">
        <v>53</v>
      </c>
      <c r="Y18" s="62" t="s">
        <v>39</v>
      </c>
      <c r="Z18" s="57">
        <f t="shared" si="1"/>
        <v>0</v>
      </c>
      <c r="AA18" s="57">
        <f t="shared" si="0"/>
        <v>33544</v>
      </c>
      <c r="AB18" s="25"/>
      <c r="AC18" s="59">
        <f t="shared" si="2"/>
        <v>256771</v>
      </c>
      <c r="AD18" s="26"/>
      <c r="AE18" s="26"/>
      <c r="AF18" s="26"/>
      <c r="AG18" s="26"/>
    </row>
    <row r="19" spans="1:36" x14ac:dyDescent="0.2">
      <c r="A19" s="51" t="s">
        <v>29</v>
      </c>
      <c r="B19" s="64">
        <v>41132</v>
      </c>
      <c r="C19" s="64">
        <v>41146</v>
      </c>
      <c r="D19" s="53" t="s">
        <v>30</v>
      </c>
      <c r="E19" s="53" t="s">
        <v>31</v>
      </c>
      <c r="F19" s="54" t="s">
        <v>54</v>
      </c>
      <c r="G19" s="54"/>
      <c r="H19" s="65"/>
      <c r="I19" s="65"/>
      <c r="J19" s="65">
        <v>14</v>
      </c>
      <c r="K19" s="65">
        <v>1298178</v>
      </c>
      <c r="L19" s="65">
        <f>42000/1.16</f>
        <v>36206.896551724138</v>
      </c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6" t="s">
        <v>55</v>
      </c>
      <c r="Y19" s="55" t="s">
        <v>41</v>
      </c>
      <c r="Z19" s="57">
        <f>+(K19+Q19)*$Z$10+4</f>
        <v>129821.8</v>
      </c>
      <c r="AA19" s="58">
        <f t="shared" si="0"/>
        <v>5793.1034482758623</v>
      </c>
      <c r="AB19" s="69">
        <v>45436</v>
      </c>
      <c r="AC19" s="59">
        <f t="shared" si="2"/>
        <v>1424563.8</v>
      </c>
      <c r="AE19" s="26"/>
      <c r="AF19" s="26"/>
      <c r="AG19" s="26"/>
    </row>
    <row r="20" spans="1:36" s="60" customFormat="1" x14ac:dyDescent="0.2">
      <c r="A20" s="51" t="s">
        <v>36</v>
      </c>
      <c r="B20" s="64">
        <v>41134</v>
      </c>
      <c r="C20" s="64">
        <v>41138</v>
      </c>
      <c r="D20" s="54" t="s">
        <v>45</v>
      </c>
      <c r="E20" s="53" t="s">
        <v>46</v>
      </c>
      <c r="F20" s="54" t="s">
        <v>56</v>
      </c>
      <c r="G20" s="54" t="s">
        <v>37</v>
      </c>
      <c r="H20" s="65">
        <f>645000+41500+14850</f>
        <v>701350</v>
      </c>
      <c r="I20" s="65"/>
      <c r="J20" s="65"/>
      <c r="K20" s="65"/>
      <c r="L20" s="65"/>
      <c r="M20" s="65">
        <v>18500</v>
      </c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56" t="s">
        <v>57</v>
      </c>
      <c r="Y20" s="71" t="s">
        <v>39</v>
      </c>
      <c r="Z20" s="57">
        <f t="shared" si="1"/>
        <v>0</v>
      </c>
      <c r="AA20" s="57">
        <f t="shared" si="0"/>
        <v>112216</v>
      </c>
      <c r="AB20" s="25"/>
      <c r="AC20" s="59">
        <f t="shared" si="2"/>
        <v>832066</v>
      </c>
      <c r="AD20" s="63"/>
      <c r="AE20" s="61"/>
    </row>
    <row r="21" spans="1:36" x14ac:dyDescent="0.2">
      <c r="A21" s="51" t="s">
        <v>36</v>
      </c>
      <c r="B21" s="64">
        <v>41137</v>
      </c>
      <c r="C21" s="64">
        <v>41137</v>
      </c>
      <c r="D21" s="54" t="s">
        <v>58</v>
      </c>
      <c r="E21" s="53" t="s">
        <v>59</v>
      </c>
      <c r="F21" s="54" t="s">
        <v>60</v>
      </c>
      <c r="G21" s="54" t="s">
        <v>37</v>
      </c>
      <c r="H21" s="65">
        <f>178000+14850+22800</f>
        <v>215650</v>
      </c>
      <c r="I21" s="65"/>
      <c r="J21" s="65"/>
      <c r="K21" s="65"/>
      <c r="L21" s="65"/>
      <c r="M21" s="65">
        <v>12400</v>
      </c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56" t="s">
        <v>61</v>
      </c>
      <c r="Y21" s="62" t="s">
        <v>39</v>
      </c>
      <c r="Z21" s="57">
        <f t="shared" si="1"/>
        <v>0</v>
      </c>
      <c r="AA21" s="57">
        <f t="shared" si="0"/>
        <v>34504</v>
      </c>
      <c r="AC21" s="59">
        <f t="shared" si="2"/>
        <v>262554</v>
      </c>
    </row>
    <row r="22" spans="1:36" s="60" customFormat="1" x14ac:dyDescent="0.2">
      <c r="A22" s="51" t="s">
        <v>36</v>
      </c>
      <c r="B22" s="64">
        <v>41139</v>
      </c>
      <c r="C22" s="64">
        <v>41141</v>
      </c>
      <c r="D22" s="54" t="s">
        <v>62</v>
      </c>
      <c r="E22" s="53" t="s">
        <v>63</v>
      </c>
      <c r="F22" s="53" t="s">
        <v>64</v>
      </c>
      <c r="G22" s="54" t="s">
        <v>37</v>
      </c>
      <c r="H22" s="65">
        <f>250000+14850+41500</f>
        <v>306350</v>
      </c>
      <c r="I22" s="65"/>
      <c r="J22" s="65"/>
      <c r="K22" s="65"/>
      <c r="L22" s="65"/>
      <c r="M22" s="65">
        <v>24700</v>
      </c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56" t="s">
        <v>65</v>
      </c>
      <c r="Y22" s="62" t="s">
        <v>39</v>
      </c>
      <c r="Z22" s="57">
        <f t="shared" si="1"/>
        <v>0</v>
      </c>
      <c r="AA22" s="57">
        <f t="shared" si="0"/>
        <v>49016</v>
      </c>
      <c r="AB22" s="25"/>
      <c r="AC22" s="59">
        <f t="shared" si="2"/>
        <v>380066</v>
      </c>
      <c r="AD22" s="63"/>
      <c r="AE22" s="61"/>
      <c r="AH22" s="61"/>
      <c r="AI22" s="61"/>
      <c r="AJ22" s="61"/>
    </row>
    <row r="23" spans="1:36" x14ac:dyDescent="0.2">
      <c r="A23" s="51" t="s">
        <v>29</v>
      </c>
      <c r="B23" s="52">
        <v>41139</v>
      </c>
      <c r="C23" s="52">
        <v>41141</v>
      </c>
      <c r="D23" s="54" t="s">
        <v>62</v>
      </c>
      <c r="E23" s="53" t="s">
        <v>63</v>
      </c>
      <c r="F23" s="53" t="s">
        <v>66</v>
      </c>
      <c r="G23" s="54"/>
      <c r="H23" s="55"/>
      <c r="I23" s="55"/>
      <c r="J23" s="55">
        <v>2</v>
      </c>
      <c r="K23" s="55">
        <v>218182</v>
      </c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6" t="s">
        <v>67</v>
      </c>
      <c r="Y23" s="55" t="s">
        <v>68</v>
      </c>
      <c r="Z23" s="57">
        <f t="shared" si="1"/>
        <v>21818.2</v>
      </c>
      <c r="AA23" s="57">
        <f t="shared" si="0"/>
        <v>0</v>
      </c>
      <c r="AB23" s="69"/>
      <c r="AC23" s="59">
        <f t="shared" si="2"/>
        <v>240000.2</v>
      </c>
      <c r="AD23" s="27"/>
    </row>
    <row r="24" spans="1:36" s="60" customFormat="1" ht="25.5" x14ac:dyDescent="0.25">
      <c r="A24" s="51" t="s">
        <v>36</v>
      </c>
      <c r="B24" s="52">
        <v>41142</v>
      </c>
      <c r="C24" s="52">
        <v>41144</v>
      </c>
      <c r="D24" s="53" t="s">
        <v>69</v>
      </c>
      <c r="E24" s="53" t="s">
        <v>31</v>
      </c>
      <c r="F24" s="53" t="s">
        <v>70</v>
      </c>
      <c r="G24" s="54" t="s">
        <v>37</v>
      </c>
      <c r="H24" s="55">
        <f>216000+14850+41500</f>
        <v>272350</v>
      </c>
      <c r="I24" s="55"/>
      <c r="J24" s="55"/>
      <c r="K24" s="55"/>
      <c r="L24" s="55"/>
      <c r="M24" s="55">
        <v>24700</v>
      </c>
      <c r="N24" s="55">
        <v>1703</v>
      </c>
      <c r="O24" s="55"/>
      <c r="P24" s="55"/>
      <c r="Q24" s="55"/>
      <c r="R24" s="55"/>
      <c r="S24" s="55"/>
      <c r="T24" s="55"/>
      <c r="U24" s="55"/>
      <c r="V24" s="55"/>
      <c r="W24" s="55"/>
      <c r="X24" s="56" t="s">
        <v>71</v>
      </c>
      <c r="Y24" s="62" t="s">
        <v>39</v>
      </c>
      <c r="Z24" s="57">
        <f t="shared" si="1"/>
        <v>0</v>
      </c>
      <c r="AA24" s="57">
        <f t="shared" si="0"/>
        <v>43576</v>
      </c>
      <c r="AB24" s="57"/>
      <c r="AC24" s="59">
        <f t="shared" si="2"/>
        <v>342329</v>
      </c>
      <c r="AD24" s="63"/>
    </row>
    <row r="25" spans="1:36" s="60" customFormat="1" x14ac:dyDescent="0.25">
      <c r="A25" s="51" t="s">
        <v>29</v>
      </c>
      <c r="B25" s="52">
        <v>41142</v>
      </c>
      <c r="C25" s="52">
        <v>41143</v>
      </c>
      <c r="D25" s="53" t="str">
        <f>+D24</f>
        <v>Liliana Hernandez</v>
      </c>
      <c r="E25" s="53" t="s">
        <v>31</v>
      </c>
      <c r="F25" s="53" t="s">
        <v>72</v>
      </c>
      <c r="G25" s="54"/>
      <c r="H25" s="55"/>
      <c r="I25" s="55"/>
      <c r="J25" s="55">
        <v>2</v>
      </c>
      <c r="K25" s="55">
        <f>205220-2</f>
        <v>205218</v>
      </c>
      <c r="L25" s="55">
        <f>3672</f>
        <v>3672</v>
      </c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6" t="s">
        <v>73</v>
      </c>
      <c r="Y25" s="62" t="s">
        <v>74</v>
      </c>
      <c r="Z25" s="57">
        <f t="shared" si="1"/>
        <v>20521.800000000003</v>
      </c>
      <c r="AA25" s="57">
        <f>+(H25+L25+P25+T25+W25)*($AA$10)</f>
        <v>587.52</v>
      </c>
      <c r="AB25" s="57">
        <v>7311</v>
      </c>
      <c r="AC25" s="59">
        <f t="shared" si="2"/>
        <v>222688.31999999998</v>
      </c>
      <c r="AD25" s="63"/>
    </row>
    <row r="26" spans="1:36" ht="25.5" x14ac:dyDescent="0.2">
      <c r="A26" s="51" t="s">
        <v>36</v>
      </c>
      <c r="B26" s="64">
        <v>41144</v>
      </c>
      <c r="C26" s="52">
        <v>41144</v>
      </c>
      <c r="D26" s="53" t="s">
        <v>75</v>
      </c>
      <c r="E26" s="53" t="s">
        <v>31</v>
      </c>
      <c r="F26" s="53" t="s">
        <v>76</v>
      </c>
      <c r="G26" s="54" t="s">
        <v>37</v>
      </c>
      <c r="H26" s="65">
        <f>151000+14850+22800</f>
        <v>188650</v>
      </c>
      <c r="I26" s="65"/>
      <c r="J26" s="65"/>
      <c r="K26" s="65"/>
      <c r="L26" s="65"/>
      <c r="M26" s="65">
        <v>12300</v>
      </c>
      <c r="N26" s="65">
        <v>1156</v>
      </c>
      <c r="O26" s="65"/>
      <c r="P26" s="65"/>
      <c r="Q26" s="65"/>
      <c r="R26" s="65"/>
      <c r="S26" s="65"/>
      <c r="T26" s="65"/>
      <c r="U26" s="65"/>
      <c r="V26" s="65"/>
      <c r="W26" s="65"/>
      <c r="X26" s="56" t="s">
        <v>77</v>
      </c>
      <c r="Y26" s="62" t="s">
        <v>39</v>
      </c>
      <c r="Z26" s="57">
        <f t="shared" si="1"/>
        <v>0</v>
      </c>
      <c r="AA26" s="57">
        <f t="shared" si="0"/>
        <v>30184</v>
      </c>
      <c r="AC26" s="59">
        <f t="shared" si="2"/>
        <v>232290</v>
      </c>
    </row>
    <row r="27" spans="1:36" s="60" customFormat="1" x14ac:dyDescent="0.25">
      <c r="A27" s="51" t="s">
        <v>36</v>
      </c>
      <c r="B27" s="52">
        <v>41144</v>
      </c>
      <c r="C27" s="52">
        <v>41144</v>
      </c>
      <c r="D27" s="53" t="s">
        <v>62</v>
      </c>
      <c r="E27" s="53" t="s">
        <v>78</v>
      </c>
      <c r="F27" s="54" t="s">
        <v>79</v>
      </c>
      <c r="G27" s="54" t="s">
        <v>37</v>
      </c>
      <c r="H27" s="55">
        <f>220000+22800+14850</f>
        <v>257650</v>
      </c>
      <c r="I27" s="55"/>
      <c r="J27" s="55"/>
      <c r="K27" s="55"/>
      <c r="L27" s="55"/>
      <c r="M27" s="55">
        <v>12300</v>
      </c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6" t="s">
        <v>80</v>
      </c>
      <c r="Y27" s="62" t="s">
        <v>39</v>
      </c>
      <c r="Z27" s="57">
        <f t="shared" si="1"/>
        <v>0</v>
      </c>
      <c r="AA27" s="57">
        <f t="shared" si="0"/>
        <v>41224</v>
      </c>
      <c r="AB27" s="57"/>
      <c r="AC27" s="59">
        <f t="shared" si="2"/>
        <v>311174</v>
      </c>
      <c r="AD27" s="63"/>
      <c r="AE27" s="61"/>
      <c r="AH27" s="61"/>
      <c r="AI27" s="61"/>
      <c r="AJ27" s="61"/>
    </row>
    <row r="28" spans="1:36" x14ac:dyDescent="0.2">
      <c r="A28" s="51" t="s">
        <v>29</v>
      </c>
      <c r="B28" s="64">
        <v>41144</v>
      </c>
      <c r="C28" s="64">
        <v>41145</v>
      </c>
      <c r="D28" s="53" t="s">
        <v>75</v>
      </c>
      <c r="E28" s="53" t="s">
        <v>31</v>
      </c>
      <c r="F28" s="54" t="s">
        <v>81</v>
      </c>
      <c r="G28" s="54"/>
      <c r="H28" s="55"/>
      <c r="I28" s="55"/>
      <c r="J28" s="65">
        <v>1</v>
      </c>
      <c r="K28" s="65">
        <v>115000</v>
      </c>
      <c r="L28" s="65">
        <f>4000/1.16</f>
        <v>3448.2758620689656</v>
      </c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6" t="s">
        <v>82</v>
      </c>
      <c r="Y28" s="55" t="s">
        <v>83</v>
      </c>
      <c r="Z28" s="57">
        <f t="shared" si="1"/>
        <v>11500</v>
      </c>
      <c r="AA28" s="58">
        <f t="shared" si="0"/>
        <v>551.72413793103453</v>
      </c>
      <c r="AB28" s="69">
        <f>0.035*K28</f>
        <v>4025.0000000000005</v>
      </c>
      <c r="AC28" s="59">
        <f t="shared" si="2"/>
        <v>126475</v>
      </c>
    </row>
    <row r="29" spans="1:36" ht="25.5" x14ac:dyDescent="0.2">
      <c r="A29" s="51" t="s">
        <v>36</v>
      </c>
      <c r="B29" s="64">
        <v>41145</v>
      </c>
      <c r="C29" s="64">
        <v>41145</v>
      </c>
      <c r="D29" s="53" t="s">
        <v>84</v>
      </c>
      <c r="E29" s="53" t="str">
        <f>+E28</f>
        <v>Bloques Exploratorios - CR1</v>
      </c>
      <c r="F29" s="53" t="s">
        <v>85</v>
      </c>
      <c r="G29" s="54" t="s">
        <v>37</v>
      </c>
      <c r="H29" s="55">
        <f>187000+22800+14850</f>
        <v>224650</v>
      </c>
      <c r="I29" s="55"/>
      <c r="J29" s="65"/>
      <c r="K29" s="65"/>
      <c r="L29" s="65"/>
      <c r="M29" s="65">
        <v>11600</v>
      </c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6" t="s">
        <v>86</v>
      </c>
      <c r="Y29" s="55" t="s">
        <v>39</v>
      </c>
      <c r="Z29" s="57">
        <f t="shared" si="1"/>
        <v>0</v>
      </c>
      <c r="AA29" s="57">
        <f t="shared" si="0"/>
        <v>35944</v>
      </c>
      <c r="AB29" s="69">
        <f>0.035*K29</f>
        <v>0</v>
      </c>
      <c r="AC29" s="59">
        <f t="shared" si="2"/>
        <v>272194</v>
      </c>
      <c r="AE29" s="68"/>
      <c r="AF29" s="68"/>
      <c r="AG29" s="68"/>
      <c r="AH29" s="68"/>
      <c r="AI29" s="68"/>
      <c r="AJ29" s="68"/>
    </row>
    <row r="30" spans="1:36" x14ac:dyDescent="0.2">
      <c r="A30" s="51" t="s">
        <v>29</v>
      </c>
      <c r="B30" s="64">
        <v>41144</v>
      </c>
      <c r="C30" s="64">
        <v>41146</v>
      </c>
      <c r="D30" s="53" t="s">
        <v>62</v>
      </c>
      <c r="E30" s="53" t="s">
        <v>78</v>
      </c>
      <c r="F30" s="54" t="s">
        <v>79</v>
      </c>
      <c r="G30" s="54"/>
      <c r="H30" s="55"/>
      <c r="I30" s="55"/>
      <c r="J30" s="65">
        <v>2</v>
      </c>
      <c r="K30" s="65">
        <f>72536*2</f>
        <v>145072</v>
      </c>
      <c r="L30" s="65">
        <v>6000</v>
      </c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6" t="s">
        <v>87</v>
      </c>
      <c r="Y30" s="55" t="s">
        <v>88</v>
      </c>
      <c r="Z30" s="57">
        <f>+(K30+Q30)*$Z$10+1</f>
        <v>14508.2</v>
      </c>
      <c r="AA30" s="57">
        <f t="shared" si="0"/>
        <v>960</v>
      </c>
      <c r="AB30" s="69">
        <v>5288</v>
      </c>
      <c r="AC30" s="59">
        <f t="shared" si="2"/>
        <v>161252.20000000001</v>
      </c>
      <c r="AD30" s="27"/>
    </row>
    <row r="31" spans="1:36" x14ac:dyDescent="0.2">
      <c r="A31" s="51" t="s">
        <v>36</v>
      </c>
      <c r="B31" s="52">
        <v>41146</v>
      </c>
      <c r="C31" s="52">
        <v>41146</v>
      </c>
      <c r="D31" s="53" t="s">
        <v>42</v>
      </c>
      <c r="E31" s="53" t="s">
        <v>31</v>
      </c>
      <c r="F31" s="54" t="s">
        <v>43</v>
      </c>
      <c r="G31" s="54" t="s">
        <v>37</v>
      </c>
      <c r="H31" s="55">
        <f>172000+22800+14850</f>
        <v>209650</v>
      </c>
      <c r="I31" s="55"/>
      <c r="J31" s="55"/>
      <c r="K31" s="55"/>
      <c r="L31" s="55"/>
      <c r="M31" s="55">
        <v>11600</v>
      </c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6" t="s">
        <v>89</v>
      </c>
      <c r="Y31" s="62" t="s">
        <v>39</v>
      </c>
      <c r="Z31" s="57">
        <f t="shared" si="1"/>
        <v>0</v>
      </c>
      <c r="AA31" s="57">
        <f t="shared" si="0"/>
        <v>33544</v>
      </c>
      <c r="AB31" s="57"/>
      <c r="AC31" s="59">
        <f t="shared" si="2"/>
        <v>254794</v>
      </c>
      <c r="AD31" s="27"/>
    </row>
    <row r="32" spans="1:36" ht="25.5" x14ac:dyDescent="0.2">
      <c r="A32" s="51" t="s">
        <v>36</v>
      </c>
      <c r="B32" s="64">
        <v>41148</v>
      </c>
      <c r="C32" s="64">
        <v>41148</v>
      </c>
      <c r="D32" s="53" t="s">
        <v>45</v>
      </c>
      <c r="E32" s="53" t="s">
        <v>46</v>
      </c>
      <c r="F32" s="53" t="s">
        <v>56</v>
      </c>
      <c r="G32" s="54" t="s">
        <v>37</v>
      </c>
      <c r="H32" s="65">
        <f>882000+41500+14850</f>
        <v>938350</v>
      </c>
      <c r="I32" s="65"/>
      <c r="J32" s="65"/>
      <c r="K32" s="65"/>
      <c r="L32" s="65"/>
      <c r="M32" s="65">
        <v>24300</v>
      </c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6" t="s">
        <v>90</v>
      </c>
      <c r="Y32" s="62" t="s">
        <v>39</v>
      </c>
      <c r="Z32" s="57">
        <f t="shared" si="1"/>
        <v>0</v>
      </c>
      <c r="AA32" s="57">
        <f t="shared" si="0"/>
        <v>150136</v>
      </c>
      <c r="AC32" s="59">
        <f t="shared" si="2"/>
        <v>1112786</v>
      </c>
      <c r="AD32" s="27"/>
    </row>
    <row r="33" spans="1:36" x14ac:dyDescent="0.2">
      <c r="A33" s="51" t="s">
        <v>36</v>
      </c>
      <c r="B33" s="52">
        <v>41149</v>
      </c>
      <c r="C33" s="52">
        <v>41149</v>
      </c>
      <c r="D33" s="53" t="s">
        <v>62</v>
      </c>
      <c r="E33" s="53" t="s">
        <v>78</v>
      </c>
      <c r="F33" s="54" t="s">
        <v>43</v>
      </c>
      <c r="G33" s="54" t="s">
        <v>37</v>
      </c>
      <c r="H33" s="55">
        <f>290000+22800+14850</f>
        <v>327650</v>
      </c>
      <c r="I33" s="55"/>
      <c r="J33" s="55"/>
      <c r="K33" s="55"/>
      <c r="L33" s="55"/>
      <c r="M33" s="55">
        <v>12400</v>
      </c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6" t="s">
        <v>91</v>
      </c>
      <c r="Y33" s="62" t="s">
        <v>39</v>
      </c>
      <c r="Z33" s="57">
        <f t="shared" si="1"/>
        <v>0</v>
      </c>
      <c r="AA33" s="57">
        <f t="shared" si="0"/>
        <v>52424</v>
      </c>
      <c r="AB33" s="57"/>
      <c r="AC33" s="59">
        <f t="shared" si="2"/>
        <v>392474</v>
      </c>
      <c r="AD33" s="27"/>
    </row>
    <row r="34" spans="1:36" ht="25.5" x14ac:dyDescent="0.2">
      <c r="A34" s="51" t="s">
        <v>36</v>
      </c>
      <c r="B34" s="64">
        <v>41151</v>
      </c>
      <c r="C34" s="64">
        <v>41151</v>
      </c>
      <c r="D34" s="53" t="s">
        <v>45</v>
      </c>
      <c r="E34" s="53" t="s">
        <v>46</v>
      </c>
      <c r="F34" s="53" t="s">
        <v>56</v>
      </c>
      <c r="G34" s="54" t="s">
        <v>37</v>
      </c>
      <c r="H34" s="65">
        <f>424000+41500+14850</f>
        <v>480350</v>
      </c>
      <c r="I34" s="65"/>
      <c r="J34" s="55"/>
      <c r="K34" s="55"/>
      <c r="L34" s="55"/>
      <c r="M34" s="65">
        <v>24300</v>
      </c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56" t="s">
        <v>92</v>
      </c>
      <c r="Y34" s="62" t="s">
        <v>39</v>
      </c>
      <c r="Z34" s="57">
        <f t="shared" si="1"/>
        <v>0</v>
      </c>
      <c r="AA34" s="57">
        <f t="shared" si="0"/>
        <v>76856</v>
      </c>
      <c r="AC34" s="59">
        <f t="shared" si="2"/>
        <v>581506</v>
      </c>
      <c r="AD34" s="27"/>
    </row>
    <row r="35" spans="1:36" ht="25.5" x14ac:dyDescent="0.2">
      <c r="A35" s="51" t="s">
        <v>36</v>
      </c>
      <c r="B35" s="64">
        <v>41151</v>
      </c>
      <c r="C35" s="64">
        <v>41151</v>
      </c>
      <c r="D35" s="53" t="s">
        <v>45</v>
      </c>
      <c r="E35" s="53" t="s">
        <v>46</v>
      </c>
      <c r="F35" s="53" t="s">
        <v>56</v>
      </c>
      <c r="G35" s="54" t="s">
        <v>37</v>
      </c>
      <c r="H35" s="65">
        <f>384000+41500+14850</f>
        <v>440350</v>
      </c>
      <c r="I35" s="65"/>
      <c r="J35" s="55"/>
      <c r="K35" s="55"/>
      <c r="L35" s="55"/>
      <c r="M35" s="65">
        <v>24300</v>
      </c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56" t="s">
        <v>93</v>
      </c>
      <c r="Y35" s="62" t="s">
        <v>39</v>
      </c>
      <c r="Z35" s="57">
        <f t="shared" si="1"/>
        <v>0</v>
      </c>
      <c r="AA35" s="57">
        <f t="shared" si="0"/>
        <v>70456</v>
      </c>
      <c r="AC35" s="59">
        <f t="shared" si="2"/>
        <v>535106</v>
      </c>
      <c r="AD35" s="27"/>
    </row>
    <row r="36" spans="1:36" s="26" customFormat="1" x14ac:dyDescent="0.2">
      <c r="A36" s="51"/>
      <c r="B36" s="64">
        <v>41146</v>
      </c>
      <c r="C36" s="64">
        <v>41146</v>
      </c>
      <c r="D36" s="53" t="s">
        <v>94</v>
      </c>
      <c r="E36" s="53" t="s">
        <v>95</v>
      </c>
      <c r="F36" s="53" t="s">
        <v>96</v>
      </c>
      <c r="G36" s="54" t="s">
        <v>97</v>
      </c>
      <c r="H36" s="65"/>
      <c r="I36" s="65"/>
      <c r="J36" s="55"/>
      <c r="K36" s="55"/>
      <c r="L36" s="55"/>
      <c r="M36" s="65"/>
      <c r="N36" s="65"/>
      <c r="O36" s="65"/>
      <c r="P36" s="65"/>
      <c r="Q36" s="65"/>
      <c r="R36" s="65"/>
      <c r="S36" s="65">
        <v>84000</v>
      </c>
      <c r="T36" s="65"/>
      <c r="U36" s="65"/>
      <c r="V36" s="65"/>
      <c r="W36" s="65"/>
      <c r="X36" s="56" t="s">
        <v>98</v>
      </c>
      <c r="Y36" s="55" t="s">
        <v>99</v>
      </c>
      <c r="Z36" s="58">
        <f t="shared" si="1"/>
        <v>0</v>
      </c>
      <c r="AA36" s="58">
        <f t="shared" si="0"/>
        <v>0</v>
      </c>
      <c r="AB36" s="69"/>
      <c r="AC36" s="59">
        <f t="shared" si="2"/>
        <v>84000</v>
      </c>
      <c r="AE36" s="72"/>
      <c r="AF36" s="72"/>
      <c r="AG36" s="72"/>
      <c r="AH36" s="61"/>
      <c r="AI36" s="72"/>
      <c r="AJ36" s="61"/>
    </row>
    <row r="37" spans="1:36" s="26" customFormat="1" x14ac:dyDescent="0.2">
      <c r="A37" s="51"/>
      <c r="B37" s="64">
        <v>41144</v>
      </c>
      <c r="C37" s="64">
        <v>41144</v>
      </c>
      <c r="D37" s="53" t="s">
        <v>94</v>
      </c>
      <c r="E37" s="53" t="s">
        <v>100</v>
      </c>
      <c r="F37" s="53" t="s">
        <v>96</v>
      </c>
      <c r="G37" s="54"/>
      <c r="H37" s="65"/>
      <c r="I37" s="65"/>
      <c r="J37" s="55"/>
      <c r="K37" s="55"/>
      <c r="L37" s="55"/>
      <c r="M37" s="65"/>
      <c r="N37" s="65"/>
      <c r="O37" s="65"/>
      <c r="P37" s="65"/>
      <c r="Q37" s="65"/>
      <c r="R37" s="65"/>
      <c r="S37" s="65"/>
      <c r="T37" s="65"/>
      <c r="U37" s="65"/>
      <c r="V37" s="65">
        <v>3147000</v>
      </c>
      <c r="W37" s="65">
        <v>594569</v>
      </c>
      <c r="X37" s="56" t="s">
        <v>101</v>
      </c>
      <c r="Y37" s="55" t="s">
        <v>102</v>
      </c>
      <c r="Z37" s="58">
        <f t="shared" si="1"/>
        <v>0</v>
      </c>
      <c r="AA37" s="58">
        <f t="shared" si="0"/>
        <v>95131.040000000008</v>
      </c>
      <c r="AB37" s="69"/>
      <c r="AC37" s="59">
        <f t="shared" si="2"/>
        <v>3836700.04</v>
      </c>
    </row>
    <row r="38" spans="1:36" s="26" customFormat="1" x14ac:dyDescent="0.2">
      <c r="A38" s="51"/>
      <c r="B38" s="64">
        <v>41150</v>
      </c>
      <c r="C38" s="64">
        <v>41150</v>
      </c>
      <c r="D38" s="53" t="s">
        <v>103</v>
      </c>
      <c r="E38" s="53" t="s">
        <v>104</v>
      </c>
      <c r="F38" s="53" t="s">
        <v>105</v>
      </c>
      <c r="G38" s="54"/>
      <c r="H38" s="65"/>
      <c r="I38" s="65"/>
      <c r="J38" s="55"/>
      <c r="K38" s="55"/>
      <c r="L38" s="55"/>
      <c r="M38" s="65"/>
      <c r="N38" s="65"/>
      <c r="O38" s="65"/>
      <c r="P38" s="65"/>
      <c r="Q38" s="65"/>
      <c r="R38" s="65"/>
      <c r="S38" s="65"/>
      <c r="T38" s="65"/>
      <c r="U38" s="65">
        <v>131200</v>
      </c>
      <c r="V38" s="65"/>
      <c r="W38" s="65"/>
      <c r="X38" s="73"/>
      <c r="Y38" s="55"/>
      <c r="Z38" s="58">
        <f t="shared" si="1"/>
        <v>0</v>
      </c>
      <c r="AA38" s="58">
        <f t="shared" si="0"/>
        <v>0</v>
      </c>
      <c r="AB38" s="69"/>
      <c r="AC38" s="59">
        <f t="shared" si="2"/>
        <v>131200</v>
      </c>
      <c r="AE38" s="72"/>
      <c r="AF38" s="72"/>
      <c r="AG38" s="72"/>
      <c r="AH38" s="72"/>
      <c r="AI38" s="72"/>
      <c r="AJ38" s="72"/>
    </row>
    <row r="39" spans="1:36" s="26" customFormat="1" x14ac:dyDescent="0.2">
      <c r="A39" s="51"/>
      <c r="B39" s="64">
        <v>41151</v>
      </c>
      <c r="C39" s="64">
        <v>41151</v>
      </c>
      <c r="D39" s="53" t="s">
        <v>69</v>
      </c>
      <c r="E39" s="53" t="s">
        <v>31</v>
      </c>
      <c r="F39" s="53" t="s">
        <v>32</v>
      </c>
      <c r="G39" s="54"/>
      <c r="H39" s="65"/>
      <c r="I39" s="65"/>
      <c r="J39" s="55"/>
      <c r="K39" s="55"/>
      <c r="L39" s="55"/>
      <c r="M39" s="65"/>
      <c r="N39" s="65"/>
      <c r="O39" s="65">
        <f>24800+19000+22600+10000+8000+26000+25300</f>
        <v>135700</v>
      </c>
      <c r="P39" s="65">
        <f>60345+12069+9311</f>
        <v>81725</v>
      </c>
      <c r="Q39" s="65"/>
      <c r="R39" s="65">
        <f>17000</f>
        <v>17000</v>
      </c>
      <c r="S39" s="65"/>
      <c r="T39" s="65"/>
      <c r="U39" s="65"/>
      <c r="V39" s="65"/>
      <c r="W39" s="65"/>
      <c r="X39" s="73"/>
      <c r="Y39" s="55"/>
      <c r="Z39" s="58">
        <f t="shared" si="1"/>
        <v>0</v>
      </c>
      <c r="AA39" s="58">
        <f>+(H39+L39+P39+T39+W39)*($AA$10)-1</f>
        <v>13075</v>
      </c>
      <c r="AB39" s="69"/>
      <c r="AC39" s="59">
        <f t="shared" si="2"/>
        <v>247500</v>
      </c>
    </row>
    <row r="40" spans="1:36" s="26" customFormat="1" x14ac:dyDescent="0.2">
      <c r="A40" s="51"/>
      <c r="B40" s="64">
        <v>41151</v>
      </c>
      <c r="C40" s="64">
        <v>41151</v>
      </c>
      <c r="D40" s="53" t="s">
        <v>62</v>
      </c>
      <c r="E40" s="53" t="s">
        <v>78</v>
      </c>
      <c r="F40" s="53" t="s">
        <v>79</v>
      </c>
      <c r="G40" s="54"/>
      <c r="H40" s="65"/>
      <c r="I40" s="65"/>
      <c r="J40" s="55"/>
      <c r="K40" s="55"/>
      <c r="L40" s="55"/>
      <c r="M40" s="65"/>
      <c r="N40" s="65"/>
      <c r="O40" s="65">
        <f>19400+22000+19000+5000+4500+21000+5000+21000</f>
        <v>116900</v>
      </c>
      <c r="P40" s="65">
        <v>10345</v>
      </c>
      <c r="Q40" s="65"/>
      <c r="R40" s="65">
        <f>3500+18000+12000+1600</f>
        <v>35100</v>
      </c>
      <c r="S40" s="65"/>
      <c r="T40" s="65"/>
      <c r="U40" s="65"/>
      <c r="V40" s="65"/>
      <c r="W40" s="65"/>
      <c r="X40" s="73"/>
      <c r="Y40" s="55"/>
      <c r="Z40" s="58">
        <f t="shared" si="1"/>
        <v>0</v>
      </c>
      <c r="AA40" s="58">
        <f t="shared" si="0"/>
        <v>1655.2</v>
      </c>
      <c r="AB40" s="69"/>
      <c r="AC40" s="59">
        <f t="shared" si="2"/>
        <v>164000.20000000001</v>
      </c>
      <c r="AE40" s="74"/>
      <c r="AF40" s="74"/>
      <c r="AG40" s="74"/>
      <c r="AH40" s="74"/>
      <c r="AI40" s="74"/>
      <c r="AJ40" s="74"/>
    </row>
    <row r="41" spans="1:36" s="26" customFormat="1" x14ac:dyDescent="0.2">
      <c r="A41" s="51"/>
      <c r="B41" s="64">
        <v>41151</v>
      </c>
      <c r="C41" s="64">
        <v>41151</v>
      </c>
      <c r="D41" s="53" t="s">
        <v>42</v>
      </c>
      <c r="E41" s="53" t="s">
        <v>31</v>
      </c>
      <c r="F41" s="53" t="s">
        <v>32</v>
      </c>
      <c r="G41" s="54"/>
      <c r="H41" s="65"/>
      <c r="I41" s="65"/>
      <c r="J41" s="55"/>
      <c r="K41" s="55"/>
      <c r="L41" s="55"/>
      <c r="M41" s="65"/>
      <c r="N41" s="65"/>
      <c r="O41" s="65">
        <f>13000+10000+5000+20000+14000+12000+8000</f>
        <v>82000</v>
      </c>
      <c r="P41" s="65">
        <f>+(27050-5400)/1.16+30647</f>
        <v>49310.793103448275</v>
      </c>
      <c r="Q41" s="65">
        <v>4909</v>
      </c>
      <c r="R41" s="65">
        <f>11500+12000+7000+8500+14000+7000+19000+8500+7000+7300+8500+7000+19000+6300+12000+15000+10000+15000+11000+12000+15000+14000+12000+11000+10000+11000+12000+11400+12600</f>
        <v>326600</v>
      </c>
      <c r="S41" s="65"/>
      <c r="T41" s="65"/>
      <c r="U41" s="65"/>
      <c r="V41" s="65"/>
      <c r="W41" s="65"/>
      <c r="X41" s="73"/>
      <c r="Y41" s="55"/>
      <c r="Z41" s="58">
        <f t="shared" si="1"/>
        <v>490.90000000000003</v>
      </c>
      <c r="AA41" s="58">
        <f t="shared" si="0"/>
        <v>7889.7268965517242</v>
      </c>
      <c r="AB41" s="69"/>
      <c r="AC41" s="59">
        <f t="shared" si="2"/>
        <v>471200.42000000004</v>
      </c>
      <c r="AE41" s="74"/>
      <c r="AF41" s="74"/>
      <c r="AG41" s="74"/>
      <c r="AH41" s="74"/>
      <c r="AI41" s="74"/>
      <c r="AJ41" s="74"/>
    </row>
    <row r="42" spans="1:36" s="26" customFormat="1" x14ac:dyDescent="0.2">
      <c r="A42" s="51"/>
      <c r="B42" s="64">
        <v>41151</v>
      </c>
      <c r="C42" s="64">
        <v>41151</v>
      </c>
      <c r="D42" s="53" t="s">
        <v>58</v>
      </c>
      <c r="E42" s="53" t="s">
        <v>59</v>
      </c>
      <c r="F42" s="53" t="s">
        <v>72</v>
      </c>
      <c r="G42" s="54"/>
      <c r="H42" s="65"/>
      <c r="I42" s="65"/>
      <c r="J42" s="55"/>
      <c r="K42" s="55"/>
      <c r="L42" s="55"/>
      <c r="M42" s="65"/>
      <c r="N42" s="65"/>
      <c r="O42" s="65">
        <f>20000+60000+60000+20000</f>
        <v>160000</v>
      </c>
      <c r="P42" s="65"/>
      <c r="Q42" s="65"/>
      <c r="R42" s="65">
        <f>1200+1300+8000+7500+189600+40000+9000+5500</f>
        <v>262100</v>
      </c>
      <c r="S42" s="65"/>
      <c r="T42" s="65"/>
      <c r="U42" s="65"/>
      <c r="V42" s="65"/>
      <c r="W42" s="65"/>
      <c r="X42" s="73"/>
      <c r="Y42" s="55"/>
      <c r="Z42" s="58">
        <f t="shared" si="1"/>
        <v>0</v>
      </c>
      <c r="AA42" s="58">
        <f>+(H42+L42+P42+T42+W42)*($AA$10)</f>
        <v>0</v>
      </c>
      <c r="AB42" s="69"/>
      <c r="AC42" s="59">
        <f t="shared" si="2"/>
        <v>422100</v>
      </c>
      <c r="AE42" s="74"/>
      <c r="AF42" s="74"/>
      <c r="AG42" s="74"/>
      <c r="AH42" s="74"/>
      <c r="AI42" s="74"/>
      <c r="AJ42" s="74"/>
    </row>
    <row r="43" spans="1:36" s="26" customFormat="1" x14ac:dyDescent="0.2">
      <c r="A43" s="51"/>
      <c r="B43" s="64">
        <v>41101</v>
      </c>
      <c r="C43" s="64">
        <v>41101</v>
      </c>
      <c r="D43" s="53" t="s">
        <v>69</v>
      </c>
      <c r="E43" s="53" t="s">
        <v>31</v>
      </c>
      <c r="F43" s="53" t="s">
        <v>32</v>
      </c>
      <c r="G43" s="54"/>
      <c r="H43" s="65"/>
      <c r="I43" s="65"/>
      <c r="J43" s="55"/>
      <c r="K43" s="55"/>
      <c r="L43" s="55"/>
      <c r="M43" s="65"/>
      <c r="N43" s="65"/>
      <c r="O43" s="65">
        <f>7000+5000</f>
        <v>12000</v>
      </c>
      <c r="P43" s="65"/>
      <c r="Q43" s="65"/>
      <c r="R43" s="65">
        <f>10800+26500+25000+16500+9500+17000+32000+9000+24400+16000</f>
        <v>186700</v>
      </c>
      <c r="S43" s="65"/>
      <c r="T43" s="65"/>
      <c r="U43" s="65"/>
      <c r="V43" s="65"/>
      <c r="W43" s="65"/>
      <c r="X43" s="73"/>
      <c r="Y43" s="55"/>
      <c r="Z43" s="58">
        <f t="shared" si="1"/>
        <v>0</v>
      </c>
      <c r="AA43" s="58">
        <f>+(H43+L43+P43+T43+W43)*($AA$10)</f>
        <v>0</v>
      </c>
      <c r="AB43" s="69"/>
      <c r="AC43" s="59">
        <f t="shared" si="2"/>
        <v>198700</v>
      </c>
    </row>
    <row r="44" spans="1:36" x14ac:dyDescent="0.2">
      <c r="A44" s="75"/>
      <c r="B44" s="76"/>
      <c r="C44" s="76"/>
      <c r="D44" s="77"/>
      <c r="E44" s="77"/>
      <c r="F44" s="77"/>
      <c r="G44" s="78"/>
      <c r="H44" s="79"/>
      <c r="I44" s="79"/>
      <c r="J44" s="80"/>
      <c r="K44" s="80"/>
      <c r="L44" s="80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81"/>
      <c r="Y44" s="82"/>
      <c r="Z44" s="57"/>
      <c r="AA44" s="57"/>
      <c r="AC44" s="59"/>
      <c r="AD44" s="27"/>
    </row>
    <row r="45" spans="1:36" x14ac:dyDescent="0.2">
      <c r="Z45" s="68"/>
      <c r="AE45" s="68"/>
    </row>
    <row r="46" spans="1:36" s="84" customFormat="1" x14ac:dyDescent="0.2">
      <c r="B46" s="85"/>
      <c r="C46" s="85"/>
      <c r="D46" s="86" t="s">
        <v>28</v>
      </c>
      <c r="H46" s="87">
        <f>SUM(H11:H43)</f>
        <v>5191950</v>
      </c>
      <c r="I46" s="87">
        <f>SUM(I11:I43)</f>
        <v>0</v>
      </c>
      <c r="J46" s="87"/>
      <c r="K46" s="87">
        <f>SUM(K11:K43)</f>
        <v>3173990</v>
      </c>
      <c r="L46" s="87">
        <f t="shared" ref="L46:W46" si="3">SUM(L11:L43)</f>
        <v>77286.172413793116</v>
      </c>
      <c r="M46" s="87">
        <f t="shared" si="3"/>
        <v>249600</v>
      </c>
      <c r="N46" s="87">
        <f t="shared" si="3"/>
        <v>6687</v>
      </c>
      <c r="O46" s="87">
        <f t="shared" si="3"/>
        <v>506600</v>
      </c>
      <c r="P46" s="87">
        <f t="shared" si="3"/>
        <v>141380.79310344829</v>
      </c>
      <c r="Q46" s="87">
        <f t="shared" si="3"/>
        <v>4909</v>
      </c>
      <c r="R46" s="87">
        <f t="shared" si="3"/>
        <v>827500</v>
      </c>
      <c r="S46" s="87">
        <f t="shared" si="3"/>
        <v>84000</v>
      </c>
      <c r="T46" s="87">
        <f t="shared" si="3"/>
        <v>0</v>
      </c>
      <c r="U46" s="87">
        <f t="shared" si="3"/>
        <v>131200</v>
      </c>
      <c r="V46" s="87">
        <f t="shared" si="3"/>
        <v>3147000</v>
      </c>
      <c r="W46" s="87">
        <f t="shared" si="3"/>
        <v>594569</v>
      </c>
      <c r="X46" s="88"/>
      <c r="Y46" s="87"/>
      <c r="Z46" s="87">
        <f>SUM(Z11:Z43)</f>
        <v>317893.90000000002</v>
      </c>
      <c r="AA46" s="87">
        <f>SUM(AA11:AA43)</f>
        <v>960828.75448275858</v>
      </c>
      <c r="AB46" s="87">
        <f>SUM(AB11:AB43)</f>
        <v>104497.37</v>
      </c>
      <c r="AC46" s="87">
        <f>SUM(H46:AA46)</f>
        <v>15415394.620000001</v>
      </c>
      <c r="AD46" s="89">
        <f>SUM(AC11:AC45)+AB46</f>
        <v>15415394.619999997</v>
      </c>
      <c r="AE46" s="90"/>
    </row>
    <row r="47" spans="1:36" s="84" customFormat="1" x14ac:dyDescent="0.2">
      <c r="B47" s="85"/>
      <c r="C47" s="85"/>
      <c r="F47" s="91" t="s">
        <v>106</v>
      </c>
      <c r="G47" s="92">
        <v>0.12</v>
      </c>
      <c r="H47" s="87">
        <f>+H46*$G$47</f>
        <v>623034</v>
      </c>
      <c r="I47" s="87"/>
      <c r="J47" s="87"/>
      <c r="K47" s="87">
        <f t="shared" ref="K47:W47" si="4">+K46*$G$47</f>
        <v>380878.8</v>
      </c>
      <c r="L47" s="87">
        <f t="shared" si="4"/>
        <v>9274.3406896551733</v>
      </c>
      <c r="M47" s="87">
        <f t="shared" si="4"/>
        <v>29952</v>
      </c>
      <c r="N47" s="87">
        <f t="shared" si="4"/>
        <v>802.43999999999994</v>
      </c>
      <c r="O47" s="87">
        <f t="shared" si="4"/>
        <v>60792</v>
      </c>
      <c r="P47" s="87">
        <f t="shared" si="4"/>
        <v>16965.695172413794</v>
      </c>
      <c r="Q47" s="87">
        <f t="shared" si="4"/>
        <v>589.07999999999993</v>
      </c>
      <c r="R47" s="87">
        <f t="shared" si="4"/>
        <v>99300</v>
      </c>
      <c r="S47" s="87">
        <f t="shared" si="4"/>
        <v>10080</v>
      </c>
      <c r="T47" s="87">
        <f t="shared" si="4"/>
        <v>0</v>
      </c>
      <c r="U47" s="87">
        <f t="shared" si="4"/>
        <v>15744</v>
      </c>
      <c r="V47" s="87">
        <f t="shared" si="4"/>
        <v>377640</v>
      </c>
      <c r="W47" s="87">
        <f t="shared" si="4"/>
        <v>71348.28</v>
      </c>
      <c r="X47" s="88"/>
      <c r="Y47" s="87"/>
      <c r="AA47" s="87"/>
      <c r="AB47" s="87"/>
      <c r="AC47" s="93">
        <f>SUM(H47:AA47)</f>
        <v>1696400.635862069</v>
      </c>
      <c r="AD47" s="89"/>
    </row>
    <row r="48" spans="1:36" s="84" customFormat="1" x14ac:dyDescent="0.2">
      <c r="B48" s="85"/>
      <c r="C48" s="85"/>
      <c r="F48" s="91" t="s">
        <v>107</v>
      </c>
      <c r="G48" s="92">
        <v>0.16</v>
      </c>
      <c r="H48" s="87">
        <f>+H47*$G$48</f>
        <v>99685.440000000002</v>
      </c>
      <c r="I48" s="87"/>
      <c r="J48" s="87"/>
      <c r="K48" s="87">
        <f t="shared" ref="K48:W48" si="5">+K47*$G$48</f>
        <v>60940.608</v>
      </c>
      <c r="L48" s="87">
        <f t="shared" si="5"/>
        <v>1483.8945103448277</v>
      </c>
      <c r="M48" s="87">
        <f t="shared" si="5"/>
        <v>4792.32</v>
      </c>
      <c r="N48" s="87">
        <f t="shared" si="5"/>
        <v>128.3904</v>
      </c>
      <c r="O48" s="87">
        <f t="shared" si="5"/>
        <v>9726.7199999999993</v>
      </c>
      <c r="P48" s="87">
        <f t="shared" si="5"/>
        <v>2714.511227586207</v>
      </c>
      <c r="Q48" s="87">
        <f t="shared" si="5"/>
        <v>94.252799999999993</v>
      </c>
      <c r="R48" s="87">
        <f t="shared" si="5"/>
        <v>15888</v>
      </c>
      <c r="S48" s="87">
        <f t="shared" si="5"/>
        <v>1612.8</v>
      </c>
      <c r="T48" s="87">
        <f t="shared" si="5"/>
        <v>0</v>
      </c>
      <c r="U48" s="87">
        <f t="shared" si="5"/>
        <v>2519.04</v>
      </c>
      <c r="V48" s="87">
        <f t="shared" si="5"/>
        <v>60422.400000000001</v>
      </c>
      <c r="W48" s="87">
        <f t="shared" si="5"/>
        <v>11415.7248</v>
      </c>
      <c r="X48" s="88"/>
      <c r="Y48" s="87"/>
      <c r="AA48" s="87"/>
      <c r="AB48" s="87"/>
      <c r="AC48" s="93">
        <f>SUM(H48:AA48)</f>
        <v>271424.10173793108</v>
      </c>
      <c r="AD48" s="89"/>
    </row>
    <row r="49" spans="4:31" x14ac:dyDescent="0.2">
      <c r="F49" s="78"/>
      <c r="G49" s="94"/>
    </row>
    <row r="50" spans="4:31" x14ac:dyDescent="0.2">
      <c r="E50" s="95" t="s">
        <v>108</v>
      </c>
      <c r="F50" s="93"/>
      <c r="G50" s="86"/>
      <c r="H50" s="96">
        <f>+K46+Q46</f>
        <v>3178899</v>
      </c>
      <c r="I50" s="96"/>
      <c r="J50" s="175">
        <f>SUM(H50:H59)</f>
        <v>17383219.3576</v>
      </c>
    </row>
    <row r="51" spans="4:31" x14ac:dyDescent="0.2">
      <c r="E51" s="95" t="s">
        <v>109</v>
      </c>
      <c r="F51" s="93"/>
      <c r="G51" s="97">
        <v>0.1</v>
      </c>
      <c r="H51" s="96">
        <f>+Z46</f>
        <v>317893.90000000002</v>
      </c>
      <c r="I51" s="96"/>
      <c r="J51" s="175"/>
    </row>
    <row r="52" spans="4:31" x14ac:dyDescent="0.2">
      <c r="E52" s="95" t="s">
        <v>110</v>
      </c>
      <c r="F52" s="93"/>
      <c r="G52" s="86"/>
      <c r="H52" s="96">
        <f>+H46+L46+P46+T46+W46</f>
        <v>6005185.9655172415</v>
      </c>
      <c r="I52" s="96"/>
      <c r="J52" s="175"/>
    </row>
    <row r="53" spans="4:31" x14ac:dyDescent="0.2">
      <c r="E53" s="95" t="s">
        <v>111</v>
      </c>
      <c r="F53" s="93"/>
      <c r="G53" s="97">
        <v>0.16</v>
      </c>
      <c r="H53" s="96">
        <f>+AA46</f>
        <v>960828.75448275858</v>
      </c>
      <c r="I53" s="96"/>
      <c r="J53" s="175"/>
    </row>
    <row r="54" spans="4:31" x14ac:dyDescent="0.2">
      <c r="E54" s="95" t="s">
        <v>112</v>
      </c>
      <c r="F54" s="93"/>
      <c r="G54" s="86"/>
      <c r="H54" s="96">
        <f>+M46</f>
        <v>249600</v>
      </c>
      <c r="I54" s="96"/>
      <c r="J54" s="175"/>
    </row>
    <row r="55" spans="4:31" x14ac:dyDescent="0.2">
      <c r="E55" s="95" t="s">
        <v>113</v>
      </c>
      <c r="F55" s="93"/>
      <c r="G55" s="86"/>
      <c r="H55" s="96">
        <f>+N46+O46+S46+U46</f>
        <v>728487</v>
      </c>
      <c r="I55" s="96"/>
      <c r="J55" s="175"/>
    </row>
    <row r="56" spans="4:31" x14ac:dyDescent="0.2">
      <c r="E56" s="95" t="s">
        <v>114</v>
      </c>
      <c r="F56" s="93"/>
      <c r="G56" s="86"/>
      <c r="H56" s="96">
        <f>+V46</f>
        <v>3147000</v>
      </c>
      <c r="I56" s="96"/>
      <c r="J56" s="175"/>
      <c r="AE56" s="68"/>
    </row>
    <row r="57" spans="4:31" x14ac:dyDescent="0.2">
      <c r="E57" s="95" t="s">
        <v>115</v>
      </c>
      <c r="F57" s="93"/>
      <c r="G57" s="86"/>
      <c r="H57" s="96">
        <f>+R46</f>
        <v>827500</v>
      </c>
      <c r="I57" s="96"/>
      <c r="J57" s="175"/>
    </row>
    <row r="58" spans="4:31" x14ac:dyDescent="0.2">
      <c r="E58" s="95" t="s">
        <v>116</v>
      </c>
      <c r="F58" s="86"/>
      <c r="G58" s="97">
        <v>0.12</v>
      </c>
      <c r="H58" s="96">
        <f>+(H50+H52+H54+H55+H56+H57)*G58</f>
        <v>1696400.635862069</v>
      </c>
      <c r="I58" s="96"/>
      <c r="J58" s="175"/>
      <c r="AE58" s="68">
        <f>+AE56-AE57</f>
        <v>0</v>
      </c>
    </row>
    <row r="59" spans="4:31" x14ac:dyDescent="0.2">
      <c r="E59" s="95" t="s">
        <v>117</v>
      </c>
      <c r="F59" s="86"/>
      <c r="G59" s="97">
        <v>0.16</v>
      </c>
      <c r="H59" s="96">
        <f>+H58*G59</f>
        <v>271424.10173793102</v>
      </c>
      <c r="I59" s="96"/>
      <c r="J59" s="175"/>
    </row>
    <row r="61" spans="4:31" x14ac:dyDescent="0.2">
      <c r="D61" s="98" t="s">
        <v>46</v>
      </c>
      <c r="H61" s="25">
        <f>+H16+H17+H20+H32+H34+H35</f>
        <v>2560400</v>
      </c>
      <c r="K61" s="25">
        <f t="shared" ref="K61:W61" si="6">+K16+K17+K20+K32+K34+K35</f>
        <v>586886</v>
      </c>
      <c r="L61" s="25">
        <f t="shared" si="6"/>
        <v>20200</v>
      </c>
      <c r="M61" s="25">
        <f t="shared" si="6"/>
        <v>91400</v>
      </c>
      <c r="N61" s="25">
        <f t="shared" si="6"/>
        <v>0</v>
      </c>
      <c r="O61" s="25">
        <f t="shared" si="6"/>
        <v>0</v>
      </c>
      <c r="P61" s="25">
        <f t="shared" si="6"/>
        <v>0</v>
      </c>
      <c r="Q61" s="25">
        <f t="shared" si="6"/>
        <v>0</v>
      </c>
      <c r="R61" s="25">
        <f t="shared" si="6"/>
        <v>0</v>
      </c>
      <c r="S61" s="25">
        <f t="shared" si="6"/>
        <v>0</v>
      </c>
      <c r="T61" s="25">
        <f t="shared" si="6"/>
        <v>0</v>
      </c>
      <c r="U61" s="25">
        <f t="shared" si="6"/>
        <v>0</v>
      </c>
      <c r="V61" s="25">
        <f t="shared" si="6"/>
        <v>0</v>
      </c>
      <c r="W61" s="25">
        <f t="shared" si="6"/>
        <v>0</v>
      </c>
      <c r="X61" s="25"/>
      <c r="Z61" s="25">
        <f t="shared" ref="Z61:AB61" si="7">+Z16+Z17+Z20+Z32+Z34+Z35</f>
        <v>58687.600000000006</v>
      </c>
      <c r="AA61" s="25">
        <f t="shared" si="7"/>
        <v>412896</v>
      </c>
      <c r="AB61" s="25">
        <f t="shared" si="7"/>
        <v>21247</v>
      </c>
      <c r="AC61" s="87">
        <f>SUM(H61:AA61)</f>
        <v>3730469.6</v>
      </c>
    </row>
    <row r="62" spans="4:31" x14ac:dyDescent="0.2">
      <c r="F62" s="78" t="s">
        <v>106</v>
      </c>
      <c r="G62" s="94">
        <v>0.12</v>
      </c>
      <c r="H62" s="25">
        <f>+H61*$G$62</f>
        <v>307248</v>
      </c>
      <c r="K62" s="25">
        <f t="shared" ref="K62:W62" si="8">+K61*$G$62</f>
        <v>70426.319999999992</v>
      </c>
      <c r="L62" s="25">
        <f t="shared" si="8"/>
        <v>2424</v>
      </c>
      <c r="M62" s="25">
        <f t="shared" si="8"/>
        <v>10968</v>
      </c>
      <c r="N62" s="25">
        <f t="shared" si="8"/>
        <v>0</v>
      </c>
      <c r="O62" s="25">
        <f t="shared" si="8"/>
        <v>0</v>
      </c>
      <c r="P62" s="25">
        <f t="shared" si="8"/>
        <v>0</v>
      </c>
      <c r="Q62" s="25">
        <f t="shared" si="8"/>
        <v>0</v>
      </c>
      <c r="R62" s="25">
        <f t="shared" si="8"/>
        <v>0</v>
      </c>
      <c r="S62" s="25">
        <f t="shared" si="8"/>
        <v>0</v>
      </c>
      <c r="T62" s="25">
        <f t="shared" si="8"/>
        <v>0</v>
      </c>
      <c r="U62" s="25">
        <f t="shared" si="8"/>
        <v>0</v>
      </c>
      <c r="V62" s="25">
        <f t="shared" si="8"/>
        <v>0</v>
      </c>
      <c r="W62" s="25">
        <f t="shared" si="8"/>
        <v>0</v>
      </c>
      <c r="X62" s="25"/>
      <c r="Z62" s="25"/>
      <c r="AC62" s="93"/>
    </row>
    <row r="63" spans="4:31" x14ac:dyDescent="0.2">
      <c r="F63" s="78" t="s">
        <v>107</v>
      </c>
      <c r="G63" s="94">
        <v>0.16</v>
      </c>
      <c r="H63" s="25">
        <f>+H62*$G$63</f>
        <v>49159.68</v>
      </c>
      <c r="K63" s="25">
        <f t="shared" ref="K63:W63" si="9">+K62*$G$63</f>
        <v>11268.2112</v>
      </c>
      <c r="L63" s="25">
        <f t="shared" si="9"/>
        <v>387.84000000000003</v>
      </c>
      <c r="M63" s="25">
        <f t="shared" si="9"/>
        <v>1754.88</v>
      </c>
      <c r="N63" s="25">
        <f t="shared" si="9"/>
        <v>0</v>
      </c>
      <c r="O63" s="25">
        <f t="shared" si="9"/>
        <v>0</v>
      </c>
      <c r="P63" s="25">
        <f t="shared" si="9"/>
        <v>0</v>
      </c>
      <c r="Q63" s="25">
        <f t="shared" si="9"/>
        <v>0</v>
      </c>
      <c r="R63" s="25">
        <f t="shared" si="9"/>
        <v>0</v>
      </c>
      <c r="S63" s="25">
        <f t="shared" si="9"/>
        <v>0</v>
      </c>
      <c r="T63" s="25">
        <f t="shared" si="9"/>
        <v>0</v>
      </c>
      <c r="U63" s="25">
        <f t="shared" si="9"/>
        <v>0</v>
      </c>
      <c r="V63" s="25">
        <f t="shared" si="9"/>
        <v>0</v>
      </c>
      <c r="W63" s="25">
        <f t="shared" si="9"/>
        <v>0</v>
      </c>
      <c r="X63" s="25"/>
      <c r="Z63" s="25"/>
      <c r="AC63" s="93"/>
    </row>
    <row r="64" spans="4:31" x14ac:dyDescent="0.2">
      <c r="D64" s="99"/>
      <c r="E64" s="99"/>
      <c r="F64" s="78"/>
      <c r="G64" s="94"/>
      <c r="X64" s="25"/>
      <c r="Z64" s="25"/>
      <c r="AC64" s="93"/>
    </row>
    <row r="65" spans="4:29" x14ac:dyDescent="0.2">
      <c r="D65" s="99"/>
      <c r="E65" s="100" t="s">
        <v>108</v>
      </c>
      <c r="F65" s="101"/>
      <c r="G65" s="101"/>
      <c r="H65" s="102">
        <f>+K61+Q61</f>
        <v>586886</v>
      </c>
      <c r="I65" s="103"/>
      <c r="J65" s="174">
        <f>SUM(H65:H74)</f>
        <v>4184107.5312000001</v>
      </c>
      <c r="X65" s="25"/>
      <c r="Z65" s="25"/>
      <c r="AC65" s="93"/>
    </row>
    <row r="66" spans="4:29" x14ac:dyDescent="0.2">
      <c r="D66" s="99"/>
      <c r="E66" s="100" t="s">
        <v>109</v>
      </c>
      <c r="F66" s="101"/>
      <c r="G66" s="104">
        <v>0.1</v>
      </c>
      <c r="H66" s="102">
        <f>+H65*G66</f>
        <v>58688.600000000006</v>
      </c>
      <c r="I66" s="103"/>
      <c r="J66" s="174"/>
      <c r="X66" s="25"/>
      <c r="Z66" s="25"/>
      <c r="AC66" s="93"/>
    </row>
    <row r="67" spans="4:29" x14ac:dyDescent="0.2">
      <c r="D67" s="99"/>
      <c r="E67" s="100" t="s">
        <v>110</v>
      </c>
      <c r="F67" s="101"/>
      <c r="G67" s="101"/>
      <c r="H67" s="102">
        <f>+H61+L61+P61+T61+W61</f>
        <v>2580600</v>
      </c>
      <c r="I67" s="103"/>
      <c r="J67" s="174"/>
      <c r="X67" s="25"/>
      <c r="Z67" s="25"/>
      <c r="AC67" s="93"/>
    </row>
    <row r="68" spans="4:29" x14ac:dyDescent="0.2">
      <c r="D68" s="99"/>
      <c r="E68" s="100" t="s">
        <v>111</v>
      </c>
      <c r="F68" s="101"/>
      <c r="G68" s="104">
        <v>0.16</v>
      </c>
      <c r="H68" s="102">
        <f>+H67*G68</f>
        <v>412896</v>
      </c>
      <c r="I68" s="103"/>
      <c r="J68" s="174"/>
      <c r="X68" s="25"/>
      <c r="Z68" s="25"/>
      <c r="AC68" s="93"/>
    </row>
    <row r="69" spans="4:29" x14ac:dyDescent="0.2">
      <c r="D69" s="99"/>
      <c r="E69" s="100" t="s">
        <v>112</v>
      </c>
      <c r="F69" s="101"/>
      <c r="G69" s="101"/>
      <c r="H69" s="102">
        <f>+M61</f>
        <v>91400</v>
      </c>
      <c r="I69" s="103"/>
      <c r="J69" s="174"/>
      <c r="Z69" s="25"/>
      <c r="AC69" s="93"/>
    </row>
    <row r="70" spans="4:29" x14ac:dyDescent="0.2">
      <c r="D70" s="99"/>
      <c r="E70" s="100" t="s">
        <v>113</v>
      </c>
      <c r="F70" s="101"/>
      <c r="G70" s="101"/>
      <c r="H70" s="102">
        <f>+N61+O61+S61+U61</f>
        <v>0</v>
      </c>
      <c r="I70" s="103"/>
      <c r="J70" s="174"/>
      <c r="Z70" s="25"/>
      <c r="AC70" s="93"/>
    </row>
    <row r="71" spans="4:29" x14ac:dyDescent="0.2">
      <c r="D71" s="99"/>
      <c r="E71" s="100" t="s">
        <v>114</v>
      </c>
      <c r="F71" s="101"/>
      <c r="G71" s="101"/>
      <c r="H71" s="102">
        <f>+V61</f>
        <v>0</v>
      </c>
      <c r="I71" s="103"/>
      <c r="J71" s="174"/>
      <c r="Z71" s="25"/>
      <c r="AC71" s="93"/>
    </row>
    <row r="72" spans="4:29" x14ac:dyDescent="0.2">
      <c r="D72" s="105"/>
      <c r="E72" s="100" t="s">
        <v>115</v>
      </c>
      <c r="F72" s="101"/>
      <c r="G72" s="101"/>
      <c r="H72" s="102">
        <f>+R61</f>
        <v>0</v>
      </c>
      <c r="I72" s="103"/>
      <c r="J72" s="174"/>
      <c r="Z72" s="25"/>
      <c r="AC72" s="93"/>
    </row>
    <row r="73" spans="4:29" x14ac:dyDescent="0.2">
      <c r="D73" s="105"/>
      <c r="E73" s="100" t="s">
        <v>116</v>
      </c>
      <c r="F73" s="101"/>
      <c r="G73" s="104">
        <v>0.12</v>
      </c>
      <c r="H73" s="102">
        <f>+(H65+H67+H69+H70+H71+H72)*G73</f>
        <v>391066.32</v>
      </c>
      <c r="I73" s="103"/>
      <c r="J73" s="174"/>
      <c r="X73" s="25"/>
      <c r="Z73" s="25"/>
      <c r="AC73" s="93"/>
    </row>
    <row r="74" spans="4:29" x14ac:dyDescent="0.2">
      <c r="D74" s="105"/>
      <c r="E74" s="100" t="s">
        <v>117</v>
      </c>
      <c r="F74" s="101"/>
      <c r="G74" s="104">
        <v>0.16</v>
      </c>
      <c r="H74" s="102">
        <f>+H73*G74</f>
        <v>62570.611199999999</v>
      </c>
      <c r="I74" s="103"/>
      <c r="J74" s="106"/>
      <c r="X74" s="25"/>
      <c r="Z74" s="25"/>
      <c r="AC74" s="93"/>
    </row>
    <row r="75" spans="4:29" x14ac:dyDescent="0.2">
      <c r="D75" s="105"/>
      <c r="E75" s="105"/>
      <c r="F75" s="107"/>
      <c r="G75" s="108"/>
      <c r="H75" s="103"/>
      <c r="I75" s="103"/>
      <c r="J75" s="106"/>
      <c r="X75" s="25"/>
      <c r="Z75" s="25"/>
      <c r="AC75" s="93"/>
    </row>
    <row r="76" spans="4:29" x14ac:dyDescent="0.2">
      <c r="F76" s="78"/>
      <c r="G76" s="94"/>
      <c r="X76" s="25"/>
      <c r="Z76" s="25"/>
      <c r="AC76" s="93"/>
    </row>
    <row r="77" spans="4:29" x14ac:dyDescent="0.2">
      <c r="F77" s="78"/>
      <c r="G77" s="94"/>
      <c r="X77" s="25"/>
      <c r="Z77" s="25"/>
      <c r="AC77" s="93"/>
    </row>
    <row r="78" spans="4:29" x14ac:dyDescent="0.2">
      <c r="D78" s="98" t="s">
        <v>63</v>
      </c>
      <c r="H78" s="25">
        <f>+H22+H23</f>
        <v>306350</v>
      </c>
      <c r="K78" s="25">
        <f>+K22+K23+K37/3</f>
        <v>218182</v>
      </c>
      <c r="L78" s="25">
        <f t="shared" ref="L78" si="10">+L22+L23</f>
        <v>0</v>
      </c>
      <c r="M78" s="25">
        <f t="shared" ref="M78:W78" si="11">+M22+M23+M37/3</f>
        <v>24700</v>
      </c>
      <c r="N78" s="25">
        <f t="shared" si="11"/>
        <v>0</v>
      </c>
      <c r="O78" s="25">
        <f t="shared" si="11"/>
        <v>0</v>
      </c>
      <c r="P78" s="25">
        <f t="shared" si="11"/>
        <v>0</v>
      </c>
      <c r="Q78" s="25">
        <f t="shared" si="11"/>
        <v>0</v>
      </c>
      <c r="R78" s="25">
        <f t="shared" si="11"/>
        <v>0</v>
      </c>
      <c r="S78" s="25">
        <f t="shared" si="11"/>
        <v>0</v>
      </c>
      <c r="T78" s="25">
        <f t="shared" si="11"/>
        <v>0</v>
      </c>
      <c r="U78" s="25">
        <f t="shared" si="11"/>
        <v>0</v>
      </c>
      <c r="V78" s="25">
        <f t="shared" si="11"/>
        <v>1049000</v>
      </c>
      <c r="W78" s="25">
        <f t="shared" si="11"/>
        <v>198189.66666666666</v>
      </c>
      <c r="Z78" s="25">
        <f t="shared" ref="Z78:AA78" si="12">+Z22+Z23+Z37/3</f>
        <v>21818.2</v>
      </c>
      <c r="AA78" s="25">
        <f t="shared" si="12"/>
        <v>80726.346666666665</v>
      </c>
      <c r="AB78" s="25">
        <f t="shared" ref="AB78" si="13">+AB22+AB23</f>
        <v>0</v>
      </c>
      <c r="AC78" s="87">
        <f>SUM(H78:AA78)</f>
        <v>1898966.2133333334</v>
      </c>
    </row>
    <row r="79" spans="4:29" x14ac:dyDescent="0.2">
      <c r="F79" s="78" t="s">
        <v>106</v>
      </c>
      <c r="G79" s="94">
        <v>0.12</v>
      </c>
      <c r="H79" s="25">
        <f>+H78*$G$79</f>
        <v>36762</v>
      </c>
      <c r="K79" s="25">
        <f t="shared" ref="K79:W79" si="14">+K78*$G$79</f>
        <v>26181.84</v>
      </c>
      <c r="L79" s="25">
        <f t="shared" si="14"/>
        <v>0</v>
      </c>
      <c r="M79" s="25">
        <f t="shared" si="14"/>
        <v>2964</v>
      </c>
      <c r="N79" s="25">
        <f t="shared" si="14"/>
        <v>0</v>
      </c>
      <c r="O79" s="25">
        <f t="shared" si="14"/>
        <v>0</v>
      </c>
      <c r="P79" s="25">
        <f t="shared" si="14"/>
        <v>0</v>
      </c>
      <c r="Q79" s="25">
        <f t="shared" si="14"/>
        <v>0</v>
      </c>
      <c r="R79" s="25">
        <f t="shared" si="14"/>
        <v>0</v>
      </c>
      <c r="S79" s="25">
        <f t="shared" si="14"/>
        <v>0</v>
      </c>
      <c r="T79" s="25">
        <f t="shared" si="14"/>
        <v>0</v>
      </c>
      <c r="U79" s="25">
        <f t="shared" si="14"/>
        <v>0</v>
      </c>
      <c r="V79" s="25">
        <f t="shared" si="14"/>
        <v>125880</v>
      </c>
      <c r="W79" s="25">
        <f t="shared" si="14"/>
        <v>23782.76</v>
      </c>
      <c r="Z79" s="25"/>
      <c r="AC79" s="93"/>
    </row>
    <row r="80" spans="4:29" x14ac:dyDescent="0.2">
      <c r="F80" s="78" t="s">
        <v>118</v>
      </c>
      <c r="G80" s="94">
        <v>0.16</v>
      </c>
      <c r="H80" s="25">
        <f>+H79*$G$80</f>
        <v>5881.92</v>
      </c>
      <c r="K80" s="25">
        <f t="shared" ref="K80:W80" si="15">+K79*$G$80</f>
        <v>4189.0944</v>
      </c>
      <c r="L80" s="25">
        <f t="shared" si="15"/>
        <v>0</v>
      </c>
      <c r="M80" s="25">
        <f t="shared" si="15"/>
        <v>474.24</v>
      </c>
      <c r="N80" s="25">
        <f t="shared" si="15"/>
        <v>0</v>
      </c>
      <c r="O80" s="25">
        <f t="shared" si="15"/>
        <v>0</v>
      </c>
      <c r="P80" s="25">
        <f t="shared" si="15"/>
        <v>0</v>
      </c>
      <c r="Q80" s="25">
        <f t="shared" si="15"/>
        <v>0</v>
      </c>
      <c r="R80" s="25">
        <f t="shared" si="15"/>
        <v>0</v>
      </c>
      <c r="S80" s="25">
        <f t="shared" si="15"/>
        <v>0</v>
      </c>
      <c r="T80" s="25">
        <f t="shared" si="15"/>
        <v>0</v>
      </c>
      <c r="U80" s="25">
        <f t="shared" si="15"/>
        <v>0</v>
      </c>
      <c r="V80" s="25">
        <f t="shared" si="15"/>
        <v>20140.8</v>
      </c>
      <c r="W80" s="25">
        <f t="shared" si="15"/>
        <v>3805.2415999999998</v>
      </c>
      <c r="Z80" s="25"/>
      <c r="AC80" s="93"/>
    </row>
    <row r="81" spans="4:29" x14ac:dyDescent="0.2">
      <c r="F81" s="78"/>
      <c r="G81" s="94"/>
      <c r="Z81" s="25"/>
      <c r="AC81" s="93"/>
    </row>
    <row r="82" spans="4:29" ht="15" customHeight="1" x14ac:dyDescent="0.2">
      <c r="E82" s="100" t="s">
        <v>108</v>
      </c>
      <c r="F82" s="101"/>
      <c r="G82" s="101"/>
      <c r="H82" s="102">
        <f>+K78+Q78</f>
        <v>218182</v>
      </c>
      <c r="I82" s="103"/>
      <c r="J82" s="174">
        <f>SUM(H82:H91)</f>
        <v>2149028.1093333336</v>
      </c>
      <c r="Z82" s="25"/>
      <c r="AC82" s="93"/>
    </row>
    <row r="83" spans="4:29" x14ac:dyDescent="0.2">
      <c r="E83" s="100" t="s">
        <v>109</v>
      </c>
      <c r="F83" s="101"/>
      <c r="G83" s="104">
        <v>0.1</v>
      </c>
      <c r="H83" s="102">
        <f>+H82*G83</f>
        <v>21818.2</v>
      </c>
      <c r="I83" s="103"/>
      <c r="J83" s="174"/>
      <c r="Z83" s="25"/>
      <c r="AC83" s="93"/>
    </row>
    <row r="84" spans="4:29" x14ac:dyDescent="0.2">
      <c r="E84" s="100" t="s">
        <v>110</v>
      </c>
      <c r="F84" s="101"/>
      <c r="G84" s="101"/>
      <c r="H84" s="102">
        <f>+H78+L78+P78+T78+W78</f>
        <v>504539.66666666663</v>
      </c>
      <c r="I84" s="103"/>
      <c r="J84" s="174"/>
      <c r="Z84" s="25"/>
      <c r="AC84" s="93"/>
    </row>
    <row r="85" spans="4:29" x14ac:dyDescent="0.2">
      <c r="E85" s="100" t="s">
        <v>111</v>
      </c>
      <c r="F85" s="101"/>
      <c r="G85" s="104">
        <v>0.16</v>
      </c>
      <c r="H85" s="102">
        <f>+H84*G85</f>
        <v>80726.346666666665</v>
      </c>
      <c r="I85" s="103"/>
      <c r="J85" s="174"/>
      <c r="Z85" s="25"/>
      <c r="AC85" s="93"/>
    </row>
    <row r="86" spans="4:29" x14ac:dyDescent="0.2">
      <c r="E86" s="100" t="s">
        <v>112</v>
      </c>
      <c r="F86" s="101"/>
      <c r="G86" s="101"/>
      <c r="H86" s="102">
        <f>+M78</f>
        <v>24700</v>
      </c>
      <c r="I86" s="103"/>
      <c r="J86" s="174"/>
      <c r="Z86" s="25"/>
      <c r="AC86" s="93"/>
    </row>
    <row r="87" spans="4:29" x14ac:dyDescent="0.2">
      <c r="E87" s="100" t="s">
        <v>113</v>
      </c>
      <c r="F87" s="101"/>
      <c r="G87" s="101"/>
      <c r="H87" s="102">
        <f>+N78+O78+S78+U78</f>
        <v>0</v>
      </c>
      <c r="I87" s="103"/>
      <c r="J87" s="174"/>
      <c r="Z87" s="25"/>
      <c r="AC87" s="93"/>
    </row>
    <row r="88" spans="4:29" x14ac:dyDescent="0.2">
      <c r="E88" s="100" t="s">
        <v>114</v>
      </c>
      <c r="F88" s="101"/>
      <c r="G88" s="101"/>
      <c r="H88" s="102">
        <f>+V78</f>
        <v>1049000</v>
      </c>
      <c r="I88" s="103"/>
      <c r="J88" s="174"/>
      <c r="Z88" s="25"/>
      <c r="AC88" s="93"/>
    </row>
    <row r="89" spans="4:29" x14ac:dyDescent="0.2">
      <c r="E89" s="100" t="s">
        <v>115</v>
      </c>
      <c r="F89" s="101"/>
      <c r="G89" s="101"/>
      <c r="H89" s="102">
        <f>+R78</f>
        <v>0</v>
      </c>
      <c r="I89" s="103"/>
      <c r="J89" s="174"/>
      <c r="Z89" s="25"/>
      <c r="AC89" s="93"/>
    </row>
    <row r="90" spans="4:29" x14ac:dyDescent="0.2">
      <c r="E90" s="100" t="s">
        <v>116</v>
      </c>
      <c r="F90" s="101"/>
      <c r="G90" s="104">
        <v>0.12</v>
      </c>
      <c r="H90" s="102">
        <f>+(H82+H84+H86+H87+H88+H89)*G90</f>
        <v>215570.59999999998</v>
      </c>
      <c r="I90" s="103"/>
      <c r="J90" s="174"/>
      <c r="Z90" s="25"/>
      <c r="AC90" s="93"/>
    </row>
    <row r="91" spans="4:29" x14ac:dyDescent="0.2">
      <c r="E91" s="100" t="s">
        <v>117</v>
      </c>
      <c r="F91" s="101"/>
      <c r="G91" s="104">
        <v>0.16</v>
      </c>
      <c r="H91" s="102">
        <f>+H90*G91</f>
        <v>34491.295999999995</v>
      </c>
      <c r="I91" s="103"/>
      <c r="J91" s="174"/>
      <c r="Z91" s="25"/>
      <c r="AC91" s="93"/>
    </row>
    <row r="92" spans="4:29" x14ac:dyDescent="0.2">
      <c r="E92" s="105"/>
      <c r="F92" s="107"/>
      <c r="G92" s="108"/>
      <c r="H92" s="103"/>
      <c r="I92" s="103"/>
      <c r="J92" s="106"/>
      <c r="Z92" s="25"/>
      <c r="AC92" s="93"/>
    </row>
    <row r="93" spans="4:29" x14ac:dyDescent="0.2">
      <c r="E93" s="105"/>
      <c r="F93" s="107"/>
      <c r="G93" s="108"/>
      <c r="H93" s="103"/>
      <c r="I93" s="103"/>
      <c r="J93" s="106"/>
      <c r="Z93" s="25"/>
      <c r="AC93" s="93"/>
    </row>
    <row r="94" spans="4:29" x14ac:dyDescent="0.2">
      <c r="Z94" s="25"/>
      <c r="AC94" s="93"/>
    </row>
    <row r="95" spans="4:29" x14ac:dyDescent="0.2">
      <c r="D95" s="98" t="s">
        <v>78</v>
      </c>
      <c r="E95" s="27" t="s">
        <v>119</v>
      </c>
      <c r="H95" s="25">
        <f>+H27+H30+H33+H40</f>
        <v>585300</v>
      </c>
      <c r="K95" s="25">
        <f t="shared" ref="K95:W95" si="16">+K27+K30+K33+K40</f>
        <v>145072</v>
      </c>
      <c r="L95" s="25">
        <f t="shared" si="16"/>
        <v>6000</v>
      </c>
      <c r="M95" s="25">
        <f t="shared" si="16"/>
        <v>24700</v>
      </c>
      <c r="N95" s="25">
        <f t="shared" si="16"/>
        <v>0</v>
      </c>
      <c r="O95" s="25">
        <f t="shared" si="16"/>
        <v>116900</v>
      </c>
      <c r="P95" s="25">
        <f t="shared" si="16"/>
        <v>10345</v>
      </c>
      <c r="Q95" s="25">
        <f t="shared" si="16"/>
        <v>0</v>
      </c>
      <c r="R95" s="25">
        <f t="shared" si="16"/>
        <v>35100</v>
      </c>
      <c r="S95" s="25">
        <f t="shared" si="16"/>
        <v>0</v>
      </c>
      <c r="T95" s="25">
        <f t="shared" si="16"/>
        <v>0</v>
      </c>
      <c r="U95" s="25">
        <f t="shared" si="16"/>
        <v>0</v>
      </c>
      <c r="V95" s="25">
        <f t="shared" si="16"/>
        <v>0</v>
      </c>
      <c r="W95" s="25">
        <f t="shared" si="16"/>
        <v>0</v>
      </c>
      <c r="Z95" s="25">
        <f t="shared" ref="Z95:AB95" si="17">+Z27+Z30+Z33+Z40</f>
        <v>14508.2</v>
      </c>
      <c r="AA95" s="25">
        <f t="shared" si="17"/>
        <v>96263.2</v>
      </c>
      <c r="AB95" s="25">
        <f t="shared" si="17"/>
        <v>5288</v>
      </c>
      <c r="AC95" s="87">
        <f>SUM(H95:AA95)</f>
        <v>1034188.3999999999</v>
      </c>
    </row>
    <row r="96" spans="4:29" x14ac:dyDescent="0.2">
      <c r="F96" s="78" t="s">
        <v>106</v>
      </c>
      <c r="G96" s="94">
        <v>0.12</v>
      </c>
      <c r="H96" s="25">
        <f>+H95*$G$96</f>
        <v>70236</v>
      </c>
      <c r="K96" s="25">
        <f t="shared" ref="K96:W96" si="18">+K95*$G$96</f>
        <v>17408.64</v>
      </c>
      <c r="L96" s="25">
        <f t="shared" si="18"/>
        <v>720</v>
      </c>
      <c r="M96" s="25">
        <f t="shared" si="18"/>
        <v>2964</v>
      </c>
      <c r="N96" s="25">
        <f t="shared" si="18"/>
        <v>0</v>
      </c>
      <c r="O96" s="25">
        <f t="shared" si="18"/>
        <v>14028</v>
      </c>
      <c r="P96" s="25">
        <f t="shared" si="18"/>
        <v>1241.3999999999999</v>
      </c>
      <c r="Q96" s="25">
        <f t="shared" si="18"/>
        <v>0</v>
      </c>
      <c r="R96" s="25">
        <f t="shared" si="18"/>
        <v>4212</v>
      </c>
      <c r="S96" s="25">
        <f t="shared" si="18"/>
        <v>0</v>
      </c>
      <c r="T96" s="25">
        <f t="shared" si="18"/>
        <v>0</v>
      </c>
      <c r="U96" s="25">
        <f t="shared" si="18"/>
        <v>0</v>
      </c>
      <c r="V96" s="25">
        <f t="shared" si="18"/>
        <v>0</v>
      </c>
      <c r="W96" s="25">
        <f t="shared" si="18"/>
        <v>0</v>
      </c>
      <c r="Z96" s="25"/>
      <c r="AC96" s="93"/>
    </row>
    <row r="97" spans="4:29" x14ac:dyDescent="0.2">
      <c r="F97" s="78" t="s">
        <v>118</v>
      </c>
      <c r="G97" s="94">
        <v>0.16</v>
      </c>
      <c r="H97" s="25">
        <f>+H96*$G$97</f>
        <v>11237.76</v>
      </c>
      <c r="K97" s="25">
        <f t="shared" ref="K97:W97" si="19">+K96*$G$97</f>
        <v>2785.3824</v>
      </c>
      <c r="L97" s="25">
        <f t="shared" si="19"/>
        <v>115.2</v>
      </c>
      <c r="M97" s="25">
        <f t="shared" si="19"/>
        <v>474.24</v>
      </c>
      <c r="N97" s="25">
        <f t="shared" si="19"/>
        <v>0</v>
      </c>
      <c r="O97" s="25">
        <f t="shared" si="19"/>
        <v>2244.48</v>
      </c>
      <c r="P97" s="25">
        <f t="shared" si="19"/>
        <v>198.624</v>
      </c>
      <c r="Q97" s="25">
        <f t="shared" si="19"/>
        <v>0</v>
      </c>
      <c r="R97" s="25">
        <f t="shared" si="19"/>
        <v>673.92</v>
      </c>
      <c r="S97" s="25">
        <f t="shared" si="19"/>
        <v>0</v>
      </c>
      <c r="T97" s="25">
        <f t="shared" si="19"/>
        <v>0</v>
      </c>
      <c r="U97" s="25">
        <f t="shared" si="19"/>
        <v>0</v>
      </c>
      <c r="V97" s="25">
        <f t="shared" si="19"/>
        <v>0</v>
      </c>
      <c r="W97" s="25">
        <f t="shared" si="19"/>
        <v>0</v>
      </c>
      <c r="Z97" s="25"/>
      <c r="AC97" s="93"/>
    </row>
    <row r="98" spans="4:29" x14ac:dyDescent="0.2">
      <c r="F98" s="78"/>
      <c r="G98" s="94"/>
      <c r="Z98" s="25"/>
      <c r="AC98" s="93"/>
    </row>
    <row r="99" spans="4:29" ht="15" customHeight="1" x14ac:dyDescent="0.2">
      <c r="E99" s="100" t="s">
        <v>108</v>
      </c>
      <c r="F99" s="101"/>
      <c r="G99" s="101"/>
      <c r="H99" s="102">
        <f>+K95+Q95</f>
        <v>145072</v>
      </c>
      <c r="I99" s="103"/>
      <c r="J99" s="174">
        <f>SUM(H99:H108)</f>
        <v>1162727.0463999999</v>
      </c>
      <c r="Z99" s="25"/>
      <c r="AC99" s="93"/>
    </row>
    <row r="100" spans="4:29" x14ac:dyDescent="0.2">
      <c r="E100" s="100" t="s">
        <v>109</v>
      </c>
      <c r="F100" s="101"/>
      <c r="G100" s="104">
        <v>0.1</v>
      </c>
      <c r="H100" s="102">
        <f>+H99*G100</f>
        <v>14507.2</v>
      </c>
      <c r="I100" s="103"/>
      <c r="J100" s="174"/>
      <c r="Z100" s="25"/>
      <c r="AC100" s="93"/>
    </row>
    <row r="101" spans="4:29" x14ac:dyDescent="0.2">
      <c r="E101" s="100" t="s">
        <v>110</v>
      </c>
      <c r="F101" s="101"/>
      <c r="G101" s="101"/>
      <c r="H101" s="102">
        <f>+H95+L95+P95+T95+W95</f>
        <v>601645</v>
      </c>
      <c r="I101" s="103"/>
      <c r="J101" s="174"/>
      <c r="Z101" s="25"/>
      <c r="AC101" s="93"/>
    </row>
    <row r="102" spans="4:29" x14ac:dyDescent="0.2">
      <c r="E102" s="100" t="s">
        <v>111</v>
      </c>
      <c r="F102" s="101"/>
      <c r="G102" s="104">
        <v>0.16</v>
      </c>
      <c r="H102" s="102">
        <f>+H101*G102</f>
        <v>96263.2</v>
      </c>
      <c r="I102" s="103"/>
      <c r="J102" s="174"/>
      <c r="Z102" s="25"/>
      <c r="AC102" s="93"/>
    </row>
    <row r="103" spans="4:29" x14ac:dyDescent="0.2">
      <c r="E103" s="100" t="s">
        <v>112</v>
      </c>
      <c r="F103" s="101"/>
      <c r="G103" s="101"/>
      <c r="H103" s="102">
        <f>+M95</f>
        <v>24700</v>
      </c>
      <c r="I103" s="103"/>
      <c r="J103" s="174"/>
      <c r="Z103" s="25"/>
      <c r="AC103" s="93"/>
    </row>
    <row r="104" spans="4:29" x14ac:dyDescent="0.2">
      <c r="E104" s="100" t="s">
        <v>113</v>
      </c>
      <c r="F104" s="101"/>
      <c r="G104" s="101"/>
      <c r="H104" s="102">
        <f>+N95+O95+S95+U95</f>
        <v>116900</v>
      </c>
      <c r="I104" s="103"/>
      <c r="J104" s="174"/>
      <c r="Z104" s="25"/>
      <c r="AC104" s="93"/>
    </row>
    <row r="105" spans="4:29" x14ac:dyDescent="0.2">
      <c r="E105" s="100" t="s">
        <v>114</v>
      </c>
      <c r="F105" s="101"/>
      <c r="G105" s="101"/>
      <c r="H105" s="102">
        <f>+V95</f>
        <v>0</v>
      </c>
      <c r="I105" s="103"/>
      <c r="J105" s="174"/>
      <c r="Z105" s="25"/>
      <c r="AC105" s="93"/>
    </row>
    <row r="106" spans="4:29" x14ac:dyDescent="0.2">
      <c r="E106" s="100" t="s">
        <v>115</v>
      </c>
      <c r="F106" s="101"/>
      <c r="G106" s="101"/>
      <c r="H106" s="102">
        <f>+R95</f>
        <v>35100</v>
      </c>
      <c r="I106" s="103"/>
      <c r="J106" s="174"/>
      <c r="Z106" s="25"/>
      <c r="AC106" s="93"/>
    </row>
    <row r="107" spans="4:29" x14ac:dyDescent="0.2">
      <c r="E107" s="100" t="s">
        <v>116</v>
      </c>
      <c r="F107" s="101"/>
      <c r="G107" s="104">
        <v>0.12</v>
      </c>
      <c r="H107" s="102">
        <f>+(H99+H101+H103+H104+H105+H106)*G107</f>
        <v>110810.04</v>
      </c>
      <c r="I107" s="103"/>
      <c r="J107" s="174"/>
      <c r="Z107" s="25"/>
      <c r="AC107" s="93"/>
    </row>
    <row r="108" spans="4:29" x14ac:dyDescent="0.2">
      <c r="E108" s="100" t="s">
        <v>117</v>
      </c>
      <c r="F108" s="101"/>
      <c r="G108" s="104">
        <v>0.16</v>
      </c>
      <c r="H108" s="102">
        <f>+H107*G108</f>
        <v>17729.606400000001</v>
      </c>
      <c r="I108" s="103"/>
      <c r="J108" s="174"/>
      <c r="Z108" s="25"/>
      <c r="AC108" s="93"/>
    </row>
    <row r="109" spans="4:29" x14ac:dyDescent="0.2">
      <c r="E109" s="105"/>
      <c r="F109" s="107"/>
      <c r="G109" s="108"/>
      <c r="H109" s="103"/>
      <c r="I109" s="103"/>
      <c r="J109" s="106"/>
      <c r="Z109" s="25"/>
      <c r="AC109" s="93"/>
    </row>
    <row r="110" spans="4:29" x14ac:dyDescent="0.2">
      <c r="E110" s="105"/>
      <c r="F110" s="107"/>
      <c r="G110" s="108"/>
      <c r="H110" s="103"/>
      <c r="I110" s="103"/>
      <c r="J110" s="106"/>
      <c r="Z110" s="25"/>
      <c r="AC110" s="93"/>
    </row>
    <row r="111" spans="4:29" x14ac:dyDescent="0.2">
      <c r="Z111" s="25"/>
      <c r="AC111" s="93"/>
    </row>
    <row r="112" spans="4:29" x14ac:dyDescent="0.2">
      <c r="D112" s="98" t="s">
        <v>31</v>
      </c>
      <c r="E112" s="27" t="s">
        <v>120</v>
      </c>
      <c r="H112" s="25">
        <f>+H11+H12+H13+H14+H15+H18+H19+H24+H25+H26+H28+H29+H31+H37/3+H39+H41+H43</f>
        <v>1524250</v>
      </c>
      <c r="K112" s="25">
        <f t="shared" ref="K112:W112" si="20">+K11+K12+K13+K14+K15+K18+K19+K24+K25+K26+K28+K29+K31+K37/3+K39+K41+K43</f>
        <v>2223850</v>
      </c>
      <c r="L112" s="25">
        <f t="shared" si="20"/>
        <v>51086.172413793101</v>
      </c>
      <c r="M112" s="25">
        <f t="shared" si="20"/>
        <v>96400</v>
      </c>
      <c r="N112" s="25">
        <f t="shared" si="20"/>
        <v>6687</v>
      </c>
      <c r="O112" s="25">
        <f t="shared" si="20"/>
        <v>229700</v>
      </c>
      <c r="P112" s="25">
        <f t="shared" si="20"/>
        <v>131035.79310344828</v>
      </c>
      <c r="Q112" s="25">
        <f t="shared" si="20"/>
        <v>4909</v>
      </c>
      <c r="R112" s="25">
        <f t="shared" si="20"/>
        <v>530300</v>
      </c>
      <c r="S112" s="25">
        <f t="shared" si="20"/>
        <v>0</v>
      </c>
      <c r="T112" s="25">
        <f t="shared" si="20"/>
        <v>0</v>
      </c>
      <c r="U112" s="25">
        <f t="shared" si="20"/>
        <v>0</v>
      </c>
      <c r="V112" s="25">
        <f t="shared" si="20"/>
        <v>1049000</v>
      </c>
      <c r="W112" s="25">
        <f t="shared" si="20"/>
        <v>198189.66666666666</v>
      </c>
      <c r="Z112" s="25">
        <f t="shared" ref="Z112:AB112" si="21">+Z11+Z12+Z13+Z14+Z15+Z18+Z19+Z24+Z25+Z26+Z28+Z29+Z31+Z37/3+Z39+Z41+Z43</f>
        <v>222879.9</v>
      </c>
      <c r="AA112" s="25">
        <f t="shared" si="21"/>
        <v>304728.86114942527</v>
      </c>
      <c r="AB112" s="25">
        <f t="shared" si="21"/>
        <v>77962.37</v>
      </c>
      <c r="AC112" s="87">
        <f>SUM(H112:AA112)</f>
        <v>6573016.3933333345</v>
      </c>
    </row>
    <row r="113" spans="5:23" x14ac:dyDescent="0.2">
      <c r="F113" s="78" t="s">
        <v>106</v>
      </c>
      <c r="G113" s="94">
        <v>0.12</v>
      </c>
      <c r="H113" s="25">
        <f>+H112*$G$113</f>
        <v>182910</v>
      </c>
      <c r="K113" s="25">
        <f t="shared" ref="K113:W113" si="22">+K112*$G$113</f>
        <v>266862</v>
      </c>
      <c r="L113" s="25">
        <f t="shared" si="22"/>
        <v>6130.3406896551724</v>
      </c>
      <c r="M113" s="25">
        <f t="shared" si="22"/>
        <v>11568</v>
      </c>
      <c r="N113" s="25">
        <f t="shared" si="22"/>
        <v>802.43999999999994</v>
      </c>
      <c r="O113" s="25">
        <f t="shared" si="22"/>
        <v>27564</v>
      </c>
      <c r="P113" s="25">
        <f t="shared" si="22"/>
        <v>15724.295172413793</v>
      </c>
      <c r="Q113" s="25">
        <f t="shared" si="22"/>
        <v>589.07999999999993</v>
      </c>
      <c r="R113" s="25">
        <f t="shared" si="22"/>
        <v>63636</v>
      </c>
      <c r="S113" s="25">
        <f t="shared" si="22"/>
        <v>0</v>
      </c>
      <c r="T113" s="25">
        <f t="shared" si="22"/>
        <v>0</v>
      </c>
      <c r="U113" s="25">
        <f t="shared" si="22"/>
        <v>0</v>
      </c>
      <c r="V113" s="25">
        <f t="shared" si="22"/>
        <v>125880</v>
      </c>
      <c r="W113" s="25">
        <f t="shared" si="22"/>
        <v>23782.76</v>
      </c>
    </row>
    <row r="114" spans="5:23" x14ac:dyDescent="0.2">
      <c r="F114" s="78" t="s">
        <v>118</v>
      </c>
      <c r="G114" s="94">
        <v>0.16</v>
      </c>
      <c r="H114" s="25">
        <f>+H113*$G$114</f>
        <v>29265.600000000002</v>
      </c>
      <c r="K114" s="25">
        <f t="shared" ref="K114:W114" si="23">+K113*$G$114</f>
        <v>42697.919999999998</v>
      </c>
      <c r="L114" s="25">
        <f t="shared" si="23"/>
        <v>980.85451034482764</v>
      </c>
      <c r="M114" s="25">
        <f t="shared" si="23"/>
        <v>1850.88</v>
      </c>
      <c r="N114" s="25">
        <f t="shared" si="23"/>
        <v>128.3904</v>
      </c>
      <c r="O114" s="25">
        <f t="shared" si="23"/>
        <v>4410.24</v>
      </c>
      <c r="P114" s="25">
        <f t="shared" si="23"/>
        <v>2515.8872275862068</v>
      </c>
      <c r="Q114" s="25">
        <f t="shared" si="23"/>
        <v>94.252799999999993</v>
      </c>
      <c r="R114" s="25">
        <f t="shared" si="23"/>
        <v>10181.76</v>
      </c>
      <c r="S114" s="25">
        <f t="shared" si="23"/>
        <v>0</v>
      </c>
      <c r="T114" s="25">
        <f t="shared" si="23"/>
        <v>0</v>
      </c>
      <c r="U114" s="25">
        <f t="shared" si="23"/>
        <v>0</v>
      </c>
      <c r="V114" s="25">
        <f t="shared" si="23"/>
        <v>20140.8</v>
      </c>
      <c r="W114" s="25">
        <f t="shared" si="23"/>
        <v>3805.2415999999998</v>
      </c>
    </row>
    <row r="116" spans="5:23" ht="15" customHeight="1" x14ac:dyDescent="0.2">
      <c r="E116" s="100" t="s">
        <v>108</v>
      </c>
      <c r="F116" s="101"/>
      <c r="G116" s="101"/>
      <c r="H116" s="102">
        <f>+K112+Q112</f>
        <v>2228759</v>
      </c>
      <c r="I116" s="103"/>
      <c r="J116" s="174">
        <f>SUM(H116:H125)</f>
        <v>7414534.1357333343</v>
      </c>
    </row>
    <row r="117" spans="5:23" x14ac:dyDescent="0.2">
      <c r="E117" s="100" t="s">
        <v>109</v>
      </c>
      <c r="F117" s="101"/>
      <c r="G117" s="104">
        <v>0.1</v>
      </c>
      <c r="H117" s="102">
        <f>+H116*G117</f>
        <v>222875.90000000002</v>
      </c>
      <c r="I117" s="103"/>
      <c r="J117" s="174"/>
    </row>
    <row r="118" spans="5:23" x14ac:dyDescent="0.2">
      <c r="E118" s="100" t="s">
        <v>110</v>
      </c>
      <c r="F118" s="101"/>
      <c r="G118" s="101"/>
      <c r="H118" s="102">
        <f>+H112+L112+P112+T112+W112</f>
        <v>1904561.6321839083</v>
      </c>
      <c r="I118" s="103"/>
      <c r="J118" s="174"/>
    </row>
    <row r="119" spans="5:23" x14ac:dyDescent="0.2">
      <c r="E119" s="100" t="s">
        <v>111</v>
      </c>
      <c r="F119" s="101"/>
      <c r="G119" s="104">
        <v>0.16</v>
      </c>
      <c r="H119" s="102">
        <f>+H118*G119</f>
        <v>304729.86114942533</v>
      </c>
      <c r="I119" s="103"/>
      <c r="J119" s="174"/>
    </row>
    <row r="120" spans="5:23" x14ac:dyDescent="0.2">
      <c r="E120" s="100" t="s">
        <v>112</v>
      </c>
      <c r="F120" s="101"/>
      <c r="G120" s="101"/>
      <c r="H120" s="102">
        <f>+M112</f>
        <v>96400</v>
      </c>
      <c r="I120" s="103"/>
      <c r="J120" s="174"/>
    </row>
    <row r="121" spans="5:23" x14ac:dyDescent="0.2">
      <c r="E121" s="100" t="s">
        <v>113</v>
      </c>
      <c r="F121" s="101"/>
      <c r="G121" s="101"/>
      <c r="H121" s="102">
        <f>+N112+O112+S112+U112</f>
        <v>236387</v>
      </c>
      <c r="I121" s="103"/>
      <c r="J121" s="174"/>
    </row>
    <row r="122" spans="5:23" x14ac:dyDescent="0.2">
      <c r="E122" s="100" t="s">
        <v>114</v>
      </c>
      <c r="F122" s="101"/>
      <c r="G122" s="101"/>
      <c r="H122" s="102">
        <f>+V112</f>
        <v>1049000</v>
      </c>
      <c r="I122" s="103"/>
      <c r="J122" s="174"/>
    </row>
    <row r="123" spans="5:23" x14ac:dyDescent="0.2">
      <c r="E123" s="100" t="s">
        <v>115</v>
      </c>
      <c r="F123" s="101"/>
      <c r="G123" s="101"/>
      <c r="H123" s="102">
        <f>+R112</f>
        <v>530300</v>
      </c>
      <c r="I123" s="103"/>
      <c r="J123" s="174"/>
    </row>
    <row r="124" spans="5:23" x14ac:dyDescent="0.2">
      <c r="E124" s="100" t="s">
        <v>116</v>
      </c>
      <c r="F124" s="101"/>
      <c r="G124" s="104">
        <v>0.12</v>
      </c>
      <c r="H124" s="102">
        <f>+(H116+H118+H120+H121+H122+H123)*G124</f>
        <v>725448.915862069</v>
      </c>
      <c r="I124" s="103"/>
      <c r="J124" s="174"/>
    </row>
    <row r="125" spans="5:23" x14ac:dyDescent="0.2">
      <c r="E125" s="100" t="s">
        <v>117</v>
      </c>
      <c r="F125" s="101"/>
      <c r="G125" s="104">
        <v>0.16</v>
      </c>
      <c r="H125" s="102">
        <f>+H124*G125</f>
        <v>116071.82653793105</v>
      </c>
      <c r="I125" s="103"/>
      <c r="J125" s="174"/>
    </row>
    <row r="126" spans="5:23" x14ac:dyDescent="0.2">
      <c r="E126" s="105"/>
      <c r="F126" s="107"/>
      <c r="G126" s="108"/>
      <c r="H126" s="103"/>
      <c r="I126" s="103"/>
      <c r="J126" s="106"/>
    </row>
    <row r="127" spans="5:23" x14ac:dyDescent="0.2">
      <c r="E127" s="105"/>
      <c r="F127" s="107"/>
      <c r="G127" s="108"/>
      <c r="H127" s="103"/>
      <c r="I127" s="103"/>
      <c r="J127" s="106"/>
    </row>
    <row r="129" spans="1:31" x14ac:dyDescent="0.2">
      <c r="D129" s="109" t="s">
        <v>121</v>
      </c>
      <c r="E129" s="27" t="s">
        <v>122</v>
      </c>
      <c r="H129" s="25">
        <f>+H21+H42+H37/3</f>
        <v>215650</v>
      </c>
      <c r="K129" s="25">
        <f t="shared" ref="K129:W129" si="24">+K21+K42+K37/3</f>
        <v>0</v>
      </c>
      <c r="L129" s="25">
        <f t="shared" si="24"/>
        <v>0</v>
      </c>
      <c r="M129" s="25">
        <f t="shared" si="24"/>
        <v>12400</v>
      </c>
      <c r="N129" s="25">
        <f t="shared" si="24"/>
        <v>0</v>
      </c>
      <c r="O129" s="25">
        <f t="shared" si="24"/>
        <v>160000</v>
      </c>
      <c r="P129" s="25">
        <f t="shared" si="24"/>
        <v>0</v>
      </c>
      <c r="Q129" s="25">
        <f t="shared" si="24"/>
        <v>0</v>
      </c>
      <c r="R129" s="25">
        <f t="shared" si="24"/>
        <v>262100</v>
      </c>
      <c r="S129" s="25">
        <f t="shared" si="24"/>
        <v>0</v>
      </c>
      <c r="T129" s="25">
        <f t="shared" si="24"/>
        <v>0</v>
      </c>
      <c r="U129" s="25">
        <f t="shared" si="24"/>
        <v>0</v>
      </c>
      <c r="V129" s="25">
        <f t="shared" si="24"/>
        <v>1049000</v>
      </c>
      <c r="W129" s="25">
        <f t="shared" si="24"/>
        <v>198189.66666666666</v>
      </c>
      <c r="Z129" s="25">
        <f t="shared" ref="Z129:AB129" si="25">+Z21+Z42+Z37/3</f>
        <v>0</v>
      </c>
      <c r="AA129" s="25">
        <f t="shared" si="25"/>
        <v>66214.346666666665</v>
      </c>
      <c r="AB129" s="25">
        <f t="shared" si="25"/>
        <v>0</v>
      </c>
      <c r="AC129" s="87">
        <f>SUM(H129:AA129)</f>
        <v>1963554.0133333334</v>
      </c>
    </row>
    <row r="130" spans="1:31" x14ac:dyDescent="0.2">
      <c r="F130" s="78" t="s">
        <v>106</v>
      </c>
      <c r="G130" s="94">
        <v>0.12</v>
      </c>
      <c r="H130" s="25">
        <f>+H129*$G$130</f>
        <v>25878</v>
      </c>
      <c r="K130" s="25">
        <f t="shared" ref="K130:W130" si="26">+K129*$G$130</f>
        <v>0</v>
      </c>
      <c r="L130" s="25">
        <f t="shared" si="26"/>
        <v>0</v>
      </c>
      <c r="M130" s="25">
        <f t="shared" si="26"/>
        <v>1488</v>
      </c>
      <c r="N130" s="25">
        <f t="shared" si="26"/>
        <v>0</v>
      </c>
      <c r="O130" s="25">
        <f t="shared" si="26"/>
        <v>19200</v>
      </c>
      <c r="P130" s="25">
        <f t="shared" si="26"/>
        <v>0</v>
      </c>
      <c r="Q130" s="25">
        <f t="shared" si="26"/>
        <v>0</v>
      </c>
      <c r="R130" s="25">
        <f t="shared" si="26"/>
        <v>31452</v>
      </c>
      <c r="S130" s="25">
        <f t="shared" si="26"/>
        <v>0</v>
      </c>
      <c r="T130" s="25">
        <f t="shared" si="26"/>
        <v>0</v>
      </c>
      <c r="U130" s="25">
        <f t="shared" si="26"/>
        <v>0</v>
      </c>
      <c r="V130" s="25">
        <f t="shared" si="26"/>
        <v>125880</v>
      </c>
      <c r="W130" s="25">
        <f t="shared" si="26"/>
        <v>23782.76</v>
      </c>
    </row>
    <row r="131" spans="1:31" x14ac:dyDescent="0.2">
      <c r="F131" s="78" t="s">
        <v>118</v>
      </c>
      <c r="G131" s="94">
        <v>0.16</v>
      </c>
      <c r="H131" s="25">
        <f>+H130*$G$131</f>
        <v>4140.4800000000005</v>
      </c>
      <c r="K131" s="25">
        <f t="shared" ref="K131:W131" si="27">+K130*$G$131</f>
        <v>0</v>
      </c>
      <c r="L131" s="25">
        <f t="shared" si="27"/>
        <v>0</v>
      </c>
      <c r="M131" s="25">
        <f t="shared" si="27"/>
        <v>238.08</v>
      </c>
      <c r="N131" s="25">
        <f t="shared" si="27"/>
        <v>0</v>
      </c>
      <c r="O131" s="25">
        <f t="shared" si="27"/>
        <v>3072</v>
      </c>
      <c r="P131" s="25">
        <f t="shared" si="27"/>
        <v>0</v>
      </c>
      <c r="Q131" s="25">
        <f t="shared" si="27"/>
        <v>0</v>
      </c>
      <c r="R131" s="25">
        <f t="shared" si="27"/>
        <v>5032.32</v>
      </c>
      <c r="S131" s="25">
        <f t="shared" si="27"/>
        <v>0</v>
      </c>
      <c r="T131" s="25">
        <f t="shared" si="27"/>
        <v>0</v>
      </c>
      <c r="U131" s="25">
        <f t="shared" si="27"/>
        <v>0</v>
      </c>
      <c r="V131" s="25">
        <f t="shared" si="27"/>
        <v>20140.8</v>
      </c>
      <c r="W131" s="25">
        <f t="shared" si="27"/>
        <v>3805.2415999999998</v>
      </c>
    </row>
    <row r="133" spans="1:31" ht="15" customHeight="1" x14ac:dyDescent="0.2">
      <c r="E133" s="100" t="s">
        <v>108</v>
      </c>
      <c r="F133" s="101"/>
      <c r="G133" s="101"/>
      <c r="H133" s="102">
        <f>+K129+Q129</f>
        <v>0</v>
      </c>
      <c r="I133" s="103"/>
      <c r="J133" s="174">
        <f>SUM(H133:H142)</f>
        <v>2227663.694933333</v>
      </c>
    </row>
    <row r="134" spans="1:31" x14ac:dyDescent="0.2">
      <c r="E134" s="100" t="s">
        <v>109</v>
      </c>
      <c r="F134" s="101"/>
      <c r="G134" s="104">
        <v>0.1</v>
      </c>
      <c r="H134" s="102">
        <f>+H133*G134</f>
        <v>0</v>
      </c>
      <c r="I134" s="103"/>
      <c r="J134" s="174"/>
    </row>
    <row r="135" spans="1:31" x14ac:dyDescent="0.2">
      <c r="E135" s="100" t="s">
        <v>110</v>
      </c>
      <c r="F135" s="101"/>
      <c r="G135" s="101"/>
      <c r="H135" s="102">
        <f>+H129+L129+P129+T129+W129</f>
        <v>413839.66666666663</v>
      </c>
      <c r="I135" s="103"/>
      <c r="J135" s="174"/>
    </row>
    <row r="136" spans="1:31" x14ac:dyDescent="0.2">
      <c r="E136" s="100" t="s">
        <v>111</v>
      </c>
      <c r="F136" s="101"/>
      <c r="G136" s="104">
        <v>0.16</v>
      </c>
      <c r="H136" s="102">
        <f>+H135*G136</f>
        <v>66214.346666666665</v>
      </c>
      <c r="I136" s="103"/>
      <c r="J136" s="174"/>
    </row>
    <row r="137" spans="1:31" x14ac:dyDescent="0.2">
      <c r="E137" s="100" t="s">
        <v>112</v>
      </c>
      <c r="F137" s="101"/>
      <c r="G137" s="101"/>
      <c r="H137" s="102">
        <f>+M129</f>
        <v>12400</v>
      </c>
      <c r="I137" s="103"/>
      <c r="J137" s="174"/>
    </row>
    <row r="138" spans="1:31" x14ac:dyDescent="0.2">
      <c r="E138" s="100" t="s">
        <v>113</v>
      </c>
      <c r="F138" s="101"/>
      <c r="G138" s="101"/>
      <c r="H138" s="102">
        <f>+N129+O129+S129+U129</f>
        <v>160000</v>
      </c>
      <c r="I138" s="103"/>
      <c r="J138" s="174"/>
    </row>
    <row r="139" spans="1:31" x14ac:dyDescent="0.2">
      <c r="E139" s="100" t="s">
        <v>114</v>
      </c>
      <c r="F139" s="101"/>
      <c r="G139" s="101"/>
      <c r="H139" s="102">
        <f>+V129</f>
        <v>1049000</v>
      </c>
      <c r="I139" s="103"/>
      <c r="J139" s="174"/>
    </row>
    <row r="140" spans="1:31" x14ac:dyDescent="0.2">
      <c r="E140" s="100" t="s">
        <v>115</v>
      </c>
      <c r="F140" s="101"/>
      <c r="G140" s="101"/>
      <c r="H140" s="102">
        <f>+R129</f>
        <v>262100</v>
      </c>
      <c r="I140" s="103"/>
      <c r="J140" s="174"/>
    </row>
    <row r="141" spans="1:31" s="25" customFormat="1" x14ac:dyDescent="0.2">
      <c r="A141" s="27"/>
      <c r="B141" s="83"/>
      <c r="C141" s="83"/>
      <c r="D141" s="27"/>
      <c r="E141" s="100" t="s">
        <v>116</v>
      </c>
      <c r="F141" s="101"/>
      <c r="G141" s="104">
        <v>0.12</v>
      </c>
      <c r="H141" s="102">
        <f>+(H133+H135+H137+H138+H139+H140)*G141</f>
        <v>227680.75999999998</v>
      </c>
      <c r="I141" s="103"/>
      <c r="J141" s="174"/>
      <c r="X141" s="31"/>
      <c r="Z141" s="27"/>
      <c r="AC141" s="27"/>
      <c r="AD141" s="26"/>
      <c r="AE141" s="27"/>
    </row>
    <row r="142" spans="1:31" x14ac:dyDescent="0.2">
      <c r="E142" s="100" t="s">
        <v>117</v>
      </c>
      <c r="F142" s="101"/>
      <c r="G142" s="104">
        <v>0.16</v>
      </c>
      <c r="H142" s="102">
        <f>+H141*G142</f>
        <v>36428.921599999994</v>
      </c>
      <c r="J142" s="174"/>
    </row>
    <row r="143" spans="1:31" x14ac:dyDescent="0.2">
      <c r="E143" s="100"/>
      <c r="F143" s="101"/>
      <c r="G143" s="104"/>
      <c r="H143" s="102"/>
      <c r="J143" s="106"/>
    </row>
    <row r="144" spans="1:31" x14ac:dyDescent="0.2">
      <c r="E144" s="100"/>
      <c r="F144" s="101"/>
      <c r="G144" s="104"/>
      <c r="H144" s="102"/>
      <c r="J144" s="106"/>
    </row>
    <row r="146" spans="1:31" x14ac:dyDescent="0.2">
      <c r="D146" s="109" t="s">
        <v>121</v>
      </c>
      <c r="E146" s="27" t="s">
        <v>123</v>
      </c>
      <c r="H146" s="25">
        <f>+H38</f>
        <v>0</v>
      </c>
      <c r="K146" s="25">
        <f t="shared" ref="K146:W146" si="28">+K38</f>
        <v>0</v>
      </c>
      <c r="L146" s="25">
        <f t="shared" si="28"/>
        <v>0</v>
      </c>
      <c r="M146" s="25">
        <f t="shared" si="28"/>
        <v>0</v>
      </c>
      <c r="N146" s="25">
        <f t="shared" si="28"/>
        <v>0</v>
      </c>
      <c r="O146" s="25">
        <f t="shared" si="28"/>
        <v>0</v>
      </c>
      <c r="P146" s="25">
        <f t="shared" si="28"/>
        <v>0</v>
      </c>
      <c r="Q146" s="25">
        <f t="shared" si="28"/>
        <v>0</v>
      </c>
      <c r="R146" s="25">
        <f t="shared" si="28"/>
        <v>0</v>
      </c>
      <c r="S146" s="25">
        <f t="shared" si="28"/>
        <v>0</v>
      </c>
      <c r="T146" s="25">
        <f t="shared" si="28"/>
        <v>0</v>
      </c>
      <c r="U146" s="25">
        <f t="shared" si="28"/>
        <v>131200</v>
      </c>
      <c r="V146" s="25">
        <f t="shared" si="28"/>
        <v>0</v>
      </c>
      <c r="W146" s="25">
        <f t="shared" si="28"/>
        <v>0</v>
      </c>
      <c r="Z146" s="25">
        <f t="shared" ref="Z146:AB146" si="29">+Z38</f>
        <v>0</v>
      </c>
      <c r="AA146" s="25">
        <f t="shared" si="29"/>
        <v>0</v>
      </c>
      <c r="AB146" s="25">
        <f t="shared" si="29"/>
        <v>0</v>
      </c>
      <c r="AC146" s="87">
        <f>SUM(H146:AA146)</f>
        <v>131200</v>
      </c>
    </row>
    <row r="147" spans="1:31" x14ac:dyDescent="0.2">
      <c r="F147" s="78" t="s">
        <v>106</v>
      </c>
      <c r="G147" s="94">
        <v>0.12</v>
      </c>
      <c r="H147" s="25">
        <f>+H146*$G$147</f>
        <v>0</v>
      </c>
      <c r="K147" s="25">
        <f t="shared" ref="K147:W147" si="30">+K146*$G$147</f>
        <v>0</v>
      </c>
      <c r="L147" s="25">
        <f t="shared" si="30"/>
        <v>0</v>
      </c>
      <c r="M147" s="25">
        <f t="shared" si="30"/>
        <v>0</v>
      </c>
      <c r="N147" s="25">
        <f t="shared" si="30"/>
        <v>0</v>
      </c>
      <c r="O147" s="25">
        <f t="shared" si="30"/>
        <v>0</v>
      </c>
      <c r="P147" s="25">
        <f t="shared" si="30"/>
        <v>0</v>
      </c>
      <c r="Q147" s="25">
        <f t="shared" si="30"/>
        <v>0</v>
      </c>
      <c r="R147" s="25">
        <f t="shared" si="30"/>
        <v>0</v>
      </c>
      <c r="S147" s="25">
        <f t="shared" si="30"/>
        <v>0</v>
      </c>
      <c r="T147" s="25">
        <f t="shared" si="30"/>
        <v>0</v>
      </c>
      <c r="U147" s="25">
        <f t="shared" si="30"/>
        <v>15744</v>
      </c>
      <c r="V147" s="25">
        <f t="shared" si="30"/>
        <v>0</v>
      </c>
      <c r="W147" s="25">
        <f t="shared" si="30"/>
        <v>0</v>
      </c>
    </row>
    <row r="148" spans="1:31" x14ac:dyDescent="0.2">
      <c r="F148" s="78" t="s">
        <v>118</v>
      </c>
      <c r="G148" s="94">
        <v>0.16</v>
      </c>
      <c r="H148" s="25">
        <f>+H147*$G$148</f>
        <v>0</v>
      </c>
      <c r="K148" s="25">
        <f t="shared" ref="K148:W148" si="31">+K147*$G$148</f>
        <v>0</v>
      </c>
      <c r="L148" s="25">
        <f t="shared" si="31"/>
        <v>0</v>
      </c>
      <c r="M148" s="25">
        <f t="shared" si="31"/>
        <v>0</v>
      </c>
      <c r="N148" s="25">
        <f t="shared" si="31"/>
        <v>0</v>
      </c>
      <c r="O148" s="25">
        <f t="shared" si="31"/>
        <v>0</v>
      </c>
      <c r="P148" s="25">
        <f t="shared" si="31"/>
        <v>0</v>
      </c>
      <c r="Q148" s="25">
        <f t="shared" si="31"/>
        <v>0</v>
      </c>
      <c r="R148" s="25">
        <f t="shared" si="31"/>
        <v>0</v>
      </c>
      <c r="S148" s="25">
        <f t="shared" si="31"/>
        <v>0</v>
      </c>
      <c r="T148" s="25">
        <f t="shared" si="31"/>
        <v>0</v>
      </c>
      <c r="U148" s="25">
        <f t="shared" si="31"/>
        <v>2519.04</v>
      </c>
      <c r="V148" s="25">
        <f t="shared" si="31"/>
        <v>0</v>
      </c>
      <c r="W148" s="25">
        <f t="shared" si="31"/>
        <v>0</v>
      </c>
    </row>
    <row r="150" spans="1:31" ht="15" customHeight="1" x14ac:dyDescent="0.2">
      <c r="E150" s="100" t="s">
        <v>108</v>
      </c>
      <c r="F150" s="101"/>
      <c r="G150" s="101"/>
      <c r="H150" s="102">
        <f>+K146+Q146</f>
        <v>0</v>
      </c>
      <c r="I150" s="103"/>
      <c r="J150" s="174">
        <f>SUM(H150:H159)</f>
        <v>149463.04000000001</v>
      </c>
    </row>
    <row r="151" spans="1:31" x14ac:dyDescent="0.2">
      <c r="E151" s="100" t="s">
        <v>109</v>
      </c>
      <c r="F151" s="101"/>
      <c r="G151" s="104">
        <v>0.1</v>
      </c>
      <c r="H151" s="102">
        <f>+H150*G151</f>
        <v>0</v>
      </c>
      <c r="I151" s="103"/>
      <c r="J151" s="174"/>
    </row>
    <row r="152" spans="1:31" x14ac:dyDescent="0.2">
      <c r="E152" s="100" t="s">
        <v>110</v>
      </c>
      <c r="F152" s="101"/>
      <c r="G152" s="101"/>
      <c r="H152" s="102">
        <f>+H146+L146+P146+T146+W146</f>
        <v>0</v>
      </c>
      <c r="I152" s="103"/>
      <c r="J152" s="174"/>
    </row>
    <row r="153" spans="1:31" x14ac:dyDescent="0.2">
      <c r="E153" s="100" t="s">
        <v>111</v>
      </c>
      <c r="F153" s="101"/>
      <c r="G153" s="104">
        <v>0.16</v>
      </c>
      <c r="H153" s="102">
        <f>+H152*G153</f>
        <v>0</v>
      </c>
      <c r="I153" s="103"/>
      <c r="J153" s="174"/>
    </row>
    <row r="154" spans="1:31" x14ac:dyDescent="0.2">
      <c r="E154" s="100" t="s">
        <v>112</v>
      </c>
      <c r="F154" s="101"/>
      <c r="G154" s="101"/>
      <c r="H154" s="102">
        <f>+M146</f>
        <v>0</v>
      </c>
      <c r="I154" s="103"/>
      <c r="J154" s="174"/>
    </row>
    <row r="155" spans="1:31" x14ac:dyDescent="0.2">
      <c r="E155" s="100" t="s">
        <v>113</v>
      </c>
      <c r="F155" s="101"/>
      <c r="G155" s="101"/>
      <c r="H155" s="102">
        <f>+N146+O146+S146+U146</f>
        <v>131200</v>
      </c>
      <c r="I155" s="103"/>
      <c r="J155" s="174"/>
    </row>
    <row r="156" spans="1:31" x14ac:dyDescent="0.2">
      <c r="E156" s="100" t="s">
        <v>114</v>
      </c>
      <c r="F156" s="101"/>
      <c r="G156" s="101"/>
      <c r="H156" s="102">
        <f>+V146</f>
        <v>0</v>
      </c>
      <c r="I156" s="103"/>
      <c r="J156" s="174"/>
    </row>
    <row r="157" spans="1:31" x14ac:dyDescent="0.2">
      <c r="E157" s="100" t="s">
        <v>115</v>
      </c>
      <c r="F157" s="101"/>
      <c r="G157" s="101"/>
      <c r="H157" s="102">
        <f>+R146</f>
        <v>0</v>
      </c>
      <c r="I157" s="103"/>
      <c r="J157" s="174"/>
    </row>
    <row r="158" spans="1:31" s="25" customFormat="1" x14ac:dyDescent="0.2">
      <c r="A158" s="27"/>
      <c r="B158" s="83"/>
      <c r="C158" s="83"/>
      <c r="D158" s="27"/>
      <c r="E158" s="100" t="s">
        <v>116</v>
      </c>
      <c r="F158" s="101"/>
      <c r="G158" s="104">
        <v>0.12</v>
      </c>
      <c r="H158" s="102">
        <f>+(H150+H152+H154+H155+H156+H157)*G158</f>
        <v>15744</v>
      </c>
      <c r="I158" s="103"/>
      <c r="J158" s="174"/>
      <c r="X158" s="31"/>
      <c r="Z158" s="27"/>
      <c r="AC158" s="27"/>
      <c r="AD158" s="26"/>
      <c r="AE158" s="27"/>
    </row>
    <row r="159" spans="1:31" x14ac:dyDescent="0.2">
      <c r="E159" s="100" t="s">
        <v>117</v>
      </c>
      <c r="F159" s="101"/>
      <c r="G159" s="104">
        <v>0.16</v>
      </c>
      <c r="H159" s="102">
        <f>+H158*G159</f>
        <v>2519.04</v>
      </c>
      <c r="J159" s="174"/>
    </row>
    <row r="163" spans="1:31" x14ac:dyDescent="0.2">
      <c r="D163" s="109" t="s">
        <v>121</v>
      </c>
      <c r="E163" s="27" t="s">
        <v>95</v>
      </c>
      <c r="H163" s="25">
        <f>+H36</f>
        <v>0</v>
      </c>
      <c r="K163" s="25">
        <f t="shared" ref="K163:W163" si="32">+K36</f>
        <v>0</v>
      </c>
      <c r="L163" s="25">
        <f t="shared" si="32"/>
        <v>0</v>
      </c>
      <c r="M163" s="25">
        <f t="shared" si="32"/>
        <v>0</v>
      </c>
      <c r="N163" s="25">
        <f t="shared" si="32"/>
        <v>0</v>
      </c>
      <c r="O163" s="25">
        <f t="shared" si="32"/>
        <v>0</v>
      </c>
      <c r="P163" s="25">
        <f t="shared" si="32"/>
        <v>0</v>
      </c>
      <c r="Q163" s="25">
        <f t="shared" si="32"/>
        <v>0</v>
      </c>
      <c r="R163" s="25">
        <f t="shared" si="32"/>
        <v>0</v>
      </c>
      <c r="S163" s="25">
        <f t="shared" si="32"/>
        <v>84000</v>
      </c>
      <c r="T163" s="25">
        <f t="shared" si="32"/>
        <v>0</v>
      </c>
      <c r="U163" s="25">
        <f t="shared" si="32"/>
        <v>0</v>
      </c>
      <c r="V163" s="25">
        <f t="shared" si="32"/>
        <v>0</v>
      </c>
      <c r="W163" s="25">
        <f t="shared" si="32"/>
        <v>0</v>
      </c>
      <c r="Z163" s="25">
        <f t="shared" ref="Z163:AB163" si="33">+Z36</f>
        <v>0</v>
      </c>
      <c r="AA163" s="25">
        <f t="shared" si="33"/>
        <v>0</v>
      </c>
      <c r="AB163" s="25">
        <f t="shared" si="33"/>
        <v>0</v>
      </c>
      <c r="AC163" s="87">
        <f>SUM(H163:AA163)</f>
        <v>84000</v>
      </c>
    </row>
    <row r="164" spans="1:31" x14ac:dyDescent="0.2">
      <c r="F164" s="78" t="s">
        <v>106</v>
      </c>
      <c r="G164" s="94">
        <v>0.12</v>
      </c>
      <c r="H164" s="25">
        <f>+H163*$G$164</f>
        <v>0</v>
      </c>
      <c r="K164" s="25">
        <f t="shared" ref="K164:W164" si="34">+K163*$G$164</f>
        <v>0</v>
      </c>
      <c r="L164" s="25">
        <f t="shared" si="34"/>
        <v>0</v>
      </c>
      <c r="M164" s="25">
        <f t="shared" si="34"/>
        <v>0</v>
      </c>
      <c r="N164" s="25">
        <f t="shared" si="34"/>
        <v>0</v>
      </c>
      <c r="O164" s="25">
        <f t="shared" si="34"/>
        <v>0</v>
      </c>
      <c r="P164" s="25">
        <f t="shared" si="34"/>
        <v>0</v>
      </c>
      <c r="Q164" s="25">
        <f t="shared" si="34"/>
        <v>0</v>
      </c>
      <c r="R164" s="25">
        <f t="shared" si="34"/>
        <v>0</v>
      </c>
      <c r="S164" s="25">
        <f t="shared" si="34"/>
        <v>10080</v>
      </c>
      <c r="T164" s="25">
        <f t="shared" si="34"/>
        <v>0</v>
      </c>
      <c r="U164" s="25">
        <f t="shared" si="34"/>
        <v>0</v>
      </c>
      <c r="V164" s="25">
        <f t="shared" si="34"/>
        <v>0</v>
      </c>
      <c r="W164" s="25">
        <f t="shared" si="34"/>
        <v>0</v>
      </c>
    </row>
    <row r="165" spans="1:31" x14ac:dyDescent="0.2">
      <c r="F165" s="78" t="s">
        <v>118</v>
      </c>
      <c r="G165" s="94">
        <v>0.16</v>
      </c>
      <c r="H165" s="25">
        <f>+H164*$G$165</f>
        <v>0</v>
      </c>
      <c r="K165" s="25">
        <f t="shared" ref="K165:W165" si="35">+K164*$G$165</f>
        <v>0</v>
      </c>
      <c r="L165" s="25">
        <f t="shared" si="35"/>
        <v>0</v>
      </c>
      <c r="M165" s="25">
        <f t="shared" si="35"/>
        <v>0</v>
      </c>
      <c r="N165" s="25">
        <f t="shared" si="35"/>
        <v>0</v>
      </c>
      <c r="O165" s="25">
        <f t="shared" si="35"/>
        <v>0</v>
      </c>
      <c r="P165" s="25">
        <f t="shared" si="35"/>
        <v>0</v>
      </c>
      <c r="Q165" s="25">
        <f t="shared" si="35"/>
        <v>0</v>
      </c>
      <c r="R165" s="25">
        <f t="shared" si="35"/>
        <v>0</v>
      </c>
      <c r="S165" s="25">
        <f t="shared" si="35"/>
        <v>1612.8</v>
      </c>
      <c r="T165" s="25">
        <f t="shared" si="35"/>
        <v>0</v>
      </c>
      <c r="U165" s="25">
        <f t="shared" si="35"/>
        <v>0</v>
      </c>
      <c r="V165" s="25">
        <f t="shared" si="35"/>
        <v>0</v>
      </c>
      <c r="W165" s="25">
        <f t="shared" si="35"/>
        <v>0</v>
      </c>
    </row>
    <row r="167" spans="1:31" ht="15" customHeight="1" x14ac:dyDescent="0.2">
      <c r="E167" s="100" t="s">
        <v>108</v>
      </c>
      <c r="F167" s="101"/>
      <c r="G167" s="101"/>
      <c r="H167" s="102">
        <f>+K163+Q163</f>
        <v>0</v>
      </c>
      <c r="I167" s="103"/>
      <c r="J167" s="174">
        <f>SUM(H167:H176)</f>
        <v>95692.800000000003</v>
      </c>
    </row>
    <row r="168" spans="1:31" x14ac:dyDescent="0.2">
      <c r="E168" s="100" t="s">
        <v>109</v>
      </c>
      <c r="F168" s="101"/>
      <c r="G168" s="104">
        <v>0.1</v>
      </c>
      <c r="H168" s="102">
        <f>+H167*G168</f>
        <v>0</v>
      </c>
      <c r="I168" s="103"/>
      <c r="J168" s="174"/>
    </row>
    <row r="169" spans="1:31" x14ac:dyDescent="0.2">
      <c r="E169" s="100" t="s">
        <v>110</v>
      </c>
      <c r="F169" s="101"/>
      <c r="G169" s="101"/>
      <c r="H169" s="102">
        <f>+H163+L163+P163+T163+W163</f>
        <v>0</v>
      </c>
      <c r="I169" s="103"/>
      <c r="J169" s="174"/>
    </row>
    <row r="170" spans="1:31" x14ac:dyDescent="0.2">
      <c r="E170" s="100" t="s">
        <v>111</v>
      </c>
      <c r="F170" s="101"/>
      <c r="G170" s="104">
        <v>0.16</v>
      </c>
      <c r="H170" s="102">
        <f>+H169*G170</f>
        <v>0</v>
      </c>
      <c r="I170" s="103"/>
      <c r="J170" s="174"/>
    </row>
    <row r="171" spans="1:31" x14ac:dyDescent="0.2">
      <c r="E171" s="100" t="s">
        <v>112</v>
      </c>
      <c r="F171" s="101"/>
      <c r="G171" s="101"/>
      <c r="H171" s="102">
        <f>+M163</f>
        <v>0</v>
      </c>
      <c r="I171" s="103"/>
      <c r="J171" s="174"/>
    </row>
    <row r="172" spans="1:31" x14ac:dyDescent="0.2">
      <c r="E172" s="100" t="s">
        <v>113</v>
      </c>
      <c r="F172" s="101"/>
      <c r="G172" s="101"/>
      <c r="H172" s="102">
        <f>+N163+O163+S163+U163</f>
        <v>84000</v>
      </c>
      <c r="I172" s="103"/>
      <c r="J172" s="174"/>
    </row>
    <row r="173" spans="1:31" x14ac:dyDescent="0.2">
      <c r="E173" s="100" t="s">
        <v>114</v>
      </c>
      <c r="F173" s="101"/>
      <c r="G173" s="101"/>
      <c r="H173" s="102">
        <f>+V163</f>
        <v>0</v>
      </c>
      <c r="I173" s="103"/>
      <c r="J173" s="174"/>
    </row>
    <row r="174" spans="1:31" x14ac:dyDescent="0.2">
      <c r="E174" s="100" t="s">
        <v>115</v>
      </c>
      <c r="F174" s="101"/>
      <c r="G174" s="101"/>
      <c r="H174" s="102">
        <f>+R163</f>
        <v>0</v>
      </c>
      <c r="I174" s="103"/>
      <c r="J174" s="174"/>
    </row>
    <row r="175" spans="1:31" s="25" customFormat="1" x14ac:dyDescent="0.2">
      <c r="A175" s="27"/>
      <c r="B175" s="83"/>
      <c r="C175" s="83"/>
      <c r="D175" s="27"/>
      <c r="E175" s="100" t="s">
        <v>116</v>
      </c>
      <c r="F175" s="101"/>
      <c r="G175" s="104">
        <v>0.12</v>
      </c>
      <c r="H175" s="102">
        <f>+(H167+H169+H171+H172+H173+H174)*G175</f>
        <v>10080</v>
      </c>
      <c r="I175" s="103"/>
      <c r="J175" s="174"/>
      <c r="X175" s="31"/>
      <c r="Z175" s="27"/>
      <c r="AC175" s="27"/>
      <c r="AD175" s="26"/>
      <c r="AE175" s="27"/>
    </row>
    <row r="176" spans="1:31" x14ac:dyDescent="0.2">
      <c r="E176" s="100" t="s">
        <v>117</v>
      </c>
      <c r="F176" s="101"/>
      <c r="G176" s="104">
        <v>0.16</v>
      </c>
      <c r="H176" s="102">
        <f>+H175*G176</f>
        <v>1612.8</v>
      </c>
      <c r="J176" s="174"/>
    </row>
    <row r="183" spans="6:27" x14ac:dyDescent="0.2">
      <c r="I183" s="25">
        <f>+J65+J82+J99+J116+J133</f>
        <v>17138060.5176</v>
      </c>
    </row>
    <row r="184" spans="6:27" x14ac:dyDescent="0.2">
      <c r="F184" s="27" t="s">
        <v>124</v>
      </c>
    </row>
    <row r="185" spans="6:27" x14ac:dyDescent="0.2">
      <c r="F185" s="27" t="s">
        <v>125</v>
      </c>
      <c r="G185" s="25">
        <v>262554</v>
      </c>
      <c r="H185" s="25">
        <f>+H21</f>
        <v>215650</v>
      </c>
      <c r="I185" s="25">
        <f t="shared" ref="I185:AA185" si="36">+I21</f>
        <v>0</v>
      </c>
      <c r="J185" s="25">
        <f t="shared" si="36"/>
        <v>0</v>
      </c>
      <c r="K185" s="25">
        <f>+K21</f>
        <v>0</v>
      </c>
      <c r="L185" s="25">
        <f t="shared" si="36"/>
        <v>0</v>
      </c>
      <c r="M185" s="25">
        <f t="shared" si="36"/>
        <v>12400</v>
      </c>
      <c r="N185" s="25">
        <f t="shared" si="36"/>
        <v>0</v>
      </c>
      <c r="O185" s="25">
        <f t="shared" si="36"/>
        <v>0</v>
      </c>
      <c r="P185" s="25">
        <f t="shared" si="36"/>
        <v>0</v>
      </c>
      <c r="Q185" s="25">
        <f t="shared" si="36"/>
        <v>0</v>
      </c>
      <c r="R185" s="25">
        <f t="shared" si="36"/>
        <v>0</v>
      </c>
      <c r="S185" s="25">
        <f t="shared" si="36"/>
        <v>0</v>
      </c>
      <c r="T185" s="25">
        <f t="shared" si="36"/>
        <v>0</v>
      </c>
      <c r="U185" s="25">
        <f t="shared" si="36"/>
        <v>0</v>
      </c>
      <c r="V185" s="25">
        <f t="shared" si="36"/>
        <v>0</v>
      </c>
      <c r="W185" s="25">
        <f t="shared" si="36"/>
        <v>0</v>
      </c>
      <c r="X185" s="25"/>
      <c r="Z185" s="25">
        <f t="shared" si="36"/>
        <v>0</v>
      </c>
      <c r="AA185" s="25">
        <f t="shared" si="36"/>
        <v>34504</v>
      </c>
    </row>
    <row r="186" spans="6:27" x14ac:dyDescent="0.2">
      <c r="F186" s="27" t="s">
        <v>126</v>
      </c>
      <c r="G186" s="25">
        <v>84000</v>
      </c>
      <c r="H186" s="25">
        <f>+H36</f>
        <v>0</v>
      </c>
      <c r="I186" s="25">
        <f t="shared" ref="I186:W188" si="37">+I36</f>
        <v>0</v>
      </c>
      <c r="J186" s="25">
        <f t="shared" si="37"/>
        <v>0</v>
      </c>
      <c r="K186" s="25">
        <f t="shared" si="37"/>
        <v>0</v>
      </c>
      <c r="L186" s="25">
        <f t="shared" si="37"/>
        <v>0</v>
      </c>
      <c r="M186" s="25">
        <f t="shared" si="37"/>
        <v>0</v>
      </c>
      <c r="N186" s="25">
        <f>+N36</f>
        <v>0</v>
      </c>
      <c r="O186" s="25">
        <f t="shared" si="37"/>
        <v>0</v>
      </c>
      <c r="P186" s="25">
        <f t="shared" si="37"/>
        <v>0</v>
      </c>
      <c r="Q186" s="25">
        <f t="shared" si="37"/>
        <v>0</v>
      </c>
      <c r="R186" s="25">
        <f t="shared" si="37"/>
        <v>0</v>
      </c>
      <c r="S186" s="25">
        <f t="shared" si="37"/>
        <v>84000</v>
      </c>
      <c r="T186" s="25">
        <f>+T36</f>
        <v>0</v>
      </c>
      <c r="U186" s="25">
        <f t="shared" si="37"/>
        <v>0</v>
      </c>
      <c r="V186" s="25">
        <f t="shared" si="37"/>
        <v>0</v>
      </c>
      <c r="W186" s="25">
        <f t="shared" si="37"/>
        <v>0</v>
      </c>
      <c r="Z186" s="25">
        <f t="shared" ref="Z186:AA188" si="38">+Z36</f>
        <v>0</v>
      </c>
      <c r="AA186" s="25">
        <f t="shared" si="38"/>
        <v>0</v>
      </c>
    </row>
    <row r="187" spans="6:27" x14ac:dyDescent="0.2">
      <c r="F187" s="27" t="s">
        <v>127</v>
      </c>
      <c r="G187" s="25">
        <v>3836700</v>
      </c>
      <c r="H187" s="25">
        <f>+H37</f>
        <v>0</v>
      </c>
      <c r="I187" s="25">
        <f t="shared" si="37"/>
        <v>0</v>
      </c>
      <c r="J187" s="25">
        <f t="shared" si="37"/>
        <v>0</v>
      </c>
      <c r="K187" s="25">
        <f t="shared" si="37"/>
        <v>0</v>
      </c>
      <c r="L187" s="25">
        <f t="shared" si="37"/>
        <v>0</v>
      </c>
      <c r="M187" s="25">
        <f t="shared" si="37"/>
        <v>0</v>
      </c>
      <c r="N187" s="25">
        <f>+N37</f>
        <v>0</v>
      </c>
      <c r="O187" s="25">
        <f t="shared" si="37"/>
        <v>0</v>
      </c>
      <c r="P187" s="25">
        <f t="shared" si="37"/>
        <v>0</v>
      </c>
      <c r="Q187" s="25">
        <f t="shared" si="37"/>
        <v>0</v>
      </c>
      <c r="R187" s="25">
        <f t="shared" si="37"/>
        <v>0</v>
      </c>
      <c r="S187" s="25">
        <f t="shared" si="37"/>
        <v>0</v>
      </c>
      <c r="T187" s="25">
        <f>+T37</f>
        <v>0</v>
      </c>
      <c r="U187" s="25">
        <f t="shared" si="37"/>
        <v>0</v>
      </c>
      <c r="V187" s="25">
        <f t="shared" si="37"/>
        <v>3147000</v>
      </c>
      <c r="W187" s="25">
        <f t="shared" si="37"/>
        <v>594569</v>
      </c>
      <c r="Z187" s="25">
        <f t="shared" si="38"/>
        <v>0</v>
      </c>
      <c r="AA187" s="25">
        <f t="shared" si="38"/>
        <v>95131.040000000008</v>
      </c>
    </row>
    <row r="188" spans="6:27" x14ac:dyDescent="0.2">
      <c r="F188" s="27" t="s">
        <v>128</v>
      </c>
      <c r="G188" s="25">
        <v>131200</v>
      </c>
      <c r="H188" s="25">
        <f>+H38</f>
        <v>0</v>
      </c>
      <c r="I188" s="25">
        <f t="shared" si="37"/>
        <v>0</v>
      </c>
      <c r="J188" s="25">
        <f t="shared" si="37"/>
        <v>0</v>
      </c>
      <c r="K188" s="25">
        <f t="shared" si="37"/>
        <v>0</v>
      </c>
      <c r="L188" s="25">
        <f t="shared" si="37"/>
        <v>0</v>
      </c>
      <c r="M188" s="25">
        <f t="shared" si="37"/>
        <v>0</v>
      </c>
      <c r="N188" s="25">
        <f t="shared" si="37"/>
        <v>0</v>
      </c>
      <c r="O188" s="25">
        <f t="shared" si="37"/>
        <v>0</v>
      </c>
      <c r="P188" s="25">
        <f t="shared" si="37"/>
        <v>0</v>
      </c>
      <c r="Q188" s="25">
        <f t="shared" si="37"/>
        <v>0</v>
      </c>
      <c r="R188" s="25">
        <f t="shared" si="37"/>
        <v>0</v>
      </c>
      <c r="S188" s="25">
        <f>+S38</f>
        <v>0</v>
      </c>
      <c r="T188" s="25">
        <f t="shared" si="37"/>
        <v>0</v>
      </c>
      <c r="U188" s="25">
        <f t="shared" si="37"/>
        <v>131200</v>
      </c>
      <c r="V188" s="25">
        <f t="shared" si="37"/>
        <v>0</v>
      </c>
      <c r="W188" s="25">
        <f>+W38</f>
        <v>0</v>
      </c>
      <c r="Z188" s="25">
        <f t="shared" si="38"/>
        <v>0</v>
      </c>
      <c r="AA188" s="25">
        <f t="shared" si="38"/>
        <v>0</v>
      </c>
    </row>
    <row r="189" spans="6:27" x14ac:dyDescent="0.2">
      <c r="F189" s="27" t="s">
        <v>129</v>
      </c>
      <c r="G189" s="110">
        <v>422100</v>
      </c>
      <c r="H189" s="25">
        <f>+H42</f>
        <v>0</v>
      </c>
      <c r="I189" s="25">
        <f t="shared" ref="I189:W189" si="39">+I42</f>
        <v>0</v>
      </c>
      <c r="J189" s="25">
        <f t="shared" si="39"/>
        <v>0</v>
      </c>
      <c r="K189" s="25">
        <f t="shared" si="39"/>
        <v>0</v>
      </c>
      <c r="L189" s="25">
        <f t="shared" si="39"/>
        <v>0</v>
      </c>
      <c r="M189" s="25">
        <f t="shared" si="39"/>
        <v>0</v>
      </c>
      <c r="N189" s="25">
        <f t="shared" si="39"/>
        <v>0</v>
      </c>
      <c r="O189" s="25">
        <f t="shared" si="39"/>
        <v>160000</v>
      </c>
      <c r="P189" s="25">
        <f t="shared" si="39"/>
        <v>0</v>
      </c>
      <c r="Q189" s="25">
        <f t="shared" si="39"/>
        <v>0</v>
      </c>
      <c r="R189" s="25">
        <f t="shared" si="39"/>
        <v>262100</v>
      </c>
      <c r="S189" s="25">
        <f t="shared" si="39"/>
        <v>0</v>
      </c>
      <c r="T189" s="25">
        <f t="shared" si="39"/>
        <v>0</v>
      </c>
      <c r="U189" s="25">
        <f t="shared" si="39"/>
        <v>0</v>
      </c>
      <c r="V189" s="25">
        <f>+V42</f>
        <v>0</v>
      </c>
      <c r="W189" s="25">
        <f t="shared" si="39"/>
        <v>0</v>
      </c>
      <c r="Z189" s="25">
        <f>+Z42</f>
        <v>0</v>
      </c>
      <c r="AA189" s="25">
        <f>+AA42</f>
        <v>0</v>
      </c>
    </row>
    <row r="190" spans="6:27" x14ac:dyDescent="0.2">
      <c r="F190" s="27" t="s">
        <v>130</v>
      </c>
      <c r="G190" s="25">
        <f>SUM(G185:G189)</f>
        <v>4736554</v>
      </c>
    </row>
    <row r="191" spans="6:27" x14ac:dyDescent="0.2">
      <c r="F191" s="27" t="s">
        <v>131</v>
      </c>
      <c r="G191" s="25">
        <f>0.12*(G190-AA21-AA37)</f>
        <v>552830.27520000003</v>
      </c>
    </row>
    <row r="192" spans="6:27" x14ac:dyDescent="0.2">
      <c r="F192" s="27" t="s">
        <v>132</v>
      </c>
      <c r="G192" s="110">
        <f>0.16*G191</f>
        <v>88452.844032000008</v>
      </c>
      <c r="I192" s="25">
        <f>SUM(G190:G192)</f>
        <v>5377837.1192319999</v>
      </c>
    </row>
    <row r="193" spans="6:9" x14ac:dyDescent="0.2">
      <c r="F193" s="27" t="s">
        <v>133</v>
      </c>
      <c r="I193" s="25">
        <f>+I183+I192</f>
        <v>22515897.636831999</v>
      </c>
    </row>
    <row r="194" spans="6:9" x14ac:dyDescent="0.2">
      <c r="F194" s="27" t="s">
        <v>134</v>
      </c>
      <c r="I194" s="25">
        <f>+J50</f>
        <v>17383219.3576</v>
      </c>
    </row>
    <row r="195" spans="6:9" x14ac:dyDescent="0.2">
      <c r="F195" s="27" t="s">
        <v>135</v>
      </c>
      <c r="I195" s="25">
        <f>+I193-I194</f>
        <v>5132678.2792319991</v>
      </c>
    </row>
    <row r="201" spans="6:9" x14ac:dyDescent="0.2">
      <c r="H201" s="111"/>
    </row>
    <row r="202" spans="6:9" x14ac:dyDescent="0.2">
      <c r="H202" s="111"/>
    </row>
    <row r="203" spans="6:9" x14ac:dyDescent="0.2">
      <c r="H203" s="111"/>
    </row>
    <row r="204" spans="6:9" x14ac:dyDescent="0.2">
      <c r="H204" s="111"/>
    </row>
  </sheetData>
  <autoFilter ref="A10:AC43">
    <sortState ref="A10:T35">
      <sortCondition ref="B9:B35"/>
    </sortState>
  </autoFilter>
  <mergeCells count="37">
    <mergeCell ref="D4:F4"/>
    <mergeCell ref="G4:K4"/>
    <mergeCell ref="A1:C4"/>
    <mergeCell ref="L1:N1"/>
    <mergeCell ref="L2:N3"/>
    <mergeCell ref="L4:N4"/>
    <mergeCell ref="D1:K1"/>
    <mergeCell ref="D2:K3"/>
    <mergeCell ref="I6:L6"/>
    <mergeCell ref="I7:L7"/>
    <mergeCell ref="I8:L8"/>
    <mergeCell ref="P8:Q8"/>
    <mergeCell ref="S8:T8"/>
    <mergeCell ref="R6:S6"/>
    <mergeCell ref="N8:O8"/>
    <mergeCell ref="N6:Q6"/>
    <mergeCell ref="J133:J142"/>
    <mergeCell ref="J150:J159"/>
    <mergeCell ref="J167:J176"/>
    <mergeCell ref="J50:J59"/>
    <mergeCell ref="J65:J73"/>
    <mergeCell ref="J82:J91"/>
    <mergeCell ref="J99:J108"/>
    <mergeCell ref="J116:J125"/>
    <mergeCell ref="P1:R4"/>
    <mergeCell ref="S1:Z1"/>
    <mergeCell ref="AA1:AC1"/>
    <mergeCell ref="S2:Z3"/>
    <mergeCell ref="AA2:AC3"/>
    <mergeCell ref="S4:U4"/>
    <mergeCell ref="V4:Z4"/>
    <mergeCell ref="AA4:AC4"/>
    <mergeCell ref="A6:B6"/>
    <mergeCell ref="C6:E6"/>
    <mergeCell ref="G6:H8"/>
    <mergeCell ref="C8:E8"/>
    <mergeCell ref="A8:B8"/>
  </mergeCells>
  <pageMargins left="0.17" right="0.17" top="0.35" bottom="0.54" header="0.31496062992125984" footer="0.31496062992125984"/>
  <pageSetup paperSize="14" scale="42" orientation="landscape" r:id="rId1"/>
  <headerFooter>
    <oddFooter>&amp;RPAGINA &amp;P DE &amp;N</oddFooter>
  </headerFooter>
  <colBreaks count="1" manualBreakCount="1">
    <brk id="25" min="12" max="58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GCF-FO-15 Consolidados</vt:lpstr>
      <vt:lpstr>GCF-FO-15 Especificos</vt:lpstr>
      <vt:lpstr>'GCF-FO-15 Especificos'!Área_de_impresión</vt:lpstr>
      <vt:lpstr>'GCF-FO-15 Especificos'!Títulos_a_imprimir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Cano</dc:creator>
  <cp:lastModifiedBy>SIG-MROMAN</cp:lastModifiedBy>
  <dcterms:created xsi:type="dcterms:W3CDTF">2012-09-12T16:31:46Z</dcterms:created>
  <dcterms:modified xsi:type="dcterms:W3CDTF">2013-09-25T17:50:40Z</dcterms:modified>
</cp:coreProperties>
</file>