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1" sheetId="1" r:id="rId4"/>
    <sheet state="visible" name="Sheet9" sheetId="2" r:id="rId5"/>
    <sheet state="visible" name="Assignment2" sheetId="3" r:id="rId6"/>
    <sheet state="visible" name="Assignment 3" sheetId="4" r:id="rId7"/>
    <sheet state="visible" name="Assignment4" sheetId="5" r:id="rId8"/>
    <sheet state="visible" name="Assignment5" sheetId="6" r:id="rId9"/>
    <sheet state="visible" name="Assignment7" sheetId="7" r:id="rId10"/>
    <sheet state="visible" name="Assignment6" sheetId="8" r:id="rId11"/>
    <sheet state="visible" name="Assignment8" sheetId="9" r:id="rId12"/>
    <sheet state="visible" name="Assignment9" sheetId="10" r:id="rId13"/>
    <sheet state="visible" name="Assignment10" sheetId="11" r:id="rId14"/>
    <sheet state="visible" name="Assignment11" sheetId="12" r:id="rId15"/>
    <sheet state="visible" name="Assignment12" sheetId="13" r:id="rId16"/>
    <sheet state="visible" name="Assignment13" sheetId="14" r:id="rId17"/>
    <sheet state="visible" name="Assignment14" sheetId="15" r:id="rId18"/>
    <sheet state="visible" name="Assignment15" sheetId="16" r:id="rId19"/>
    <sheet state="visible" name="Assignment16" sheetId="17" r:id="rId20"/>
    <sheet state="visible" name="Assignment17" sheetId="18" r:id="rId21"/>
    <sheet state="visible" name="Assignment18" sheetId="19" r:id="rId22"/>
    <sheet state="visible" name="Assignment19" sheetId="20" r:id="rId23"/>
    <sheet state="visible" name="Assignment20" sheetId="21" r:id="rId24"/>
    <sheet state="visible" name="Assignment21" sheetId="22" r:id="rId25"/>
    <sheet state="visible" name="Assignment22" sheetId="23" r:id="rId26"/>
    <sheet state="visible" name="Assignment23" sheetId="24" r:id="rId27"/>
    <sheet state="visible" name="Assignment24" sheetId="25" r:id="rId28"/>
    <sheet state="visible" name="Assignment25" sheetId="26" r:id="rId29"/>
    <sheet state="visible" name="Assignment26" sheetId="27" r:id="rId30"/>
    <sheet state="visible" name="Assignment27" sheetId="28" r:id="rId31"/>
    <sheet state="visible" name="Assignment28" sheetId="29" r:id="rId32"/>
    <sheet state="visible" name="Assignment29" sheetId="30" r:id="rId33"/>
    <sheet state="visible" name="Assignment30" sheetId="31" r:id="rId34"/>
    <sheet state="visible" name="Assignment31" sheetId="32" r:id="rId35"/>
    <sheet state="visible" name="Assignment32" sheetId="33" r:id="rId36"/>
    <sheet state="visible" name="MERGE" sheetId="34" r:id="rId37"/>
    <sheet state="visible" name="Assignment34" sheetId="35" r:id="rId38"/>
    <sheet state="visible" name="Assignment35" sheetId="36" r:id="rId39"/>
    <sheet state="visible" name="Assignment36" sheetId="37" r:id="rId40"/>
    <sheet state="visible" name="Assignment37" sheetId="38" r:id="rId41"/>
    <sheet state="visible" name="Assignment38" sheetId="39" r:id="rId42"/>
    <sheet state="visible" name="Assignment39" sheetId="40" r:id="rId43"/>
    <sheet state="visible" name="Assignment40" sheetId="41" r:id="rId44"/>
    <sheet state="visible" name="Assignment41" sheetId="42" r:id="rId45"/>
    <sheet state="visible" name="Assignment42" sheetId="43" r:id="rId46"/>
    <sheet state="visible" name="Assignment43" sheetId="44" r:id="rId47"/>
    <sheet state="visible" name="Assignment44" sheetId="45" r:id="rId48"/>
    <sheet state="visible" name="Assignment45" sheetId="46" r:id="rId49"/>
    <sheet state="visible" name="Assignment46" sheetId="47" r:id="rId50"/>
    <sheet state="visible" name="Assignment47" sheetId="48" r:id="rId51"/>
    <sheet state="visible" name="Assignment48" sheetId="49" r:id="rId52"/>
    <sheet state="visible" name="Assignment49" sheetId="50" r:id="rId53"/>
    <sheet state="visible" name="Assignment50" sheetId="51" r:id="rId54"/>
  </sheets>
  <definedNames>
    <definedName hidden="1" localSheetId="7" name="_xlnm._FilterDatabase">Assignment6!$A$4:$C$23</definedName>
    <definedName hidden="1" localSheetId="20" name="_xlnm._FilterDatabase">Assignment20!$A$31</definedName>
  </definedNames>
  <calcPr/>
  <extLst>
    <ext uri="GoogleSheetsCustomDataVersion2">
      <go:sheetsCustomData xmlns:go="http://customooxmlschemas.google.com/" r:id="rId55" roundtripDataChecksum="BHZpvy8J2w7qhkC0MSz0UFQM2ttEV8GehNcf6C4hjoA="/>
    </ext>
  </extLst>
</workbook>
</file>

<file path=xl/sharedStrings.xml><?xml version="1.0" encoding="utf-8"?>
<sst xmlns="http://schemas.openxmlformats.org/spreadsheetml/2006/main" count="3100" uniqueCount="1241">
  <si>
    <t>vvhhhh</t>
  </si>
  <si>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</si>
  <si>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</si>
  <si>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</si>
  <si>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</si>
  <si>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</si>
  <si>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</si>
  <si>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</si>
  <si>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</si>
  <si>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</si>
  <si>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</si>
  <si>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 xml:space="preserve">Grade </t>
  </si>
  <si>
    <t xml:space="preserve">RAM </t>
  </si>
  <si>
    <t>ASHOK</t>
  </si>
  <si>
    <t>MANOJ</t>
  </si>
  <si>
    <t>RAJESH</t>
  </si>
  <si>
    <t xml:space="preserve">RANJANA 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</si>
  <si>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</si>
  <si>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</si>
  <si>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</si>
  <si>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</si>
  <si>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</si>
  <si>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</si>
  <si>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</si>
  <si>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</si>
  <si>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>Use of Countif</t>
  </si>
  <si>
    <t>A Grade</t>
  </si>
  <si>
    <t>B Grade</t>
  </si>
  <si>
    <t xml:space="preserve">Q.4 Student Ashok and Manoj Total Number and Average </t>
  </si>
  <si>
    <t>Use of Sumif</t>
  </si>
  <si>
    <t>Totaal No.</t>
  </si>
  <si>
    <t>Ashok</t>
  </si>
  <si>
    <t>Manoj</t>
  </si>
  <si>
    <t xml:space="preserve">Q.5 Count how many Students </t>
  </si>
  <si>
    <t>Use of Counta</t>
  </si>
  <si>
    <t xml:space="preserve">Q.6 How Many Student Hindi &amp; English Subject Number Grater Then &gt; 20 and &lt;15 </t>
  </si>
  <si>
    <t>&gt;20</t>
  </si>
  <si>
    <t>&lt;20</t>
  </si>
  <si>
    <t xml:space="preserve">Assignment -2 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</si>
  <si>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</si>
  <si>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</si>
  <si>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</si>
  <si>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</si>
  <si>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</si>
  <si>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</si>
  <si>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</si>
  <si>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</si>
  <si>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</si>
  <si>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</si>
  <si>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</si>
  <si>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 xml:space="preserve"> 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</si>
  <si>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</si>
  <si>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</si>
  <si>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</si>
  <si>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</si>
  <si>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</si>
  <si>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</si>
  <si>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</si>
  <si>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>Product</t>
  </si>
  <si>
    <t>qty</t>
  </si>
  <si>
    <t>Rate</t>
  </si>
  <si>
    <t>Amout</t>
  </si>
  <si>
    <t xml:space="preserve">Q.3 How Many Items qty Greate Then &gt; 20 and Less Then &lt;20 </t>
  </si>
  <si>
    <t>Computer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</si>
  <si>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</si>
  <si>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</si>
  <si>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>rate</t>
  </si>
  <si>
    <t>amount</t>
  </si>
  <si>
    <t>computer</t>
  </si>
  <si>
    <t xml:space="preserve">Assignment -3 </t>
  </si>
  <si>
    <t>Use of Formulas - Sum, NestedIf, Counta, Countif, Sumif, Vlookup</t>
  </si>
  <si>
    <t>SUBJECT</t>
  </si>
  <si>
    <t>1ST</t>
  </si>
  <si>
    <t>2ND</t>
  </si>
  <si>
    <t>3RD</t>
  </si>
  <si>
    <t>TOTAL</t>
  </si>
  <si>
    <t xml:space="preserve">AVERAGE 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</si>
  <si>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</si>
  <si>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</si>
  <si>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</si>
  <si>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</si>
  <si>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</si>
  <si>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</si>
  <si>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</si>
  <si>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</si>
  <si>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</si>
  <si>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</si>
  <si>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</si>
  <si>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</si>
  <si>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Use of Vlookup</t>
  </si>
  <si>
    <t>Grade</t>
  </si>
  <si>
    <t>Q.4 IF AVE. GREATHER THAN 20 THEN "A", IF AVE. GREATEHR THAN 15 AVE. "B" OTHERWISE "C"</t>
  </si>
  <si>
    <t xml:space="preserve">Q.5 SUBJECT PHYSICS, MATHS &amp; ENGLISH TOTAL /AVERAGE </t>
  </si>
  <si>
    <t>total</t>
  </si>
  <si>
    <t>hindi</t>
  </si>
  <si>
    <t>Assignment -4  (Salary Sheet)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</si>
  <si>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</si>
  <si>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</si>
  <si>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</si>
  <si>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</si>
  <si>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</si>
  <si>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</si>
  <si>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</si>
  <si>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RAM</t>
  </si>
  <si>
    <t>MANAGER</t>
  </si>
  <si>
    <t>SHYAM</t>
  </si>
  <si>
    <t>SUPERVISOR</t>
  </si>
  <si>
    <t>PION</t>
  </si>
  <si>
    <t>ELECTRICAL</t>
  </si>
  <si>
    <t>GUARD</t>
  </si>
  <si>
    <t>RAHUL</t>
  </si>
  <si>
    <t>CASHER</t>
  </si>
  <si>
    <t>RAKESH</t>
  </si>
  <si>
    <t>ACCOUNTANT</t>
  </si>
  <si>
    <t>ASHISH</t>
  </si>
  <si>
    <t>FINANCE</t>
  </si>
  <si>
    <t xml:space="preserve">MANISH </t>
  </si>
  <si>
    <t xml:space="preserve">Q.1 HOW MANY EMPLOYEE IN COMPUTER, FINANCE, ELECTRICAL DEPARTMENT </t>
  </si>
  <si>
    <t xml:space="preserve">Q.2 HOW MANY BASIC SALARY IN COMPUTER DFPARTMENT ONLY? </t>
  </si>
  <si>
    <t>Q.3 MANOJ, ASHISH POST &amp; GRADE</t>
  </si>
  <si>
    <t>Q.4 IF TOTAL SALALRY IS GREATER THEN 20000 THEN "A", IF TOTAL SALARY GREATER THEN 10000 THEN "B", OTHERWISE "C"</t>
  </si>
  <si>
    <t xml:space="preserve">Q.5 HOW MANY EMPLOYEE IS MANAGER &amp; GUARD? 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</si>
  <si>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</si>
  <si>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</si>
  <si>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</si>
  <si>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</si>
  <si>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</si>
  <si>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</si>
  <si>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</si>
  <si>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</si>
  <si>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</si>
  <si>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</si>
  <si>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</si>
  <si>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</si>
  <si>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</si>
  <si>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</si>
  <si>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</si>
  <si>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</si>
  <si>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</si>
  <si>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</si>
  <si>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</si>
  <si>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Use of Counta and Vlookup</t>
  </si>
  <si>
    <t>Q.2 If Sales Greater Than Target Then Target Achived otherwise Not Achived</t>
  </si>
  <si>
    <t>Use of If Function</t>
  </si>
  <si>
    <t>Q.3 Rahul Pooja &amp; Ashok Targest &amp; result?</t>
  </si>
  <si>
    <t>Q.4 How Many Salesman Achived Target.</t>
  </si>
  <si>
    <t>Q.5 Which Sales Man Jan Sales 2000, &amp; Feb Sales is 2500?</t>
  </si>
  <si>
    <t>Use of Lookup Function</t>
  </si>
  <si>
    <t>Assignment -7  (Calculate Date of Birth)</t>
  </si>
  <si>
    <t>Use of Formulas -  Counta, Countif, Sumif, if &amp; Datedif</t>
  </si>
  <si>
    <t>DATE OF BIRTH</t>
  </si>
  <si>
    <t xml:space="preserve">DAY </t>
  </si>
  <si>
    <t>MONTH</t>
  </si>
  <si>
    <t>YEAR</t>
  </si>
  <si>
    <t>Q.1 HOW MANY STUDENT?</t>
  </si>
  <si>
    <t xml:space="preserve">Q.2 STUDENT SURENDRA IS HOW MANY YEAR OLD? </t>
  </si>
  <si>
    <t>Q.3 HOW MANY STUDENT AGE GREATER THEN 20 YEARS?</t>
  </si>
  <si>
    <t>Q.4 IF STUDENT AGE IS GREATHER THEN 20 THEN STUDENT ADULT / CHILD?</t>
  </si>
  <si>
    <t>Q.5 HOW MANY STUDENT AGE IS &gt;= 25 YEARS?</t>
  </si>
  <si>
    <t>Use of Formulas -  Counta, Countif, Sumif, Hlookup, Conditional Formatting</t>
  </si>
  <si>
    <t>Items</t>
  </si>
  <si>
    <t>Date</t>
  </si>
  <si>
    <t>Cost</t>
  </si>
  <si>
    <t>countif</t>
  </si>
  <si>
    <t>BRAKES</t>
  </si>
  <si>
    <t>TYRES</t>
  </si>
  <si>
    <t>SERVICE</t>
  </si>
  <si>
    <t>WINDOW</t>
  </si>
  <si>
    <t>CLUTCH</t>
  </si>
  <si>
    <t>countifs(and)</t>
  </si>
  <si>
    <t>Q.1 HOW MANY ITEMS ?</t>
  </si>
  <si>
    <t>Q.2 HOW MANY BRAKE, WINDOW &amp; TYRES HAVE BEEN BOUGHTS?</t>
  </si>
  <si>
    <t>Q.3 HOW MANY ITEMS COST IS &gt;1000 &amp; BELOW &gt; = 1000?</t>
  </si>
  <si>
    <t>&gt;1000</t>
  </si>
  <si>
    <t>Q.4 HIGHLIGHT TYRES ITESM &amp; 500 BETWEEN 2000 COST.</t>
  </si>
  <si>
    <t>Use of Conditional F</t>
  </si>
  <si>
    <t>&gt;2000</t>
  </si>
  <si>
    <t>Q.5 ITEMS COLOUMN IS 15, 18 &amp; 20 ITEMS NAME?</t>
  </si>
  <si>
    <t>Use of Hlookup</t>
  </si>
  <si>
    <t xml:space="preserve">Q.6 Total Cost of Window and Brakes Items? </t>
  </si>
  <si>
    <t xml:space="preserve">Assignment -8  </t>
  </si>
  <si>
    <t>Use of Formulas -  Sum, Average, Counta, Countif, Sumif, &amp; If</t>
  </si>
  <si>
    <t xml:space="preserve">Student Name </t>
  </si>
  <si>
    <t>Subject</t>
  </si>
  <si>
    <t>Result</t>
  </si>
  <si>
    <t>Name</t>
  </si>
  <si>
    <t>Maths</t>
  </si>
  <si>
    <t>PERCENTAGE</t>
  </si>
  <si>
    <t>Alan</t>
  </si>
  <si>
    <t>Bob</t>
  </si>
  <si>
    <t>Carol</t>
  </si>
  <si>
    <t>oor</t>
  </si>
  <si>
    <t>David</t>
  </si>
  <si>
    <t>Eric</t>
  </si>
  <si>
    <t>Absent</t>
  </si>
  <si>
    <t>Fred</t>
  </si>
  <si>
    <t>Gail</t>
  </si>
  <si>
    <t>Harry</t>
  </si>
  <si>
    <t>Ian</t>
  </si>
  <si>
    <t>Janice</t>
  </si>
  <si>
    <t xml:space="preserve">Q.1 How Many Student? </t>
  </si>
  <si>
    <t xml:space="preserve">Use Formula Counta </t>
  </si>
  <si>
    <t>Q.2 How Many Student Percentage Greather Then &gt; 50</t>
  </si>
  <si>
    <t>Use Formula Countif</t>
  </si>
  <si>
    <t xml:space="preserve">Q.3 Student Bob and Eric Total Number? </t>
  </si>
  <si>
    <t>Use Formula Sumif</t>
  </si>
  <si>
    <t>Q.4 If Percentage Greater Then &gt;70 Then "Excellent", If Percentage Greater Then &gt;50,"Good", Otherwise "Bed"</t>
  </si>
  <si>
    <t xml:space="preserve">Q.5 How Many Student Good and Bed in a list </t>
  </si>
  <si>
    <t xml:space="preserve">Assignment -9  </t>
  </si>
  <si>
    <t>Use of Formulas -  LOOKUP</t>
  </si>
  <si>
    <t xml:space="preserve">LOOKUP FUNCTION SYNTAX </t>
  </si>
  <si>
    <t>LOOKUP(LOOKUP_value,lookup_vector,[result_vector])</t>
  </si>
  <si>
    <t>Empoyee ID</t>
  </si>
  <si>
    <t>Last Name</t>
  </si>
  <si>
    <t>First Name</t>
  </si>
  <si>
    <t>Pay</t>
  </si>
  <si>
    <t>First N.</t>
  </si>
  <si>
    <t>Last N.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</si>
  <si>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</si>
  <si>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</si>
  <si>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</si>
  <si>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</si>
  <si>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</si>
  <si>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</si>
  <si>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</si>
  <si>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</si>
  <si>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</si>
  <si>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</si>
  <si>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</si>
  <si>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</si>
  <si>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</si>
  <si>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</si>
  <si>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</si>
  <si>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</si>
  <si>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</si>
  <si>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</si>
  <si>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</si>
  <si>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</si>
  <si>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</si>
  <si>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</si>
  <si>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</si>
  <si>
    <t>P</t>
  </si>
  <si>
    <t>Use of Formulas -  Counta, Countif, Sumif, &amp; Vlookup</t>
  </si>
  <si>
    <t>Assignment -10</t>
  </si>
  <si>
    <t>Employee ID</t>
  </si>
  <si>
    <t>Full Name</t>
  </si>
  <si>
    <t>SSN</t>
  </si>
  <si>
    <t>Department</t>
  </si>
  <si>
    <t>Start Date</t>
  </si>
  <si>
    <t>Earnings</t>
  </si>
  <si>
    <t>EMP008</t>
  </si>
  <si>
    <t>EMP002</t>
  </si>
  <si>
    <t>EMP003</t>
  </si>
  <si>
    <t>EMP001</t>
  </si>
  <si>
    <t>Faith K. Macias</t>
  </si>
  <si>
    <t>Marketing</t>
  </si>
  <si>
    <t>Lucian Q. Franklin</t>
  </si>
  <si>
    <t>IT/IS</t>
  </si>
  <si>
    <t>Blaze V. Bridges</t>
  </si>
  <si>
    <t>EMP004</t>
  </si>
  <si>
    <t>Denton Q. Dale</t>
  </si>
  <si>
    <t>EMP005</t>
  </si>
  <si>
    <t>Blossom K. Fox</t>
  </si>
  <si>
    <t>Engineering</t>
  </si>
  <si>
    <t>EMP006</t>
  </si>
  <si>
    <t>Kerry V. David</t>
  </si>
  <si>
    <t>Finance</t>
  </si>
  <si>
    <t>EMP007</t>
  </si>
  <si>
    <t>Melanie X. Baker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</si>
  <si>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</si>
  <si>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</si>
  <si>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</si>
  <si>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</si>
  <si>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</si>
  <si>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</si>
  <si>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</si>
  <si>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</si>
  <si>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</si>
  <si>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</si>
  <si>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</si>
  <si>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</si>
  <si>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</si>
  <si>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</si>
  <si>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 xml:space="preserve">Q.1 How Many Employee in a List ? </t>
  </si>
  <si>
    <t>Use of Formula Counta</t>
  </si>
  <si>
    <t xml:space="preserve">Q.2 How Many Employee work in Finance and Marketing Department? </t>
  </si>
  <si>
    <t>Use of Formula Countif</t>
  </si>
  <si>
    <t xml:space="preserve">Q.3 Employee Blossom K. Fox Department and Earnings? </t>
  </si>
  <si>
    <t xml:space="preserve">Q.4 Employee Blossom K. SSN No.? </t>
  </si>
  <si>
    <t xml:space="preserve">Q.5 How Many Amount Earnings Marketing Department? </t>
  </si>
  <si>
    <t>Assignment -11</t>
  </si>
  <si>
    <t>Use of Formulas -  Match and Vlookup With Match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</si>
  <si>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</si>
  <si>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</si>
  <si>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</si>
  <si>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</si>
  <si>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</si>
  <si>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</si>
  <si>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</si>
  <si>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</si>
  <si>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</si>
  <si>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</si>
  <si>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</si>
  <si>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</si>
  <si>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</si>
  <si>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</t>
  </si>
  <si>
    <t xml:space="preserve">Use of Match Formula </t>
  </si>
  <si>
    <t>Grande</t>
  </si>
  <si>
    <t>Use of Match Function</t>
  </si>
  <si>
    <t>Question: What is the price of a Caffe Mocha, size Grande,Tall, Venti?</t>
  </si>
  <si>
    <t xml:space="preserve">Use of Vlookup with Match Formula </t>
  </si>
  <si>
    <t>Assignment -12</t>
  </si>
  <si>
    <t xml:space="preserve">Use of Formulas -  Counta and Vlookup </t>
  </si>
  <si>
    <t>Product Name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</si>
  <si>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</si>
  <si>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</si>
  <si>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</si>
  <si>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</si>
  <si>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</si>
  <si>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</si>
  <si>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</si>
  <si>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</si>
  <si>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Total Sales</t>
  </si>
  <si>
    <t>Apples</t>
  </si>
  <si>
    <t>Grapefruit</t>
  </si>
  <si>
    <t>Lemons</t>
  </si>
  <si>
    <t>?</t>
  </si>
  <si>
    <t>Lime</t>
  </si>
  <si>
    <t>Oranges</t>
  </si>
  <si>
    <t>Peaches</t>
  </si>
  <si>
    <t>Pears</t>
  </si>
  <si>
    <t>Pineapples</t>
  </si>
  <si>
    <t xml:space="preserve">Q.1 How Many Fruits? </t>
  </si>
  <si>
    <t xml:space="preserve">Q.2 Fruits Lemons and Pineapples sales in Mar and Jul ? </t>
  </si>
  <si>
    <t>Pineapple</t>
  </si>
  <si>
    <t>Assignment -13</t>
  </si>
  <si>
    <t>Create Pivot Table Using Data</t>
  </si>
  <si>
    <t>Sales</t>
  </si>
  <si>
    <t>Country</t>
  </si>
  <si>
    <t>Quarter</t>
  </si>
  <si>
    <t>UK</t>
  </si>
  <si>
    <t>Qtr 3</t>
  </si>
  <si>
    <t>Johnson</t>
  </si>
  <si>
    <t>USA</t>
  </si>
  <si>
    <t>Qtr 4</t>
  </si>
  <si>
    <t>Qtr 2</t>
  </si>
  <si>
    <t>Jones</t>
  </si>
  <si>
    <t>Brown</t>
  </si>
  <si>
    <t>Qtr 1</t>
  </si>
  <si>
    <t>Assignment -14</t>
  </si>
  <si>
    <t>Use of Formulas -  Countif, Countifs and Sumifs</t>
  </si>
  <si>
    <t>Season</t>
  </si>
  <si>
    <t>Year</t>
  </si>
  <si>
    <t>Type</t>
  </si>
  <si>
    <t>State</t>
  </si>
  <si>
    <t>Sales $</t>
  </si>
  <si>
    <t>Fall</t>
  </si>
  <si>
    <t>Amber Ale</t>
  </si>
  <si>
    <t>California</t>
  </si>
  <si>
    <t>Hefeweizen</t>
  </si>
  <si>
    <t>Pale Ale</t>
  </si>
  <si>
    <t>Pilsner</t>
  </si>
  <si>
    <t>Porter</t>
  </si>
  <si>
    <t>Stout</t>
  </si>
  <si>
    <t>Oregon</t>
  </si>
  <si>
    <t>Washington</t>
  </si>
  <si>
    <t>Spring</t>
  </si>
  <si>
    <t xml:space="preserve">Q.1 How Many Spring and Fall Season? </t>
  </si>
  <si>
    <t>Using Formula Countif</t>
  </si>
  <si>
    <t xml:space="preserve">Q.2 How Many Fall Season in California and Washington? </t>
  </si>
  <si>
    <t>Using Formula Countifs</t>
  </si>
  <si>
    <t xml:space="preserve">Q.3 Total Sales if Spring Season in Washngton and California? </t>
  </si>
  <si>
    <t>using Formula Sumifs</t>
  </si>
  <si>
    <t xml:space="preserve">Q.4 How Many Spring Season in Washington only? </t>
  </si>
  <si>
    <t xml:space="preserve">Q.5 Create Pivot Table Using Data? </t>
  </si>
  <si>
    <t>Assignment -15</t>
  </si>
  <si>
    <t xml:space="preserve">Create Pivot Table Using Data Separate Fruit and Vegetables </t>
  </si>
  <si>
    <t>Order ID</t>
  </si>
  <si>
    <t>Category</t>
  </si>
  <si>
    <t>Amount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</si>
  <si>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</si>
  <si>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</si>
  <si>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</si>
  <si>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</si>
  <si>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</si>
  <si>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</si>
  <si>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</si>
  <si>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</si>
  <si>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</si>
  <si>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</si>
  <si>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</si>
  <si>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</si>
  <si>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</si>
  <si>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</si>
  <si>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</si>
  <si>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</si>
  <si>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fruit</t>
  </si>
  <si>
    <t>veg</t>
  </si>
  <si>
    <t>banana</t>
  </si>
  <si>
    <t xml:space="preserve">Q.1 How Many Fruits and Vegetables Items in a List? </t>
  </si>
  <si>
    <t xml:space="preserve">Q.2 Total Apple and Banana Amount? </t>
  </si>
  <si>
    <t>Use of Formula Sumif</t>
  </si>
  <si>
    <t>Q.3 How Many Product in a list?</t>
  </si>
  <si>
    <t xml:space="preserve">Q.4 How Many Apple and Banana Use in Canada &amp; United Kingdom? </t>
  </si>
  <si>
    <t>Use of Countifs</t>
  </si>
  <si>
    <t xml:space="preserve">Q.5 Apple and Banana Sales in United States ? </t>
  </si>
  <si>
    <t>Use of Sumifs</t>
  </si>
  <si>
    <t>Assignment -16</t>
  </si>
  <si>
    <t>Use of Formulas -  Countif, Countifs and Sumifs and Vlookup</t>
  </si>
  <si>
    <t>Gender</t>
  </si>
  <si>
    <t>Score</t>
  </si>
  <si>
    <t>Richard</t>
  </si>
  <si>
    <t>Male</t>
  </si>
  <si>
    <t>Jennifer</t>
  </si>
  <si>
    <t>Female</t>
  </si>
  <si>
    <t>James</t>
  </si>
  <si>
    <t>Lisa</t>
  </si>
  <si>
    <t>Sharon</t>
  </si>
  <si>
    <t>Elizabeth</t>
  </si>
  <si>
    <t>Mark</t>
  </si>
  <si>
    <t>Susan</t>
  </si>
  <si>
    <t xml:space="preserve">Q.1 How Many Male and Female Candidate in a List? </t>
  </si>
  <si>
    <t xml:space="preserve">Q.2 How Many Male Employee in United States? </t>
  </si>
  <si>
    <t>Use of Formula Countifs</t>
  </si>
  <si>
    <t xml:space="preserve">Q.3 Lisa and John Which Country Belong? </t>
  </si>
  <si>
    <t xml:space="preserve">Q.4 United States Male and Female Candidate Scores?  </t>
  </si>
  <si>
    <t>Use if Formula Sumifs</t>
  </si>
  <si>
    <t xml:space="preserve">Q.5 How Many Male Candidate Belong Country United State Total Score? </t>
  </si>
  <si>
    <t>Use of Formula Sumifs</t>
  </si>
  <si>
    <t>Assignment -17</t>
  </si>
  <si>
    <t>Use of Formulas - Vlookup</t>
  </si>
  <si>
    <t>ID</t>
  </si>
  <si>
    <t>Brand</t>
  </si>
  <si>
    <t xml:space="preserve">Brand </t>
  </si>
  <si>
    <t xml:space="preserve">Product </t>
  </si>
  <si>
    <t>Dell</t>
  </si>
  <si>
    <t>Logitech</t>
  </si>
  <si>
    <t>Keyboard</t>
  </si>
  <si>
    <t>Mouse</t>
  </si>
  <si>
    <t>HP</t>
  </si>
  <si>
    <t>Printer</t>
  </si>
  <si>
    <t>Use of Vlookup Function ?</t>
  </si>
  <si>
    <t>Assignment -18</t>
  </si>
  <si>
    <t>Use of Formulas - Hlookup</t>
  </si>
  <si>
    <t>Assignment -19</t>
  </si>
  <si>
    <t>Use of Formulas - Index with Match</t>
  </si>
  <si>
    <t>Region</t>
  </si>
  <si>
    <t>Feb</t>
  </si>
  <si>
    <t>North</t>
  </si>
  <si>
    <t>South</t>
  </si>
  <si>
    <t>East</t>
  </si>
  <si>
    <t>West</t>
  </si>
  <si>
    <t>Assignment -20</t>
  </si>
  <si>
    <t xml:space="preserve">Use of Advance Filter </t>
  </si>
  <si>
    <t>Order Id</t>
  </si>
  <si>
    <t>Order Date</t>
  </si>
  <si>
    <t>Employee Name</t>
  </si>
  <si>
    <t>Reporting Manager</t>
  </si>
  <si>
    <t>Customer Name</t>
  </si>
  <si>
    <t>Customer Contact</t>
  </si>
  <si>
    <t>Customer Email</t>
  </si>
  <si>
    <t>Product Price</t>
  </si>
  <si>
    <t>Product Qty</t>
  </si>
  <si>
    <t>Order Total</t>
  </si>
  <si>
    <t>Chloe Jones</t>
  </si>
  <si>
    <t>Abhay Gaurav</t>
  </si>
  <si>
    <t>Aakash Harit</t>
  </si>
  <si>
    <t>919-555-8658</t>
  </si>
  <si>
    <t>lo@email.com</t>
  </si>
  <si>
    <t>Nisha Kumari</t>
  </si>
  <si>
    <t>Brett Newkirk</t>
  </si>
  <si>
    <t>919-555-7653</t>
  </si>
  <si>
    <t>newkb@email.com</t>
  </si>
  <si>
    <t>Tracey Beckham</t>
  </si>
  <si>
    <t>919-555-2314</t>
  </si>
  <si>
    <t>beck@email.com</t>
  </si>
  <si>
    <t>Nishu Kumari</t>
  </si>
  <si>
    <t>Lucinda George</t>
  </si>
  <si>
    <t>919-555-4534</t>
  </si>
  <si>
    <t>lugeo@email.com</t>
  </si>
  <si>
    <t>Jerrod Smith</t>
  </si>
  <si>
    <t>919-555-4564</t>
  </si>
  <si>
    <t>texj@email.com</t>
  </si>
  <si>
    <t>Grapes</t>
  </si>
  <si>
    <t>Vishal Kumar</t>
  </si>
  <si>
    <t>Divya Sharma</t>
  </si>
  <si>
    <t>Assignment -21</t>
  </si>
  <si>
    <t>Use of Formulas - Index + Match</t>
  </si>
  <si>
    <t>Emp Name</t>
  </si>
  <si>
    <t>Salary</t>
  </si>
  <si>
    <t>Emp ID</t>
  </si>
  <si>
    <t>Raju</t>
  </si>
  <si>
    <t>Prd001</t>
  </si>
  <si>
    <t>Ramesh</t>
  </si>
  <si>
    <t>Operations</t>
  </si>
  <si>
    <t>Prd002</t>
  </si>
  <si>
    <t>Ramila</t>
  </si>
  <si>
    <t>Prd003</t>
  </si>
  <si>
    <t>Rajeshwari</t>
  </si>
  <si>
    <t>HR</t>
  </si>
  <si>
    <t>Prd004</t>
  </si>
  <si>
    <t>Karan</t>
  </si>
  <si>
    <t>Prd005</t>
  </si>
  <si>
    <t>Rohith</t>
  </si>
  <si>
    <t>IT</t>
  </si>
  <si>
    <t>Prd006</t>
  </si>
  <si>
    <t>Jacob</t>
  </si>
  <si>
    <t>Prd007</t>
  </si>
  <si>
    <t>Fleming</t>
  </si>
  <si>
    <t>Prd008</t>
  </si>
  <si>
    <t>Navya</t>
  </si>
  <si>
    <t>Prd009</t>
  </si>
  <si>
    <t>Kavya</t>
  </si>
  <si>
    <t>Prd010</t>
  </si>
  <si>
    <t>Santosh</t>
  </si>
  <si>
    <t>Prd011</t>
  </si>
  <si>
    <t>Shankar</t>
  </si>
  <si>
    <t>Prd012</t>
  </si>
  <si>
    <t>Rajesh</t>
  </si>
  <si>
    <t>Prd013</t>
  </si>
  <si>
    <t>Mahesh</t>
  </si>
  <si>
    <t>Prd014</t>
  </si>
  <si>
    <t>Hemaraj</t>
  </si>
  <si>
    <t>Prd015</t>
  </si>
  <si>
    <t>Nagaraj</t>
  </si>
  <si>
    <t>Prd016</t>
  </si>
  <si>
    <t>Johson</t>
  </si>
  <si>
    <t>Prd017</t>
  </si>
  <si>
    <t>Prd018</t>
  </si>
  <si>
    <t>Anderson</t>
  </si>
  <si>
    <t>Prd019</t>
  </si>
  <si>
    <t>Prd020</t>
  </si>
  <si>
    <t xml:space="preserve">Use of Formulas - Lookup </t>
  </si>
  <si>
    <t>Assignment -22</t>
  </si>
  <si>
    <t xml:space="preserve">Q.1 How Many Employee in Work HR, IT, Marketing Department ? </t>
  </si>
  <si>
    <t xml:space="preserve">Q.2 Employee Santosh Salary? </t>
  </si>
  <si>
    <t xml:space="preserve">Q.3 IT &amp; Marketing Department Total Salary? </t>
  </si>
  <si>
    <t>Assignment -23</t>
  </si>
  <si>
    <t>Use of Formulas - AND</t>
  </si>
  <si>
    <t>MATHS</t>
  </si>
  <si>
    <t>BIOLOGY</t>
  </si>
  <si>
    <t>PASSED THE EXAM 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</si>
  <si>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</si>
  <si>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</si>
  <si>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</si>
  <si>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</si>
  <si>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</si>
  <si>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</si>
  <si>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</si>
  <si>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</si>
  <si>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</si>
  <si>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</si>
  <si>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IN THIS EXAMPLE, IF STUDENT PASSES ALL THE SUBJECT, THEN HE HAS PASSED THE EXAM</t>
  </si>
  <si>
    <t>Assignment -24</t>
  </si>
  <si>
    <t>Use of Formulas - Averageif</t>
  </si>
  <si>
    <t>Units sold</t>
  </si>
  <si>
    <t>Student</t>
  </si>
  <si>
    <t>Semester</t>
  </si>
  <si>
    <t>A</t>
  </si>
  <si>
    <t>second</t>
  </si>
  <si>
    <t>D</t>
  </si>
  <si>
    <t>gary</t>
  </si>
  <si>
    <t>Third</t>
  </si>
  <si>
    <t>E</t>
  </si>
  <si>
    <t>Richa</t>
  </si>
  <si>
    <t>B</t>
  </si>
  <si>
    <t>Hari</t>
  </si>
  <si>
    <t>C</t>
  </si>
  <si>
    <t>Tom</t>
  </si>
  <si>
    <t>Will</t>
  </si>
  <si>
    <t>F</t>
  </si>
  <si>
    <t>Average semester score</t>
  </si>
  <si>
    <t>Second</t>
  </si>
  <si>
    <t>Average of B</t>
  </si>
  <si>
    <t>Average of D</t>
  </si>
  <si>
    <t>Zone</t>
  </si>
  <si>
    <t>City</t>
  </si>
  <si>
    <t>Chennai</t>
  </si>
  <si>
    <t xml:space="preserve">East </t>
  </si>
  <si>
    <t>Patna</t>
  </si>
  <si>
    <t>Delhi</t>
  </si>
  <si>
    <t>Kanpur</t>
  </si>
  <si>
    <t>Gandhinagar</t>
  </si>
  <si>
    <t>Hubli</t>
  </si>
  <si>
    <t>Manglore</t>
  </si>
  <si>
    <t>Chandigarh</t>
  </si>
  <si>
    <t>Pune</t>
  </si>
  <si>
    <t>south</t>
  </si>
  <si>
    <t>Hyderabad</t>
  </si>
  <si>
    <t>Meerut</t>
  </si>
  <si>
    <t>Nagpur</t>
  </si>
  <si>
    <t>Average of West zone</t>
  </si>
  <si>
    <t>Avg of Units Sold above 250</t>
  </si>
  <si>
    <t>Avg of Units Sold below 100</t>
  </si>
  <si>
    <t>Assignment -25</t>
  </si>
  <si>
    <t xml:space="preserve">Use of Developer Tab -Draw Check Box </t>
  </si>
  <si>
    <t>Tasks</t>
  </si>
  <si>
    <t>Completion</t>
  </si>
  <si>
    <t>Task</t>
  </si>
  <si>
    <t>Status</t>
  </si>
  <si>
    <t>Book flight tickets</t>
  </si>
  <si>
    <t>Clean the house</t>
  </si>
  <si>
    <t>Book Hotel</t>
  </si>
  <si>
    <t>Prepare Guest List</t>
  </si>
  <si>
    <t>Book a table in Restaurant</t>
  </si>
  <si>
    <t>Plan Activities</t>
  </si>
  <si>
    <t>Book Return Flight Tickets</t>
  </si>
  <si>
    <t>Plan Menu for Food</t>
  </si>
  <si>
    <t>Plan Drinks</t>
  </si>
  <si>
    <t>Decorate Home</t>
  </si>
  <si>
    <t>Make Bed After Waking Up</t>
  </si>
  <si>
    <t>Invite Friends</t>
  </si>
  <si>
    <t>Make Coffee</t>
  </si>
  <si>
    <t>Water Plants</t>
  </si>
  <si>
    <t>Feed the Cat</t>
  </si>
  <si>
    <t>Read Mail</t>
  </si>
  <si>
    <t>Do Laundry</t>
  </si>
  <si>
    <t>Assignment -26</t>
  </si>
  <si>
    <t>Use of If and Vlookup -Compare List 1 to List 2</t>
  </si>
  <si>
    <t>List 1</t>
  </si>
  <si>
    <t>List 2</t>
  </si>
  <si>
    <t>Raj</t>
  </si>
  <si>
    <t>Ankita</t>
  </si>
  <si>
    <t>Rohit</t>
  </si>
  <si>
    <t>Kajal</t>
  </si>
  <si>
    <t>Abhay</t>
  </si>
  <si>
    <t>Rohan</t>
  </si>
  <si>
    <t>Akshay</t>
  </si>
  <si>
    <t>Puneet</t>
  </si>
  <si>
    <t>IF(A9=B9,"Matching","Not Matching")</t>
  </si>
  <si>
    <t>VLOOKUP(F12,E5:E12,1,0)</t>
  </si>
  <si>
    <t>Color List-1</t>
  </si>
  <si>
    <t>Color List-2</t>
  </si>
  <si>
    <t>Red</t>
  </si>
  <si>
    <t>Yellow</t>
  </si>
  <si>
    <t>Green</t>
  </si>
  <si>
    <t>Grey</t>
  </si>
  <si>
    <t>Blue</t>
  </si>
  <si>
    <t>White</t>
  </si>
  <si>
    <t>Black</t>
  </si>
  <si>
    <t>VLOOKUP(A17,E17:E22,1,FALSE)</t>
  </si>
  <si>
    <t>Assignment -27</t>
  </si>
  <si>
    <t xml:space="preserve">Use of Concatenate </t>
  </si>
  <si>
    <t>D21</t>
  </si>
  <si>
    <t>Vishal</t>
  </si>
  <si>
    <t>Mohan</t>
  </si>
  <si>
    <t>D22</t>
  </si>
  <si>
    <t>Mathew</t>
  </si>
  <si>
    <t>D23</t>
  </si>
  <si>
    <t>Jamemah</t>
  </si>
  <si>
    <t>Powel</t>
  </si>
  <si>
    <t>D24</t>
  </si>
  <si>
    <t>Arundhati</t>
  </si>
  <si>
    <t>Swaminathan</t>
  </si>
  <si>
    <t>D25</t>
  </si>
  <si>
    <t>Potter</t>
  </si>
  <si>
    <t>D26</t>
  </si>
  <si>
    <t>Roger</t>
  </si>
  <si>
    <t>=</t>
  </si>
  <si>
    <t>CONCATENATE(B5," ",C5)</t>
  </si>
  <si>
    <t>B16&amp;" "&amp;C16</t>
  </si>
  <si>
    <t>Assignment -28</t>
  </si>
  <si>
    <t>Use of Counta, Countif, Countifs, Vlookup and Index with Match</t>
  </si>
  <si>
    <t>Employee Database</t>
  </si>
  <si>
    <t>Emp Id</t>
  </si>
  <si>
    <t>Designation</t>
  </si>
  <si>
    <t>KRA</t>
  </si>
  <si>
    <t>ARUN</t>
  </si>
  <si>
    <t>MIS-OPERATION</t>
  </si>
  <si>
    <t>OPERATION</t>
  </si>
  <si>
    <t>PHP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</si>
  <si>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</si>
  <si>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</si>
  <si>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</si>
  <si>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</si>
  <si>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</si>
  <si>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</si>
  <si>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</si>
  <si>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</si>
  <si>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</si>
  <si>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FAHAD</t>
  </si>
  <si>
    <t>DOT NET</t>
  </si>
  <si>
    <t>GANGA</t>
  </si>
  <si>
    <t>SOFTWARE ASSOCIATE</t>
  </si>
  <si>
    <t>TESTING</t>
  </si>
  <si>
    <t>HEMA</t>
  </si>
  <si>
    <t>NETWORK ENG</t>
  </si>
  <si>
    <t>SERVER</t>
  </si>
  <si>
    <t>EMID</t>
  </si>
  <si>
    <t>FARZANA</t>
  </si>
  <si>
    <t>SALES EXECUTIVE</t>
  </si>
  <si>
    <t>ABHISHEK</t>
  </si>
  <si>
    <t>ABHISEK</t>
  </si>
  <si>
    <t>AYESH</t>
  </si>
  <si>
    <t>AMAZON</t>
  </si>
  <si>
    <t>PRAVEEN</t>
  </si>
  <si>
    <t>VISHAL</t>
  </si>
  <si>
    <t>GROFFERS</t>
  </si>
  <si>
    <t>VISHNU</t>
  </si>
  <si>
    <t>PAYTM</t>
  </si>
  <si>
    <t>NULL</t>
  </si>
  <si>
    <t>KRISHNA</t>
  </si>
  <si>
    <t>MYNTRA</t>
  </si>
  <si>
    <t>FARZANA BANU</t>
  </si>
  <si>
    <t>VAMSEE KRISHNA</t>
  </si>
  <si>
    <t>BRAND MANAGER</t>
  </si>
  <si>
    <t>MARKETING</t>
  </si>
  <si>
    <t xml:space="preserve">Q.1 How Many Employee? </t>
  </si>
  <si>
    <t xml:space="preserve">Q.2 How Many Employee in Sales Executive? </t>
  </si>
  <si>
    <t>Q.3 How Many Employee Sales Executive in Amazone and Myntra?</t>
  </si>
  <si>
    <t xml:space="preserve">Q.4 Employee Dinesh and Vishal Post and KRA? </t>
  </si>
  <si>
    <t>use of Vlookup</t>
  </si>
  <si>
    <t xml:space="preserve">Q.5 Employee Abhishek and Hema Emp id? </t>
  </si>
  <si>
    <t xml:space="preserve">Use of Index with Match </t>
  </si>
  <si>
    <t>Assignment -29</t>
  </si>
  <si>
    <t xml:space="preserve">Use of Vlookup One Sheet to Another Sheet </t>
  </si>
  <si>
    <t>Sheet 1- Data</t>
  </si>
  <si>
    <t>Location</t>
  </si>
  <si>
    <t>Donald</t>
  </si>
  <si>
    <t>Patrick</t>
  </si>
  <si>
    <t>Banglore</t>
  </si>
  <si>
    <t>Samuel</t>
  </si>
  <si>
    <t>Samson</t>
  </si>
  <si>
    <t>Henry</t>
  </si>
  <si>
    <t>Madrid</t>
  </si>
  <si>
    <t>Ronica</t>
  </si>
  <si>
    <t>Brave</t>
  </si>
  <si>
    <t>Christine</t>
  </si>
  <si>
    <t>Salvi</t>
  </si>
  <si>
    <t>Andrew</t>
  </si>
  <si>
    <t>Baisley</t>
  </si>
  <si>
    <t>Erica</t>
  </si>
  <si>
    <t>Irons</t>
  </si>
  <si>
    <t xml:space="preserve">Sheet 2- Use of Vlookup </t>
  </si>
  <si>
    <t>Assignment -30</t>
  </si>
  <si>
    <t xml:space="preserve">Get Pivot Table </t>
  </si>
  <si>
    <t>Pivot Table Result</t>
  </si>
  <si>
    <t>Date of Sale</t>
  </si>
  <si>
    <t>Month</t>
  </si>
  <si>
    <t>Sales Amt</t>
  </si>
  <si>
    <t>(All)</t>
  </si>
  <si>
    <t>January</t>
  </si>
  <si>
    <t>Sum of Sales Amt</t>
  </si>
  <si>
    <t>February</t>
  </si>
  <si>
    <t>Grand Total</t>
  </si>
  <si>
    <t>Assignment -31</t>
  </si>
  <si>
    <t xml:space="preserve">USE OF HLOOKUP </t>
  </si>
  <si>
    <t>Months</t>
  </si>
  <si>
    <t>March</t>
  </si>
  <si>
    <t>April</t>
  </si>
  <si>
    <t>June</t>
  </si>
  <si>
    <t>Sale</t>
  </si>
  <si>
    <t>Mat</t>
  </si>
  <si>
    <t>Jim</t>
  </si>
  <si>
    <t>Cole</t>
  </si>
  <si>
    <t>Ricky</t>
  </si>
  <si>
    <t>Mary</t>
  </si>
  <si>
    <t>Science</t>
  </si>
  <si>
    <t xml:space="preserve">English </t>
  </si>
  <si>
    <t>Marks in English</t>
  </si>
  <si>
    <t xml:space="preserve">Marks in Maths </t>
  </si>
  <si>
    <t>EMP</t>
  </si>
  <si>
    <t>FIS6067</t>
  </si>
  <si>
    <t>FIS5228</t>
  </si>
  <si>
    <t>FIS6799</t>
  </si>
  <si>
    <t>FIS1149</t>
  </si>
  <si>
    <t>FIS5834</t>
  </si>
  <si>
    <t>SALES1</t>
  </si>
  <si>
    <t>SALES2</t>
  </si>
  <si>
    <t>SALES3</t>
  </si>
  <si>
    <t>SALES4</t>
  </si>
  <si>
    <t>SALES5</t>
  </si>
  <si>
    <t xml:space="preserve">EMP </t>
  </si>
  <si>
    <t>Sales 4</t>
  </si>
  <si>
    <t>Temperarture (In Celsius)</t>
  </si>
  <si>
    <t>Cities</t>
  </si>
  <si>
    <t>New Delhi</t>
  </si>
  <si>
    <t>Mumbai</t>
  </si>
  <si>
    <t>Bangalore</t>
  </si>
  <si>
    <t>Temperature</t>
  </si>
  <si>
    <t>Employee</t>
  </si>
  <si>
    <t>Albert</t>
  </si>
  <si>
    <t>Aaron</t>
  </si>
  <si>
    <t>Albama</t>
  </si>
  <si>
    <t>Abeey</t>
  </si>
  <si>
    <t>Cathy</t>
  </si>
  <si>
    <t>Cat</t>
  </si>
  <si>
    <t>Assignment -32</t>
  </si>
  <si>
    <t>USE OF NESTEDIF</t>
  </si>
  <si>
    <t>Total Numbers Earned</t>
  </si>
  <si>
    <t>Grade earned</t>
  </si>
  <si>
    <t>Condition List</t>
  </si>
  <si>
    <t>John Wilkins</t>
  </si>
  <si>
    <t>90-100</t>
  </si>
  <si>
    <t>A+</t>
  </si>
  <si>
    <t>Steve Harrington</t>
  </si>
  <si>
    <t>85 - &lt; 90</t>
  </si>
  <si>
    <t>Edward Clark</t>
  </si>
  <si>
    <t>80 - &lt; 85</t>
  </si>
  <si>
    <t>B+</t>
  </si>
  <si>
    <t>Jimmy Chemberlin</t>
  </si>
  <si>
    <t>75 - &lt; 80</t>
  </si>
  <si>
    <t> B</t>
  </si>
  <si>
    <t>Alex Wilkins</t>
  </si>
  <si>
    <t>70 - &lt; 75</t>
  </si>
  <si>
    <t>C+</t>
  </si>
  <si>
    <t>Patty Scott</t>
  </si>
  <si>
    <t>65 - &lt; 70</t>
  </si>
  <si>
    <t>Andrew Williams</t>
  </si>
  <si>
    <t>60 - &lt; 65</t>
  </si>
  <si>
    <t>D+</t>
  </si>
  <si>
    <t>Emilia johnson</t>
  </si>
  <si>
    <t>50 - &lt; 60</t>
  </si>
  <si>
    <t>Anthony Rogers</t>
  </si>
  <si>
    <t>&lt; 50</t>
  </si>
  <si>
    <t>Sl #</t>
  </si>
  <si>
    <t>Month Number</t>
  </si>
  <si>
    <t>=VLOOKUP(H2,$A$2:$C$13,3,0)</t>
  </si>
  <si>
    <t>July</t>
  </si>
  <si>
    <t>August</t>
  </si>
  <si>
    <t>September</t>
  </si>
  <si>
    <t>October</t>
  </si>
  <si>
    <t>November</t>
  </si>
  <si>
    <t>December</t>
  </si>
  <si>
    <t>Assignment -33</t>
  </si>
  <si>
    <t>Merge Table 1,2 &amp; 3 Using Vlookup</t>
  </si>
  <si>
    <t>Table 1</t>
  </si>
  <si>
    <t>Table 2</t>
  </si>
  <si>
    <t>Table 3</t>
  </si>
  <si>
    <t>Dept</t>
  </si>
  <si>
    <t xml:space="preserve">Result </t>
  </si>
  <si>
    <t>Assignment -34</t>
  </si>
  <si>
    <t>Owner</t>
  </si>
  <si>
    <t>Product Class</t>
  </si>
  <si>
    <t>Quantity  Sold</t>
  </si>
  <si>
    <t>Ben</t>
  </si>
  <si>
    <t>A1</t>
  </si>
  <si>
    <t>Jeff</t>
  </si>
  <si>
    <t>A4</t>
  </si>
  <si>
    <t>C3</t>
  </si>
  <si>
    <t>C14</t>
  </si>
  <si>
    <t>Jenny</t>
  </si>
  <si>
    <t>A12</t>
  </si>
  <si>
    <t>B3</t>
  </si>
  <si>
    <t>B7</t>
  </si>
  <si>
    <t>B11</t>
  </si>
  <si>
    <t xml:space="preserve">Total Quantity Sold             By Ben </t>
  </si>
  <si>
    <t>Total Quantity Sold             By Jenny</t>
  </si>
  <si>
    <t>Total Quantity Sold             By Ben  &amp; Jenny</t>
  </si>
  <si>
    <t>SUMIF(A2:A9,"Ben",C2:C9)+SUMIF(A2:A9,"Jenny",C2:C9)</t>
  </si>
  <si>
    <t>Total Quantity Sold             By Jeff  &amp; Jenny</t>
  </si>
  <si>
    <t>Assignment -35</t>
  </si>
  <si>
    <t>Use of SUMPRODUCT &amp; VLOOKUP</t>
  </si>
  <si>
    <t>Qt.</t>
  </si>
  <si>
    <t>Price</t>
  </si>
  <si>
    <t>Bulb</t>
  </si>
  <si>
    <t>Tube light</t>
  </si>
  <si>
    <t>Heater</t>
  </si>
  <si>
    <t>CFL</t>
  </si>
  <si>
    <t>charger</t>
  </si>
  <si>
    <t>RESULT</t>
  </si>
  <si>
    <t>SUMPRODUCT(B5:B9,C5:C9)</t>
  </si>
  <si>
    <t>USE OF VLOOKUP</t>
  </si>
  <si>
    <t>TABLE 1 TO TABLE 2</t>
  </si>
  <si>
    <t>City Code</t>
  </si>
  <si>
    <t>Pin Code</t>
  </si>
  <si>
    <t>U_362</t>
  </si>
  <si>
    <t>Z_143</t>
  </si>
  <si>
    <t>F_103</t>
  </si>
  <si>
    <t>N_148</t>
  </si>
  <si>
    <t>L_120</t>
  </si>
  <si>
    <t>G_455</t>
  </si>
  <si>
    <t>E_195</t>
  </si>
  <si>
    <t>E_41</t>
  </si>
  <si>
    <t>O_62</t>
  </si>
  <si>
    <t>B_277</t>
  </si>
  <si>
    <t>V_318</t>
  </si>
  <si>
    <t>J_446</t>
  </si>
  <si>
    <t>P_18</t>
  </si>
  <si>
    <t>T_84</t>
  </si>
  <si>
    <t>J_264</t>
  </si>
  <si>
    <t>X_296</t>
  </si>
  <si>
    <t>X_112</t>
  </si>
  <si>
    <t>J_430</t>
  </si>
  <si>
    <t>I_159</t>
  </si>
  <si>
    <t>F_10</t>
  </si>
  <si>
    <t>Assignment -36</t>
  </si>
  <si>
    <t>Emp</t>
  </si>
  <si>
    <t>Branch</t>
  </si>
  <si>
    <t>INCENTIVE</t>
  </si>
  <si>
    <t>Bonus</t>
  </si>
  <si>
    <t>TA</t>
  </si>
  <si>
    <t>Raja</t>
  </si>
  <si>
    <t>north</t>
  </si>
  <si>
    <t>Ferozepur</t>
  </si>
  <si>
    <t>Suman</t>
  </si>
  <si>
    <t>east</t>
  </si>
  <si>
    <t>Cuttack</t>
  </si>
  <si>
    <t>Mktg</t>
  </si>
  <si>
    <t>Beena</t>
  </si>
  <si>
    <t>R&amp;D</t>
  </si>
  <si>
    <t>Seema</t>
  </si>
  <si>
    <t>Julie</t>
  </si>
  <si>
    <t>Mathura</t>
  </si>
  <si>
    <t>Admin</t>
  </si>
  <si>
    <t>Neena</t>
  </si>
  <si>
    <t>Agra</t>
  </si>
  <si>
    <t>Director</t>
  </si>
  <si>
    <t>Pankaj</t>
  </si>
  <si>
    <t>Ambala</t>
  </si>
  <si>
    <t>Personal</t>
  </si>
  <si>
    <t>Andre</t>
  </si>
  <si>
    <t>Darjeeling</t>
  </si>
  <si>
    <t>CCD</t>
  </si>
  <si>
    <t>Sujay</t>
  </si>
  <si>
    <t>west</t>
  </si>
  <si>
    <t>Shilpa</t>
  </si>
  <si>
    <t>Jammu</t>
  </si>
  <si>
    <t>Meera</t>
  </si>
  <si>
    <t>Calcutta</t>
  </si>
  <si>
    <t>Sheetal</t>
  </si>
  <si>
    <t>cochin</t>
  </si>
  <si>
    <t>K. Sita</t>
  </si>
  <si>
    <t>Priya</t>
  </si>
  <si>
    <t>Jaipur</t>
  </si>
  <si>
    <t>Aalok</t>
  </si>
  <si>
    <t>Aakash</t>
  </si>
  <si>
    <t>Nasik</t>
  </si>
  <si>
    <t>Parvati</t>
  </si>
  <si>
    <t xml:space="preserve">Q.1 How many Emloyee in Sales and Mktg Department. </t>
  </si>
  <si>
    <t xml:space="preserve">Q.2 How Many salary in Sales Department. </t>
  </si>
  <si>
    <t xml:space="preserve">Q.3 How many Employee Department Sales, North Region Salary. </t>
  </si>
  <si>
    <t>employee in sales department</t>
  </si>
  <si>
    <t xml:space="preserve">Q.4 How many Employee Department Sales and Region north. </t>
  </si>
  <si>
    <t>Q.5 If Salary Greater Then 15000, "A", if salary Greater Then 10000, "B" otherwise "C".</t>
  </si>
  <si>
    <t>north region salary</t>
  </si>
  <si>
    <t>Assignment -37</t>
  </si>
  <si>
    <t>WITH CONDITION TRUE/FALSE</t>
  </si>
  <si>
    <t xml:space="preserve">CONDITION </t>
  </si>
  <si>
    <t>Empcode</t>
  </si>
  <si>
    <t>Incentive</t>
  </si>
  <si>
    <t>salary slab</t>
  </si>
  <si>
    <t>incentive</t>
  </si>
  <si>
    <t>grade</t>
  </si>
  <si>
    <t>G</t>
  </si>
  <si>
    <t>H</t>
  </si>
  <si>
    <t>Farhan</t>
  </si>
  <si>
    <t>Satinder Kaur</t>
  </si>
  <si>
    <t>Suchita</t>
  </si>
  <si>
    <t>Shazia</t>
  </si>
  <si>
    <t>Pooja</t>
  </si>
  <si>
    <t>Jasbinder</t>
  </si>
  <si>
    <t>Bharat</t>
  </si>
  <si>
    <t>Rishi</t>
  </si>
  <si>
    <t>Mala</t>
  </si>
  <si>
    <t>Hajra</t>
  </si>
  <si>
    <t>Aalam</t>
  </si>
  <si>
    <t>Giriraj</t>
  </si>
  <si>
    <t>Ankur</t>
  </si>
  <si>
    <t>Tapan</t>
  </si>
  <si>
    <t>Zarina</t>
  </si>
  <si>
    <t>Arun</t>
  </si>
  <si>
    <t>Chitra</t>
  </si>
  <si>
    <t>Kirtikar</t>
  </si>
  <si>
    <t>Assignment -38</t>
  </si>
  <si>
    <t xml:space="preserve">USE OF DATEDIF FORMULAS CALCULATE DOB </t>
  </si>
  <si>
    <t>FirstDate</t>
  </si>
  <si>
    <t>SecondDate</t>
  </si>
  <si>
    <t>Interval</t>
  </si>
  <si>
    <t>Difference</t>
  </si>
  <si>
    <t>days</t>
  </si>
  <si>
    <t xml:space="preserve"> =DATEDIF(C4,D4,"d")</t>
  </si>
  <si>
    <t>months</t>
  </si>
  <si>
    <t xml:space="preserve"> =DATEDIF(C5,D5,"m")</t>
  </si>
  <si>
    <t>years</t>
  </si>
  <si>
    <t xml:space="preserve"> =DATEDIF(C6,D6,"y")</t>
  </si>
  <si>
    <t>yeardays</t>
  </si>
  <si>
    <t xml:space="preserve"> =DATEDIF(C7,D7,"yd")</t>
  </si>
  <si>
    <t>yearmonths</t>
  </si>
  <si>
    <t xml:space="preserve"> =DATEDIF(C8,D8,"ym")</t>
  </si>
  <si>
    <t>monthdays</t>
  </si>
  <si>
    <t xml:space="preserve"> =DATEDIF(C9,D9,"md")</t>
  </si>
  <si>
    <t>What Does It Do?</t>
  </si>
  <si>
    <t>This function calculates the difference between two dates.</t>
  </si>
  <si>
    <t>It can show the result in weeks, months or years.</t>
  </si>
  <si>
    <t>Syntax</t>
  </si>
  <si>
    <t xml:space="preserve"> =DATEDIF(FirstDate,SecondDate,"Interval")</t>
  </si>
  <si>
    <t>FirstDate : This is the earliest of the two dates.</t>
  </si>
  <si>
    <t>SecondDate : This is the most recent of the two dates.</t>
  </si>
  <si>
    <t>"Interval" : This indicates what you want to calculate.</t>
  </si>
  <si>
    <t>These are the available intervals.</t>
  </si>
  <si>
    <t>"d"</t>
  </si>
  <si>
    <t>Days between the two dates.</t>
  </si>
  <si>
    <t>"m"</t>
  </si>
  <si>
    <t>Months between the two dates.</t>
  </si>
  <si>
    <t>"y"</t>
  </si>
  <si>
    <t>Years between the two dates.</t>
  </si>
  <si>
    <t>"yd"</t>
  </si>
  <si>
    <t>Days between the dates, as if the dates were in the same year.</t>
  </si>
  <si>
    <t>"ym"</t>
  </si>
  <si>
    <t>Months between the dates, as if the dates were in the same year.</t>
  </si>
  <si>
    <t>"md"</t>
  </si>
  <si>
    <t>Days between the two dates, as if the dates were in the same month and year.</t>
  </si>
  <si>
    <t>Formatting</t>
  </si>
  <si>
    <t>No special formatting is needed.</t>
  </si>
  <si>
    <t>Birth date :</t>
  </si>
  <si>
    <t>Years lived :</t>
  </si>
  <si>
    <t xml:space="preserve"> =DATEDIF(C8,TODAY(),"y")</t>
  </si>
  <si>
    <t>and the months :</t>
  </si>
  <si>
    <t xml:space="preserve"> =DATEDIF(C8,TODAY(),"ym")</t>
  </si>
  <si>
    <t>and the days :</t>
  </si>
  <si>
    <t xml:space="preserve"> =DATEDIF(C8,TODAY(),"md")</t>
  </si>
  <si>
    <t>You can put this all together in one calculation, which creates a text version.</t>
  </si>
  <si>
    <t xml:space="preserve"> ="Age is "&amp;DATEDIF(C8,TODAY(),"y")&amp;" Years, "&amp;DATEDIF(C8,TODAY(),"ym")&amp;" Months and "&amp;DATEDIF(C8,TODAY(),"md")&amp;" Days"</t>
  </si>
  <si>
    <t>Assignment -39</t>
  </si>
  <si>
    <t>USE OF DAVERAGE</t>
  </si>
  <si>
    <t>Wattage</t>
  </si>
  <si>
    <t>Life Hours</t>
  </si>
  <si>
    <t>Unit Cost</t>
  </si>
  <si>
    <t>Box Quantity</t>
  </si>
  <si>
    <t>Boxes In Stock</t>
  </si>
  <si>
    <t>Value Of Stock</t>
  </si>
  <si>
    <t>Horizon</t>
  </si>
  <si>
    <t>Neon</t>
  </si>
  <si>
    <t>Spot</t>
  </si>
  <si>
    <t>Other</t>
  </si>
  <si>
    <t>Sunbeam</t>
  </si>
  <si>
    <t>unknown</t>
  </si>
  <si>
    <t>To calculate the Average cost of a particular Brand of bulb.</t>
  </si>
  <si>
    <r>
      <rPr>
        <rFont val="Arial"/>
        <i/>
        <color theme="1"/>
        <sz val="10.0"/>
      </rPr>
      <t xml:space="preserve">These two cells are the </t>
    </r>
    <r>
      <rPr>
        <rFont val="Arial"/>
        <b/>
        <i/>
        <color theme="1"/>
        <sz val="10.0"/>
      </rPr>
      <t>Criteria</t>
    </r>
    <r>
      <rPr>
        <rFont val="Arial"/>
        <i/>
        <color theme="1"/>
        <sz val="10.0"/>
      </rPr>
      <t xml:space="preserve"> range.</t>
    </r>
  </si>
  <si>
    <t xml:space="preserve">Type the brand name : </t>
  </si>
  <si>
    <t>sunbeam</t>
  </si>
  <si>
    <t xml:space="preserve"> =DAVERAGE(B3:I19,F3,E23:E24)</t>
  </si>
  <si>
    <t>Examples</t>
  </si>
  <si>
    <t>The average Unit Cost of a particular Product of a particular Brand.</t>
  </si>
  <si>
    <t xml:space="preserve"> =DAVERAGE(B3:I19,F3,E49:F50)</t>
  </si>
  <si>
    <t>This is the same calculation but using the actual name "Unit Cost" instead of the cell address.</t>
  </si>
  <si>
    <t xml:space="preserve"> =DAVERAGE(B3:I19,"Unit Cost",E49:F50)</t>
  </si>
  <si>
    <t>The average Unit Cost of a Bulb equal to a particular Wattage.</t>
  </si>
  <si>
    <t xml:space="preserve"> =DAVERAGE(B3:I19,"Unit Cost",E60:F61)</t>
  </si>
  <si>
    <t>The average Unit Cost of a Bulb less then a particular Wattage.</t>
  </si>
  <si>
    <t>&lt;100</t>
  </si>
  <si>
    <t xml:space="preserve"> =DAVERAGE(B3:I19,"Unit Cost",E67:F68)</t>
  </si>
  <si>
    <t>Assignment -40</t>
  </si>
  <si>
    <t>USE OF DCOUNT</t>
  </si>
  <si>
    <t>Count the number of products of a particular Brand which have a Life Hours rating.</t>
  </si>
  <si>
    <r>
      <rPr>
        <rFont val="Arial"/>
        <i/>
        <color theme="1"/>
        <sz val="10.0"/>
      </rPr>
      <t xml:space="preserve">These two cells are the </t>
    </r>
    <r>
      <rPr>
        <rFont val="Arial"/>
        <b/>
        <i/>
        <color theme="1"/>
        <sz val="10.0"/>
      </rPr>
      <t>Criteria</t>
    </r>
    <r>
      <rPr>
        <rFont val="Arial"/>
        <i/>
        <color theme="1"/>
        <sz val="10.0"/>
      </rPr>
      <t xml:space="preserve"> range.</t>
    </r>
  </si>
  <si>
    <t xml:space="preserve"> =DCOUNT(B3:I19,D3,E23:E24)</t>
  </si>
  <si>
    <t>What Does It Do ?</t>
  </si>
  <si>
    <t>This function examines a list of information and counts the values in a specified column.</t>
  </si>
  <si>
    <t>It can only count values, the text items and blank cells are ignored.</t>
  </si>
  <si>
    <t>=DCOUNT(DatabaseRange,FieldName,CriteriaRange)</t>
  </si>
  <si>
    <t>The count of a particular product, with a specific number of boxes in stock.</t>
  </si>
  <si>
    <t xml:space="preserve">The number of products is : </t>
  </si>
  <si>
    <t xml:space="preserve"> =DCOUNT(B3:I19,H3,E50:F51)</t>
  </si>
  <si>
    <t>This is the same calculation but using the name "Boxes In Stock" instead of the cell address.</t>
  </si>
  <si>
    <t xml:space="preserve"> =DCOUNT(B3:I19,"Boxes In Stock",E50:F51)</t>
  </si>
  <si>
    <t>The count of the number of  Bulb products equal to a particular Wattage.</t>
  </si>
  <si>
    <t xml:space="preserve">The count is : </t>
  </si>
  <si>
    <t xml:space="preserve"> =DCOUNT(B3:I19,"Boxes In Stock",E61:F62)</t>
  </si>
  <si>
    <t>The count of Bulb products between two Wattage values.</t>
  </si>
  <si>
    <t>&gt;=80</t>
  </si>
  <si>
    <t>&lt;=100</t>
  </si>
  <si>
    <t xml:space="preserve"> =DCOUNT(B3:I19,"Boxes In Stock",E68:G69)</t>
  </si>
  <si>
    <t>Assignment -41</t>
  </si>
  <si>
    <t>USE OF DCOUNTA</t>
  </si>
  <si>
    <t>Count the number of products of a particular Brand.</t>
  </si>
  <si>
    <r>
      <rPr>
        <rFont val="Arial"/>
        <i/>
        <color theme="1"/>
        <sz val="10.0"/>
      </rPr>
      <t xml:space="preserve">These two cells are the </t>
    </r>
    <r>
      <rPr>
        <rFont val="Arial"/>
        <b/>
        <i/>
        <color theme="1"/>
        <sz val="10.0"/>
      </rPr>
      <t>Criteria</t>
    </r>
    <r>
      <rPr>
        <rFont val="Arial"/>
        <i/>
        <color theme="1"/>
        <sz val="10.0"/>
      </rPr>
      <t xml:space="preserve"> range.</t>
    </r>
  </si>
  <si>
    <t xml:space="preserve"> =DCOUNTA(B3:I19,E3,E23:E24)</t>
  </si>
  <si>
    <t>This function examines a list of information and counts the non blank cells in a specified column.</t>
  </si>
  <si>
    <t>It counts values and text items, but blank cells are ignored.</t>
  </si>
  <si>
    <t>=DCOUNTA(DatabaseRange,FieldName,CriteriaRange)</t>
  </si>
  <si>
    <t>The count of a product with an unknown Life Hours value.</t>
  </si>
  <si>
    <t xml:space="preserve"> =DCOUNTA(B3:I19,D3,E50:F51)</t>
  </si>
  <si>
    <t>This is the same calculation but using the name "Life Hours" instead of the cell address.</t>
  </si>
  <si>
    <t xml:space="preserve"> =DCOUNTA(B3:I19,"Life Hours",E50:F51)</t>
  </si>
  <si>
    <t>The count of the number of  particular product of a specific brand.</t>
  </si>
  <si>
    <t xml:space="preserve"> =DCOUNTA(B3:I19,"Product",E61:F62)</t>
  </si>
  <si>
    <t>The count of particular products from specific brands.</t>
  </si>
  <si>
    <t xml:space="preserve"> =DCOUNTA(B3:I19,"Product",E68:F70)</t>
  </si>
  <si>
    <t>Assignment -42</t>
  </si>
  <si>
    <t>USE OF DMAX</t>
  </si>
  <si>
    <t>To calculate largest Value Of Stock of a particular Brand of bulb.</t>
  </si>
  <si>
    <r>
      <rPr>
        <rFont val="Arial"/>
        <i/>
        <color theme="1"/>
        <sz val="10.0"/>
      </rPr>
      <t xml:space="preserve">These two cells are the </t>
    </r>
    <r>
      <rPr>
        <rFont val="Arial"/>
        <b/>
        <i/>
        <color theme="1"/>
        <sz val="10.0"/>
      </rPr>
      <t>Criteria</t>
    </r>
    <r>
      <rPr>
        <rFont val="Arial"/>
        <i/>
        <color theme="1"/>
        <sz val="10.0"/>
      </rPr>
      <t xml:space="preserve"> range.</t>
    </r>
  </si>
  <si>
    <t xml:space="preserve"> =DMAX(B3:I19,I3,E23:E24)</t>
  </si>
  <si>
    <t>This function examines a list of information and produces the largest value from a specified column.</t>
  </si>
  <si>
    <t>=DMAX(DatabaseRange,FieldName,CriteriaRange)</t>
  </si>
  <si>
    <t>The largest Value Of Stock of a particular Product of a particular Brand.</t>
  </si>
  <si>
    <t xml:space="preserve">The largest value is : </t>
  </si>
  <si>
    <t xml:space="preserve"> =DMAX(B3:I19,I3,E49:F50)</t>
  </si>
  <si>
    <t>This is the same calculation but using the name "Value Of Stock" instead of the cell address.</t>
  </si>
  <si>
    <t xml:space="preserve"> =DMAX(B3:I19,"Value Of Stock",E49:F50)</t>
  </si>
  <si>
    <t>The largest Value Of Stock of a Bulb equal to a particular Wattage.</t>
  </si>
  <si>
    <t xml:space="preserve">The largest Value Of Stock is : </t>
  </si>
  <si>
    <t xml:space="preserve"> =DMAX(B3:I19,"Value Of Stock",E60:F61)</t>
  </si>
  <si>
    <t>The largest Value Of Stock of a Bulb less than a particular Wattage.</t>
  </si>
  <si>
    <t xml:space="preserve"> =DMAX(B3:I19,"Value Of Stock",E67:F68)</t>
  </si>
  <si>
    <t>Assignment -43</t>
  </si>
  <si>
    <t>USE OF DSUM</t>
  </si>
  <si>
    <t>To calculate the total Value Of Stock of a particular Brand of bulb.</t>
  </si>
  <si>
    <r>
      <rPr>
        <rFont val="Arial"/>
        <i/>
        <color theme="1"/>
        <sz val="10.0"/>
      </rPr>
      <t xml:space="preserve">These two cells are the </t>
    </r>
    <r>
      <rPr>
        <rFont val="Arial"/>
        <b/>
        <i/>
        <color theme="1"/>
        <sz val="10.0"/>
      </rPr>
      <t>Criteria</t>
    </r>
    <r>
      <rPr>
        <rFont val="Arial"/>
        <i/>
        <color theme="1"/>
        <sz val="10.0"/>
      </rPr>
      <t xml:space="preserve"> range.</t>
    </r>
  </si>
  <si>
    <t xml:space="preserve"> =DSUM(B3:I19,I3,E23:E24)</t>
  </si>
  <si>
    <t>=DSUM(DatabaseRange,FieldName,CriteriaRange)</t>
  </si>
  <si>
    <t>The total Value Of Stock of a particular Product of a particular Brand.</t>
  </si>
  <si>
    <t xml:space="preserve">Total stock value is : </t>
  </si>
  <si>
    <t xml:space="preserve"> =DSUM(B3:I19,I3,E49:F50)</t>
  </si>
  <si>
    <t xml:space="preserve"> =DSUM(B3:I19,"Value Of Stock",E49:F50)</t>
  </si>
  <si>
    <t>The total Value Of Stock of a Bulb equal to a particular Wattage.</t>
  </si>
  <si>
    <t xml:space="preserve">Total Value Of Stock is : </t>
  </si>
  <si>
    <t xml:space="preserve"> =DSUM(B3:I19,"Value Of Stock",E60:F61)</t>
  </si>
  <si>
    <t>The total Value Of Stock of a Bulb less than a particular Wattage.</t>
  </si>
  <si>
    <t xml:space="preserve"> =DSUM(B3:I19,"Value Of Stock",E67:F68)</t>
  </si>
  <si>
    <t>Assignment -44</t>
  </si>
  <si>
    <t>USE OF FIND &amp; LARGE FORMULA</t>
  </si>
  <si>
    <t>Text</t>
  </si>
  <si>
    <t>Letter To Find</t>
  </si>
  <si>
    <t>Position Of Letter</t>
  </si>
  <si>
    <t>Hello</t>
  </si>
  <si>
    <t>e</t>
  </si>
  <si>
    <t xml:space="preserve"> =FIND(D4,C4)</t>
  </si>
  <si>
    <t xml:space="preserve"> =FIND(D5,C5)</t>
  </si>
  <si>
    <t>o</t>
  </si>
  <si>
    <t xml:space="preserve"> =FIND(D6,C6)</t>
  </si>
  <si>
    <t>Alan Williams</t>
  </si>
  <si>
    <t>a</t>
  </si>
  <si>
    <t xml:space="preserve"> =FIND(D7,C7)</t>
  </si>
  <si>
    <t xml:space="preserve"> =FIND(D8,C8,6)</t>
  </si>
  <si>
    <t>T</t>
  </si>
  <si>
    <t xml:space="preserve"> =FIND(D9,C9)</t>
  </si>
  <si>
    <t>Values</t>
  </si>
  <si>
    <t>Highest Value</t>
  </si>
  <si>
    <t xml:space="preserve"> =LARGE(C4:C8,1)</t>
  </si>
  <si>
    <t>2nd Highest Value</t>
  </si>
  <si>
    <t xml:space="preserve"> =LARGE(C4:C8,2)</t>
  </si>
  <si>
    <t>3rd Highest Value</t>
  </si>
  <si>
    <t xml:space="preserve"> =LARGE(C4:C8,3)</t>
  </si>
  <si>
    <t>4th Highest Value</t>
  </si>
  <si>
    <t xml:space="preserve"> =LARGE(C4:C8,4)</t>
  </si>
  <si>
    <t>5th Highest Value</t>
  </si>
  <si>
    <t xml:space="preserve"> =LARGE(C4:C8,5)</t>
  </si>
  <si>
    <t>This function examines a list of values and picks the value at a user specified position</t>
  </si>
  <si>
    <t>in the list.</t>
  </si>
  <si>
    <t>=LARGE(ListOfNumbersToExamine,PositionToPickFrom)</t>
  </si>
  <si>
    <t>Example</t>
  </si>
  <si>
    <t>The following table was used to calculate the top 3 sales figures between Jan, Feb and Mar.</t>
  </si>
  <si>
    <t xml:space="preserve"> =LARGE(D24:F27,1)</t>
  </si>
  <si>
    <t xml:space="preserve"> =LARGE(D24:F27,2)</t>
  </si>
  <si>
    <t xml:space="preserve"> =LARGE(D24:F27,3)</t>
  </si>
  <si>
    <t>Note</t>
  </si>
  <si>
    <t>Another way to find the Highest and Lowest values would have been to use</t>
  </si>
  <si>
    <t>the =MAX() and =MIN() functions.</t>
  </si>
  <si>
    <t>Highest</t>
  </si>
  <si>
    <t xml:space="preserve"> =MAX(D24:F27)</t>
  </si>
  <si>
    <t>Lowest</t>
  </si>
  <si>
    <t xml:space="preserve"> =MIN(D24:F27)</t>
  </si>
  <si>
    <t>Assignment -45</t>
  </si>
  <si>
    <t>USE OF LEFT, FIND, LEN,LOWER, NETWORKDAYS</t>
  </si>
  <si>
    <t xml:space="preserve">USE OF LEFT </t>
  </si>
  <si>
    <t>Number Of
Characters Required</t>
  </si>
  <si>
    <t>Left String</t>
  </si>
  <si>
    <t>Alan Jones</t>
  </si>
  <si>
    <t>LEFT(A5,B5)</t>
  </si>
  <si>
    <t>Cardiff</t>
  </si>
  <si>
    <t>ABC123</t>
  </si>
  <si>
    <t>USE OF LEFT AND FIND</t>
  </si>
  <si>
    <t xml:space="preserve"> =LEFT(A12,FIND(" ",A12)-1)</t>
  </si>
  <si>
    <t>Bob Smith</t>
  </si>
  <si>
    <t>Carol Williams</t>
  </si>
  <si>
    <t>USE OF LEN</t>
  </si>
  <si>
    <t>Length</t>
  </si>
  <si>
    <t xml:space="preserve"> =LEN(A18)</t>
  </si>
  <si>
    <t>USE OF LOWER</t>
  </si>
  <si>
    <t>Upper Case Text</t>
  </si>
  <si>
    <t>Lower Case</t>
  </si>
  <si>
    <t>ALAN JONES</t>
  </si>
  <si>
    <t xml:space="preserve"> =LOWER(A27)</t>
  </si>
  <si>
    <t>BOB SMITH</t>
  </si>
  <si>
    <t>CAROL WILLIAMS</t>
  </si>
  <si>
    <t>CARDIFF</t>
  </si>
  <si>
    <t>USE OF NETWORKDAYS</t>
  </si>
  <si>
    <t>End Date</t>
  </si>
  <si>
    <t>Work Days</t>
  </si>
  <si>
    <t xml:space="preserve"> =NETWORKDAYS(A36,B36)</t>
  </si>
  <si>
    <t>Assignment -46</t>
  </si>
  <si>
    <t>USE OF POWER, PRODUCT, PROPER, REPT</t>
  </si>
  <si>
    <t xml:space="preserve">USE OF POWER </t>
  </si>
  <si>
    <t>Number</t>
  </si>
  <si>
    <t>Power</t>
  </si>
  <si>
    <t xml:space="preserve"> =POWER(A5,B5)</t>
  </si>
  <si>
    <t>USE OF PRODUCT</t>
  </si>
  <si>
    <t>Numbers</t>
  </si>
  <si>
    <t xml:space="preserve"> =PRODUCT(A12,B12)</t>
  </si>
  <si>
    <t>USE OF PROPER</t>
  </si>
  <si>
    <t>Original Text</t>
  </si>
  <si>
    <t>Proper</t>
  </si>
  <si>
    <t>alan jones</t>
  </si>
  <si>
    <t xml:space="preserve"> =PROPER(A19)</t>
  </si>
  <si>
    <t>bob smith</t>
  </si>
  <si>
    <t>caRol wILLIAMS</t>
  </si>
  <si>
    <t>cardiff</t>
  </si>
  <si>
    <t>USE OF REPT</t>
  </si>
  <si>
    <t>Text To
Repeat</t>
  </si>
  <si>
    <t>Number Of
Repeats</t>
  </si>
  <si>
    <t>Repeated
Text</t>
  </si>
  <si>
    <t xml:space="preserve"> =REPT(A27,B27)</t>
  </si>
  <si>
    <t>AB</t>
  </si>
  <si>
    <t>-</t>
  </si>
  <si>
    <t>|</t>
  </si>
  <si>
    <t>Assignment -47</t>
  </si>
  <si>
    <t>USE OF RIGHT, ROMAN &amp; SMALL</t>
  </si>
  <si>
    <t>Original
Text</t>
  </si>
  <si>
    <t>Right
String</t>
  </si>
  <si>
    <t xml:space="preserve"> =RIGHT(A4,B4)</t>
  </si>
  <si>
    <t>USE OF ROMAN</t>
  </si>
  <si>
    <t>Roman</t>
  </si>
  <si>
    <t xml:space="preserve"> =ROMAN(A13)</t>
  </si>
  <si>
    <t xml:space="preserve">USE OF SMALL </t>
  </si>
  <si>
    <t>Lowest Value</t>
  </si>
  <si>
    <t xml:space="preserve"> =SMALL(D24:F27,1)</t>
  </si>
  <si>
    <t>2nd Lowest Value</t>
  </si>
  <si>
    <t xml:space="preserve"> =SMALL(D24:F27,2)</t>
  </si>
  <si>
    <t>3rd Lowest Value</t>
  </si>
  <si>
    <t xml:space="preserve"> =SMALL(D24:F27,3)</t>
  </si>
  <si>
    <t>Assignment -48</t>
  </si>
  <si>
    <t>comission</t>
  </si>
  <si>
    <t>target</t>
  </si>
  <si>
    <t>USE OF COUNTA AND VLOOKUP</t>
  </si>
  <si>
    <t>Ajeet</t>
  </si>
  <si>
    <t>USE OF COUNTIF</t>
  </si>
  <si>
    <t>USE OF LOOKUP</t>
  </si>
  <si>
    <t>Q.6 How Many sales Man sales Jan Months Sales &gt;2000 &amp; March Sales &lt;=1500 ?</t>
  </si>
  <si>
    <t>USE OF COUNTIFS</t>
  </si>
  <si>
    <t>Q.7 Jan to Target Highlights 2000 between 5000, Font Red &amp; Background Yeloow?</t>
  </si>
  <si>
    <t>USE OF CONDITIONL F</t>
  </si>
  <si>
    <t>Q.8 If sales Greter then Target then Comission 10% otherwise 5% ?</t>
  </si>
  <si>
    <t xml:space="preserve">UEE OF IF FUNCTION </t>
  </si>
  <si>
    <t>Assignment -49</t>
  </si>
  <si>
    <t>rank</t>
  </si>
  <si>
    <t>USE OF CONDITIONAL FORMATTING</t>
  </si>
  <si>
    <t>Assignment -50</t>
  </si>
  <si>
    <t>USE OF DATEDIF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</si>
</sst>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0.0"/>
    <numFmt numFmtId="165" formatCode="dd-mm-yyyy"/>
    <numFmt numFmtId="166" formatCode="d-m-yyyy"/>
    <numFmt numFmtId="167" formatCode="D/M/YYYY"/>
    <numFmt numFmtId="168" formatCode="_(&quot;$&quot;* #,##0_);_(&quot;$&quot;* \(#,##0\);_(&quot;$&quot;* &quot;-&quot;??_);_(@_)"/>
    <numFmt numFmtId="169" formatCode="000\-00\-0000"/>
    <numFmt numFmtId="170" formatCode="[$Rs]#,##0.00"/>
    <numFmt numFmtId="171" formatCode="&quot;$&quot;#,##0.00_);[Red]\(&quot;$&quot;#,##0.00\)"/>
    <numFmt numFmtId="172" formatCode="&quot;$&quot;#,##0"/>
    <numFmt numFmtId="173" formatCode="&quot;$&quot;#,##0.00"/>
    <numFmt numFmtId="174" formatCode="&quot;$&quot;#,##0_);[Red]\(&quot;$&quot;#,##0\)"/>
    <numFmt numFmtId="175" formatCode="_(* #,##0_);_(* \(#,##0\);_(* &quot;-&quot;??_);_(@_)"/>
    <numFmt numFmtId="176" formatCode="&quot;₹&quot;\ #,##0.00"/>
    <numFmt numFmtId="177" formatCode="_ [$रु-439]\ * #,##0.00_ ;_ [$रु-439]\ * \-#,##0.00_ ;_ [$रु-439]\ * &quot;-&quot;??_ ;_ @_ "/>
    <numFmt numFmtId="178" formatCode="_ &quot;रु&quot;\ * #,##0.00_ ;_ &quot;रु&quot;\ * \-#,##0.00_ ;_ &quot;रु&quot;\ * &quot;-&quot;??_ ;_ @_ "/>
    <numFmt numFmtId="179" formatCode="_ * #,##0_ ;_ * \-#,##0_ ;_ * &quot;-&quot;??_ ;_ @_ "/>
    <numFmt numFmtId="180" formatCode="0.000"/>
    <numFmt numFmtId="181" formatCode="&quot;£&quot;#,##0.00_);[Red]\(&quot;£&quot;#,##0.00\)"/>
    <numFmt numFmtId="182" formatCode="&quot;£&quot;#,##0_);[Red]\(&quot;£&quot;#,##0\)"/>
  </numFmts>
  <fonts count="35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1.0"/>
      <color rgb="FFFF0000"/>
      <name val="Calibri"/>
    </font>
    <font>
      <sz val="11.0"/>
      <color theme="1"/>
      <name val="Arial"/>
    </font>
    <font/>
    <font>
      <sz val="10.0"/>
      <color theme="1"/>
      <name val="Arial"/>
    </font>
    <font>
      <sz val="10.0"/>
      <color rgb="FF800080"/>
      <name val="Arial"/>
    </font>
    <font>
      <sz val="10.0"/>
      <color rgb="FF0000FF"/>
      <name val="Arial"/>
    </font>
    <font>
      <b/>
      <sz val="10.0"/>
      <color theme="1"/>
      <name val="Arial"/>
    </font>
    <font>
      <b/>
      <sz val="12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b/>
      <u/>
      <sz val="11.0"/>
      <color rgb="FFFF0000"/>
      <name val="Calibri"/>
    </font>
    <font>
      <b/>
      <sz val="11.0"/>
      <color rgb="FFFF0000"/>
      <name val="Calibri"/>
    </font>
    <font>
      <b/>
      <sz val="11.0"/>
      <color theme="0"/>
      <name val="Calibri"/>
    </font>
    <font>
      <sz val="9.0"/>
      <color rgb="FF000000"/>
      <name val="&quot;Google Sans Mono&quot;"/>
    </font>
    <font>
      <b/>
      <sz val="10.0"/>
      <color rgb="FFFFFFFF"/>
      <name val="Arial"/>
    </font>
    <font>
      <sz val="12.0"/>
      <color rgb="FFFF0000"/>
      <name val="Calibri"/>
    </font>
    <font>
      <b/>
      <sz val="11.0"/>
      <color rgb="FFFFFFFF"/>
      <name val="Calibri"/>
    </font>
    <font>
      <sz val="10.0"/>
      <color theme="1"/>
      <name val="Verdana"/>
    </font>
    <font>
      <b/>
      <u/>
      <sz val="16.0"/>
      <color theme="1"/>
      <name val="Arimo"/>
    </font>
    <font>
      <sz val="11.0"/>
      <color rgb="FFFFFF00"/>
      <name val="Calibri"/>
    </font>
    <font>
      <b/>
      <sz val="11.0"/>
      <color rgb="FFFFFF00"/>
      <name val="Calibri"/>
    </font>
    <font>
      <b/>
      <i/>
      <u/>
      <sz val="14.0"/>
      <color theme="1"/>
      <name val="Calibri"/>
    </font>
    <font>
      <b/>
      <i/>
      <u/>
      <sz val="11.0"/>
      <color theme="1"/>
      <name val="Calibri"/>
    </font>
    <font>
      <b/>
      <sz val="11.0"/>
      <color theme="1"/>
      <name val="Arial"/>
    </font>
    <font>
      <b/>
      <sz val="10.0"/>
      <color rgb="FF000000"/>
      <name val="Arial"/>
    </font>
    <font>
      <sz val="8.0"/>
      <color rgb="FF0000FF"/>
      <name val="Arial Narrow"/>
    </font>
    <font>
      <i/>
      <sz val="10.0"/>
      <color theme="1"/>
      <name val="Arial"/>
    </font>
    <font>
      <b/>
      <sz val="10.0"/>
      <color rgb="FFFF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000000"/>
        <bgColor rgb="FF000000"/>
      </patternFill>
    </fill>
    <fill>
      <patternFill patternType="solid">
        <fgColor rgb="FF00CCFF"/>
        <bgColor rgb="FF00CCF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FFCC00"/>
        <bgColor rgb="FFFFCC00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</fills>
  <borders count="4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9594"/>
      </bottom>
    </border>
    <border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double">
        <color rgb="FF008000"/>
      </left>
      <right style="thin">
        <color rgb="FF000000"/>
      </right>
      <top style="double">
        <color rgb="FF008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8000"/>
      </top>
      <bottom style="thin">
        <color rgb="FF000000"/>
      </bottom>
    </border>
    <border>
      <left style="thin">
        <color rgb="FF000000"/>
      </left>
      <right style="double">
        <color rgb="FF008000"/>
      </right>
      <top style="double">
        <color rgb="FF008000"/>
      </top>
      <bottom style="thin">
        <color rgb="FF000000"/>
      </bottom>
    </border>
    <border>
      <left style="double">
        <color rgb="FF008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8000"/>
      </right>
      <top style="thin">
        <color rgb="FF000000"/>
      </top>
      <bottom style="thin">
        <color rgb="FF000000"/>
      </bottom>
    </border>
    <border>
      <left style="double">
        <color rgb="FF008000"/>
      </left>
      <right style="thin">
        <color rgb="FF000000"/>
      </right>
      <top style="thin">
        <color rgb="FF000000"/>
      </top>
      <bottom style="double">
        <color rgb="FF008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8000"/>
      </bottom>
    </border>
    <border>
      <left style="double">
        <color rgb="FFFF00FF"/>
      </left>
      <right style="double">
        <color rgb="FFFF00FF"/>
      </right>
      <top style="double">
        <color rgb="FFFF00FF"/>
      </top>
      <bottom style="thin">
        <color rgb="FF000000"/>
      </bottom>
    </border>
    <border>
      <left style="double">
        <color rgb="FFFF00FF"/>
      </left>
      <right style="double">
        <color rgb="FFFF00FF"/>
      </right>
      <top style="thin">
        <color rgb="FF000000"/>
      </top>
      <bottom style="double">
        <color rgb="FFFF00FF"/>
      </bottom>
    </border>
    <border>
      <left style="double">
        <color rgb="FFFF00FF"/>
      </left>
      <right style="thin">
        <color rgb="FF000000"/>
      </right>
      <top style="double">
        <color rgb="FFFF00FF"/>
      </top>
      <bottom style="thin">
        <color rgb="FF000000"/>
      </bottom>
    </border>
    <border>
      <left style="thin">
        <color rgb="FF000000"/>
      </left>
      <right style="double">
        <color rgb="FFFF00FF"/>
      </right>
      <top style="double">
        <color rgb="FFFF00FF"/>
      </top>
      <bottom style="thin">
        <color rgb="FF000000"/>
      </bottom>
    </border>
    <border>
      <left style="double">
        <color rgb="FFFF00FF"/>
      </left>
      <right style="thin">
        <color rgb="FF000000"/>
      </right>
      <top style="thin">
        <color rgb="FF000000"/>
      </top>
      <bottom style="double">
        <color rgb="FFFF00FF"/>
      </bottom>
    </border>
    <border>
      <left style="thin">
        <color rgb="FF000000"/>
      </left>
      <right style="double">
        <color rgb="FFFF00FF"/>
      </right>
      <top style="thin">
        <color rgb="FF000000"/>
      </top>
      <bottom style="double">
        <color rgb="FFFF00FF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FF00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FF00FF"/>
      </bottom>
    </border>
    <border>
      <left style="double">
        <color rgb="FFFF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FF00F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1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0" fillId="0" fontId="5" numFmtId="164" xfId="0" applyFont="1" applyNumberFormat="1"/>
    <xf borderId="0" fillId="0" fontId="5" numFmtId="0" xfId="0" applyFont="1"/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5" numFmtId="0" xfId="0" applyFill="1" applyFont="1"/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5" fillId="0" fontId="5" numFmtId="0" xfId="0" applyBorder="1" applyFont="1"/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/>
    </xf>
    <xf borderId="6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5" fillId="0" fontId="4" numFmtId="167" xfId="0" applyAlignment="1" applyBorder="1" applyFont="1" applyNumberFormat="1">
      <alignment shrinkToFit="0" vertical="bottom" wrapText="0"/>
    </xf>
    <xf borderId="8" fillId="0" fontId="4" numFmtId="167" xfId="0" applyAlignment="1" applyBorder="1" applyFont="1" applyNumberFormat="1">
      <alignment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Font="1"/>
    <xf borderId="9" fillId="3" fontId="3" numFmtId="0" xfId="0" applyAlignment="1" applyBorder="1" applyFill="1" applyFont="1">
      <alignment horizontal="center" shrinkToFit="0" vertical="bottom" wrapText="0"/>
    </xf>
    <xf borderId="10" fillId="3" fontId="3" numFmtId="0" xfId="0" applyAlignment="1" applyBorder="1" applyFont="1">
      <alignment horizontal="center" shrinkToFit="0" vertical="bottom" wrapText="0"/>
    </xf>
    <xf borderId="11" fillId="3" fontId="3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5" fillId="0" fontId="4" numFmtId="167" xfId="0" applyAlignment="1" applyBorder="1" applyFont="1" applyNumberFormat="1">
      <alignment horizontal="center" shrinkToFit="0" vertical="bottom" wrapText="0"/>
    </xf>
    <xf borderId="6" fillId="0" fontId="4" numFmtId="2" xfId="0" applyAlignment="1" applyBorder="1" applyFont="1" applyNumberFormat="1">
      <alignment horizontal="center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8" fillId="0" fontId="4" numFmtId="167" xfId="0" applyAlignment="1" applyBorder="1" applyFont="1" applyNumberFormat="1">
      <alignment horizontal="center" shrinkToFit="0" vertical="bottom" wrapText="0"/>
    </xf>
    <xf borderId="12" fillId="0" fontId="4" numFmtId="2" xfId="0" applyAlignment="1" applyBorder="1" applyFont="1" applyNumberForma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13" fillId="0" fontId="9" numFmtId="0" xfId="0" applyBorder="1" applyFont="1"/>
    <xf borderId="6" fillId="0" fontId="3" numFmtId="0" xfId="0" applyAlignment="1" applyBorder="1" applyFont="1">
      <alignment horizontal="center" shrinkToFit="0" vertical="bottom" wrapText="0"/>
    </xf>
    <xf borderId="14" fillId="0" fontId="9" numFmtId="0" xfId="0" applyBorder="1" applyFont="1"/>
    <xf borderId="4" fillId="0" fontId="9" numFmtId="0" xfId="0" applyBorder="1" applyFont="1"/>
    <xf borderId="1" fillId="0" fontId="10" numFmtId="0" xfId="0" applyAlignment="1" applyBorder="1" applyFont="1">
      <alignment horizontal="center" shrinkToFit="0" vertical="bottom" wrapText="0"/>
    </xf>
    <xf borderId="2" fillId="0" fontId="10" numFmtId="0" xfId="0" applyAlignment="1" applyBorder="1" applyFont="1">
      <alignment horizontal="center" shrinkToFit="0" vertical="bottom" wrapText="0"/>
    </xf>
    <xf borderId="3" fillId="0" fontId="10" numFmtId="0" xfId="0" applyAlignment="1" applyBorder="1" applyFont="1">
      <alignment horizontal="center" shrinkToFit="0" vertical="bottom" wrapText="0"/>
    </xf>
    <xf borderId="4" fillId="0" fontId="11" numFmtId="0" xfId="0" applyAlignment="1" applyBorder="1" applyFont="1">
      <alignment horizontal="center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7" fillId="0" fontId="11" numFmtId="0" xfId="0" applyAlignment="1" applyBorder="1" applyFont="1">
      <alignment horizontal="center" shrinkToFit="0" vertical="bottom" wrapText="0"/>
    </xf>
    <xf borderId="8" fillId="0" fontId="11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4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left" shrinkToFit="0" vertical="bottom" wrapText="0"/>
    </xf>
    <xf borderId="15" fillId="3" fontId="3" numFmtId="0" xfId="0" applyAlignment="1" applyBorder="1" applyFont="1">
      <alignment shrinkToFit="0" vertical="bottom" wrapText="0"/>
    </xf>
    <xf borderId="5" fillId="4" fontId="14" numFmtId="0" xfId="0" applyAlignment="1" applyBorder="1" applyFill="1" applyFont="1">
      <alignment horizontal="center" shrinkToFit="0" vertical="bottom" wrapText="0"/>
    </xf>
    <xf borderId="5" fillId="3" fontId="14" numFmtId="0" xfId="0" applyAlignment="1" applyBorder="1" applyFont="1">
      <alignment horizontal="center" shrinkToFit="0" vertical="bottom" wrapText="0"/>
    </xf>
    <xf borderId="5" fillId="5" fontId="4" numFmtId="0" xfId="0" applyAlignment="1" applyBorder="1" applyFill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5" fillId="0" fontId="4" numFmtId="168" xfId="0" applyAlignment="1" applyBorder="1" applyFont="1" applyNumberFormat="1">
      <alignment horizontal="left" shrinkToFit="0" vertical="bottom" wrapText="0"/>
    </xf>
    <xf borderId="5" fillId="6" fontId="3" numFmtId="0" xfId="0" applyAlignment="1" applyBorder="1" applyFill="1" applyFont="1">
      <alignment horizontal="center" shrinkToFit="0" vertical="center" wrapText="0"/>
    </xf>
    <xf borderId="5" fillId="0" fontId="15" numFmtId="0" xfId="0" applyAlignment="1" applyBorder="1" applyFont="1">
      <alignment horizontal="center" shrinkToFit="0" vertical="bottom" wrapText="0"/>
    </xf>
    <xf borderId="5" fillId="7" fontId="4" numFmtId="0" xfId="0" applyAlignment="1" applyBorder="1" applyFill="1" applyFont="1">
      <alignment horizontal="center" shrinkToFit="0" vertical="bottom" wrapText="0"/>
    </xf>
    <xf borderId="5" fillId="8" fontId="3" numFmtId="0" xfId="0" applyAlignment="1" applyBorder="1" applyFill="1" applyFont="1">
      <alignment horizontal="center" shrinkToFit="0" vertical="bottom" wrapText="0"/>
    </xf>
    <xf borderId="5" fillId="0" fontId="15" numFmtId="0" xfId="0" applyAlignment="1" applyBorder="1" applyFont="1">
      <alignment shrinkToFit="0" vertical="bottom" wrapText="0"/>
    </xf>
    <xf borderId="5" fillId="0" fontId="15" numFmtId="169" xfId="0" applyAlignment="1" applyBorder="1" applyFont="1" applyNumberFormat="1">
      <alignment horizontal="center" shrinkToFit="0" vertical="bottom" wrapText="0"/>
    </xf>
    <xf borderId="5" fillId="0" fontId="15" numFmtId="167" xfId="0" applyAlignment="1" applyBorder="1" applyFont="1" applyNumberFormat="1">
      <alignment shrinkToFit="0" vertical="bottom" wrapText="0"/>
    </xf>
    <xf borderId="5" fillId="0" fontId="15" numFmtId="170" xfId="0" applyAlignment="1" applyBorder="1" applyFont="1" applyNumberFormat="1">
      <alignment shrinkToFit="0" vertical="bottom" wrapText="0"/>
    </xf>
    <xf borderId="0" fillId="0" fontId="16" numFmtId="0" xfId="0" applyAlignment="1" applyFont="1">
      <alignment horizontal="left" shrinkToFit="0" vertical="bottom" wrapText="0"/>
    </xf>
    <xf borderId="0" fillId="0" fontId="5" numFmtId="169" xfId="0" applyFont="1" applyNumberFormat="1"/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4" numFmtId="171" xfId="0" applyAlignment="1" applyFont="1" applyNumberFormat="1">
      <alignment horizontal="center" shrinkToFit="0" vertical="bottom" wrapText="0"/>
    </xf>
    <xf borderId="15" fillId="9" fontId="3" numFmtId="0" xfId="0" applyAlignment="1" applyBorder="1" applyFill="1" applyFont="1">
      <alignment shrinkToFit="0" vertical="bottom" wrapText="0"/>
    </xf>
    <xf borderId="15" fillId="9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71" xfId="0" applyAlignment="1" applyFont="1" applyNumberFormat="1">
      <alignment shrinkToFit="0" vertical="bottom" wrapText="0"/>
    </xf>
    <xf borderId="5" fillId="10" fontId="19" numFmtId="0" xfId="0" applyAlignment="1" applyBorder="1" applyFill="1" applyFont="1">
      <alignment shrinkToFit="0" vertical="bottom" wrapText="0"/>
    </xf>
    <xf borderId="5" fillId="10" fontId="19" numFmtId="0" xfId="0" applyAlignment="1" applyBorder="1" applyFont="1">
      <alignment horizontal="center" shrinkToFit="0" vertical="bottom" wrapText="0"/>
    </xf>
    <xf borderId="16" fillId="10" fontId="19" numFmtId="0" xfId="0" applyAlignment="1" applyBorder="1" applyFont="1">
      <alignment horizontal="center" shrinkToFit="0" vertical="bottom" wrapText="0"/>
    </xf>
    <xf borderId="5" fillId="5" fontId="4" numFmtId="0" xfId="0" applyAlignment="1" applyBorder="1" applyFont="1">
      <alignment shrinkToFit="0" vertical="bottom" wrapText="0"/>
    </xf>
    <xf borderId="5" fillId="0" fontId="4" numFmtId="172" xfId="0" applyAlignment="1" applyBorder="1" applyFont="1" applyNumberFormat="1">
      <alignment shrinkToFit="0" vertical="bottom" wrapText="0"/>
    </xf>
    <xf borderId="5" fillId="0" fontId="4" numFmtId="172" xfId="0" applyAlignment="1" applyBorder="1" applyFont="1" applyNumberFormat="1">
      <alignment horizontal="center" shrinkToFit="0" vertical="bottom" wrapText="0"/>
    </xf>
    <xf borderId="0" fillId="11" fontId="20" numFmtId="0" xfId="0" applyAlignment="1" applyFill="1" applyFont="1">
      <alignment horizontal="left" readingOrder="0"/>
    </xf>
    <xf borderId="15" fillId="5" fontId="4" numFmtId="0" xfId="0" applyAlignment="1" applyBorder="1" applyFont="1">
      <alignment shrinkToFit="0" vertical="bottom" wrapText="0"/>
    </xf>
    <xf borderId="0" fillId="0" fontId="5" numFmtId="172" xfId="0" applyFont="1" applyNumberFormat="1"/>
    <xf borderId="5" fillId="3" fontId="3" numFmtId="0" xfId="0" applyAlignment="1" applyBorder="1" applyFont="1">
      <alignment horizontal="center" shrinkToFit="0" vertical="bottom" wrapText="0"/>
    </xf>
    <xf borderId="5" fillId="0" fontId="4" numFmtId="173" xfId="0" applyAlignment="1" applyBorder="1" applyFont="1" applyNumberFormat="1">
      <alignment horizontal="center" shrinkToFit="0" vertical="bottom" wrapText="0"/>
    </xf>
    <xf borderId="5" fillId="12" fontId="21" numFmtId="0" xfId="0" applyAlignment="1" applyBorder="1" applyFill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5" fillId="0" fontId="10" numFmtId="174" xfId="0" applyAlignment="1" applyBorder="1" applyFont="1" applyNumberFormat="1">
      <alignment horizontal="center" shrinkToFit="0" vertical="bottom" wrapText="0"/>
    </xf>
    <xf borderId="5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8" fillId="0" fontId="4" numFmtId="172" xfId="0" applyAlignment="1" applyBorder="1" applyFont="1" applyNumberForma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3" fontId="18" numFmtId="0" xfId="0" applyAlignment="1" applyBorder="1" applyFont="1">
      <alignment horizontal="center" shrinkToFit="0" vertical="bottom" wrapText="0"/>
    </xf>
    <xf borderId="5" fillId="3" fontId="7" numFmtId="0" xfId="0" applyAlignment="1" applyBorder="1" applyFont="1">
      <alignment horizontal="center" shrinkToFit="0" vertical="bottom" wrapText="0"/>
    </xf>
    <xf borderId="5" fillId="13" fontId="19" numFmtId="0" xfId="0" applyAlignment="1" applyBorder="1" applyFill="1" applyFont="1">
      <alignment shrinkToFit="0" vertical="bottom" wrapText="0"/>
    </xf>
    <xf borderId="5" fillId="13" fontId="19" numFmtId="0" xfId="0" applyAlignment="1" applyBorder="1" applyFont="1">
      <alignment horizontal="center" shrinkToFit="0" vertical="bottom" wrapText="0"/>
    </xf>
    <xf borderId="5" fillId="3" fontId="18" numFmtId="0" xfId="0" applyAlignment="1" applyBorder="1" applyFont="1">
      <alignment horizontal="center" shrinkToFit="0" vertical="center" wrapText="0"/>
    </xf>
    <xf borderId="5" fillId="3" fontId="18" numFmtId="175" xfId="0" applyAlignment="1" applyBorder="1" applyFont="1" applyNumberFormat="1">
      <alignment horizontal="center" shrinkToFit="0" vertical="center" wrapText="0"/>
    </xf>
    <xf borderId="5" fillId="0" fontId="4" numFmtId="0" xfId="0" applyAlignment="1" applyBorder="1" applyFont="1">
      <alignment shrinkToFit="0" vertical="center" wrapText="0"/>
    </xf>
    <xf borderId="5" fillId="0" fontId="4" numFmtId="175" xfId="0" applyAlignment="1" applyBorder="1" applyFont="1" applyNumberFormat="1">
      <alignment shrinkToFit="0" vertical="center" wrapText="0"/>
    </xf>
    <xf borderId="5" fillId="3" fontId="18" numFmtId="175" xfId="0" applyAlignment="1" applyBorder="1" applyFont="1" applyNumberFormat="1">
      <alignment shrinkToFit="0" vertical="center" wrapText="0"/>
    </xf>
    <xf borderId="5" fillId="0" fontId="4" numFmtId="175" xfId="0" applyAlignment="1" applyBorder="1" applyFont="1" applyNumberFormat="1">
      <alignment horizontal="center" shrinkToFit="0" vertical="bottom" wrapText="0"/>
    </xf>
    <xf borderId="0" fillId="0" fontId="5" numFmtId="175" xfId="0" applyFont="1" applyNumberFormat="1"/>
    <xf borderId="18" fillId="14" fontId="3" numFmtId="0" xfId="0" applyAlignment="1" applyBorder="1" applyFill="1" applyFont="1">
      <alignment horizontal="center" shrinkToFit="0" vertical="center" wrapText="1"/>
    </xf>
    <xf borderId="18" fillId="14" fontId="3" numFmtId="176" xfId="0" applyAlignment="1" applyBorder="1" applyFont="1" applyNumberFormat="1">
      <alignment horizontal="center" shrinkToFit="0" vertical="center" wrapText="1"/>
    </xf>
    <xf borderId="0" fillId="0" fontId="5" numFmtId="167" xfId="0" applyFont="1" applyNumberFormat="1"/>
    <xf borderId="0" fillId="0" fontId="5" numFmtId="177" xfId="0" applyFont="1" applyNumberFormat="1"/>
    <xf borderId="0" fillId="0" fontId="5" numFmtId="4" xfId="0" applyFont="1" applyNumberFormat="1"/>
    <xf borderId="0" fillId="0" fontId="5" numFmtId="178" xfId="0" applyFont="1" applyNumberFormat="1"/>
    <xf borderId="5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 shrinkToFit="0" vertical="center" wrapText="0"/>
    </xf>
    <xf borderId="5" fillId="14" fontId="3" numFmtId="0" xfId="0" applyAlignment="1" applyBorder="1" applyFont="1">
      <alignment horizontal="center" shrinkToFit="0" vertical="center" wrapText="1"/>
    </xf>
    <xf borderId="5" fillId="14" fontId="3" numFmtId="0" xfId="0" applyAlignment="1" applyBorder="1" applyFont="1">
      <alignment shrinkToFit="0" vertical="bottom" wrapText="1"/>
    </xf>
    <xf borderId="5" fillId="14" fontId="3" numFmtId="176" xfId="0" applyAlignment="1" applyBorder="1" applyFont="1" applyNumberFormat="1">
      <alignment shrinkToFit="0" vertical="bottom" wrapText="1"/>
    </xf>
    <xf borderId="5" fillId="0" fontId="4" numFmtId="177" xfId="0" applyAlignment="1" applyBorder="1" applyFont="1" applyNumberFormat="1">
      <alignment shrinkToFit="0" vertical="bottom" wrapText="0"/>
    </xf>
    <xf borderId="5" fillId="0" fontId="4" numFmtId="4" xfId="0" applyAlignment="1" applyBorder="1" applyFont="1" applyNumberFormat="1">
      <alignment shrinkToFit="0" vertical="bottom" wrapText="0"/>
    </xf>
    <xf borderId="5" fillId="0" fontId="4" numFmtId="178" xfId="0" applyAlignment="1" applyBorder="1" applyFont="1" applyNumberFormat="1">
      <alignment shrinkToFit="0" vertical="bottom" wrapText="0"/>
    </xf>
    <xf borderId="5" fillId="14" fontId="2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5" fillId="0" fontId="6" numFmtId="0" xfId="0" applyAlignment="1" applyBorder="1" applyFont="1">
      <alignment horizontal="center" shrinkToFit="0" vertical="bottom" wrapText="0"/>
    </xf>
    <xf borderId="5" fillId="0" fontId="6" numFmtId="179" xfId="0" applyAlignment="1" applyBorder="1" applyFont="1" applyNumberForma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22" numFmtId="0" xfId="0" applyAlignment="1" applyFont="1">
      <alignment horizontal="center" shrinkToFit="0" vertical="bottom" wrapText="0"/>
    </xf>
    <xf borderId="0" fillId="0" fontId="22" numFmtId="179" xfId="0" applyAlignment="1" applyFont="1" applyNumberFormat="1">
      <alignment horizontal="center" shrinkToFit="0" vertical="bottom" wrapText="0"/>
    </xf>
    <xf borderId="5" fillId="14" fontId="3" numFmtId="0" xfId="0" applyAlignment="1" applyBorder="1" applyFont="1">
      <alignment horizontal="left" shrinkToFit="0" vertical="top" wrapText="0"/>
    </xf>
    <xf borderId="5" fillId="0" fontId="3" numFmtId="0" xfId="0" applyAlignment="1" applyBorder="1" applyFont="1">
      <alignment horizontal="left" shrinkToFit="0" vertical="top" wrapText="0"/>
    </xf>
    <xf borderId="5" fillId="0" fontId="4" numFmtId="0" xfId="0" applyAlignment="1" applyBorder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5" fillId="15" fontId="19" numFmtId="0" xfId="0" applyAlignment="1" applyBorder="1" applyFill="1" applyFont="1">
      <alignment horizontal="center" shrinkToFit="0" vertical="bottom" wrapText="0"/>
    </xf>
    <xf borderId="5" fillId="16" fontId="4" numFmtId="0" xfId="0" applyAlignment="1" applyBorder="1" applyFill="1" applyFont="1">
      <alignment horizontal="center" shrinkToFit="0" vertical="bottom" wrapText="0"/>
    </xf>
    <xf borderId="5" fillId="16" fontId="4" numFmtId="2" xfId="0" applyAlignment="1" applyBorder="1" applyFont="1" applyNumberFormat="1">
      <alignment horizontal="center" shrinkToFit="0" vertical="bottom" wrapText="0"/>
    </xf>
    <xf borderId="19" fillId="16" fontId="4" numFmtId="0" xfId="0" applyAlignment="1" applyBorder="1" applyFont="1">
      <alignment horizontal="center" shrinkToFit="0" vertical="bottom" wrapText="0"/>
    </xf>
    <xf borderId="20" fillId="0" fontId="9" numFmtId="0" xfId="0" applyBorder="1" applyFont="1"/>
    <xf borderId="21" fillId="0" fontId="9" numFmtId="0" xfId="0" applyBorder="1" applyFont="1"/>
    <xf borderId="5" fillId="17" fontId="19" numFmtId="0" xfId="0" applyAlignment="1" applyBorder="1" applyFill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top" wrapText="0"/>
    </xf>
    <xf borderId="6" fillId="17" fontId="19" numFmtId="0" xfId="0" applyAlignment="1" applyBorder="1" applyFont="1">
      <alignment horizontal="center" shrinkToFit="0" vertical="bottom" wrapText="0"/>
    </xf>
    <xf borderId="6" fillId="17" fontId="19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0"/>
    </xf>
    <xf borderId="6" fillId="17" fontId="19" numFmtId="0" xfId="0" applyAlignment="1" applyBorder="1" applyFont="1">
      <alignment horizontal="center" shrinkToFit="0" vertical="bottom" wrapText="1"/>
    </xf>
    <xf borderId="6" fillId="0" fontId="4" numFmtId="180" xfId="0" applyAlignment="1" applyBorder="1" applyFont="1" applyNumberFormat="1">
      <alignment horizontal="center" shrinkToFit="0" vertical="center" wrapText="0"/>
    </xf>
    <xf borderId="5" fillId="14" fontId="3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1"/>
    </xf>
    <xf borderId="5" fillId="15" fontId="19" numFmtId="0" xfId="0" applyAlignment="1" applyBorder="1" applyFont="1">
      <alignment horizontal="center" shrinkToFit="0" vertical="center" wrapText="1"/>
    </xf>
    <xf borderId="5" fillId="15" fontId="19" numFmtId="0" xfId="0" applyAlignment="1" applyBorder="1" applyFont="1">
      <alignment horizontal="center" shrinkToFit="0" vertical="center" wrapText="0"/>
    </xf>
    <xf borderId="6" fillId="18" fontId="3" numFmtId="0" xfId="0" applyAlignment="1" applyBorder="1" applyFill="1" applyFont="1">
      <alignment horizontal="center" shrinkToFit="0" vertical="bottom" wrapText="0"/>
    </xf>
    <xf borderId="5" fillId="14" fontId="3" numFmtId="0" xfId="0" applyAlignment="1" applyBorder="1" applyFont="1">
      <alignment horizontal="center" shrinkToFit="0" vertical="center" wrapText="0"/>
    </xf>
    <xf borderId="5" fillId="0" fontId="4" numFmtId="167" xfId="0" applyAlignment="1" applyBorder="1" applyFont="1" applyNumberFormat="1">
      <alignment horizontal="center" shrinkToFit="0" vertical="center" wrapText="0"/>
    </xf>
    <xf borderId="5" fillId="0" fontId="4" numFmtId="15" xfId="0" applyAlignment="1" applyBorder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bottom" wrapText="0"/>
    </xf>
    <xf borderId="5" fillId="19" fontId="3" numFmtId="0" xfId="0" applyAlignment="1" applyBorder="1" applyFill="1" applyFont="1">
      <alignment horizontal="center" shrinkToFit="0" vertical="bottom" wrapText="0"/>
    </xf>
    <xf borderId="5" fillId="20" fontId="4" numFmtId="0" xfId="0" applyAlignment="1" applyBorder="1" applyFill="1" applyFont="1">
      <alignment horizontal="center" shrinkToFit="0" vertical="bottom" wrapText="0"/>
    </xf>
    <xf borderId="22" fillId="0" fontId="4" numFmtId="0" xfId="0" applyAlignment="1" applyBorder="1" applyFont="1">
      <alignment horizontal="center" shrinkToFit="0" vertical="bottom" wrapText="0"/>
    </xf>
    <xf borderId="5" fillId="21" fontId="3" numFmtId="0" xfId="0" applyAlignment="1" applyBorder="1" applyFill="1" applyFont="1">
      <alignment horizontal="center" shrinkToFit="0" vertical="bottom" wrapText="0"/>
    </xf>
    <xf borderId="5" fillId="2" fontId="3" numFmtId="0" xfId="0" applyAlignment="1" applyBorder="1" applyFont="1">
      <alignment horizontal="center" shrinkToFit="0" vertical="bottom" wrapText="0"/>
    </xf>
    <xf borderId="5" fillId="22" fontId="3" numFmtId="0" xfId="0" applyAlignment="1" applyBorder="1" applyFill="1" applyFont="1">
      <alignment horizontal="center" shrinkToFit="0" vertical="bottom" wrapText="0"/>
    </xf>
    <xf borderId="5" fillId="21" fontId="4" numFmtId="0" xfId="0" applyAlignment="1" applyBorder="1" applyFont="1">
      <alignment horizontal="center" shrinkToFit="0" vertical="bottom" wrapText="0"/>
    </xf>
    <xf borderId="5" fillId="2" fontId="5" numFmtId="0" xfId="0" applyBorder="1" applyFont="1"/>
    <xf borderId="5" fillId="22" fontId="5" numFmtId="0" xfId="0" applyBorder="1" applyFont="1"/>
    <xf borderId="5" fillId="3" fontId="4" numFmtId="0" xfId="0" applyAlignment="1" applyBorder="1" applyFont="1">
      <alignment horizontal="center" shrinkToFit="0" vertical="bottom" wrapText="0"/>
    </xf>
    <xf borderId="5" fillId="3" fontId="5" numFmtId="0" xfId="0" applyBorder="1" applyFont="1"/>
    <xf borderId="5" fillId="0" fontId="4" numFmtId="179" xfId="0" applyAlignment="1" applyBorder="1" applyFont="1" applyNumberFormat="1">
      <alignment horizontal="center" shrinkToFit="0" vertical="bottom" wrapText="0"/>
    </xf>
    <xf borderId="0" fillId="0" fontId="4" numFmtId="179" xfId="0" applyAlignment="1" applyFont="1" applyNumberFormat="1">
      <alignment shrinkToFit="0" vertical="bottom" wrapText="0"/>
    </xf>
    <xf borderId="5" fillId="14" fontId="3" numFmtId="0" xfId="0" applyAlignment="1" applyBorder="1" applyFont="1">
      <alignment shrinkToFit="0" vertical="bottom" wrapText="0"/>
    </xf>
    <xf borderId="5" fillId="14" fontId="3" numFmtId="179" xfId="0" applyAlignment="1" applyBorder="1" applyFont="1" applyNumberFormat="1">
      <alignment shrinkToFit="0" vertical="bottom" wrapText="0"/>
    </xf>
    <xf borderId="5" fillId="0" fontId="4" numFmtId="167" xfId="0" applyAlignment="1" applyBorder="1" applyFont="1" applyNumberFormat="1">
      <alignment horizontal="left" shrinkToFit="0" vertical="bottom" wrapText="0"/>
    </xf>
    <xf borderId="5" fillId="0" fontId="4" numFmtId="179" xfId="0" applyAlignment="1" applyBorder="1" applyFont="1" applyNumberFormat="1">
      <alignment shrinkToFit="0" vertical="bottom" wrapText="0"/>
    </xf>
    <xf borderId="15" fillId="16" fontId="3" numFmtId="179" xfId="0" applyAlignment="1" applyBorder="1" applyFont="1" applyNumberFormat="1">
      <alignment shrinkToFit="0" vertical="bottom" wrapText="1"/>
    </xf>
    <xf borderId="5" fillId="16" fontId="4" numFmtId="0" xfId="0" applyAlignment="1" applyBorder="1" applyFont="1">
      <alignment shrinkToFit="0" vertical="bottom" wrapText="0"/>
    </xf>
    <xf borderId="5" fillId="15" fontId="19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horizontal="center" shrinkToFit="0" vertical="center" wrapText="0"/>
    </xf>
    <xf borderId="6" fillId="14" fontId="16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horizontal="center" shrinkToFit="0" vertical="center" wrapText="0"/>
    </xf>
    <xf borderId="6" fillId="14" fontId="16" numFmtId="11" xfId="0" applyAlignment="1" applyBorder="1" applyFont="1" applyNumberFormat="1">
      <alignment horizontal="center" shrinkToFit="0" vertical="center" wrapText="0"/>
    </xf>
    <xf borderId="5" fillId="14" fontId="16" numFmtId="0" xfId="0" applyAlignment="1" applyBorder="1" applyFont="1">
      <alignment horizontal="center" shrinkToFit="0" vertical="center" wrapText="0"/>
    </xf>
    <xf borderId="5" fillId="0" fontId="15" numFmtId="0" xfId="0" applyAlignment="1" applyBorder="1" applyFont="1">
      <alignment horizontal="center" shrinkToFit="0" vertical="center" wrapText="0"/>
    </xf>
    <xf borderId="5" fillId="0" fontId="15" numFmtId="179" xfId="0" applyAlignment="1" applyBorder="1" applyFont="1" applyNumberFormat="1">
      <alignment horizontal="center" shrinkToFit="0" vertical="center" wrapText="0"/>
    </xf>
    <xf borderId="15" fillId="17" fontId="16" numFmtId="0" xfId="0" applyAlignment="1" applyBorder="1" applyFont="1">
      <alignment horizontal="center" shrinkToFit="0" vertical="center" wrapText="0"/>
    </xf>
    <xf borderId="12" fillId="17" fontId="19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3" fillId="0" fontId="9" numFmtId="0" xfId="0" applyBorder="1" applyFont="1"/>
    <xf borderId="1" fillId="0" fontId="9" numFmtId="0" xfId="0" applyBorder="1" applyFont="1"/>
    <xf borderId="2" fillId="0" fontId="9" numFmtId="0" xfId="0" applyBorder="1" applyFont="1"/>
    <xf borderId="12" fillId="17" fontId="2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bottom" wrapText="1"/>
    </xf>
    <xf borderId="6" fillId="15" fontId="19" numFmtId="0" xfId="0" applyAlignment="1" applyBorder="1" applyFont="1">
      <alignment horizontal="center" shrinkToFit="0" vertical="center" wrapText="0"/>
    </xf>
    <xf borderId="5" fillId="0" fontId="4" numFmtId="49" xfId="0" applyAlignment="1" applyBorder="1" applyFont="1" applyNumberFormat="1">
      <alignment horizontal="center" shrinkToFit="0" vertical="center" wrapText="0"/>
    </xf>
    <xf borderId="5" fillId="0" fontId="4" numFmtId="1" xfId="0" applyAlignment="1" applyBorder="1" applyFont="1" applyNumberFormat="1">
      <alignment horizontal="center" shrinkToFit="0" vertical="bottom" wrapText="0"/>
    </xf>
    <xf borderId="5" fillId="0" fontId="24" numFmtId="49" xfId="0" applyAlignment="1" applyBorder="1" applyFont="1" applyNumberFormat="1">
      <alignment horizontal="center" shrinkToFit="0" vertical="bottom" wrapText="1"/>
    </xf>
    <xf borderId="23" fillId="0" fontId="25" numFmtId="0" xfId="0" applyAlignment="1" applyBorder="1" applyFont="1">
      <alignment horizontal="center" shrinkToFit="0" vertical="bottom" wrapText="0"/>
    </xf>
    <xf borderId="23" fillId="0" fontId="9" numFmtId="0" xfId="0" applyBorder="1" applyFont="1"/>
    <xf borderId="5" fillId="17" fontId="26" numFmtId="0" xfId="0" applyAlignment="1" applyBorder="1" applyFont="1">
      <alignment shrinkToFit="0" vertical="bottom" wrapText="0"/>
    </xf>
    <xf borderId="5" fillId="17" fontId="27" numFmtId="0" xfId="0" applyAlignment="1" applyBorder="1" applyFont="1">
      <alignment shrinkToFit="0" vertical="bottom" wrapText="0"/>
    </xf>
    <xf borderId="0" fillId="0" fontId="28" numFmtId="0" xfId="0" applyAlignment="1" applyFont="1">
      <alignment horizontal="center" shrinkToFit="0" vertical="bottom" wrapText="0"/>
    </xf>
    <xf borderId="0" fillId="0" fontId="29" numFmtId="0" xfId="0" applyAlignment="1" applyFont="1">
      <alignment horizontal="center" shrinkToFit="0" vertical="bottom" wrapText="0"/>
    </xf>
    <xf borderId="15" fillId="3" fontId="18" numFmtId="0" xfId="0" applyAlignment="1" applyBorder="1" applyFont="1">
      <alignment shrinkToFit="0" vertical="bottom" wrapText="0"/>
    </xf>
    <xf borderId="24" fillId="23" fontId="30" numFmtId="0" xfId="0" applyAlignment="1" applyBorder="1" applyFill="1" applyFont="1">
      <alignment shrinkToFit="0" vertical="bottom" wrapText="0"/>
    </xf>
    <xf borderId="5" fillId="23" fontId="30" numFmtId="0" xfId="0" applyAlignment="1" applyBorder="1" applyFont="1">
      <alignment shrinkToFit="0" vertical="bottom" wrapText="0"/>
    </xf>
    <xf borderId="5" fillId="23" fontId="30" numFmtId="0" xfId="0" applyAlignment="1" applyBorder="1" applyFont="1">
      <alignment horizontal="right" shrinkToFit="0" vertical="bottom" wrapText="0"/>
    </xf>
    <xf borderId="16" fillId="23" fontId="30" numFmtId="0" xfId="0" applyAlignment="1" applyBorder="1" applyFont="1">
      <alignment shrinkToFit="0" vertical="bottom" wrapText="0"/>
    </xf>
    <xf borderId="16" fillId="23" fontId="30" numFmtId="0" xfId="0" applyAlignment="1" applyBorder="1" applyFont="1">
      <alignment horizontal="center" shrinkToFit="0" vertical="bottom" wrapText="0"/>
    </xf>
    <xf borderId="15" fillId="23" fontId="30" numFmtId="0" xfId="0" applyAlignment="1" applyBorder="1" applyFont="1">
      <alignment shrinkToFit="0" vertical="bottom" wrapText="0"/>
    </xf>
    <xf borderId="24" fillId="16" fontId="10" numFmtId="0" xfId="0" applyAlignment="1" applyBorder="1" applyFont="1">
      <alignment shrinkToFit="0" vertical="bottom" wrapText="0"/>
    </xf>
    <xf borderId="5" fillId="16" fontId="10" numFmtId="0" xfId="0" applyAlignment="1" applyBorder="1" applyFont="1">
      <alignment shrinkToFit="0" vertical="bottom" wrapText="0"/>
    </xf>
    <xf borderId="5" fillId="16" fontId="10" numFmtId="3" xfId="0" applyAlignment="1" applyBorder="1" applyFont="1" applyNumberFormat="1">
      <alignment shrinkToFit="0" vertical="bottom" wrapText="0"/>
    </xf>
    <xf borderId="5" fillId="16" fontId="4" numFmtId="9" xfId="0" applyAlignment="1" applyBorder="1" applyFont="1" applyNumberFormat="1">
      <alignment shrinkToFit="0" vertical="bottom" wrapText="0"/>
    </xf>
    <xf borderId="5" fillId="0" fontId="4" numFmtId="9" xfId="0" applyAlignment="1" applyBorder="1" applyFont="1" applyNumberFormat="1">
      <alignment shrinkToFit="0" vertical="bottom" wrapText="0"/>
    </xf>
    <xf borderId="5" fillId="16" fontId="4" numFmtId="9" xfId="0" applyAlignment="1" applyBorder="1" applyFont="1" applyNumberFormat="1">
      <alignment horizontal="center" shrinkToFit="0" vertical="center" wrapText="0"/>
    </xf>
    <xf borderId="5" fillId="16" fontId="4" numFmtId="0" xfId="0" applyAlignment="1" applyBorder="1" applyFont="1">
      <alignment horizontal="center" shrinkToFit="0" vertical="center" wrapText="0"/>
    </xf>
    <xf borderId="5" fillId="16" fontId="10" numFmtId="3" xfId="0" applyAlignment="1" applyBorder="1" applyFont="1" applyNumberFormat="1">
      <alignment horizontal="right" shrinkToFit="0" vertical="bottom" wrapText="0"/>
    </xf>
    <xf borderId="5" fillId="0" fontId="11" numFmtId="15" xfId="0" applyAlignment="1" applyBorder="1" applyFont="1" applyNumberForma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25" fillId="0" fontId="31" numFmtId="0" xfId="0" applyAlignment="1" applyBorder="1" applyFont="1">
      <alignment shrinkToFit="0" vertical="bottom" wrapText="0"/>
    </xf>
    <xf borderId="25" fillId="0" fontId="4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5" fillId="0" fontId="11" numFmtId="15" xfId="0" applyAlignment="1" applyBorder="1" applyFont="1" applyNumberForma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0" numFmtId="0" xfId="0" applyFont="1"/>
    <xf borderId="0" fillId="0" fontId="32" numFmtId="0" xfId="0" applyAlignment="1" applyFont="1">
      <alignment shrinkToFit="0" vertical="bottom" wrapText="0"/>
    </xf>
    <xf borderId="0" fillId="0" fontId="33" numFmtId="0" xfId="0" applyAlignment="1" applyFont="1">
      <alignment horizontal="right" shrinkToFit="0" vertical="bottom" wrapText="0"/>
    </xf>
    <xf borderId="26" fillId="3" fontId="34" numFmtId="0" xfId="0" applyAlignment="1" applyBorder="1" applyFont="1">
      <alignment horizontal="center" shrinkToFit="0" vertical="bottom" wrapText="1"/>
    </xf>
    <xf borderId="27" fillId="3" fontId="34" numFmtId="0" xfId="0" applyAlignment="1" applyBorder="1" applyFont="1">
      <alignment horizontal="center" shrinkToFit="0" vertical="bottom" wrapText="1"/>
    </xf>
    <xf borderId="28" fillId="3" fontId="34" numFmtId="0" xfId="0" applyAlignment="1" applyBorder="1" applyFont="1">
      <alignment horizontal="center" shrinkToFit="0" vertical="bottom" wrapText="1"/>
    </xf>
    <xf borderId="29" fillId="0" fontId="10" numFmtId="0" xfId="0" applyAlignment="1" applyBorder="1" applyFont="1">
      <alignment horizontal="center" shrinkToFit="0" vertical="bottom" wrapText="0"/>
    </xf>
    <xf borderId="5" fillId="0" fontId="10" numFmtId="181" xfId="0" applyAlignment="1" applyBorder="1" applyFont="1" applyNumberFormat="1">
      <alignment horizontal="center" shrinkToFit="0" vertical="bottom" wrapText="0"/>
    </xf>
    <xf borderId="30" fillId="0" fontId="10" numFmtId="181" xfId="0" applyAlignment="1" applyBorder="1" applyFont="1" applyNumberFormat="1">
      <alignment horizontal="right" shrinkToFit="0" vertical="bottom" wrapText="0"/>
    </xf>
    <xf borderId="31" fillId="0" fontId="10" numFmtId="0" xfId="0" applyAlignment="1" applyBorder="1" applyFont="1">
      <alignment horizontal="center" shrinkToFit="0" vertical="bottom" wrapText="0"/>
    </xf>
    <xf borderId="32" fillId="0" fontId="10" numFmtId="0" xfId="0" applyAlignment="1" applyBorder="1" applyFont="1">
      <alignment horizontal="center" shrinkToFit="0" vertical="bottom" wrapText="0"/>
    </xf>
    <xf borderId="32" fillId="0" fontId="10" numFmtId="181" xfId="0" applyAlignment="1" applyBorder="1" applyFont="1" applyNumberFormat="1">
      <alignment horizontal="center" shrinkToFit="0" vertical="bottom" wrapText="0"/>
    </xf>
    <xf borderId="33" fillId="0" fontId="10" numFmtId="0" xfId="0" applyAlignment="1" applyBorder="1" applyFont="1">
      <alignment horizontal="center" shrinkToFit="0" vertical="bottom" wrapText="0"/>
    </xf>
    <xf borderId="0" fillId="0" fontId="3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5" fillId="0" fontId="12" numFmtId="181" xfId="0" applyAlignment="1" applyBorder="1" applyFont="1" applyNumberForma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35" fillId="0" fontId="10" numFmtId="0" xfId="0" applyAlignment="1" applyBorder="1" applyFont="1">
      <alignment horizontal="center" shrinkToFit="0" vertical="bottom" wrapText="0"/>
    </xf>
    <xf borderId="36" fillId="0" fontId="10" numFmtId="0" xfId="0" applyAlignment="1" applyBorder="1" applyFont="1">
      <alignment horizontal="center" shrinkToFit="0" vertical="bottom" wrapText="0"/>
    </xf>
    <xf borderId="37" fillId="0" fontId="11" numFmtId="0" xfId="0" applyAlignment="1" applyBorder="1" applyFont="1">
      <alignment horizontal="center" shrinkToFit="0" vertical="bottom" wrapText="0"/>
    </xf>
    <xf borderId="38" fillId="0" fontId="11" numFmtId="0" xfId="0" applyAlignment="1" applyBorder="1" applyFont="1">
      <alignment horizontal="center" shrinkToFit="0" vertical="bottom" wrapText="0"/>
    </xf>
    <xf borderId="39" fillId="0" fontId="13" numFmtId="0" xfId="0" applyAlignment="1" applyBorder="1" applyFont="1">
      <alignment shrinkToFit="0" vertical="bottom" wrapText="0"/>
    </xf>
    <xf borderId="39" fillId="0" fontId="4" numFmtId="0" xfId="0" applyAlignment="1" applyBorder="1" applyFont="1">
      <alignment shrinkToFit="0" vertical="bottom" wrapText="0"/>
    </xf>
    <xf borderId="37" fillId="7" fontId="11" numFmtId="0" xfId="0" applyAlignment="1" applyBorder="1" applyFont="1">
      <alignment horizontal="center" shrinkToFit="0" vertical="bottom" wrapText="0"/>
    </xf>
    <xf borderId="38" fillId="7" fontId="11" numFmtId="0" xfId="0" applyAlignment="1" applyBorder="1" applyFont="1">
      <alignment horizontal="center" shrinkToFit="0" vertical="bottom" wrapText="0"/>
    </xf>
    <xf borderId="5" fillId="7" fontId="12" numFmtId="181" xfId="0" applyAlignment="1" applyBorder="1" applyFont="1" applyNumberFormat="1">
      <alignment horizontal="center" shrinkToFit="0" vertical="bottom" wrapText="0"/>
    </xf>
    <xf borderId="0" fillId="0" fontId="4" numFmtId="0" xfId="0" applyFont="1"/>
    <xf borderId="36" fillId="0" fontId="10" numFmtId="0" xfId="0" applyAlignment="1" applyBorder="1" applyFont="1">
      <alignment horizontal="center" shrinkToFit="0" vertical="bottom" wrapText="1"/>
    </xf>
    <xf borderId="40" fillId="0" fontId="10" numFmtId="0" xfId="0" applyAlignment="1" applyBorder="1" applyFont="1">
      <alignment horizontal="center" shrinkToFit="0" vertical="bottom" wrapText="0"/>
    </xf>
    <xf borderId="41" fillId="0" fontId="11" numFmtId="0" xfId="0" applyAlignment="1" applyBorder="1" applyFont="1">
      <alignment horizontal="center" shrinkToFit="0" vertical="bottom" wrapText="0"/>
    </xf>
    <xf borderId="26" fillId="3" fontId="13" numFmtId="0" xfId="0" applyAlignment="1" applyBorder="1" applyFont="1">
      <alignment horizontal="center" shrinkToFit="0" vertical="bottom" wrapText="1"/>
    </xf>
    <xf borderId="27" fillId="3" fontId="13" numFmtId="0" xfId="0" applyAlignment="1" applyBorder="1" applyFont="1">
      <alignment horizontal="center" shrinkToFit="0" vertical="bottom" wrapText="1"/>
    </xf>
    <xf borderId="28" fillId="3" fontId="13" numFmtId="0" xfId="0" applyAlignment="1" applyBorder="1" applyFont="1">
      <alignment horizontal="center" shrinkToFit="0" vertical="bottom" wrapText="1"/>
    </xf>
    <xf borderId="42" fillId="0" fontId="11" numFmtId="0" xfId="0" applyAlignment="1" applyBorder="1" applyFont="1">
      <alignment horizontal="center" shrinkToFit="0" vertical="bottom" wrapText="0"/>
    </xf>
    <xf borderId="43" fillId="0" fontId="11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horizontal="left" shrinkToFit="0" vertical="bottom" wrapText="0"/>
    </xf>
    <xf borderId="5" fillId="0" fontId="10" numFmtId="0" xfId="0" applyAlignment="1" applyBorder="1" applyFont="1">
      <alignment horizontal="right" shrinkToFit="0" vertical="bottom" wrapText="0"/>
    </xf>
    <xf borderId="5" fillId="0" fontId="11" numFmtId="182" xfId="0" applyAlignment="1" applyBorder="1" applyFont="1" applyNumberFormat="1">
      <alignment horizontal="center" shrinkToFit="0" vertical="bottom" wrapText="0"/>
    </xf>
    <xf borderId="6" fillId="0" fontId="10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horizontal="right" shrinkToFit="0" vertical="bottom" wrapText="0"/>
    </xf>
    <xf borderId="5" fillId="0" fontId="12" numFmtId="182" xfId="0" applyAlignment="1" applyBorder="1" applyFont="1" applyNumberForma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1"/>
    </xf>
    <xf borderId="0" fillId="0" fontId="1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15" fillId="3" fontId="13" numFmtId="0" xfId="0" applyAlignment="1" applyBorder="1" applyFont="1">
      <alignment horizontal="center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5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2">
    <dxf>
      <font>
        <b/>
        <i/>
        <u/>
      </font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customschemas.google.com/relationships/workbookmetadata" Target="metadata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5.86"/>
    <col customWidth="1" min="3" max="3" width="8.0"/>
    <col customWidth="1" min="4" max="4" width="9.43"/>
    <col customWidth="1" min="5" max="5" width="8.0"/>
    <col customWidth="1" min="6" max="6" width="9.57"/>
    <col customWidth="1" min="7" max="7" width="12.14"/>
    <col customWidth="1" min="8" max="8" width="8.0"/>
    <col customWidth="1" min="9" max="9" width="13.29"/>
    <col customWidth="1" min="10" max="10" width="14.14"/>
    <col customWidth="1" min="11" max="12" width="8.0"/>
    <col customWidth="1" min="13" max="13" width="6.14"/>
    <col customWidth="1" min="14" max="14" width="4.57"/>
    <col customWidth="1" min="15" max="15" width="8.43"/>
    <col customWidth="1" min="16" max="26" width="8.0"/>
  </cols>
  <sheetData>
    <row r="1" ht="18.75" customHeight="1">
      <c r="A1" s="1" t="s">
        <v>0</v>
      </c>
    </row>
    <row r="3" ht="15.75" customHeight="1">
      <c r="A3" s="2" t="s">
        <v>1</v>
      </c>
    </row>
    <row r="4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</row>
    <row r="5">
      <c r="A5" s="6">
        <v>1.0</v>
      </c>
      <c r="B5" s="7" t="s">
        <v>12</v>
      </c>
      <c r="C5" s="7">
        <v>20.0</v>
      </c>
      <c r="D5" s="7">
        <v>10.0</v>
      </c>
      <c r="E5" s="8">
        <v>10.0</v>
      </c>
      <c r="F5" s="7">
        <v>18.0</v>
      </c>
      <c r="G5" s="7">
        <v>15.0</v>
      </c>
      <c r="H5" s="9">
        <f t="shared" ref="H5:H14" si="1">SUM(C5:G5)</f>
        <v>73</v>
      </c>
      <c r="I5" s="9">
        <f t="shared" ref="I5:I14" si="2">AVERAGE(C5:G5)</f>
        <v>14.6</v>
      </c>
      <c r="J5" s="10" t="str">
        <f t="shared" ref="J5:J14" si="3">IF(I5&gt;15,"a","b")</f>
        <v>b</v>
      </c>
      <c r="L5" s="11"/>
    </row>
    <row r="6">
      <c r="A6" s="6">
        <v>2.0</v>
      </c>
      <c r="B6" s="7" t="s">
        <v>13</v>
      </c>
      <c r="C6" s="7">
        <v>21.0</v>
      </c>
      <c r="D6" s="7">
        <v>12.0</v>
      </c>
      <c r="E6" s="7">
        <v>14.0</v>
      </c>
      <c r="F6" s="7">
        <v>12.0</v>
      </c>
      <c r="G6" s="7">
        <v>18.0</v>
      </c>
      <c r="H6" s="9">
        <f t="shared" si="1"/>
        <v>77</v>
      </c>
      <c r="I6" s="9">
        <f t="shared" si="2"/>
        <v>15.4</v>
      </c>
      <c r="J6" s="10" t="str">
        <f t="shared" si="3"/>
        <v>a</v>
      </c>
      <c r="L6" s="11"/>
    </row>
    <row r="7">
      <c r="A7" s="6">
        <v>3.0</v>
      </c>
      <c r="B7" s="7" t="s">
        <v>14</v>
      </c>
      <c r="C7" s="7">
        <v>33.0</v>
      </c>
      <c r="D7" s="7">
        <v>15.0</v>
      </c>
      <c r="E7" s="7">
        <v>7.0</v>
      </c>
      <c r="F7" s="7">
        <v>14.0</v>
      </c>
      <c r="G7" s="7">
        <v>17.0</v>
      </c>
      <c r="H7" s="9">
        <f t="shared" si="1"/>
        <v>86</v>
      </c>
      <c r="I7" s="9">
        <f t="shared" si="2"/>
        <v>17.2</v>
      </c>
      <c r="J7" s="10" t="str">
        <f t="shared" si="3"/>
        <v>a</v>
      </c>
      <c r="L7" s="11"/>
    </row>
    <row r="8">
      <c r="A8" s="6">
        <v>4.0</v>
      </c>
      <c r="B8" s="7" t="s">
        <v>15</v>
      </c>
      <c r="C8" s="7">
        <v>15.0</v>
      </c>
      <c r="D8" s="7">
        <v>14.0</v>
      </c>
      <c r="E8" s="7">
        <v>8.0</v>
      </c>
      <c r="F8" s="7">
        <v>16.0</v>
      </c>
      <c r="G8" s="7">
        <v>20.0</v>
      </c>
      <c r="H8" s="9">
        <f t="shared" si="1"/>
        <v>73</v>
      </c>
      <c r="I8" s="9">
        <f t="shared" si="2"/>
        <v>14.6</v>
      </c>
      <c r="J8" s="10" t="str">
        <f t="shared" si="3"/>
        <v>b</v>
      </c>
      <c r="L8" s="11"/>
    </row>
    <row r="9">
      <c r="A9" s="6">
        <v>5.0</v>
      </c>
      <c r="B9" s="7" t="s">
        <v>16</v>
      </c>
      <c r="C9" s="7">
        <v>14.0</v>
      </c>
      <c r="D9" s="7">
        <v>17.0</v>
      </c>
      <c r="E9" s="8">
        <v>14.0</v>
      </c>
      <c r="F9" s="7">
        <v>13.0</v>
      </c>
      <c r="G9" s="7">
        <v>18.0</v>
      </c>
      <c r="H9" s="9">
        <f t="shared" si="1"/>
        <v>76</v>
      </c>
      <c r="I9" s="9">
        <f t="shared" si="2"/>
        <v>15.2</v>
      </c>
      <c r="J9" s="10" t="str">
        <f t="shared" si="3"/>
        <v>a</v>
      </c>
      <c r="L9" s="11"/>
    </row>
    <row r="10">
      <c r="A10" s="6">
        <v>6.0</v>
      </c>
      <c r="B10" s="7" t="s">
        <v>17</v>
      </c>
      <c r="C10" s="7">
        <v>16.0</v>
      </c>
      <c r="D10" s="7">
        <v>8.0</v>
      </c>
      <c r="E10" s="7">
        <v>20.0</v>
      </c>
      <c r="F10" s="7">
        <v>17.0</v>
      </c>
      <c r="G10" s="7">
        <v>15.0</v>
      </c>
      <c r="H10" s="9">
        <f t="shared" si="1"/>
        <v>76</v>
      </c>
      <c r="I10" s="9">
        <f t="shared" si="2"/>
        <v>15.2</v>
      </c>
      <c r="J10" s="10" t="str">
        <f t="shared" si="3"/>
        <v>a</v>
      </c>
      <c r="L10" s="11"/>
    </row>
    <row r="11">
      <c r="A11" s="6">
        <v>7.0</v>
      </c>
      <c r="B11" s="7" t="s">
        <v>18</v>
      </c>
      <c r="C11" s="7">
        <v>18.0</v>
      </c>
      <c r="D11" s="7">
        <v>19.0</v>
      </c>
      <c r="E11" s="7">
        <v>3.0</v>
      </c>
      <c r="F11" s="7">
        <v>10.0</v>
      </c>
      <c r="G11" s="7">
        <v>14.0</v>
      </c>
      <c r="H11" s="9">
        <f t="shared" si="1"/>
        <v>64</v>
      </c>
      <c r="I11" s="9">
        <f t="shared" si="2"/>
        <v>12.8</v>
      </c>
      <c r="J11" s="10" t="str">
        <f t="shared" si="3"/>
        <v>b</v>
      </c>
      <c r="L11" s="11"/>
    </row>
    <row r="12">
      <c r="A12" s="6">
        <v>8.0</v>
      </c>
      <c r="B12" s="7" t="s">
        <v>19</v>
      </c>
      <c r="C12" s="12">
        <v>19.0</v>
      </c>
      <c r="D12" s="7">
        <v>20.0</v>
      </c>
      <c r="E12" s="7">
        <v>7.0</v>
      </c>
      <c r="F12" s="7">
        <v>14.0</v>
      </c>
      <c r="G12" s="7">
        <v>18.0</v>
      </c>
      <c r="H12" s="9">
        <f t="shared" si="1"/>
        <v>78</v>
      </c>
      <c r="I12" s="9">
        <f t="shared" si="2"/>
        <v>15.6</v>
      </c>
      <c r="J12" s="10" t="str">
        <f t="shared" si="3"/>
        <v>a</v>
      </c>
      <c r="L12" s="11"/>
    </row>
    <row r="13">
      <c r="A13" s="6">
        <v>9.0</v>
      </c>
      <c r="B13" s="7" t="s">
        <v>20</v>
      </c>
      <c r="C13" s="7">
        <v>22.0</v>
      </c>
      <c r="D13" s="7">
        <v>13.0</v>
      </c>
      <c r="E13" s="7">
        <v>8.0</v>
      </c>
      <c r="F13" s="7">
        <v>12.0</v>
      </c>
      <c r="G13" s="7">
        <v>19.0</v>
      </c>
      <c r="H13" s="9">
        <f t="shared" si="1"/>
        <v>74</v>
      </c>
      <c r="I13" s="9">
        <f t="shared" si="2"/>
        <v>14.8</v>
      </c>
      <c r="J13" s="10" t="str">
        <f t="shared" si="3"/>
        <v>b</v>
      </c>
      <c r="L13" s="11"/>
    </row>
    <row r="14">
      <c r="A14" s="13">
        <v>10.0</v>
      </c>
      <c r="B14" s="14" t="s">
        <v>21</v>
      </c>
      <c r="C14" s="14">
        <v>26.0</v>
      </c>
      <c r="D14" s="14">
        <v>12.0</v>
      </c>
      <c r="E14" s="14">
        <v>10.0</v>
      </c>
      <c r="F14" s="14">
        <v>11.0</v>
      </c>
      <c r="G14" s="14">
        <v>27.0</v>
      </c>
      <c r="H14" s="9">
        <f t="shared" si="1"/>
        <v>86</v>
      </c>
      <c r="I14" s="9">
        <f t="shared" si="2"/>
        <v>17.2</v>
      </c>
      <c r="J14" s="10" t="str">
        <f t="shared" si="3"/>
        <v>a</v>
      </c>
      <c r="L14" s="11"/>
    </row>
    <row r="16" ht="19.5" customHeight="1">
      <c r="A16" s="15" t="s">
        <v>22</v>
      </c>
      <c r="B16" s="15"/>
      <c r="C16" s="15"/>
      <c r="D16" s="15"/>
    </row>
    <row r="17" ht="19.5" customHeight="1">
      <c r="A17" s="15" t="s">
        <v>23</v>
      </c>
      <c r="B17" s="15"/>
      <c r="C17" s="15"/>
      <c r="D17" s="15"/>
    </row>
    <row r="18" ht="19.5" customHeight="1">
      <c r="A18" s="15" t="s">
        <v>24</v>
      </c>
      <c r="B18" s="15"/>
      <c r="C18" s="15"/>
      <c r="D18" s="15"/>
      <c r="I18" s="12" t="s">
        <v>25</v>
      </c>
    </row>
    <row r="19" ht="19.5" customHeight="1">
      <c r="A19" s="15"/>
      <c r="B19" s="15"/>
      <c r="C19" s="15"/>
      <c r="D19" s="15"/>
    </row>
    <row r="20" ht="19.5" customHeight="1">
      <c r="A20" s="16" t="s">
        <v>26</v>
      </c>
      <c r="B20" s="15">
        <f>COUNTIF(J5:J14,"a")</f>
        <v>6</v>
      </c>
      <c r="C20" s="15"/>
      <c r="D20" s="15"/>
    </row>
    <row r="21" ht="19.5" customHeight="1">
      <c r="A21" s="16" t="s">
        <v>27</v>
      </c>
      <c r="B21" s="15">
        <f>COUNTIF(M5:M14,"B")</f>
        <v>0</v>
      </c>
      <c r="C21" s="15"/>
      <c r="D21" s="15"/>
    </row>
    <row r="22" ht="19.5" customHeight="1">
      <c r="A22" s="15" t="s">
        <v>28</v>
      </c>
      <c r="B22" s="15"/>
      <c r="C22" s="15"/>
      <c r="D22" s="15"/>
      <c r="I22" s="12" t="s">
        <v>29</v>
      </c>
    </row>
    <row r="23" ht="19.5" customHeight="1">
      <c r="A23" s="15"/>
      <c r="B23" s="16" t="s">
        <v>30</v>
      </c>
      <c r="C23" s="16" t="s">
        <v>10</v>
      </c>
      <c r="D23" s="15"/>
    </row>
    <row r="24" ht="19.5" customHeight="1">
      <c r="A24" s="16" t="s">
        <v>31</v>
      </c>
      <c r="B24" s="15">
        <f t="shared" ref="B24:D24" si="4">SUMIF(B5:B14,"Ashok",H5:H14)</f>
        <v>77</v>
      </c>
      <c r="C24" s="15">
        <f t="shared" si="4"/>
        <v>0</v>
      </c>
      <c r="D24" s="15">
        <f t="shared" si="4"/>
        <v>0</v>
      </c>
    </row>
    <row r="25" ht="19.5" customHeight="1">
      <c r="A25" s="16" t="s">
        <v>32</v>
      </c>
      <c r="B25" s="15">
        <f>SUMIF(B5:B14,"manoj",H5:H14)</f>
        <v>86</v>
      </c>
      <c r="C25" s="15"/>
      <c r="D25" s="15"/>
      <c r="G25" s="12">
        <f>SUMIF(A24,B5:B14,I5:I14)</f>
        <v>0</v>
      </c>
    </row>
    <row r="26" ht="19.5" customHeight="1">
      <c r="A26" s="15" t="s">
        <v>33</v>
      </c>
      <c r="B26" s="15"/>
      <c r="C26" s="15"/>
      <c r="D26" s="15"/>
      <c r="I26" s="12" t="s">
        <v>34</v>
      </c>
    </row>
    <row r="27" ht="19.5" customHeight="1">
      <c r="A27" s="15"/>
      <c r="B27" s="15">
        <f>COUNTA(B5:B14)</f>
        <v>10</v>
      </c>
      <c r="C27" s="15"/>
      <c r="D27" s="15"/>
    </row>
    <row r="28" ht="19.5" customHeight="1">
      <c r="A28" s="15"/>
      <c r="B28" s="15"/>
      <c r="C28" s="15"/>
      <c r="D28" s="15"/>
    </row>
    <row r="29" ht="19.5" customHeight="1">
      <c r="A29" s="15"/>
      <c r="B29" s="15"/>
      <c r="C29" s="15"/>
      <c r="D29" s="15"/>
    </row>
    <row r="30" ht="19.5" customHeight="1">
      <c r="A30" s="15" t="s">
        <v>35</v>
      </c>
      <c r="B30" s="15"/>
      <c r="C30" s="15"/>
      <c r="D30" s="15"/>
      <c r="I30" s="12" t="s">
        <v>25</v>
      </c>
    </row>
    <row r="31" ht="15.75" customHeight="1">
      <c r="E31" s="17" t="s">
        <v>36</v>
      </c>
      <c r="F31" s="17" t="s">
        <v>37</v>
      </c>
      <c r="N31" s="18"/>
    </row>
    <row r="32" ht="15.75" customHeight="1">
      <c r="D32" s="17" t="s">
        <v>4</v>
      </c>
    </row>
    <row r="33" ht="15.75" customHeight="1">
      <c r="D33" s="17" t="s">
        <v>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A1:J1"/>
    <mergeCell ref="A3:J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</row>
    <row r="4">
      <c r="A4" s="6">
        <v>1.0</v>
      </c>
      <c r="B4" s="7" t="s">
        <v>12</v>
      </c>
      <c r="C4" s="7">
        <v>20.0</v>
      </c>
      <c r="D4" s="7">
        <v>10.0</v>
      </c>
      <c r="E4" s="7">
        <v>14.0</v>
      </c>
      <c r="F4" s="7">
        <v>18.0</v>
      </c>
      <c r="G4" s="7">
        <v>15.0</v>
      </c>
      <c r="H4" s="9">
        <f>sum(C4:G4)</f>
        <v>77</v>
      </c>
      <c r="I4" s="9">
        <f t="shared" ref="I4:I13" si="1">AVERAGE(C4:G4)</f>
        <v>15.4</v>
      </c>
      <c r="J4" s="10" t="str">
        <f t="shared" ref="J4:J13" si="2">IF(I4&gt;15,"A","B")</f>
        <v>A</v>
      </c>
    </row>
    <row r="5">
      <c r="A5" s="6">
        <v>2.0</v>
      </c>
      <c r="B5" s="7" t="s">
        <v>13</v>
      </c>
      <c r="C5" s="7">
        <v>21.0</v>
      </c>
      <c r="D5" s="7">
        <v>12.0</v>
      </c>
      <c r="E5" s="7">
        <v>14.0</v>
      </c>
      <c r="F5" s="7">
        <v>12.0</v>
      </c>
      <c r="G5" s="7">
        <v>18.0</v>
      </c>
      <c r="H5" s="9">
        <f t="shared" ref="H5:H13" si="3">SUM(C5:G5)</f>
        <v>77</v>
      </c>
      <c r="I5" s="9">
        <f t="shared" si="1"/>
        <v>15.4</v>
      </c>
      <c r="J5" s="10" t="str">
        <f t="shared" si="2"/>
        <v>A</v>
      </c>
    </row>
    <row r="6">
      <c r="A6" s="6">
        <v>3.0</v>
      </c>
      <c r="B6" s="7" t="s">
        <v>14</v>
      </c>
      <c r="C6" s="7">
        <v>33.0</v>
      </c>
      <c r="D6" s="7">
        <v>15.0</v>
      </c>
      <c r="E6" s="7">
        <v>7.0</v>
      </c>
      <c r="F6" s="7">
        <v>14.0</v>
      </c>
      <c r="G6" s="7">
        <v>17.0</v>
      </c>
      <c r="H6" s="9">
        <f t="shared" si="3"/>
        <v>86</v>
      </c>
      <c r="I6" s="9">
        <f t="shared" si="1"/>
        <v>17.2</v>
      </c>
      <c r="J6" s="10" t="str">
        <f t="shared" si="2"/>
        <v>A</v>
      </c>
    </row>
    <row r="7">
      <c r="A7" s="6">
        <v>4.0</v>
      </c>
      <c r="B7" s="7" t="s">
        <v>15</v>
      </c>
      <c r="C7" s="7">
        <v>15.0</v>
      </c>
      <c r="D7" s="7">
        <v>14.0</v>
      </c>
      <c r="E7" s="7">
        <v>8.0</v>
      </c>
      <c r="F7" s="7">
        <v>16.0</v>
      </c>
      <c r="G7" s="7">
        <v>20.0</v>
      </c>
      <c r="H7" s="9">
        <f t="shared" si="3"/>
        <v>73</v>
      </c>
      <c r="I7" s="9">
        <f t="shared" si="1"/>
        <v>14.6</v>
      </c>
      <c r="J7" s="10" t="str">
        <f t="shared" si="2"/>
        <v>B</v>
      </c>
    </row>
    <row r="8">
      <c r="A8" s="6">
        <v>5.0</v>
      </c>
      <c r="B8" s="7" t="s">
        <v>16</v>
      </c>
      <c r="C8" s="7">
        <v>14.0</v>
      </c>
      <c r="D8" s="7">
        <v>17.0</v>
      </c>
      <c r="E8" s="7">
        <v>10.0</v>
      </c>
      <c r="F8" s="7">
        <v>13.0</v>
      </c>
      <c r="G8" s="7">
        <v>18.0</v>
      </c>
      <c r="H8" s="9">
        <f t="shared" si="3"/>
        <v>72</v>
      </c>
      <c r="I8" s="9">
        <f t="shared" si="1"/>
        <v>14.4</v>
      </c>
      <c r="J8" s="10" t="str">
        <f t="shared" si="2"/>
        <v>B</v>
      </c>
    </row>
    <row r="9">
      <c r="A9" s="6">
        <v>6.0</v>
      </c>
      <c r="B9" s="7" t="s">
        <v>17</v>
      </c>
      <c r="C9" s="7">
        <v>16.0</v>
      </c>
      <c r="D9" s="7">
        <v>8.0</v>
      </c>
      <c r="E9" s="7">
        <v>20.0</v>
      </c>
      <c r="F9" s="7">
        <v>17.0</v>
      </c>
      <c r="G9" s="7">
        <v>15.0</v>
      </c>
      <c r="H9" s="9">
        <f t="shared" si="3"/>
        <v>76</v>
      </c>
      <c r="I9" s="9">
        <f t="shared" si="1"/>
        <v>15.2</v>
      </c>
      <c r="J9" s="10" t="str">
        <f t="shared" si="2"/>
        <v>A</v>
      </c>
    </row>
    <row r="10">
      <c r="A10" s="6">
        <v>7.0</v>
      </c>
      <c r="B10" s="7" t="s">
        <v>18</v>
      </c>
      <c r="C10" s="7">
        <v>18.0</v>
      </c>
      <c r="D10" s="7">
        <v>19.0</v>
      </c>
      <c r="E10" s="7">
        <v>3.0</v>
      </c>
      <c r="F10" s="7">
        <v>10.0</v>
      </c>
      <c r="G10" s="7">
        <v>14.0</v>
      </c>
      <c r="H10" s="9">
        <f t="shared" si="3"/>
        <v>64</v>
      </c>
      <c r="I10" s="9">
        <f t="shared" si="1"/>
        <v>12.8</v>
      </c>
      <c r="J10" s="10" t="str">
        <f t="shared" si="2"/>
        <v>B</v>
      </c>
    </row>
    <row r="11">
      <c r="A11" s="6">
        <v>8.0</v>
      </c>
      <c r="B11" s="7" t="s">
        <v>19</v>
      </c>
      <c r="C11" s="12">
        <v>19.0</v>
      </c>
      <c r="D11" s="7">
        <v>20.0</v>
      </c>
      <c r="E11" s="7">
        <v>7.0</v>
      </c>
      <c r="F11" s="7">
        <v>14.0</v>
      </c>
      <c r="G11" s="7">
        <v>18.0</v>
      </c>
      <c r="H11" s="9">
        <f t="shared" si="3"/>
        <v>78</v>
      </c>
      <c r="I11" s="9">
        <f t="shared" si="1"/>
        <v>15.6</v>
      </c>
      <c r="J11" s="10" t="str">
        <f t="shared" si="2"/>
        <v>A</v>
      </c>
    </row>
    <row r="12">
      <c r="A12" s="6">
        <v>9.0</v>
      </c>
      <c r="B12" s="7" t="s">
        <v>20</v>
      </c>
      <c r="C12" s="7">
        <v>22.0</v>
      </c>
      <c r="D12" s="7">
        <v>13.0</v>
      </c>
      <c r="E12" s="7">
        <v>8.0</v>
      </c>
      <c r="F12" s="7">
        <v>12.0</v>
      </c>
      <c r="G12" s="7">
        <v>19.0</v>
      </c>
      <c r="H12" s="9">
        <f t="shared" si="3"/>
        <v>74</v>
      </c>
      <c r="I12" s="9">
        <f t="shared" si="1"/>
        <v>14.8</v>
      </c>
      <c r="J12" s="10" t="str">
        <f t="shared" si="2"/>
        <v>B</v>
      </c>
    </row>
    <row r="13">
      <c r="A13" s="13">
        <v>10.0</v>
      </c>
      <c r="B13" s="14" t="s">
        <v>21</v>
      </c>
      <c r="C13" s="14">
        <v>26.0</v>
      </c>
      <c r="D13" s="14">
        <v>12.0</v>
      </c>
      <c r="E13" s="14">
        <v>10.0</v>
      </c>
      <c r="F13" s="14">
        <v>11.0</v>
      </c>
      <c r="G13" s="14">
        <v>27.0</v>
      </c>
      <c r="H13" s="9">
        <f t="shared" si="3"/>
        <v>86</v>
      </c>
      <c r="I13" s="9">
        <f t="shared" si="1"/>
        <v>17.2</v>
      </c>
      <c r="J13" s="10" t="str">
        <f t="shared" si="2"/>
        <v>A</v>
      </c>
    </row>
    <row r="16">
      <c r="A16" s="15" t="s">
        <v>24</v>
      </c>
      <c r="B16" s="15"/>
      <c r="C16" s="15"/>
      <c r="D16" s="15"/>
      <c r="I16" s="12" t="s">
        <v>25</v>
      </c>
    </row>
    <row r="17">
      <c r="A17" s="15" t="s">
        <v>28</v>
      </c>
      <c r="B17" s="15"/>
      <c r="C17" s="15"/>
      <c r="D17" s="15"/>
      <c r="I17" s="12" t="s">
        <v>29</v>
      </c>
    </row>
    <row r="18">
      <c r="A18" s="15" t="s">
        <v>33</v>
      </c>
      <c r="B18" s="15"/>
      <c r="C18" s="15"/>
      <c r="D18" s="15"/>
      <c r="I18" s="12" t="s">
        <v>34</v>
      </c>
    </row>
    <row r="19">
      <c r="A19" s="15" t="s">
        <v>35</v>
      </c>
      <c r="B19" s="15"/>
      <c r="C19" s="15"/>
      <c r="D19" s="15"/>
      <c r="I19" s="1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0"/>
    <col customWidth="1" min="3" max="3" width="10.14"/>
    <col customWidth="1" min="4" max="4" width="11.43"/>
    <col customWidth="1" min="5" max="5" width="15.57"/>
    <col customWidth="1" min="6" max="6" width="17.71"/>
    <col customWidth="1" min="7" max="7" width="8.0"/>
    <col customWidth="1" min="8" max="8" width="9.43"/>
    <col customWidth="1" min="9" max="26" width="8.0"/>
  </cols>
  <sheetData>
    <row r="1" ht="18.75" customHeight="1">
      <c r="A1" s="19" t="s">
        <v>38</v>
      </c>
      <c r="I1" s="20"/>
      <c r="J1" s="20"/>
    </row>
    <row r="2">
      <c r="A2" s="21" t="s">
        <v>39</v>
      </c>
    </row>
    <row r="4" ht="15.75" customHeight="1">
      <c r="A4" s="22" t="s">
        <v>40</v>
      </c>
      <c r="B4" s="23" t="s">
        <v>41</v>
      </c>
      <c r="C4" s="23" t="s">
        <v>42</v>
      </c>
      <c r="D4" s="23" t="s">
        <v>43</v>
      </c>
      <c r="E4" s="23" t="s">
        <v>44</v>
      </c>
      <c r="F4" s="24" t="s">
        <v>45</v>
      </c>
    </row>
    <row r="5" ht="15.75" customHeight="1">
      <c r="A5" s="25">
        <v>1.0</v>
      </c>
      <c r="B5" s="26" t="s">
        <v>46</v>
      </c>
      <c r="C5" s="26">
        <v>20.0</v>
      </c>
      <c r="D5" s="26">
        <v>40000.0</v>
      </c>
      <c r="E5" s="26">
        <f>PRODUCT(C5:D5)</f>
        <v>800000</v>
      </c>
      <c r="F5" s="26" t="str">
        <f>IF(E5&gt;500000,"expensive","lets buy it")</f>
        <v>expensive</v>
      </c>
      <c r="H5" s="12">
        <f t="shared" ref="H5:H14" si="1">$C$5:$C$14*$D$5:$D$14</f>
        <v>800000</v>
      </c>
      <c r="I5" s="12">
        <f>COUNTA(B5:B14)</f>
        <v>10</v>
      </c>
      <c r="J5" s="12">
        <f>COUNTIF(C5:C14,"&gt;20")</f>
        <v>3</v>
      </c>
      <c r="K5" s="12">
        <f>SUMIF(B5:B14,B11,C5:C14)</f>
        <v>10</v>
      </c>
      <c r="L5" s="12">
        <f>SUMIF(B5:B14,B11,D5:D14)</f>
        <v>25000</v>
      </c>
      <c r="M5" s="12" t="str">
        <f t="shared" ref="M5:M14" si="2">IF(E5&gt;500000,"EXPENSIVE","LETS BAY IT")</f>
        <v>EXPENSIVE</v>
      </c>
    </row>
    <row r="6" ht="15.75" customHeight="1">
      <c r="A6" s="25">
        <v>2.0</v>
      </c>
      <c r="B6" s="26" t="s">
        <v>47</v>
      </c>
      <c r="C6" s="26">
        <v>30.0</v>
      </c>
      <c r="D6" s="26">
        <v>20000.0</v>
      </c>
      <c r="E6" s="26"/>
      <c r="F6" s="26"/>
      <c r="H6" s="12">
        <f t="shared" si="1"/>
        <v>600000</v>
      </c>
      <c r="J6" s="12">
        <f>COUNTIF(C5:C14,"&lt;20")</f>
        <v>6</v>
      </c>
      <c r="K6" s="12">
        <f>SUMIF(B5:B14,B10,C5:C14)</f>
        <v>32</v>
      </c>
      <c r="L6" s="12">
        <f>SUMIF(B5:B14,B11,E5:E14)</f>
        <v>0</v>
      </c>
      <c r="M6" s="12" t="str">
        <f t="shared" si="2"/>
        <v>LETS BAY IT</v>
      </c>
    </row>
    <row r="7" ht="15.75" customHeight="1">
      <c r="A7" s="25">
        <v>3.0</v>
      </c>
      <c r="B7" s="26" t="s">
        <v>48</v>
      </c>
      <c r="C7" s="26">
        <v>15.0</v>
      </c>
      <c r="D7" s="26">
        <v>10000.0</v>
      </c>
      <c r="E7" s="26"/>
      <c r="F7" s="26"/>
      <c r="H7" s="12">
        <f t="shared" si="1"/>
        <v>150000</v>
      </c>
      <c r="M7" s="12" t="str">
        <f t="shared" si="2"/>
        <v>LETS BAY IT</v>
      </c>
    </row>
    <row r="8" ht="15.75" customHeight="1">
      <c r="A8" s="25">
        <v>4.0</v>
      </c>
      <c r="B8" s="26" t="s">
        <v>49</v>
      </c>
      <c r="C8" s="26">
        <v>14.0</v>
      </c>
      <c r="D8" s="26">
        <v>15000.0</v>
      </c>
      <c r="E8" s="26"/>
      <c r="F8" s="27" t="s">
        <v>50</v>
      </c>
      <c r="H8" s="12">
        <f t="shared" si="1"/>
        <v>210000</v>
      </c>
      <c r="M8" s="12" t="str">
        <f t="shared" si="2"/>
        <v>LETS BAY IT</v>
      </c>
    </row>
    <row r="9" ht="15.75" customHeight="1">
      <c r="A9" s="25">
        <v>5.0</v>
      </c>
      <c r="B9" s="26" t="s">
        <v>51</v>
      </c>
      <c r="C9" s="26">
        <v>18.0</v>
      </c>
      <c r="D9" s="26">
        <v>20000.0</v>
      </c>
      <c r="E9" s="26"/>
      <c r="F9" s="26"/>
      <c r="H9" s="12">
        <f t="shared" si="1"/>
        <v>360000</v>
      </c>
      <c r="M9" s="12" t="str">
        <f t="shared" si="2"/>
        <v>LETS BAY IT</v>
      </c>
    </row>
    <row r="10" ht="15.75" customHeight="1">
      <c r="A10" s="25">
        <v>6.0</v>
      </c>
      <c r="B10" s="27" t="s">
        <v>48</v>
      </c>
      <c r="C10" s="26">
        <v>17.0</v>
      </c>
      <c r="D10" s="26">
        <v>2000.0</v>
      </c>
      <c r="E10" s="26"/>
      <c r="F10" s="26"/>
      <c r="H10" s="12">
        <f t="shared" si="1"/>
        <v>34000</v>
      </c>
      <c r="M10" s="12" t="str">
        <f t="shared" si="2"/>
        <v>LETS BAY IT</v>
      </c>
    </row>
    <row r="11" ht="15.75" customHeight="1">
      <c r="A11" s="25">
        <v>7.0</v>
      </c>
      <c r="B11" s="26" t="s">
        <v>52</v>
      </c>
      <c r="C11" s="26">
        <v>10.0</v>
      </c>
      <c r="D11" s="26">
        <v>25000.0</v>
      </c>
      <c r="E11" s="26"/>
      <c r="F11" s="26"/>
      <c r="H11" s="12">
        <f t="shared" si="1"/>
        <v>250000</v>
      </c>
      <c r="M11" s="12" t="str">
        <f t="shared" si="2"/>
        <v>LETS BAY IT</v>
      </c>
    </row>
    <row r="12" ht="15.75" customHeight="1">
      <c r="A12" s="25">
        <v>8.0</v>
      </c>
      <c r="B12" s="26" t="s">
        <v>53</v>
      </c>
      <c r="C12" s="26">
        <v>5.0</v>
      </c>
      <c r="D12" s="26">
        <v>250.0</v>
      </c>
      <c r="E12" s="26"/>
      <c r="F12" s="26"/>
      <c r="H12" s="12">
        <f t="shared" si="1"/>
        <v>1250</v>
      </c>
      <c r="M12" s="12" t="str">
        <f t="shared" si="2"/>
        <v>LETS BAY IT</v>
      </c>
    </row>
    <row r="13" ht="15.75" customHeight="1">
      <c r="A13" s="25">
        <v>9.0</v>
      </c>
      <c r="B13" s="26" t="s">
        <v>54</v>
      </c>
      <c r="C13" s="26">
        <v>25.0</v>
      </c>
      <c r="D13" s="26">
        <v>100.0</v>
      </c>
      <c r="E13" s="26"/>
      <c r="F13" s="26"/>
      <c r="H13" s="12">
        <f t="shared" si="1"/>
        <v>2500</v>
      </c>
      <c r="M13" s="12" t="str">
        <f t="shared" si="2"/>
        <v>LETS BAY IT</v>
      </c>
    </row>
    <row r="14" ht="15.75" customHeight="1">
      <c r="A14" s="28">
        <v>10.0</v>
      </c>
      <c r="B14" s="29" t="s">
        <v>55</v>
      </c>
      <c r="C14" s="29">
        <v>30.0</v>
      </c>
      <c r="D14" s="29">
        <v>12000.0</v>
      </c>
      <c r="E14" s="26"/>
      <c r="F14" s="26"/>
      <c r="H14" s="12">
        <f t="shared" si="1"/>
        <v>360000</v>
      </c>
      <c r="M14" s="12" t="str">
        <f t="shared" si="2"/>
        <v>LETS BAY IT</v>
      </c>
    </row>
    <row r="15">
      <c r="B15" s="12">
        <f>COUNTA(B5:B14)</f>
        <v>10</v>
      </c>
      <c r="C15" s="12">
        <f>COUNTIF(C4:C14,"&gt;20")</f>
        <v>3</v>
      </c>
      <c r="E15" s="30"/>
    </row>
    <row r="16" ht="19.5" customHeight="1">
      <c r="A16" s="15" t="s">
        <v>56</v>
      </c>
      <c r="B16" s="15"/>
      <c r="C16" s="15"/>
      <c r="E16" s="30"/>
    </row>
    <row r="17" ht="19.5" customHeight="1">
      <c r="A17" s="15" t="s">
        <v>57</v>
      </c>
      <c r="B17" s="15"/>
      <c r="C17" s="15"/>
      <c r="E17" s="30"/>
      <c r="H17" s="17" t="s">
        <v>58</v>
      </c>
      <c r="I17" s="17" t="s">
        <v>59</v>
      </c>
      <c r="J17" s="17" t="s">
        <v>60</v>
      </c>
      <c r="K17" s="17" t="s">
        <v>61</v>
      </c>
    </row>
    <row r="18" ht="19.5" customHeight="1">
      <c r="A18" s="15" t="s">
        <v>62</v>
      </c>
      <c r="B18" s="15"/>
      <c r="C18" s="15"/>
      <c r="E18" s="30"/>
      <c r="H18" s="17" t="s">
        <v>63</v>
      </c>
      <c r="I18" s="12">
        <f>SUMIF(B:B,H18,C:C)</f>
        <v>20</v>
      </c>
      <c r="J18" s="12">
        <f>SUMIF(B:B,H18,D:D)</f>
        <v>25000</v>
      </c>
      <c r="K18" s="12">
        <f>sumif(B:B,H18,E:E)</f>
        <v>0</v>
      </c>
    </row>
    <row r="19" ht="19.5" customHeight="1">
      <c r="A19" s="15" t="s">
        <v>64</v>
      </c>
      <c r="B19" s="15"/>
      <c r="C19" s="15"/>
      <c r="E19" s="30"/>
    </row>
    <row r="20" ht="19.5" customHeight="1">
      <c r="A20" s="15" t="s">
        <v>65</v>
      </c>
      <c r="B20" s="15"/>
      <c r="C20" s="15"/>
      <c r="E20" s="30"/>
    </row>
    <row r="21" ht="15.75" customHeight="1">
      <c r="E21" s="30"/>
    </row>
    <row r="22" ht="15.75" customHeight="1">
      <c r="C22" s="17" t="s">
        <v>59</v>
      </c>
      <c r="D22" s="17" t="s">
        <v>66</v>
      </c>
      <c r="E22" s="31" t="s">
        <v>67</v>
      </c>
    </row>
    <row r="23" ht="15.75" customHeight="1">
      <c r="B23" s="17" t="s">
        <v>68</v>
      </c>
      <c r="C23" s="12">
        <f>SUMIF(B5:B14,"computer",C5:C14)</f>
        <v>10</v>
      </c>
      <c r="E23" s="30"/>
    </row>
    <row r="24" ht="15.75" customHeight="1">
      <c r="E24" s="30"/>
    </row>
    <row r="25" ht="15.75" customHeight="1">
      <c r="E25" s="30"/>
    </row>
    <row r="26" ht="15.75" customHeight="1">
      <c r="E26" s="30"/>
    </row>
    <row r="27" ht="15.75" customHeight="1">
      <c r="E27" s="30"/>
    </row>
    <row r="28" ht="15.75" customHeight="1">
      <c r="E28" s="30"/>
    </row>
    <row r="29" ht="15.75" customHeight="1">
      <c r="E29" s="30"/>
    </row>
    <row r="30" ht="15.75" customHeight="1">
      <c r="E30" s="30"/>
    </row>
    <row r="31" ht="15.75" customHeight="1">
      <c r="E31" s="30"/>
    </row>
    <row r="32" ht="15.75" customHeight="1">
      <c r="E32" s="30"/>
    </row>
    <row r="33" ht="15.75" customHeight="1">
      <c r="E33" s="30"/>
    </row>
    <row r="34" ht="15.75" customHeight="1">
      <c r="E34" s="30"/>
    </row>
    <row r="35" ht="15.75" customHeight="1">
      <c r="E35" s="30"/>
    </row>
    <row r="36" ht="15.75" customHeight="1">
      <c r="E36" s="30"/>
    </row>
    <row r="37" ht="15.75" customHeight="1">
      <c r="E37" s="30"/>
    </row>
    <row r="38" ht="15.75" customHeight="1">
      <c r="E38" s="30"/>
    </row>
    <row r="39" ht="15.75" customHeight="1">
      <c r="E39" s="30"/>
    </row>
    <row r="40" ht="15.75" customHeight="1">
      <c r="E40" s="30"/>
    </row>
    <row r="41" ht="15.75" customHeight="1">
      <c r="E41" s="30"/>
    </row>
    <row r="42" ht="15.75" customHeight="1">
      <c r="E42" s="30"/>
    </row>
    <row r="43" ht="15.75" customHeight="1">
      <c r="E43" s="30"/>
    </row>
    <row r="44" ht="15.75" customHeight="1">
      <c r="E44" s="30"/>
    </row>
    <row r="45" ht="15.75" customHeight="1">
      <c r="E45" s="30"/>
    </row>
    <row r="46" ht="15.75" customHeight="1">
      <c r="E46" s="30"/>
    </row>
    <row r="47" ht="15.75" customHeight="1">
      <c r="E47" s="30"/>
    </row>
    <row r="48" ht="15.75" customHeight="1">
      <c r="E48" s="30"/>
    </row>
    <row r="49" ht="15.75" customHeight="1">
      <c r="E49" s="30"/>
    </row>
    <row r="50" ht="15.75" customHeight="1">
      <c r="E50" s="30"/>
    </row>
    <row r="51" ht="15.75" customHeight="1">
      <c r="E51" s="30"/>
    </row>
    <row r="52" ht="15.75" customHeight="1">
      <c r="E52" s="30"/>
    </row>
    <row r="53" ht="15.75" customHeight="1">
      <c r="E53" s="30"/>
    </row>
    <row r="54" ht="15.75" customHeight="1">
      <c r="E54" s="30"/>
    </row>
    <row r="55" ht="15.75" customHeight="1">
      <c r="E55" s="30"/>
    </row>
    <row r="56" ht="15.75" customHeight="1">
      <c r="E56" s="30"/>
    </row>
    <row r="57" ht="15.75" customHeight="1">
      <c r="E57" s="30"/>
    </row>
    <row r="58" ht="15.75" customHeight="1">
      <c r="E58" s="30"/>
    </row>
    <row r="59" ht="15.75" customHeight="1">
      <c r="E59" s="30"/>
    </row>
    <row r="60" ht="15.75" customHeight="1">
      <c r="E60" s="30"/>
    </row>
    <row r="61" ht="15.75" customHeight="1">
      <c r="E61" s="30"/>
    </row>
    <row r="62" ht="15.75" customHeight="1">
      <c r="E62" s="30"/>
    </row>
    <row r="63" ht="15.75" customHeight="1">
      <c r="E63" s="30"/>
    </row>
    <row r="64" ht="15.75" customHeight="1">
      <c r="E64" s="30"/>
    </row>
    <row r="65" ht="15.75" customHeight="1">
      <c r="E65" s="30"/>
    </row>
    <row r="66" ht="15.75" customHeight="1">
      <c r="E66" s="30"/>
    </row>
    <row r="67" ht="15.75" customHeight="1">
      <c r="E67" s="30"/>
    </row>
    <row r="68" ht="15.75" customHeight="1">
      <c r="E68" s="30"/>
    </row>
    <row r="69" ht="15.75" customHeight="1">
      <c r="E69" s="30"/>
    </row>
    <row r="70" ht="15.75" customHeight="1">
      <c r="E70" s="30"/>
    </row>
    <row r="71" ht="15.75" customHeight="1">
      <c r="E71" s="30"/>
    </row>
    <row r="72" ht="15.75" customHeight="1">
      <c r="E72" s="30"/>
    </row>
    <row r="73" ht="15.75" customHeight="1">
      <c r="E73" s="30"/>
    </row>
    <row r="74" ht="15.75" customHeight="1">
      <c r="E74" s="30"/>
    </row>
    <row r="75" ht="15.75" customHeight="1">
      <c r="E75" s="30"/>
    </row>
    <row r="76" ht="15.75" customHeight="1">
      <c r="E76" s="30"/>
    </row>
    <row r="77" ht="15.75" customHeight="1">
      <c r="E77" s="30"/>
    </row>
    <row r="78" ht="15.75" customHeight="1">
      <c r="E78" s="30"/>
    </row>
    <row r="79" ht="15.75" customHeight="1">
      <c r="E79" s="30"/>
    </row>
    <row r="80" ht="15.75" customHeight="1">
      <c r="E80" s="30"/>
    </row>
    <row r="81" ht="15.75" customHeight="1">
      <c r="E81" s="30"/>
    </row>
    <row r="82" ht="15.75" customHeight="1">
      <c r="E82" s="30"/>
    </row>
    <row r="83" ht="15.75" customHeight="1">
      <c r="E83" s="30"/>
    </row>
    <row r="84" ht="15.75" customHeight="1">
      <c r="E84" s="30"/>
    </row>
    <row r="85" ht="15.75" customHeight="1">
      <c r="E85" s="30"/>
    </row>
    <row r="86" ht="15.75" customHeight="1">
      <c r="E86" s="30"/>
    </row>
    <row r="87" ht="15.75" customHeight="1">
      <c r="E87" s="30"/>
    </row>
    <row r="88" ht="15.75" customHeight="1">
      <c r="E88" s="30"/>
    </row>
    <row r="89" ht="15.75" customHeight="1">
      <c r="E89" s="30"/>
    </row>
    <row r="90" ht="15.75" customHeight="1">
      <c r="E90" s="30"/>
    </row>
    <row r="91" ht="15.75" customHeight="1">
      <c r="E91" s="30"/>
    </row>
    <row r="92" ht="15.75" customHeight="1">
      <c r="E92" s="30"/>
    </row>
    <row r="93" ht="15.75" customHeight="1">
      <c r="E93" s="30"/>
    </row>
    <row r="94" ht="15.75" customHeight="1">
      <c r="E94" s="30"/>
    </row>
    <row r="95" ht="15.75" customHeight="1">
      <c r="E95" s="30"/>
    </row>
    <row r="96" ht="15.75" customHeight="1">
      <c r="E96" s="30"/>
    </row>
    <row r="97" ht="15.75" customHeight="1">
      <c r="E97" s="30"/>
    </row>
    <row r="98" ht="15.75" customHeight="1">
      <c r="E98" s="30"/>
    </row>
    <row r="99" ht="15.75" customHeight="1">
      <c r="E99" s="30"/>
    </row>
    <row r="100" ht="15.75" customHeight="1">
      <c r="E100" s="30"/>
    </row>
    <row r="101" ht="15.75" customHeight="1">
      <c r="E101" s="30"/>
    </row>
    <row r="102" ht="15.75" customHeight="1">
      <c r="E102" s="30"/>
    </row>
    <row r="103" ht="15.75" customHeight="1">
      <c r="E103" s="30"/>
    </row>
    <row r="104" ht="15.75" customHeight="1">
      <c r="E104" s="30"/>
    </row>
    <row r="105" ht="15.75" customHeight="1">
      <c r="E105" s="30"/>
    </row>
    <row r="106" ht="15.75" customHeight="1">
      <c r="E106" s="30"/>
    </row>
    <row r="107" ht="15.75" customHeight="1">
      <c r="E107" s="30"/>
    </row>
    <row r="108" ht="15.75" customHeight="1">
      <c r="E108" s="30"/>
    </row>
    <row r="109" ht="15.75" customHeight="1">
      <c r="E109" s="30"/>
    </row>
    <row r="110" ht="15.75" customHeight="1">
      <c r="E110" s="30"/>
    </row>
    <row r="111" ht="15.75" customHeight="1">
      <c r="E111" s="30"/>
    </row>
    <row r="112" ht="15.75" customHeight="1">
      <c r="E112" s="30"/>
    </row>
    <row r="113" ht="15.75" customHeight="1">
      <c r="E113" s="30"/>
    </row>
    <row r="114" ht="15.75" customHeight="1">
      <c r="E114" s="30"/>
    </row>
    <row r="115" ht="15.75" customHeight="1">
      <c r="E115" s="30"/>
    </row>
    <row r="116" ht="15.75" customHeight="1">
      <c r="E116" s="30"/>
    </row>
    <row r="117" ht="15.75" customHeight="1">
      <c r="E117" s="30"/>
    </row>
    <row r="118" ht="15.75" customHeight="1">
      <c r="E118" s="30"/>
    </row>
    <row r="119" ht="15.75" customHeight="1">
      <c r="E119" s="30"/>
    </row>
    <row r="120" ht="15.75" customHeight="1">
      <c r="E120" s="30"/>
    </row>
    <row r="121" ht="15.75" customHeight="1">
      <c r="E121" s="30"/>
    </row>
    <row r="122" ht="15.75" customHeight="1">
      <c r="E122" s="30"/>
    </row>
    <row r="123" ht="15.75" customHeight="1">
      <c r="E123" s="30"/>
    </row>
    <row r="124" ht="15.75" customHeight="1">
      <c r="E124" s="30"/>
    </row>
    <row r="125" ht="15.75" customHeight="1">
      <c r="E125" s="30"/>
    </row>
    <row r="126" ht="15.75" customHeight="1">
      <c r="E126" s="30"/>
    </row>
    <row r="127" ht="15.75" customHeight="1">
      <c r="E127" s="30"/>
    </row>
    <row r="128" ht="15.75" customHeight="1">
      <c r="E128" s="30"/>
    </row>
    <row r="129" ht="15.75" customHeight="1">
      <c r="E129" s="30"/>
    </row>
    <row r="130" ht="15.75" customHeight="1">
      <c r="E130" s="30"/>
    </row>
    <row r="131" ht="15.75" customHeight="1">
      <c r="E131" s="30"/>
    </row>
    <row r="132" ht="15.75" customHeight="1">
      <c r="E132" s="30"/>
    </row>
    <row r="133" ht="15.75" customHeight="1">
      <c r="E133" s="30"/>
    </row>
    <row r="134" ht="15.75" customHeight="1">
      <c r="E134" s="30"/>
    </row>
    <row r="135" ht="15.75" customHeight="1">
      <c r="E135" s="30"/>
    </row>
    <row r="136" ht="15.75" customHeight="1">
      <c r="E136" s="30"/>
    </row>
    <row r="137" ht="15.75" customHeight="1">
      <c r="E137" s="30"/>
    </row>
    <row r="138" ht="15.75" customHeight="1">
      <c r="E138" s="30"/>
    </row>
    <row r="139" ht="15.75" customHeight="1">
      <c r="E139" s="30"/>
    </row>
    <row r="140" ht="15.75" customHeight="1">
      <c r="E140" s="30"/>
    </row>
    <row r="141" ht="15.75" customHeight="1">
      <c r="E141" s="30"/>
    </row>
    <row r="142" ht="15.75" customHeight="1">
      <c r="E142" s="30"/>
    </row>
    <row r="143" ht="15.75" customHeight="1">
      <c r="E143" s="30"/>
    </row>
    <row r="144" ht="15.75" customHeight="1">
      <c r="E144" s="30"/>
    </row>
    <row r="145" ht="15.75" customHeight="1">
      <c r="E145" s="30"/>
    </row>
    <row r="146" ht="15.75" customHeight="1">
      <c r="E146" s="30"/>
    </row>
    <row r="147" ht="15.75" customHeight="1">
      <c r="E147" s="30"/>
    </row>
    <row r="148" ht="15.75" customHeight="1">
      <c r="E148" s="30"/>
    </row>
    <row r="149" ht="15.75" customHeight="1">
      <c r="E149" s="30"/>
    </row>
    <row r="150" ht="15.75" customHeight="1">
      <c r="E150" s="30"/>
    </row>
    <row r="151" ht="15.75" customHeight="1">
      <c r="E151" s="30"/>
    </row>
    <row r="152" ht="15.75" customHeight="1">
      <c r="E152" s="30"/>
    </row>
    <row r="153" ht="15.75" customHeight="1">
      <c r="E153" s="30"/>
    </row>
    <row r="154" ht="15.75" customHeight="1">
      <c r="E154" s="30"/>
    </row>
    <row r="155" ht="15.75" customHeight="1">
      <c r="E155" s="30"/>
    </row>
    <row r="156" ht="15.75" customHeight="1">
      <c r="E156" s="30"/>
    </row>
    <row r="157" ht="15.75" customHeight="1">
      <c r="E157" s="30"/>
    </row>
    <row r="158" ht="15.75" customHeight="1">
      <c r="E158" s="30"/>
    </row>
    <row r="159" ht="15.75" customHeight="1">
      <c r="E159" s="30"/>
    </row>
    <row r="160" ht="15.75" customHeight="1">
      <c r="E160" s="30"/>
    </row>
    <row r="161" ht="15.75" customHeight="1">
      <c r="E161" s="30"/>
    </row>
    <row r="162" ht="15.75" customHeight="1">
      <c r="E162" s="30"/>
    </row>
    <row r="163" ht="15.75" customHeight="1">
      <c r="E163" s="30"/>
    </row>
    <row r="164" ht="15.75" customHeight="1">
      <c r="E164" s="30"/>
    </row>
    <row r="165" ht="15.75" customHeight="1">
      <c r="E165" s="30"/>
    </row>
    <row r="166" ht="15.75" customHeight="1">
      <c r="E166" s="30"/>
    </row>
    <row r="167" ht="15.75" customHeight="1">
      <c r="E167" s="30"/>
    </row>
    <row r="168" ht="15.75" customHeight="1">
      <c r="E168" s="30"/>
    </row>
    <row r="169" ht="15.75" customHeight="1">
      <c r="E169" s="30"/>
    </row>
    <row r="170" ht="15.75" customHeight="1">
      <c r="E170" s="30"/>
    </row>
    <row r="171" ht="15.75" customHeight="1">
      <c r="E171" s="30"/>
    </row>
    <row r="172" ht="15.75" customHeight="1">
      <c r="E172" s="30"/>
    </row>
    <row r="173" ht="15.75" customHeight="1">
      <c r="E173" s="30"/>
    </row>
    <row r="174" ht="15.75" customHeight="1">
      <c r="E174" s="30"/>
    </row>
    <row r="175" ht="15.75" customHeight="1">
      <c r="E175" s="30"/>
    </row>
    <row r="176" ht="15.75" customHeight="1">
      <c r="E176" s="30"/>
    </row>
    <row r="177" ht="15.75" customHeight="1">
      <c r="E177" s="30"/>
    </row>
    <row r="178" ht="15.75" customHeight="1">
      <c r="E178" s="30"/>
    </row>
    <row r="179" ht="15.75" customHeight="1">
      <c r="E179" s="30"/>
    </row>
    <row r="180" ht="15.75" customHeight="1">
      <c r="E180" s="30"/>
    </row>
    <row r="181" ht="15.75" customHeight="1">
      <c r="E181" s="30"/>
    </row>
    <row r="182" ht="15.75" customHeight="1">
      <c r="E182" s="30"/>
    </row>
    <row r="183" ht="15.75" customHeight="1">
      <c r="E183" s="30"/>
    </row>
    <row r="184" ht="15.75" customHeight="1">
      <c r="E184" s="30"/>
    </row>
    <row r="185" ht="15.75" customHeight="1">
      <c r="E185" s="30"/>
    </row>
    <row r="186" ht="15.75" customHeight="1">
      <c r="E186" s="30"/>
    </row>
    <row r="187" ht="15.75" customHeight="1">
      <c r="E187" s="30"/>
    </row>
    <row r="188" ht="15.75" customHeight="1">
      <c r="E188" s="30"/>
    </row>
    <row r="189" ht="15.75" customHeight="1">
      <c r="E189" s="30"/>
    </row>
    <row r="190" ht="15.75" customHeight="1">
      <c r="E190" s="30"/>
    </row>
    <row r="191" ht="15.75" customHeight="1">
      <c r="E191" s="30"/>
    </row>
    <row r="192" ht="15.75" customHeight="1">
      <c r="E192" s="30"/>
    </row>
    <row r="193" ht="15.75" customHeight="1">
      <c r="E193" s="30"/>
    </row>
    <row r="194" ht="15.75" customHeight="1">
      <c r="E194" s="30"/>
    </row>
    <row r="195" ht="15.75" customHeight="1">
      <c r="E195" s="30"/>
    </row>
    <row r="196" ht="15.75" customHeight="1">
      <c r="E196" s="30"/>
    </row>
    <row r="197" ht="15.75" customHeight="1">
      <c r="E197" s="30"/>
    </row>
    <row r="198" ht="15.75" customHeight="1">
      <c r="E198" s="30"/>
    </row>
    <row r="199" ht="15.75" customHeight="1">
      <c r="E199" s="30"/>
    </row>
    <row r="200" ht="15.75" customHeight="1">
      <c r="E200" s="30"/>
    </row>
    <row r="201" ht="15.75" customHeight="1">
      <c r="E201" s="30"/>
    </row>
    <row r="202" ht="15.75" customHeight="1">
      <c r="E202" s="30"/>
    </row>
    <row r="203" ht="15.75" customHeight="1">
      <c r="E203" s="30"/>
    </row>
    <row r="204" ht="15.75" customHeight="1">
      <c r="E204" s="30"/>
    </row>
    <row r="205" ht="15.75" customHeight="1">
      <c r="E205" s="30"/>
    </row>
    <row r="206" ht="15.75" customHeight="1">
      <c r="E206" s="30"/>
    </row>
    <row r="207" ht="15.75" customHeight="1">
      <c r="E207" s="30"/>
    </row>
    <row r="208" ht="15.75" customHeight="1">
      <c r="E208" s="30"/>
    </row>
    <row r="209" ht="15.75" customHeight="1">
      <c r="E209" s="30"/>
    </row>
    <row r="210" ht="15.75" customHeight="1">
      <c r="E210" s="30"/>
    </row>
    <row r="211" ht="15.75" customHeight="1">
      <c r="E211" s="30"/>
    </row>
    <row r="212" ht="15.75" customHeight="1">
      <c r="E212" s="30"/>
    </row>
    <row r="213" ht="15.75" customHeight="1">
      <c r="E213" s="30"/>
    </row>
    <row r="214" ht="15.75" customHeight="1">
      <c r="E214" s="30"/>
    </row>
    <row r="215" ht="15.75" customHeight="1">
      <c r="E215" s="30"/>
    </row>
    <row r="216" ht="15.75" customHeight="1">
      <c r="E216" s="30"/>
    </row>
    <row r="217" ht="15.75" customHeight="1">
      <c r="E217" s="30"/>
    </row>
    <row r="218" ht="15.75" customHeight="1">
      <c r="E218" s="30"/>
    </row>
    <row r="219" ht="15.75" customHeight="1">
      <c r="E219" s="30"/>
    </row>
    <row r="220" ht="15.75" customHeight="1">
      <c r="E220" s="30"/>
    </row>
    <row r="221" ht="15.75" customHeight="1">
      <c r="E221" s="30"/>
    </row>
    <row r="222" ht="15.75" customHeight="1">
      <c r="E222" s="30"/>
    </row>
    <row r="223" ht="15.75" customHeight="1">
      <c r="E223" s="30"/>
    </row>
    <row r="224" ht="15.75" customHeight="1">
      <c r="E224" s="30"/>
    </row>
    <row r="225" ht="15.75" customHeight="1">
      <c r="E225" s="30"/>
    </row>
    <row r="226" ht="15.75" customHeight="1">
      <c r="E226" s="30"/>
    </row>
    <row r="227" ht="15.75" customHeight="1">
      <c r="E227" s="30"/>
    </row>
    <row r="228" ht="15.75" customHeight="1">
      <c r="E228" s="30"/>
    </row>
    <row r="229" ht="15.75" customHeight="1">
      <c r="E229" s="30"/>
    </row>
    <row r="230" ht="15.75" customHeight="1">
      <c r="E230" s="30"/>
    </row>
    <row r="231" ht="15.75" customHeight="1">
      <c r="E231" s="30"/>
    </row>
    <row r="232" ht="15.75" customHeight="1">
      <c r="E232" s="30"/>
    </row>
    <row r="233" ht="15.75" customHeight="1">
      <c r="E233" s="30"/>
    </row>
    <row r="234" ht="15.75" customHeight="1">
      <c r="E234" s="30"/>
    </row>
    <row r="235" ht="15.75" customHeight="1">
      <c r="E235" s="30"/>
    </row>
    <row r="236" ht="15.75" customHeight="1">
      <c r="E236" s="30"/>
    </row>
    <row r="237" ht="15.75" customHeight="1">
      <c r="E237" s="30"/>
    </row>
    <row r="238" ht="15.75" customHeight="1">
      <c r="E238" s="30"/>
    </row>
    <row r="239" ht="15.75" customHeight="1">
      <c r="E239" s="30"/>
    </row>
    <row r="240" ht="15.75" customHeight="1">
      <c r="E240" s="30"/>
    </row>
    <row r="241" ht="15.75" customHeight="1">
      <c r="E241" s="30"/>
    </row>
    <row r="242" ht="15.75" customHeight="1">
      <c r="E242" s="30"/>
    </row>
    <row r="243" ht="15.75" customHeight="1">
      <c r="E243" s="30"/>
    </row>
    <row r="244" ht="15.75" customHeight="1">
      <c r="E244" s="30"/>
    </row>
    <row r="245" ht="15.75" customHeight="1">
      <c r="E245" s="30"/>
    </row>
    <row r="246" ht="15.75" customHeight="1">
      <c r="E246" s="30"/>
    </row>
    <row r="247" ht="15.75" customHeight="1">
      <c r="E247" s="30"/>
    </row>
    <row r="248" ht="15.75" customHeight="1">
      <c r="E248" s="30"/>
    </row>
    <row r="249" ht="15.75" customHeight="1">
      <c r="E249" s="30"/>
    </row>
    <row r="250" ht="15.75" customHeight="1">
      <c r="E250" s="30"/>
    </row>
    <row r="251" ht="15.75" customHeight="1">
      <c r="E251" s="30"/>
    </row>
    <row r="252" ht="15.75" customHeight="1">
      <c r="E252" s="30"/>
    </row>
    <row r="253" ht="15.75" customHeight="1">
      <c r="E253" s="30"/>
    </row>
    <row r="254" ht="15.75" customHeight="1">
      <c r="E254" s="30"/>
    </row>
    <row r="255" ht="15.75" customHeight="1">
      <c r="E255" s="30"/>
    </row>
    <row r="256" ht="15.75" customHeight="1">
      <c r="E256" s="30"/>
    </row>
    <row r="257" ht="15.75" customHeight="1">
      <c r="E257" s="30"/>
    </row>
    <row r="258" ht="15.75" customHeight="1">
      <c r="E258" s="30"/>
    </row>
    <row r="259" ht="15.75" customHeight="1">
      <c r="E259" s="30"/>
    </row>
    <row r="260" ht="15.75" customHeight="1">
      <c r="E260" s="30"/>
    </row>
    <row r="261" ht="15.75" customHeight="1">
      <c r="E261" s="30"/>
    </row>
    <row r="262" ht="15.75" customHeight="1">
      <c r="E262" s="30"/>
    </row>
    <row r="263" ht="15.75" customHeight="1">
      <c r="E263" s="30"/>
    </row>
    <row r="264" ht="15.75" customHeight="1">
      <c r="E264" s="30"/>
    </row>
    <row r="265" ht="15.75" customHeight="1">
      <c r="E265" s="30"/>
    </row>
    <row r="266" ht="15.75" customHeight="1">
      <c r="E266" s="30"/>
    </row>
    <row r="267" ht="15.75" customHeight="1">
      <c r="E267" s="30"/>
    </row>
    <row r="268" ht="15.75" customHeight="1">
      <c r="E268" s="30"/>
    </row>
    <row r="269" ht="15.75" customHeight="1">
      <c r="E269" s="30"/>
    </row>
    <row r="270" ht="15.75" customHeight="1">
      <c r="E270" s="30"/>
    </row>
    <row r="271" ht="15.75" customHeight="1">
      <c r="E271" s="30"/>
    </row>
    <row r="272" ht="15.75" customHeight="1">
      <c r="E272" s="30"/>
    </row>
    <row r="273" ht="15.75" customHeight="1">
      <c r="E273" s="30"/>
    </row>
    <row r="274" ht="15.75" customHeight="1">
      <c r="E274" s="30"/>
    </row>
    <row r="275" ht="15.75" customHeight="1">
      <c r="E275" s="30"/>
    </row>
    <row r="276" ht="15.75" customHeight="1">
      <c r="E276" s="30"/>
    </row>
    <row r="277" ht="15.75" customHeight="1">
      <c r="E277" s="30"/>
    </row>
    <row r="278" ht="15.75" customHeight="1">
      <c r="E278" s="30"/>
    </row>
    <row r="279" ht="15.75" customHeight="1">
      <c r="E279" s="30"/>
    </row>
    <row r="280" ht="15.75" customHeight="1">
      <c r="E280" s="30"/>
    </row>
    <row r="281" ht="15.75" customHeight="1">
      <c r="E281" s="30"/>
    </row>
    <row r="282" ht="15.75" customHeight="1">
      <c r="E282" s="30"/>
    </row>
    <row r="283" ht="15.75" customHeight="1">
      <c r="E283" s="30"/>
    </row>
    <row r="284" ht="15.75" customHeight="1">
      <c r="E284" s="30"/>
    </row>
    <row r="285" ht="15.75" customHeight="1">
      <c r="E285" s="30"/>
    </row>
    <row r="286" ht="15.75" customHeight="1">
      <c r="E286" s="30"/>
    </row>
    <row r="287" ht="15.75" customHeight="1">
      <c r="E287" s="30"/>
    </row>
    <row r="288" ht="15.75" customHeight="1">
      <c r="E288" s="30"/>
    </row>
    <row r="289" ht="15.75" customHeight="1">
      <c r="E289" s="30"/>
    </row>
    <row r="290" ht="15.75" customHeight="1">
      <c r="E290" s="30"/>
    </row>
    <row r="291" ht="15.75" customHeight="1">
      <c r="E291" s="30"/>
    </row>
    <row r="292" ht="15.75" customHeight="1">
      <c r="E292" s="30"/>
    </row>
    <row r="293" ht="15.75" customHeight="1">
      <c r="E293" s="30"/>
    </row>
    <row r="294" ht="15.75" customHeight="1">
      <c r="E294" s="30"/>
    </row>
    <row r="295" ht="15.75" customHeight="1">
      <c r="E295" s="30"/>
    </row>
    <row r="296" ht="15.75" customHeight="1">
      <c r="E296" s="30"/>
    </row>
    <row r="297" ht="15.75" customHeight="1">
      <c r="E297" s="30"/>
    </row>
    <row r="298" ht="15.75" customHeight="1">
      <c r="E298" s="30"/>
    </row>
    <row r="299" ht="15.75" customHeight="1">
      <c r="E299" s="30"/>
    </row>
    <row r="300" ht="15.75" customHeight="1">
      <c r="E300" s="30"/>
    </row>
    <row r="301" ht="15.75" customHeight="1">
      <c r="E301" s="30"/>
    </row>
    <row r="302" ht="15.75" customHeight="1">
      <c r="E302" s="30"/>
    </row>
    <row r="303" ht="15.75" customHeight="1">
      <c r="E303" s="30"/>
    </row>
    <row r="304" ht="15.75" customHeight="1">
      <c r="E304" s="30"/>
    </row>
    <row r="305" ht="15.75" customHeight="1">
      <c r="E305" s="30"/>
    </row>
    <row r="306" ht="15.75" customHeight="1">
      <c r="E306" s="30"/>
    </row>
    <row r="307" ht="15.75" customHeight="1">
      <c r="E307" s="30"/>
    </row>
    <row r="308" ht="15.75" customHeight="1">
      <c r="E308" s="30"/>
    </row>
    <row r="309" ht="15.75" customHeight="1">
      <c r="E309" s="30"/>
    </row>
    <row r="310" ht="15.75" customHeight="1">
      <c r="E310" s="30"/>
    </row>
    <row r="311" ht="15.75" customHeight="1">
      <c r="E311" s="30"/>
    </row>
    <row r="312" ht="15.75" customHeight="1">
      <c r="E312" s="30"/>
    </row>
    <row r="313" ht="15.75" customHeight="1">
      <c r="E313" s="30"/>
    </row>
    <row r="314" ht="15.75" customHeight="1">
      <c r="E314" s="30"/>
    </row>
    <row r="315" ht="15.75" customHeight="1">
      <c r="E315" s="30"/>
    </row>
    <row r="316" ht="15.75" customHeight="1">
      <c r="E316" s="30"/>
    </row>
    <row r="317" ht="15.75" customHeight="1">
      <c r="E317" s="30"/>
    </row>
    <row r="318" ht="15.75" customHeight="1">
      <c r="E318" s="30"/>
    </row>
    <row r="319" ht="15.75" customHeight="1">
      <c r="E319" s="30"/>
    </row>
    <row r="320" ht="15.75" customHeight="1">
      <c r="E320" s="30"/>
    </row>
    <row r="321" ht="15.75" customHeight="1">
      <c r="E321" s="30"/>
    </row>
    <row r="322" ht="15.75" customHeight="1">
      <c r="E322" s="30"/>
    </row>
    <row r="323" ht="15.75" customHeight="1">
      <c r="E323" s="30"/>
    </row>
    <row r="324" ht="15.75" customHeight="1">
      <c r="E324" s="30"/>
    </row>
    <row r="325" ht="15.75" customHeight="1">
      <c r="E325" s="30"/>
    </row>
    <row r="326" ht="15.75" customHeight="1">
      <c r="E326" s="30"/>
    </row>
    <row r="327" ht="15.75" customHeight="1">
      <c r="E327" s="30"/>
    </row>
    <row r="328" ht="15.75" customHeight="1">
      <c r="E328" s="30"/>
    </row>
    <row r="329" ht="15.75" customHeight="1">
      <c r="E329" s="30"/>
    </row>
    <row r="330" ht="15.75" customHeight="1">
      <c r="E330" s="30"/>
    </row>
    <row r="331" ht="15.75" customHeight="1">
      <c r="E331" s="30"/>
    </row>
    <row r="332" ht="15.75" customHeight="1">
      <c r="E332" s="30"/>
    </row>
    <row r="333" ht="15.75" customHeight="1">
      <c r="E333" s="30"/>
    </row>
    <row r="334" ht="15.75" customHeight="1">
      <c r="E334" s="30"/>
    </row>
    <row r="335" ht="15.75" customHeight="1">
      <c r="E335" s="30"/>
    </row>
    <row r="336" ht="15.75" customHeight="1">
      <c r="E336" s="30"/>
    </row>
    <row r="337" ht="15.75" customHeight="1">
      <c r="E337" s="30"/>
    </row>
    <row r="338" ht="15.75" customHeight="1">
      <c r="E338" s="30"/>
    </row>
    <row r="339" ht="15.75" customHeight="1">
      <c r="E339" s="30"/>
    </row>
    <row r="340" ht="15.75" customHeight="1">
      <c r="E340" s="30"/>
    </row>
    <row r="341" ht="15.75" customHeight="1">
      <c r="E341" s="30"/>
    </row>
    <row r="342" ht="15.75" customHeight="1">
      <c r="E342" s="30"/>
    </row>
    <row r="343" ht="15.75" customHeight="1">
      <c r="E343" s="30"/>
    </row>
    <row r="344" ht="15.75" customHeight="1">
      <c r="E344" s="30"/>
    </row>
    <row r="345" ht="15.75" customHeight="1">
      <c r="E345" s="30"/>
    </row>
    <row r="346" ht="15.75" customHeight="1">
      <c r="E346" s="30"/>
    </row>
    <row r="347" ht="15.75" customHeight="1">
      <c r="E347" s="30"/>
    </row>
    <row r="348" ht="15.75" customHeight="1">
      <c r="E348" s="30"/>
    </row>
    <row r="349" ht="15.75" customHeight="1">
      <c r="E349" s="30"/>
    </row>
    <row r="350" ht="15.75" customHeight="1">
      <c r="E350" s="30"/>
    </row>
    <row r="351" ht="15.75" customHeight="1">
      <c r="E351" s="30"/>
    </row>
    <row r="352" ht="15.75" customHeight="1">
      <c r="E352" s="30"/>
    </row>
    <row r="353" ht="15.75" customHeight="1">
      <c r="E353" s="30"/>
    </row>
    <row r="354" ht="15.75" customHeight="1">
      <c r="E354" s="30"/>
    </row>
    <row r="355" ht="15.75" customHeight="1">
      <c r="E355" s="30"/>
    </row>
    <row r="356" ht="15.75" customHeight="1">
      <c r="E356" s="30"/>
    </row>
    <row r="357" ht="15.75" customHeight="1">
      <c r="E357" s="30"/>
    </row>
    <row r="358" ht="15.75" customHeight="1">
      <c r="E358" s="30"/>
    </row>
    <row r="359" ht="15.75" customHeight="1">
      <c r="E359" s="30"/>
    </row>
    <row r="360" ht="15.75" customHeight="1">
      <c r="E360" s="30"/>
    </row>
    <row r="361" ht="15.75" customHeight="1">
      <c r="E361" s="30"/>
    </row>
    <row r="362" ht="15.75" customHeight="1">
      <c r="E362" s="30"/>
    </row>
    <row r="363" ht="15.75" customHeight="1">
      <c r="E363" s="30"/>
    </row>
    <row r="364" ht="15.75" customHeight="1">
      <c r="E364" s="30"/>
    </row>
    <row r="365" ht="15.75" customHeight="1">
      <c r="E365" s="30"/>
    </row>
    <row r="366" ht="15.75" customHeight="1">
      <c r="E366" s="30"/>
    </row>
    <row r="367" ht="15.75" customHeight="1">
      <c r="E367" s="30"/>
    </row>
    <row r="368" ht="15.75" customHeight="1">
      <c r="E368" s="30"/>
    </row>
    <row r="369" ht="15.75" customHeight="1">
      <c r="E369" s="30"/>
    </row>
    <row r="370" ht="15.75" customHeight="1">
      <c r="E370" s="30"/>
    </row>
    <row r="371" ht="15.75" customHeight="1">
      <c r="E371" s="30"/>
    </row>
    <row r="372" ht="15.75" customHeight="1">
      <c r="E372" s="30"/>
    </row>
    <row r="373" ht="15.75" customHeight="1">
      <c r="E373" s="30"/>
    </row>
    <row r="374" ht="15.75" customHeight="1">
      <c r="E374" s="30"/>
    </row>
    <row r="375" ht="15.75" customHeight="1">
      <c r="E375" s="30"/>
    </row>
    <row r="376" ht="15.75" customHeight="1">
      <c r="E376" s="30"/>
    </row>
    <row r="377" ht="15.75" customHeight="1">
      <c r="E377" s="30"/>
    </row>
    <row r="378" ht="15.75" customHeight="1">
      <c r="E378" s="30"/>
    </row>
    <row r="379" ht="15.75" customHeight="1">
      <c r="E379" s="30"/>
    </row>
    <row r="380" ht="15.75" customHeight="1">
      <c r="E380" s="30"/>
    </row>
    <row r="381" ht="15.75" customHeight="1">
      <c r="E381" s="30"/>
    </row>
    <row r="382" ht="15.75" customHeight="1">
      <c r="E382" s="30"/>
    </row>
    <row r="383" ht="15.75" customHeight="1">
      <c r="E383" s="30"/>
    </row>
    <row r="384" ht="15.75" customHeight="1">
      <c r="E384" s="30"/>
    </row>
    <row r="385" ht="15.75" customHeight="1">
      <c r="E385" s="30"/>
    </row>
    <row r="386" ht="15.75" customHeight="1">
      <c r="E386" s="30"/>
    </row>
    <row r="387" ht="15.75" customHeight="1">
      <c r="E387" s="30"/>
    </row>
    <row r="388" ht="15.75" customHeight="1">
      <c r="E388" s="30"/>
    </row>
    <row r="389" ht="15.75" customHeight="1">
      <c r="E389" s="30"/>
    </row>
    <row r="390" ht="15.75" customHeight="1">
      <c r="E390" s="30"/>
    </row>
    <row r="391" ht="15.75" customHeight="1">
      <c r="E391" s="30"/>
    </row>
    <row r="392" ht="15.75" customHeight="1">
      <c r="E392" s="30"/>
    </row>
    <row r="393" ht="15.75" customHeight="1">
      <c r="E393" s="30"/>
    </row>
    <row r="394" ht="15.75" customHeight="1">
      <c r="E394" s="30"/>
    </row>
    <row r="395" ht="15.75" customHeight="1">
      <c r="E395" s="30"/>
    </row>
    <row r="396" ht="15.75" customHeight="1">
      <c r="E396" s="30"/>
    </row>
    <row r="397" ht="15.75" customHeight="1">
      <c r="E397" s="30"/>
    </row>
    <row r="398" ht="15.75" customHeight="1">
      <c r="E398" s="30"/>
    </row>
    <row r="399" ht="15.75" customHeight="1">
      <c r="E399" s="30"/>
    </row>
    <row r="400" ht="15.75" customHeight="1">
      <c r="E400" s="30"/>
    </row>
    <row r="401" ht="15.75" customHeight="1">
      <c r="E401" s="30"/>
    </row>
    <row r="402" ht="15.75" customHeight="1">
      <c r="E402" s="30"/>
    </row>
    <row r="403" ht="15.75" customHeight="1">
      <c r="E403" s="30"/>
    </row>
    <row r="404" ht="15.75" customHeight="1">
      <c r="E404" s="30"/>
    </row>
    <row r="405" ht="15.75" customHeight="1">
      <c r="E405" s="30"/>
    </row>
    <row r="406" ht="15.75" customHeight="1">
      <c r="E406" s="30"/>
    </row>
    <row r="407" ht="15.75" customHeight="1">
      <c r="E407" s="30"/>
    </row>
    <row r="408" ht="15.75" customHeight="1">
      <c r="E408" s="30"/>
    </row>
    <row r="409" ht="15.75" customHeight="1">
      <c r="E409" s="30"/>
    </row>
    <row r="410" ht="15.75" customHeight="1">
      <c r="E410" s="30"/>
    </row>
    <row r="411" ht="15.75" customHeight="1">
      <c r="E411" s="30"/>
    </row>
    <row r="412" ht="15.75" customHeight="1">
      <c r="E412" s="30"/>
    </row>
    <row r="413" ht="15.75" customHeight="1">
      <c r="E413" s="30"/>
    </row>
    <row r="414" ht="15.75" customHeight="1">
      <c r="E414" s="30"/>
    </row>
    <row r="415" ht="15.75" customHeight="1">
      <c r="E415" s="30"/>
    </row>
    <row r="416" ht="15.75" customHeight="1">
      <c r="E416" s="30"/>
    </row>
    <row r="417" ht="15.75" customHeight="1">
      <c r="E417" s="30"/>
    </row>
    <row r="418" ht="15.75" customHeight="1">
      <c r="E418" s="30"/>
    </row>
    <row r="419" ht="15.75" customHeight="1">
      <c r="E419" s="30"/>
    </row>
    <row r="420" ht="15.75" customHeight="1">
      <c r="E420" s="30"/>
    </row>
    <row r="421" ht="15.75" customHeight="1">
      <c r="E421" s="30"/>
    </row>
    <row r="422" ht="15.75" customHeight="1">
      <c r="E422" s="30"/>
    </row>
    <row r="423" ht="15.75" customHeight="1">
      <c r="E423" s="30"/>
    </row>
    <row r="424" ht="15.75" customHeight="1">
      <c r="E424" s="30"/>
    </row>
    <row r="425" ht="15.75" customHeight="1">
      <c r="E425" s="30"/>
    </row>
    <row r="426" ht="15.75" customHeight="1">
      <c r="E426" s="30"/>
    </row>
    <row r="427" ht="15.75" customHeight="1">
      <c r="E427" s="30"/>
    </row>
    <row r="428" ht="15.75" customHeight="1">
      <c r="E428" s="30"/>
    </row>
    <row r="429" ht="15.75" customHeight="1">
      <c r="E429" s="30"/>
    </row>
    <row r="430" ht="15.75" customHeight="1">
      <c r="E430" s="30"/>
    </row>
    <row r="431" ht="15.75" customHeight="1">
      <c r="E431" s="30"/>
    </row>
    <row r="432" ht="15.75" customHeight="1">
      <c r="E432" s="30"/>
    </row>
    <row r="433" ht="15.75" customHeight="1">
      <c r="E433" s="30"/>
    </row>
    <row r="434" ht="15.75" customHeight="1">
      <c r="E434" s="30"/>
    </row>
    <row r="435" ht="15.75" customHeight="1">
      <c r="E435" s="30"/>
    </row>
    <row r="436" ht="15.75" customHeight="1">
      <c r="E436" s="30"/>
    </row>
    <row r="437" ht="15.75" customHeight="1">
      <c r="E437" s="30"/>
    </row>
    <row r="438" ht="15.75" customHeight="1">
      <c r="E438" s="30"/>
    </row>
    <row r="439" ht="15.75" customHeight="1">
      <c r="E439" s="30"/>
    </row>
    <row r="440" ht="15.75" customHeight="1">
      <c r="E440" s="30"/>
    </row>
    <row r="441" ht="15.75" customHeight="1">
      <c r="E441" s="30"/>
    </row>
    <row r="442" ht="15.75" customHeight="1">
      <c r="E442" s="30"/>
    </row>
    <row r="443" ht="15.75" customHeight="1">
      <c r="E443" s="30"/>
    </row>
    <row r="444" ht="15.75" customHeight="1">
      <c r="E444" s="30"/>
    </row>
    <row r="445" ht="15.75" customHeight="1">
      <c r="E445" s="30"/>
    </row>
    <row r="446" ht="15.75" customHeight="1">
      <c r="E446" s="30"/>
    </row>
    <row r="447" ht="15.75" customHeight="1">
      <c r="E447" s="30"/>
    </row>
    <row r="448" ht="15.75" customHeight="1">
      <c r="E448" s="30"/>
    </row>
    <row r="449" ht="15.75" customHeight="1">
      <c r="E449" s="30"/>
    </row>
    <row r="450" ht="15.75" customHeight="1">
      <c r="E450" s="30"/>
    </row>
    <row r="451" ht="15.75" customHeight="1">
      <c r="E451" s="30"/>
    </row>
    <row r="452" ht="15.75" customHeight="1">
      <c r="E452" s="30"/>
    </row>
    <row r="453" ht="15.75" customHeight="1">
      <c r="E453" s="30"/>
    </row>
    <row r="454" ht="15.75" customHeight="1">
      <c r="E454" s="30"/>
    </row>
    <row r="455" ht="15.75" customHeight="1">
      <c r="E455" s="30"/>
    </row>
    <row r="456" ht="15.75" customHeight="1">
      <c r="E456" s="30"/>
    </row>
    <row r="457" ht="15.75" customHeight="1">
      <c r="E457" s="30"/>
    </row>
    <row r="458" ht="15.75" customHeight="1">
      <c r="E458" s="30"/>
    </row>
    <row r="459" ht="15.75" customHeight="1">
      <c r="E459" s="30"/>
    </row>
    <row r="460" ht="15.75" customHeight="1">
      <c r="E460" s="30"/>
    </row>
    <row r="461" ht="15.75" customHeight="1">
      <c r="E461" s="30"/>
    </row>
    <row r="462" ht="15.75" customHeight="1">
      <c r="E462" s="30"/>
    </row>
    <row r="463" ht="15.75" customHeight="1">
      <c r="E463" s="30"/>
    </row>
    <row r="464" ht="15.75" customHeight="1">
      <c r="E464" s="30"/>
    </row>
    <row r="465" ht="15.75" customHeight="1">
      <c r="E465" s="30"/>
    </row>
    <row r="466" ht="15.75" customHeight="1">
      <c r="E466" s="30"/>
    </row>
    <row r="467" ht="15.75" customHeight="1">
      <c r="E467" s="30"/>
    </row>
    <row r="468" ht="15.75" customHeight="1">
      <c r="E468" s="30"/>
    </row>
    <row r="469" ht="15.75" customHeight="1">
      <c r="E469" s="30"/>
    </row>
    <row r="470" ht="15.75" customHeight="1">
      <c r="E470" s="30"/>
    </row>
    <row r="471" ht="15.75" customHeight="1">
      <c r="E471" s="30"/>
    </row>
    <row r="472" ht="15.75" customHeight="1">
      <c r="E472" s="30"/>
    </row>
    <row r="473" ht="15.75" customHeight="1">
      <c r="E473" s="30"/>
    </row>
    <row r="474" ht="15.75" customHeight="1">
      <c r="E474" s="30"/>
    </row>
    <row r="475" ht="15.75" customHeight="1">
      <c r="E475" s="30"/>
    </row>
    <row r="476" ht="15.75" customHeight="1">
      <c r="E476" s="30"/>
    </row>
    <row r="477" ht="15.75" customHeight="1">
      <c r="E477" s="30"/>
    </row>
    <row r="478" ht="15.75" customHeight="1">
      <c r="E478" s="30"/>
    </row>
    <row r="479" ht="15.75" customHeight="1">
      <c r="E479" s="30"/>
    </row>
    <row r="480" ht="15.75" customHeight="1">
      <c r="E480" s="30"/>
    </row>
    <row r="481" ht="15.75" customHeight="1">
      <c r="E481" s="30"/>
    </row>
    <row r="482" ht="15.75" customHeight="1">
      <c r="E482" s="30"/>
    </row>
    <row r="483" ht="15.75" customHeight="1">
      <c r="E483" s="30"/>
    </row>
    <row r="484" ht="15.75" customHeight="1">
      <c r="E484" s="30"/>
    </row>
    <row r="485" ht="15.75" customHeight="1">
      <c r="E485" s="30"/>
    </row>
    <row r="486" ht="15.75" customHeight="1">
      <c r="E486" s="30"/>
    </row>
    <row r="487" ht="15.75" customHeight="1">
      <c r="E487" s="30"/>
    </row>
    <row r="488" ht="15.75" customHeight="1">
      <c r="E488" s="30"/>
    </row>
    <row r="489" ht="15.75" customHeight="1">
      <c r="E489" s="30"/>
    </row>
    <row r="490" ht="15.75" customHeight="1">
      <c r="E490" s="30"/>
    </row>
    <row r="491" ht="15.75" customHeight="1">
      <c r="E491" s="30"/>
    </row>
    <row r="492" ht="15.75" customHeight="1">
      <c r="E492" s="30"/>
    </row>
    <row r="493" ht="15.75" customHeight="1">
      <c r="E493" s="30"/>
    </row>
    <row r="494" ht="15.75" customHeight="1">
      <c r="E494" s="30"/>
    </row>
    <row r="495" ht="15.75" customHeight="1">
      <c r="E495" s="30"/>
    </row>
    <row r="496" ht="15.75" customHeight="1">
      <c r="E496" s="30"/>
    </row>
    <row r="497" ht="15.75" customHeight="1">
      <c r="E497" s="30"/>
    </row>
    <row r="498" ht="15.75" customHeight="1">
      <c r="E498" s="30"/>
    </row>
    <row r="499" ht="15.75" customHeight="1">
      <c r="E499" s="30"/>
    </row>
    <row r="500" ht="15.75" customHeight="1">
      <c r="E500" s="30"/>
    </row>
    <row r="501" ht="15.75" customHeight="1">
      <c r="E501" s="30"/>
    </row>
    <row r="502" ht="15.75" customHeight="1">
      <c r="E502" s="30"/>
    </row>
    <row r="503" ht="15.75" customHeight="1">
      <c r="E503" s="30"/>
    </row>
    <row r="504" ht="15.75" customHeight="1">
      <c r="E504" s="30"/>
    </row>
    <row r="505" ht="15.75" customHeight="1">
      <c r="E505" s="30"/>
    </row>
    <row r="506" ht="15.75" customHeight="1">
      <c r="E506" s="30"/>
    </row>
    <row r="507" ht="15.75" customHeight="1">
      <c r="E507" s="30"/>
    </row>
    <row r="508" ht="15.75" customHeight="1">
      <c r="E508" s="30"/>
    </row>
    <row r="509" ht="15.75" customHeight="1">
      <c r="E509" s="30"/>
    </row>
    <row r="510" ht="15.75" customHeight="1">
      <c r="E510" s="30"/>
    </row>
    <row r="511" ht="15.75" customHeight="1">
      <c r="E511" s="30"/>
    </row>
    <row r="512" ht="15.75" customHeight="1">
      <c r="E512" s="30"/>
    </row>
    <row r="513" ht="15.75" customHeight="1">
      <c r="E513" s="30"/>
    </row>
    <row r="514" ht="15.75" customHeight="1">
      <c r="E514" s="30"/>
    </row>
    <row r="515" ht="15.75" customHeight="1">
      <c r="E515" s="30"/>
    </row>
    <row r="516" ht="15.75" customHeight="1">
      <c r="E516" s="30"/>
    </row>
    <row r="517" ht="15.75" customHeight="1">
      <c r="E517" s="30"/>
    </row>
    <row r="518" ht="15.75" customHeight="1">
      <c r="E518" s="30"/>
    </row>
    <row r="519" ht="15.75" customHeight="1">
      <c r="E519" s="30"/>
    </row>
    <row r="520" ht="15.75" customHeight="1">
      <c r="E520" s="30"/>
    </row>
    <row r="521" ht="15.75" customHeight="1">
      <c r="E521" s="30"/>
    </row>
    <row r="522" ht="15.75" customHeight="1">
      <c r="E522" s="30"/>
    </row>
    <row r="523" ht="15.75" customHeight="1">
      <c r="E523" s="30"/>
    </row>
    <row r="524" ht="15.75" customHeight="1">
      <c r="E524" s="30"/>
    </row>
    <row r="525" ht="15.75" customHeight="1">
      <c r="E525" s="30"/>
    </row>
    <row r="526" ht="15.75" customHeight="1">
      <c r="E526" s="30"/>
    </row>
    <row r="527" ht="15.75" customHeight="1">
      <c r="E527" s="30"/>
    </row>
    <row r="528" ht="15.75" customHeight="1">
      <c r="E528" s="30"/>
    </row>
    <row r="529" ht="15.75" customHeight="1">
      <c r="E529" s="30"/>
    </row>
    <row r="530" ht="15.75" customHeight="1">
      <c r="E530" s="30"/>
    </row>
    <row r="531" ht="15.75" customHeight="1">
      <c r="E531" s="30"/>
    </row>
    <row r="532" ht="15.75" customHeight="1">
      <c r="E532" s="30"/>
    </row>
    <row r="533" ht="15.75" customHeight="1">
      <c r="E533" s="30"/>
    </row>
    <row r="534" ht="15.75" customHeight="1">
      <c r="E534" s="30"/>
    </row>
    <row r="535" ht="15.75" customHeight="1">
      <c r="E535" s="30"/>
    </row>
    <row r="536" ht="15.75" customHeight="1">
      <c r="E536" s="30"/>
    </row>
    <row r="537" ht="15.75" customHeight="1">
      <c r="E537" s="30"/>
    </row>
    <row r="538" ht="15.75" customHeight="1">
      <c r="E538" s="30"/>
    </row>
    <row r="539" ht="15.75" customHeight="1">
      <c r="E539" s="30"/>
    </row>
    <row r="540" ht="15.75" customHeight="1">
      <c r="E540" s="30"/>
    </row>
    <row r="541" ht="15.75" customHeight="1">
      <c r="E541" s="30"/>
    </row>
    <row r="542" ht="15.75" customHeight="1">
      <c r="E542" s="30"/>
    </row>
    <row r="543" ht="15.75" customHeight="1">
      <c r="E543" s="30"/>
    </row>
    <row r="544" ht="15.75" customHeight="1">
      <c r="E544" s="30"/>
    </row>
    <row r="545" ht="15.75" customHeight="1">
      <c r="E545" s="30"/>
    </row>
    <row r="546" ht="15.75" customHeight="1">
      <c r="E546" s="30"/>
    </row>
    <row r="547" ht="15.75" customHeight="1">
      <c r="E547" s="30"/>
    </row>
    <row r="548" ht="15.75" customHeight="1">
      <c r="E548" s="30"/>
    </row>
    <row r="549" ht="15.75" customHeight="1">
      <c r="E549" s="30"/>
    </row>
    <row r="550" ht="15.75" customHeight="1">
      <c r="E550" s="30"/>
    </row>
    <row r="551" ht="15.75" customHeight="1">
      <c r="E551" s="30"/>
    </row>
    <row r="552" ht="15.75" customHeight="1">
      <c r="E552" s="30"/>
    </row>
    <row r="553" ht="15.75" customHeight="1">
      <c r="E553" s="30"/>
    </row>
    <row r="554" ht="15.75" customHeight="1">
      <c r="E554" s="30"/>
    </row>
    <row r="555" ht="15.75" customHeight="1">
      <c r="E555" s="30"/>
    </row>
    <row r="556" ht="15.75" customHeight="1">
      <c r="E556" s="30"/>
    </row>
    <row r="557" ht="15.75" customHeight="1">
      <c r="E557" s="30"/>
    </row>
    <row r="558" ht="15.75" customHeight="1">
      <c r="E558" s="30"/>
    </row>
    <row r="559" ht="15.75" customHeight="1">
      <c r="E559" s="30"/>
    </row>
    <row r="560" ht="15.75" customHeight="1">
      <c r="E560" s="30"/>
    </row>
    <row r="561" ht="15.75" customHeight="1">
      <c r="E561" s="30"/>
    </row>
    <row r="562" ht="15.75" customHeight="1">
      <c r="E562" s="30"/>
    </row>
    <row r="563" ht="15.75" customHeight="1">
      <c r="E563" s="30"/>
    </row>
    <row r="564" ht="15.75" customHeight="1">
      <c r="E564" s="30"/>
    </row>
    <row r="565" ht="15.75" customHeight="1">
      <c r="E565" s="30"/>
    </row>
    <row r="566" ht="15.75" customHeight="1">
      <c r="E566" s="30"/>
    </row>
    <row r="567" ht="15.75" customHeight="1">
      <c r="E567" s="30"/>
    </row>
    <row r="568" ht="15.75" customHeight="1">
      <c r="E568" s="30"/>
    </row>
    <row r="569" ht="15.75" customHeight="1">
      <c r="E569" s="30"/>
    </row>
    <row r="570" ht="15.75" customHeight="1">
      <c r="E570" s="30"/>
    </row>
    <row r="571" ht="15.75" customHeight="1">
      <c r="E571" s="30"/>
    </row>
    <row r="572" ht="15.75" customHeight="1">
      <c r="E572" s="30"/>
    </row>
    <row r="573" ht="15.75" customHeight="1">
      <c r="E573" s="30"/>
    </row>
    <row r="574" ht="15.75" customHeight="1">
      <c r="E574" s="30"/>
    </row>
    <row r="575" ht="15.75" customHeight="1">
      <c r="E575" s="30"/>
    </row>
    <row r="576" ht="15.75" customHeight="1">
      <c r="E576" s="30"/>
    </row>
    <row r="577" ht="15.75" customHeight="1">
      <c r="E577" s="30"/>
    </row>
    <row r="578" ht="15.75" customHeight="1">
      <c r="E578" s="30"/>
    </row>
    <row r="579" ht="15.75" customHeight="1">
      <c r="E579" s="30"/>
    </row>
    <row r="580" ht="15.75" customHeight="1">
      <c r="E580" s="30"/>
    </row>
    <row r="581" ht="15.75" customHeight="1">
      <c r="E581" s="30"/>
    </row>
    <row r="582" ht="15.75" customHeight="1">
      <c r="E582" s="30"/>
    </row>
    <row r="583" ht="15.75" customHeight="1">
      <c r="E583" s="30"/>
    </row>
    <row r="584" ht="15.75" customHeight="1">
      <c r="E584" s="30"/>
    </row>
    <row r="585" ht="15.75" customHeight="1">
      <c r="E585" s="30"/>
    </row>
    <row r="586" ht="15.75" customHeight="1">
      <c r="E586" s="30"/>
    </row>
    <row r="587" ht="15.75" customHeight="1">
      <c r="E587" s="30"/>
    </row>
    <row r="588" ht="15.75" customHeight="1">
      <c r="E588" s="30"/>
    </row>
    <row r="589" ht="15.75" customHeight="1">
      <c r="E589" s="30"/>
    </row>
    <row r="590" ht="15.75" customHeight="1">
      <c r="E590" s="30"/>
    </row>
    <row r="591" ht="15.75" customHeight="1">
      <c r="E591" s="30"/>
    </row>
    <row r="592" ht="15.75" customHeight="1">
      <c r="E592" s="30"/>
    </row>
    <row r="593" ht="15.75" customHeight="1">
      <c r="E593" s="30"/>
    </row>
    <row r="594" ht="15.75" customHeight="1">
      <c r="E594" s="30"/>
    </row>
    <row r="595" ht="15.75" customHeight="1">
      <c r="E595" s="30"/>
    </row>
    <row r="596" ht="15.75" customHeight="1">
      <c r="E596" s="30"/>
    </row>
    <row r="597" ht="15.75" customHeight="1">
      <c r="E597" s="30"/>
    </row>
    <row r="598" ht="15.75" customHeight="1">
      <c r="E598" s="30"/>
    </row>
    <row r="599" ht="15.75" customHeight="1">
      <c r="E599" s="30"/>
    </row>
    <row r="600" ht="15.75" customHeight="1">
      <c r="E600" s="30"/>
    </row>
    <row r="601" ht="15.75" customHeight="1">
      <c r="E601" s="30"/>
    </row>
    <row r="602" ht="15.75" customHeight="1">
      <c r="E602" s="30"/>
    </row>
    <row r="603" ht="15.75" customHeight="1">
      <c r="E603" s="30"/>
    </row>
    <row r="604" ht="15.75" customHeight="1">
      <c r="E604" s="30"/>
    </row>
    <row r="605" ht="15.75" customHeight="1">
      <c r="E605" s="30"/>
    </row>
    <row r="606" ht="15.75" customHeight="1">
      <c r="E606" s="30"/>
    </row>
    <row r="607" ht="15.75" customHeight="1">
      <c r="E607" s="30"/>
    </row>
    <row r="608" ht="15.75" customHeight="1">
      <c r="E608" s="30"/>
    </row>
    <row r="609" ht="15.75" customHeight="1">
      <c r="E609" s="30"/>
    </row>
    <row r="610" ht="15.75" customHeight="1">
      <c r="E610" s="30"/>
    </row>
    <row r="611" ht="15.75" customHeight="1">
      <c r="E611" s="30"/>
    </row>
    <row r="612" ht="15.75" customHeight="1">
      <c r="E612" s="30"/>
    </row>
    <row r="613" ht="15.75" customHeight="1">
      <c r="E613" s="30"/>
    </row>
    <row r="614" ht="15.75" customHeight="1">
      <c r="E614" s="30"/>
    </row>
    <row r="615" ht="15.75" customHeight="1">
      <c r="E615" s="30"/>
    </row>
    <row r="616" ht="15.75" customHeight="1">
      <c r="E616" s="30"/>
    </row>
    <row r="617" ht="15.75" customHeight="1">
      <c r="E617" s="30"/>
    </row>
    <row r="618" ht="15.75" customHeight="1">
      <c r="E618" s="30"/>
    </row>
    <row r="619" ht="15.75" customHeight="1">
      <c r="E619" s="30"/>
    </row>
    <row r="620" ht="15.75" customHeight="1">
      <c r="E620" s="30"/>
    </row>
    <row r="621" ht="15.75" customHeight="1">
      <c r="E621" s="30"/>
    </row>
    <row r="622" ht="15.75" customHeight="1">
      <c r="E622" s="30"/>
    </row>
    <row r="623" ht="15.75" customHeight="1">
      <c r="E623" s="30"/>
    </row>
    <row r="624" ht="15.75" customHeight="1">
      <c r="E624" s="30"/>
    </row>
    <row r="625" ht="15.75" customHeight="1">
      <c r="E625" s="30"/>
    </row>
    <row r="626" ht="15.75" customHeight="1">
      <c r="E626" s="30"/>
    </row>
    <row r="627" ht="15.75" customHeight="1">
      <c r="E627" s="30"/>
    </row>
    <row r="628" ht="15.75" customHeight="1">
      <c r="E628" s="30"/>
    </row>
    <row r="629" ht="15.75" customHeight="1">
      <c r="E629" s="30"/>
    </row>
    <row r="630" ht="15.75" customHeight="1">
      <c r="E630" s="30"/>
    </row>
    <row r="631" ht="15.75" customHeight="1">
      <c r="E631" s="30"/>
    </row>
    <row r="632" ht="15.75" customHeight="1">
      <c r="E632" s="30"/>
    </row>
    <row r="633" ht="15.75" customHeight="1">
      <c r="E633" s="30"/>
    </row>
    <row r="634" ht="15.75" customHeight="1">
      <c r="E634" s="30"/>
    </row>
    <row r="635" ht="15.75" customHeight="1">
      <c r="E635" s="30"/>
    </row>
    <row r="636" ht="15.75" customHeight="1">
      <c r="E636" s="30"/>
    </row>
    <row r="637" ht="15.75" customHeight="1">
      <c r="E637" s="30"/>
    </row>
    <row r="638" ht="15.75" customHeight="1">
      <c r="E638" s="30"/>
    </row>
    <row r="639" ht="15.75" customHeight="1">
      <c r="E639" s="30"/>
    </row>
    <row r="640" ht="15.75" customHeight="1">
      <c r="E640" s="30"/>
    </row>
    <row r="641" ht="15.75" customHeight="1">
      <c r="E641" s="30"/>
    </row>
    <row r="642" ht="15.75" customHeight="1">
      <c r="E642" s="30"/>
    </row>
    <row r="643" ht="15.75" customHeight="1">
      <c r="E643" s="30"/>
    </row>
    <row r="644" ht="15.75" customHeight="1">
      <c r="E644" s="30"/>
    </row>
    <row r="645" ht="15.75" customHeight="1">
      <c r="E645" s="30"/>
    </row>
    <row r="646" ht="15.75" customHeight="1">
      <c r="E646" s="30"/>
    </row>
    <row r="647" ht="15.75" customHeight="1">
      <c r="E647" s="30"/>
    </row>
    <row r="648" ht="15.75" customHeight="1">
      <c r="E648" s="30"/>
    </row>
    <row r="649" ht="15.75" customHeight="1">
      <c r="E649" s="30"/>
    </row>
    <row r="650" ht="15.75" customHeight="1">
      <c r="E650" s="30"/>
    </row>
    <row r="651" ht="15.75" customHeight="1">
      <c r="E651" s="30"/>
    </row>
    <row r="652" ht="15.75" customHeight="1">
      <c r="E652" s="30"/>
    </row>
    <row r="653" ht="15.75" customHeight="1">
      <c r="E653" s="30"/>
    </row>
    <row r="654" ht="15.75" customHeight="1">
      <c r="E654" s="30"/>
    </row>
    <row r="655" ht="15.75" customHeight="1">
      <c r="E655" s="30"/>
    </row>
    <row r="656" ht="15.75" customHeight="1">
      <c r="E656" s="30"/>
    </row>
    <row r="657" ht="15.75" customHeight="1">
      <c r="E657" s="30"/>
    </row>
    <row r="658" ht="15.75" customHeight="1">
      <c r="E658" s="30"/>
    </row>
    <row r="659" ht="15.75" customHeight="1">
      <c r="E659" s="30"/>
    </row>
    <row r="660" ht="15.75" customHeight="1">
      <c r="E660" s="30"/>
    </row>
    <row r="661" ht="15.75" customHeight="1">
      <c r="E661" s="30"/>
    </row>
    <row r="662" ht="15.75" customHeight="1">
      <c r="E662" s="30"/>
    </row>
    <row r="663" ht="15.75" customHeight="1">
      <c r="E663" s="30"/>
    </row>
    <row r="664" ht="15.75" customHeight="1">
      <c r="E664" s="30"/>
    </row>
    <row r="665" ht="15.75" customHeight="1">
      <c r="E665" s="30"/>
    </row>
    <row r="666" ht="15.75" customHeight="1">
      <c r="E666" s="30"/>
    </row>
    <row r="667" ht="15.75" customHeight="1">
      <c r="E667" s="30"/>
    </row>
    <row r="668" ht="15.75" customHeight="1">
      <c r="E668" s="30"/>
    </row>
    <row r="669" ht="15.75" customHeight="1">
      <c r="E669" s="30"/>
    </row>
    <row r="670" ht="15.75" customHeight="1">
      <c r="E670" s="30"/>
    </row>
    <row r="671" ht="15.75" customHeight="1">
      <c r="E671" s="30"/>
    </row>
    <row r="672" ht="15.75" customHeight="1">
      <c r="E672" s="30"/>
    </row>
    <row r="673" ht="15.75" customHeight="1">
      <c r="E673" s="30"/>
    </row>
    <row r="674" ht="15.75" customHeight="1">
      <c r="E674" s="30"/>
    </row>
    <row r="675" ht="15.75" customHeight="1">
      <c r="E675" s="30"/>
    </row>
    <row r="676" ht="15.75" customHeight="1">
      <c r="E676" s="30"/>
    </row>
    <row r="677" ht="15.75" customHeight="1">
      <c r="E677" s="30"/>
    </row>
    <row r="678" ht="15.75" customHeight="1">
      <c r="E678" s="30"/>
    </row>
    <row r="679" ht="15.75" customHeight="1">
      <c r="E679" s="30"/>
    </row>
    <row r="680" ht="15.75" customHeight="1">
      <c r="E680" s="30"/>
    </row>
    <row r="681" ht="15.75" customHeight="1">
      <c r="E681" s="30"/>
    </row>
    <row r="682" ht="15.75" customHeight="1">
      <c r="E682" s="30"/>
    </row>
    <row r="683" ht="15.75" customHeight="1">
      <c r="E683" s="30"/>
    </row>
    <row r="684" ht="15.75" customHeight="1">
      <c r="E684" s="30"/>
    </row>
    <row r="685" ht="15.75" customHeight="1">
      <c r="E685" s="30"/>
    </row>
    <row r="686" ht="15.75" customHeight="1">
      <c r="E686" s="30"/>
    </row>
    <row r="687" ht="15.75" customHeight="1">
      <c r="E687" s="30"/>
    </row>
    <row r="688" ht="15.75" customHeight="1">
      <c r="E688" s="30"/>
    </row>
    <row r="689" ht="15.75" customHeight="1">
      <c r="E689" s="30"/>
    </row>
    <row r="690" ht="15.75" customHeight="1">
      <c r="E690" s="30"/>
    </row>
    <row r="691" ht="15.75" customHeight="1">
      <c r="E691" s="30"/>
    </row>
    <row r="692" ht="15.75" customHeight="1">
      <c r="E692" s="30"/>
    </row>
    <row r="693" ht="15.75" customHeight="1">
      <c r="E693" s="30"/>
    </row>
    <row r="694" ht="15.75" customHeight="1">
      <c r="E694" s="30"/>
    </row>
    <row r="695" ht="15.75" customHeight="1">
      <c r="E695" s="30"/>
    </row>
    <row r="696" ht="15.75" customHeight="1">
      <c r="E696" s="30"/>
    </row>
    <row r="697" ht="15.75" customHeight="1">
      <c r="E697" s="30"/>
    </row>
    <row r="698" ht="15.75" customHeight="1">
      <c r="E698" s="30"/>
    </row>
    <row r="699" ht="15.75" customHeight="1">
      <c r="E699" s="30"/>
    </row>
    <row r="700" ht="15.75" customHeight="1">
      <c r="E700" s="30"/>
    </row>
    <row r="701" ht="15.75" customHeight="1">
      <c r="E701" s="30"/>
    </row>
    <row r="702" ht="15.75" customHeight="1">
      <c r="E702" s="30"/>
    </row>
    <row r="703" ht="15.75" customHeight="1">
      <c r="E703" s="30"/>
    </row>
    <row r="704" ht="15.75" customHeight="1">
      <c r="E704" s="30"/>
    </row>
    <row r="705" ht="15.75" customHeight="1">
      <c r="E705" s="30"/>
    </row>
    <row r="706" ht="15.75" customHeight="1">
      <c r="E706" s="30"/>
    </row>
    <row r="707" ht="15.75" customHeight="1">
      <c r="E707" s="30"/>
    </row>
    <row r="708" ht="15.75" customHeight="1">
      <c r="E708" s="30"/>
    </row>
    <row r="709" ht="15.75" customHeight="1">
      <c r="E709" s="30"/>
    </row>
    <row r="710" ht="15.75" customHeight="1">
      <c r="E710" s="30"/>
    </row>
    <row r="711" ht="15.75" customHeight="1">
      <c r="E711" s="30"/>
    </row>
    <row r="712" ht="15.75" customHeight="1">
      <c r="E712" s="30"/>
    </row>
    <row r="713" ht="15.75" customHeight="1">
      <c r="E713" s="30"/>
    </row>
    <row r="714" ht="15.75" customHeight="1">
      <c r="E714" s="30"/>
    </row>
    <row r="715" ht="15.75" customHeight="1">
      <c r="E715" s="30"/>
    </row>
    <row r="716" ht="15.75" customHeight="1">
      <c r="E716" s="30"/>
    </row>
    <row r="717" ht="15.75" customHeight="1">
      <c r="E717" s="30"/>
    </row>
    <row r="718" ht="15.75" customHeight="1">
      <c r="E718" s="30"/>
    </row>
    <row r="719" ht="15.75" customHeight="1">
      <c r="E719" s="30"/>
    </row>
    <row r="720" ht="15.75" customHeight="1">
      <c r="E720" s="30"/>
    </row>
    <row r="721" ht="15.75" customHeight="1">
      <c r="E721" s="30"/>
    </row>
    <row r="722" ht="15.75" customHeight="1">
      <c r="E722" s="30"/>
    </row>
    <row r="723" ht="15.75" customHeight="1">
      <c r="E723" s="30"/>
    </row>
    <row r="724" ht="15.75" customHeight="1">
      <c r="E724" s="30"/>
    </row>
    <row r="725" ht="15.75" customHeight="1">
      <c r="E725" s="30"/>
    </row>
    <row r="726" ht="15.75" customHeight="1">
      <c r="E726" s="30"/>
    </row>
    <row r="727" ht="15.75" customHeight="1">
      <c r="E727" s="30"/>
    </row>
    <row r="728" ht="15.75" customHeight="1">
      <c r="E728" s="30"/>
    </row>
    <row r="729" ht="15.75" customHeight="1">
      <c r="E729" s="30"/>
    </row>
    <row r="730" ht="15.75" customHeight="1">
      <c r="E730" s="30"/>
    </row>
    <row r="731" ht="15.75" customHeight="1">
      <c r="E731" s="30"/>
    </row>
    <row r="732" ht="15.75" customHeight="1">
      <c r="E732" s="30"/>
    </row>
    <row r="733" ht="15.75" customHeight="1">
      <c r="E733" s="30"/>
    </row>
    <row r="734" ht="15.75" customHeight="1">
      <c r="E734" s="30"/>
    </row>
    <row r="735" ht="15.75" customHeight="1">
      <c r="E735" s="30"/>
    </row>
    <row r="736" ht="15.75" customHeight="1">
      <c r="E736" s="30"/>
    </row>
    <row r="737" ht="15.75" customHeight="1">
      <c r="E737" s="30"/>
    </row>
    <row r="738" ht="15.75" customHeight="1">
      <c r="E738" s="30"/>
    </row>
    <row r="739" ht="15.75" customHeight="1">
      <c r="E739" s="30"/>
    </row>
    <row r="740" ht="15.75" customHeight="1">
      <c r="E740" s="30"/>
    </row>
    <row r="741" ht="15.75" customHeight="1">
      <c r="E741" s="30"/>
    </row>
    <row r="742" ht="15.75" customHeight="1">
      <c r="E742" s="30"/>
    </row>
    <row r="743" ht="15.75" customHeight="1">
      <c r="E743" s="30"/>
    </row>
    <row r="744" ht="15.75" customHeight="1">
      <c r="E744" s="30"/>
    </row>
    <row r="745" ht="15.75" customHeight="1">
      <c r="E745" s="30"/>
    </row>
    <row r="746" ht="15.75" customHeight="1">
      <c r="E746" s="30"/>
    </row>
    <row r="747" ht="15.75" customHeight="1">
      <c r="E747" s="30"/>
    </row>
    <row r="748" ht="15.75" customHeight="1">
      <c r="E748" s="30"/>
    </row>
    <row r="749" ht="15.75" customHeight="1">
      <c r="E749" s="30"/>
    </row>
    <row r="750" ht="15.75" customHeight="1">
      <c r="E750" s="30"/>
    </row>
    <row r="751" ht="15.75" customHeight="1">
      <c r="E751" s="30"/>
    </row>
    <row r="752" ht="15.75" customHeight="1">
      <c r="E752" s="30"/>
    </row>
    <row r="753" ht="15.75" customHeight="1">
      <c r="E753" s="30"/>
    </row>
    <row r="754" ht="15.75" customHeight="1">
      <c r="E754" s="30"/>
    </row>
    <row r="755" ht="15.75" customHeight="1">
      <c r="E755" s="30"/>
    </row>
    <row r="756" ht="15.75" customHeight="1">
      <c r="E756" s="30"/>
    </row>
    <row r="757" ht="15.75" customHeight="1">
      <c r="E757" s="30"/>
    </row>
    <row r="758" ht="15.75" customHeight="1">
      <c r="E758" s="30"/>
    </row>
    <row r="759" ht="15.75" customHeight="1">
      <c r="E759" s="30"/>
    </row>
    <row r="760" ht="15.75" customHeight="1">
      <c r="E760" s="30"/>
    </row>
    <row r="761" ht="15.75" customHeight="1">
      <c r="E761" s="30"/>
    </row>
    <row r="762" ht="15.75" customHeight="1">
      <c r="E762" s="30"/>
    </row>
    <row r="763" ht="15.75" customHeight="1">
      <c r="E763" s="30"/>
    </row>
    <row r="764" ht="15.75" customHeight="1">
      <c r="E764" s="30"/>
    </row>
    <row r="765" ht="15.75" customHeight="1">
      <c r="E765" s="30"/>
    </row>
    <row r="766" ht="15.75" customHeight="1">
      <c r="E766" s="30"/>
    </row>
    <row r="767" ht="15.75" customHeight="1">
      <c r="E767" s="30"/>
    </row>
    <row r="768" ht="15.75" customHeight="1">
      <c r="E768" s="30"/>
    </row>
    <row r="769" ht="15.75" customHeight="1">
      <c r="E769" s="30"/>
    </row>
    <row r="770" ht="15.75" customHeight="1">
      <c r="E770" s="30"/>
    </row>
    <row r="771" ht="15.75" customHeight="1">
      <c r="E771" s="30"/>
    </row>
    <row r="772" ht="15.75" customHeight="1">
      <c r="E772" s="30"/>
    </row>
    <row r="773" ht="15.75" customHeight="1">
      <c r="E773" s="30"/>
    </row>
    <row r="774" ht="15.75" customHeight="1">
      <c r="E774" s="30"/>
    </row>
    <row r="775" ht="15.75" customHeight="1">
      <c r="E775" s="30"/>
    </row>
    <row r="776" ht="15.75" customHeight="1">
      <c r="E776" s="30"/>
    </row>
    <row r="777" ht="15.75" customHeight="1">
      <c r="E777" s="30"/>
    </row>
    <row r="778" ht="15.75" customHeight="1">
      <c r="E778" s="30"/>
    </row>
    <row r="779" ht="15.75" customHeight="1">
      <c r="E779" s="30"/>
    </row>
    <row r="780" ht="15.75" customHeight="1">
      <c r="E780" s="30"/>
    </row>
    <row r="781" ht="15.75" customHeight="1">
      <c r="E781" s="30"/>
    </row>
    <row r="782" ht="15.75" customHeight="1">
      <c r="E782" s="30"/>
    </row>
    <row r="783" ht="15.75" customHeight="1">
      <c r="E783" s="30"/>
    </row>
    <row r="784" ht="15.75" customHeight="1">
      <c r="E784" s="30"/>
    </row>
    <row r="785" ht="15.75" customHeight="1">
      <c r="E785" s="30"/>
    </row>
    <row r="786" ht="15.75" customHeight="1">
      <c r="E786" s="30"/>
    </row>
    <row r="787" ht="15.75" customHeight="1">
      <c r="E787" s="30"/>
    </row>
    <row r="788" ht="15.75" customHeight="1">
      <c r="E788" s="30"/>
    </row>
    <row r="789" ht="15.75" customHeight="1">
      <c r="E789" s="30"/>
    </row>
    <row r="790" ht="15.75" customHeight="1">
      <c r="E790" s="30"/>
    </row>
    <row r="791" ht="15.75" customHeight="1">
      <c r="E791" s="30"/>
    </row>
    <row r="792" ht="15.75" customHeight="1">
      <c r="E792" s="30"/>
    </row>
    <row r="793" ht="15.75" customHeight="1">
      <c r="E793" s="30"/>
    </row>
    <row r="794" ht="15.75" customHeight="1">
      <c r="E794" s="30"/>
    </row>
    <row r="795" ht="15.75" customHeight="1">
      <c r="E795" s="30"/>
    </row>
    <row r="796" ht="15.75" customHeight="1">
      <c r="E796" s="30"/>
    </row>
    <row r="797" ht="15.75" customHeight="1">
      <c r="E797" s="30"/>
    </row>
    <row r="798" ht="15.75" customHeight="1">
      <c r="E798" s="30"/>
    </row>
    <row r="799" ht="15.75" customHeight="1">
      <c r="E799" s="30"/>
    </row>
    <row r="800" ht="15.75" customHeight="1">
      <c r="E800" s="30"/>
    </row>
    <row r="801" ht="15.75" customHeight="1">
      <c r="E801" s="30"/>
    </row>
    <row r="802" ht="15.75" customHeight="1">
      <c r="E802" s="30"/>
    </row>
    <row r="803" ht="15.75" customHeight="1">
      <c r="E803" s="30"/>
    </row>
    <row r="804" ht="15.75" customHeight="1">
      <c r="E804" s="30"/>
    </row>
    <row r="805" ht="15.75" customHeight="1">
      <c r="E805" s="30"/>
    </row>
    <row r="806" ht="15.75" customHeight="1">
      <c r="E806" s="30"/>
    </row>
    <row r="807" ht="15.75" customHeight="1">
      <c r="E807" s="30"/>
    </row>
    <row r="808" ht="15.75" customHeight="1">
      <c r="E808" s="30"/>
    </row>
    <row r="809" ht="15.75" customHeight="1">
      <c r="E809" s="30"/>
    </row>
    <row r="810" ht="15.75" customHeight="1">
      <c r="E810" s="30"/>
    </row>
    <row r="811" ht="15.75" customHeight="1">
      <c r="E811" s="30"/>
    </row>
    <row r="812" ht="15.75" customHeight="1">
      <c r="E812" s="30"/>
    </row>
    <row r="813" ht="15.75" customHeight="1">
      <c r="E813" s="30"/>
    </row>
    <row r="814" ht="15.75" customHeight="1">
      <c r="E814" s="30"/>
    </row>
    <row r="815" ht="15.75" customHeight="1">
      <c r="E815" s="30"/>
    </row>
    <row r="816" ht="15.75" customHeight="1">
      <c r="E816" s="30"/>
    </row>
    <row r="817" ht="15.75" customHeight="1">
      <c r="E817" s="30"/>
    </row>
    <row r="818" ht="15.75" customHeight="1">
      <c r="E818" s="30"/>
    </row>
    <row r="819" ht="15.75" customHeight="1">
      <c r="E819" s="30"/>
    </row>
    <row r="820" ht="15.75" customHeight="1">
      <c r="E820" s="30"/>
    </row>
    <row r="821" ht="15.75" customHeight="1">
      <c r="E821" s="30"/>
    </row>
    <row r="822" ht="15.75" customHeight="1">
      <c r="E822" s="30"/>
    </row>
    <row r="823" ht="15.75" customHeight="1">
      <c r="E823" s="30"/>
    </row>
    <row r="824" ht="15.75" customHeight="1">
      <c r="E824" s="30"/>
    </row>
    <row r="825" ht="15.75" customHeight="1">
      <c r="E825" s="30"/>
    </row>
    <row r="826" ht="15.75" customHeight="1">
      <c r="E826" s="30"/>
    </row>
    <row r="827" ht="15.75" customHeight="1">
      <c r="E827" s="30"/>
    </row>
    <row r="828" ht="15.75" customHeight="1">
      <c r="E828" s="30"/>
    </row>
    <row r="829" ht="15.75" customHeight="1">
      <c r="E829" s="30"/>
    </row>
    <row r="830" ht="15.75" customHeight="1">
      <c r="E830" s="30"/>
    </row>
    <row r="831" ht="15.75" customHeight="1">
      <c r="E831" s="30"/>
    </row>
    <row r="832" ht="15.75" customHeight="1">
      <c r="E832" s="30"/>
    </row>
    <row r="833" ht="15.75" customHeight="1">
      <c r="E833" s="30"/>
    </row>
    <row r="834" ht="15.75" customHeight="1">
      <c r="E834" s="30"/>
    </row>
    <row r="835" ht="15.75" customHeight="1">
      <c r="E835" s="30"/>
    </row>
    <row r="836" ht="15.75" customHeight="1">
      <c r="E836" s="30"/>
    </row>
    <row r="837" ht="15.75" customHeight="1">
      <c r="E837" s="30"/>
    </row>
    <row r="838" ht="15.75" customHeight="1">
      <c r="E838" s="30"/>
    </row>
    <row r="839" ht="15.75" customHeight="1">
      <c r="E839" s="30"/>
    </row>
    <row r="840" ht="15.75" customHeight="1">
      <c r="E840" s="30"/>
    </row>
    <row r="841" ht="15.75" customHeight="1">
      <c r="E841" s="30"/>
    </row>
    <row r="842" ht="15.75" customHeight="1">
      <c r="E842" s="30"/>
    </row>
    <row r="843" ht="15.75" customHeight="1">
      <c r="E843" s="30"/>
    </row>
    <row r="844" ht="15.75" customHeight="1">
      <c r="E844" s="30"/>
    </row>
    <row r="845" ht="15.75" customHeight="1">
      <c r="E845" s="30"/>
    </row>
    <row r="846" ht="15.75" customHeight="1">
      <c r="E846" s="30"/>
    </row>
    <row r="847" ht="15.75" customHeight="1">
      <c r="E847" s="30"/>
    </row>
    <row r="848" ht="15.75" customHeight="1">
      <c r="E848" s="30"/>
    </row>
    <row r="849" ht="15.75" customHeight="1">
      <c r="E849" s="30"/>
    </row>
    <row r="850" ht="15.75" customHeight="1">
      <c r="E850" s="30"/>
    </row>
    <row r="851" ht="15.75" customHeight="1">
      <c r="E851" s="30"/>
    </row>
    <row r="852" ht="15.75" customHeight="1">
      <c r="E852" s="30"/>
    </row>
    <row r="853" ht="15.75" customHeight="1">
      <c r="E853" s="30"/>
    </row>
    <row r="854" ht="15.75" customHeight="1">
      <c r="E854" s="30"/>
    </row>
    <row r="855" ht="15.75" customHeight="1">
      <c r="E855" s="30"/>
    </row>
    <row r="856" ht="15.75" customHeight="1">
      <c r="E856" s="30"/>
    </row>
    <row r="857" ht="15.75" customHeight="1">
      <c r="E857" s="30"/>
    </row>
    <row r="858" ht="15.75" customHeight="1">
      <c r="E858" s="30"/>
    </row>
    <row r="859" ht="15.75" customHeight="1">
      <c r="E859" s="30"/>
    </row>
    <row r="860" ht="15.75" customHeight="1">
      <c r="E860" s="30"/>
    </row>
    <row r="861" ht="15.75" customHeight="1">
      <c r="E861" s="30"/>
    </row>
    <row r="862" ht="15.75" customHeight="1">
      <c r="E862" s="30"/>
    </row>
    <row r="863" ht="15.75" customHeight="1">
      <c r="E863" s="30"/>
    </row>
    <row r="864" ht="15.75" customHeight="1">
      <c r="E864" s="30"/>
    </row>
    <row r="865" ht="15.75" customHeight="1">
      <c r="E865" s="30"/>
    </row>
    <row r="866" ht="15.75" customHeight="1">
      <c r="E866" s="30"/>
    </row>
    <row r="867" ht="15.75" customHeight="1">
      <c r="E867" s="30"/>
    </row>
    <row r="868" ht="15.75" customHeight="1">
      <c r="E868" s="30"/>
    </row>
    <row r="869" ht="15.75" customHeight="1">
      <c r="E869" s="30"/>
    </row>
    <row r="870" ht="15.75" customHeight="1">
      <c r="E870" s="30"/>
    </row>
    <row r="871" ht="15.75" customHeight="1">
      <c r="E871" s="30"/>
    </row>
    <row r="872" ht="15.75" customHeight="1">
      <c r="E872" s="30"/>
    </row>
    <row r="873" ht="15.75" customHeight="1">
      <c r="E873" s="30"/>
    </row>
    <row r="874" ht="15.75" customHeight="1">
      <c r="E874" s="30"/>
    </row>
    <row r="875" ht="15.75" customHeight="1">
      <c r="E875" s="30"/>
    </row>
    <row r="876" ht="15.75" customHeight="1">
      <c r="E876" s="30"/>
    </row>
    <row r="877" ht="15.75" customHeight="1">
      <c r="E877" s="30"/>
    </row>
    <row r="878" ht="15.75" customHeight="1">
      <c r="E878" s="30"/>
    </row>
    <row r="879" ht="15.75" customHeight="1">
      <c r="E879" s="30"/>
    </row>
    <row r="880" ht="15.75" customHeight="1">
      <c r="E880" s="30"/>
    </row>
    <row r="881" ht="15.75" customHeight="1">
      <c r="E881" s="30"/>
    </row>
    <row r="882" ht="15.75" customHeight="1">
      <c r="E882" s="30"/>
    </row>
    <row r="883" ht="15.75" customHeight="1">
      <c r="E883" s="30"/>
    </row>
    <row r="884" ht="15.75" customHeight="1">
      <c r="E884" s="30"/>
    </row>
    <row r="885" ht="15.75" customHeight="1">
      <c r="E885" s="30"/>
    </row>
    <row r="886" ht="15.75" customHeight="1">
      <c r="E886" s="30"/>
    </row>
    <row r="887" ht="15.75" customHeight="1">
      <c r="E887" s="30"/>
    </row>
    <row r="888" ht="15.75" customHeight="1">
      <c r="E888" s="30"/>
    </row>
    <row r="889" ht="15.75" customHeight="1">
      <c r="E889" s="30"/>
    </row>
    <row r="890" ht="15.75" customHeight="1">
      <c r="E890" s="30"/>
    </row>
    <row r="891" ht="15.75" customHeight="1">
      <c r="E891" s="30"/>
    </row>
    <row r="892" ht="15.75" customHeight="1">
      <c r="E892" s="30"/>
    </row>
    <row r="893" ht="15.75" customHeight="1">
      <c r="E893" s="30"/>
    </row>
    <row r="894" ht="15.75" customHeight="1">
      <c r="E894" s="30"/>
    </row>
    <row r="895" ht="15.75" customHeight="1">
      <c r="E895" s="30"/>
    </row>
    <row r="896" ht="15.75" customHeight="1">
      <c r="E896" s="30"/>
    </row>
    <row r="897" ht="15.75" customHeight="1">
      <c r="E897" s="30"/>
    </row>
    <row r="898" ht="15.75" customHeight="1">
      <c r="E898" s="30"/>
    </row>
    <row r="899" ht="15.75" customHeight="1">
      <c r="E899" s="30"/>
    </row>
    <row r="900" ht="15.75" customHeight="1">
      <c r="E900" s="30"/>
    </row>
    <row r="901" ht="15.75" customHeight="1">
      <c r="E901" s="30"/>
    </row>
    <row r="902" ht="15.75" customHeight="1">
      <c r="E902" s="30"/>
    </row>
    <row r="903" ht="15.75" customHeight="1">
      <c r="E903" s="30"/>
    </row>
    <row r="904" ht="15.75" customHeight="1">
      <c r="E904" s="30"/>
    </row>
    <row r="905" ht="15.75" customHeight="1">
      <c r="E905" s="30"/>
    </row>
    <row r="906" ht="15.75" customHeight="1">
      <c r="E906" s="30"/>
    </row>
    <row r="907" ht="15.75" customHeight="1">
      <c r="E907" s="30"/>
    </row>
    <row r="908" ht="15.75" customHeight="1">
      <c r="E908" s="30"/>
    </row>
    <row r="909" ht="15.75" customHeight="1">
      <c r="E909" s="30"/>
    </row>
    <row r="910" ht="15.75" customHeight="1">
      <c r="E910" s="30"/>
    </row>
    <row r="911" ht="15.75" customHeight="1">
      <c r="E911" s="30"/>
    </row>
    <row r="912" ht="15.75" customHeight="1">
      <c r="E912" s="30"/>
    </row>
    <row r="913" ht="15.75" customHeight="1">
      <c r="E913" s="30"/>
    </row>
    <row r="914" ht="15.75" customHeight="1">
      <c r="E914" s="30"/>
    </row>
    <row r="915" ht="15.75" customHeight="1">
      <c r="E915" s="30"/>
    </row>
    <row r="916" ht="15.75" customHeight="1">
      <c r="E916" s="30"/>
    </row>
    <row r="917" ht="15.75" customHeight="1">
      <c r="E917" s="30"/>
    </row>
    <row r="918" ht="15.75" customHeight="1">
      <c r="E918" s="30"/>
    </row>
    <row r="919" ht="15.75" customHeight="1">
      <c r="E919" s="30"/>
    </row>
    <row r="920" ht="15.75" customHeight="1">
      <c r="E920" s="30"/>
    </row>
    <row r="921" ht="15.75" customHeight="1">
      <c r="E921" s="30"/>
    </row>
    <row r="922" ht="15.75" customHeight="1">
      <c r="E922" s="30"/>
    </row>
    <row r="923" ht="15.75" customHeight="1">
      <c r="E923" s="30"/>
    </row>
    <row r="924" ht="15.75" customHeight="1">
      <c r="E924" s="30"/>
    </row>
    <row r="925" ht="15.75" customHeight="1">
      <c r="E925" s="30"/>
    </row>
    <row r="926" ht="15.75" customHeight="1">
      <c r="E926" s="30"/>
    </row>
    <row r="927" ht="15.75" customHeight="1">
      <c r="E927" s="30"/>
    </row>
    <row r="928" ht="15.75" customHeight="1">
      <c r="E928" s="30"/>
    </row>
    <row r="929" ht="15.75" customHeight="1">
      <c r="E929" s="30"/>
    </row>
    <row r="930" ht="15.75" customHeight="1">
      <c r="E930" s="30"/>
    </row>
    <row r="931" ht="15.75" customHeight="1">
      <c r="E931" s="30"/>
    </row>
    <row r="932" ht="15.75" customHeight="1">
      <c r="E932" s="30"/>
    </row>
    <row r="933" ht="15.75" customHeight="1">
      <c r="E933" s="30"/>
    </row>
    <row r="934" ht="15.75" customHeight="1">
      <c r="E934" s="30"/>
    </row>
    <row r="935" ht="15.75" customHeight="1">
      <c r="E935" s="30"/>
    </row>
    <row r="936" ht="15.75" customHeight="1">
      <c r="E936" s="30"/>
    </row>
    <row r="937" ht="15.75" customHeight="1">
      <c r="E937" s="30"/>
    </row>
    <row r="938" ht="15.75" customHeight="1">
      <c r="E938" s="30"/>
    </row>
    <row r="939" ht="15.75" customHeight="1">
      <c r="E939" s="30"/>
    </row>
    <row r="940" ht="15.75" customHeight="1">
      <c r="E940" s="30"/>
    </row>
    <row r="941" ht="15.75" customHeight="1">
      <c r="E941" s="30"/>
    </row>
    <row r="942" ht="15.75" customHeight="1">
      <c r="E942" s="30"/>
    </row>
    <row r="943" ht="15.75" customHeight="1">
      <c r="E943" s="30"/>
    </row>
    <row r="944" ht="15.75" customHeight="1">
      <c r="E944" s="30"/>
    </row>
    <row r="945" ht="15.75" customHeight="1">
      <c r="E945" s="30"/>
    </row>
    <row r="946" ht="15.75" customHeight="1">
      <c r="E946" s="30"/>
    </row>
    <row r="947" ht="15.75" customHeight="1">
      <c r="E947" s="30"/>
    </row>
    <row r="948" ht="15.75" customHeight="1">
      <c r="E948" s="30"/>
    </row>
    <row r="949" ht="15.75" customHeight="1">
      <c r="E949" s="30"/>
    </row>
    <row r="950" ht="15.75" customHeight="1">
      <c r="E950" s="30"/>
    </row>
    <row r="951" ht="15.75" customHeight="1">
      <c r="E951" s="30"/>
    </row>
    <row r="952" ht="15.75" customHeight="1">
      <c r="E952" s="30"/>
    </row>
    <row r="953" ht="15.75" customHeight="1">
      <c r="E953" s="30"/>
    </row>
    <row r="954" ht="15.75" customHeight="1">
      <c r="E954" s="30"/>
    </row>
    <row r="955" ht="15.75" customHeight="1">
      <c r="E955" s="30"/>
    </row>
    <row r="956" ht="15.75" customHeight="1">
      <c r="E956" s="30"/>
    </row>
    <row r="957" ht="15.75" customHeight="1">
      <c r="E957" s="30"/>
    </row>
    <row r="958" ht="15.75" customHeight="1">
      <c r="E958" s="30"/>
    </row>
    <row r="959" ht="15.75" customHeight="1">
      <c r="E959" s="30"/>
    </row>
    <row r="960" ht="15.75" customHeight="1">
      <c r="E960" s="30"/>
    </row>
    <row r="961" ht="15.75" customHeight="1">
      <c r="E961" s="30"/>
    </row>
    <row r="962" ht="15.75" customHeight="1">
      <c r="E962" s="30"/>
    </row>
    <row r="963" ht="15.75" customHeight="1">
      <c r="E963" s="30"/>
    </row>
    <row r="964" ht="15.75" customHeight="1">
      <c r="E964" s="30"/>
    </row>
    <row r="965" ht="15.75" customHeight="1">
      <c r="E965" s="30"/>
    </row>
    <row r="966" ht="15.75" customHeight="1">
      <c r="E966" s="30"/>
    </row>
    <row r="967" ht="15.75" customHeight="1">
      <c r="E967" s="30"/>
    </row>
    <row r="968" ht="15.75" customHeight="1">
      <c r="E968" s="30"/>
    </row>
    <row r="969" ht="15.75" customHeight="1">
      <c r="E969" s="30"/>
    </row>
    <row r="970" ht="15.75" customHeight="1">
      <c r="E970" s="30"/>
    </row>
    <row r="971" ht="15.75" customHeight="1">
      <c r="E971" s="30"/>
    </row>
    <row r="972" ht="15.75" customHeight="1">
      <c r="E972" s="30"/>
    </row>
    <row r="973" ht="15.75" customHeight="1">
      <c r="E973" s="30"/>
    </row>
    <row r="974" ht="15.75" customHeight="1">
      <c r="E974" s="30"/>
    </row>
    <row r="975" ht="15.75" customHeight="1">
      <c r="E975" s="30"/>
    </row>
    <row r="976" ht="15.75" customHeight="1">
      <c r="E976" s="30"/>
    </row>
    <row r="977" ht="15.75" customHeight="1">
      <c r="E977" s="30"/>
    </row>
    <row r="978" ht="15.75" customHeight="1">
      <c r="E978" s="30"/>
    </row>
    <row r="979" ht="15.75" customHeight="1">
      <c r="E979" s="30"/>
    </row>
    <row r="980" ht="15.75" customHeight="1">
      <c r="E980" s="30"/>
    </row>
    <row r="981" ht="15.75" customHeight="1">
      <c r="E981" s="30"/>
    </row>
    <row r="982" ht="15.75" customHeight="1">
      <c r="E982" s="30"/>
    </row>
    <row r="983" ht="15.75" customHeight="1">
      <c r="E983" s="30"/>
    </row>
    <row r="984" ht="15.75" customHeight="1">
      <c r="E984" s="30"/>
    </row>
    <row r="985" ht="15.75" customHeight="1">
      <c r="E985" s="30"/>
    </row>
    <row r="986" ht="15.75" customHeight="1">
      <c r="E986" s="30"/>
    </row>
    <row r="987" ht="15.75" customHeight="1">
      <c r="E987" s="30"/>
    </row>
    <row r="988" ht="15.75" customHeight="1">
      <c r="E988" s="30"/>
    </row>
    <row r="989" ht="15.75" customHeight="1">
      <c r="E989" s="30"/>
    </row>
    <row r="990" ht="15.75" customHeight="1">
      <c r="E990" s="30"/>
    </row>
    <row r="991" ht="15.75" customHeight="1">
      <c r="E991" s="30"/>
    </row>
    <row r="992" ht="15.75" customHeight="1">
      <c r="E992" s="30"/>
    </row>
    <row r="993" ht="15.75" customHeight="1">
      <c r="E993" s="30"/>
    </row>
    <row r="994" ht="15.75" customHeight="1">
      <c r="E994" s="30"/>
    </row>
    <row r="995" ht="15.75" customHeight="1">
      <c r="E995" s="30"/>
    </row>
    <row r="996" ht="15.75" customHeight="1">
      <c r="E996" s="30"/>
    </row>
    <row r="997" ht="15.75" customHeight="1">
      <c r="E997" s="30"/>
    </row>
    <row r="998" ht="15.75" customHeight="1">
      <c r="E998" s="30"/>
    </row>
    <row r="999" ht="15.75" customHeight="1">
      <c r="E999" s="30"/>
    </row>
    <row r="1000" ht="15.75" customHeight="1">
      <c r="E1000" s="30"/>
    </row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5" width="8.0"/>
    <col customWidth="1" min="6" max="6" width="12.0"/>
    <col customWidth="1" min="7" max="7" width="18.29"/>
    <col customWidth="1" min="8" max="9" width="8.0"/>
    <col customWidth="1" min="10" max="10" width="12.29"/>
    <col customWidth="1" min="11" max="11" width="8.0"/>
    <col customWidth="1" min="12" max="12" width="13.86"/>
    <col customWidth="1" min="13" max="26" width="8.0"/>
  </cols>
  <sheetData>
    <row r="1" ht="18.75" customHeight="1">
      <c r="A1" s="19" t="s">
        <v>69</v>
      </c>
    </row>
    <row r="2">
      <c r="A2" s="21" t="s">
        <v>70</v>
      </c>
    </row>
    <row r="4">
      <c r="A4" s="32" t="s">
        <v>71</v>
      </c>
      <c r="B4" s="33" t="s">
        <v>72</v>
      </c>
      <c r="C4" s="33" t="s">
        <v>73</v>
      </c>
      <c r="D4" s="33" t="s">
        <v>74</v>
      </c>
      <c r="E4" s="33" t="s">
        <v>75</v>
      </c>
      <c r="F4" s="33" t="s">
        <v>76</v>
      </c>
      <c r="G4" s="34" t="s">
        <v>45</v>
      </c>
    </row>
    <row r="5">
      <c r="A5" s="6" t="s">
        <v>77</v>
      </c>
      <c r="B5" s="8">
        <v>25.0</v>
      </c>
      <c r="C5" s="8">
        <v>25.0</v>
      </c>
      <c r="D5" s="7">
        <v>20.0</v>
      </c>
      <c r="E5" s="9">
        <f t="shared" ref="E5:E13" si="1">SUM(B5:D5)</f>
        <v>70</v>
      </c>
      <c r="F5" s="9">
        <f t="shared" ref="F5:F13" si="2">AVERAGE(B5:D5)</f>
        <v>23.33333333</v>
      </c>
      <c r="G5" s="10" t="str">
        <f>IF(F5&gt;20,"a",IF(F5&gt;15,"b","c'))"))</f>
        <v>a</v>
      </c>
    </row>
    <row r="6">
      <c r="A6" s="6" t="s">
        <v>78</v>
      </c>
      <c r="B6" s="7">
        <v>30.0</v>
      </c>
      <c r="C6" s="7">
        <v>12.0</v>
      </c>
      <c r="D6" s="7">
        <v>15.0</v>
      </c>
      <c r="E6" s="9">
        <f t="shared" si="1"/>
        <v>57</v>
      </c>
      <c r="F6" s="9">
        <f t="shared" si="2"/>
        <v>19</v>
      </c>
      <c r="G6" s="10"/>
    </row>
    <row r="7">
      <c r="A7" s="6" t="s">
        <v>79</v>
      </c>
      <c r="B7" s="7">
        <v>15.0</v>
      </c>
      <c r="C7" s="7">
        <v>14.0</v>
      </c>
      <c r="D7" s="7">
        <v>14.0</v>
      </c>
      <c r="E7" s="9">
        <f t="shared" si="1"/>
        <v>43</v>
      </c>
      <c r="F7" s="9">
        <f t="shared" si="2"/>
        <v>14.33333333</v>
      </c>
      <c r="G7" s="10"/>
    </row>
    <row r="8">
      <c r="A8" s="6" t="s">
        <v>80</v>
      </c>
      <c r="B8" s="7">
        <v>12.0</v>
      </c>
      <c r="C8" s="7">
        <v>17.0</v>
      </c>
      <c r="D8" s="7">
        <v>17.0</v>
      </c>
      <c r="E8" s="9">
        <f t="shared" si="1"/>
        <v>46</v>
      </c>
      <c r="F8" s="9">
        <f t="shared" si="2"/>
        <v>15.33333333</v>
      </c>
      <c r="G8" s="10"/>
    </row>
    <row r="9">
      <c r="A9" s="6" t="s">
        <v>81</v>
      </c>
      <c r="B9" s="7">
        <v>14.0</v>
      </c>
      <c r="C9" s="7">
        <v>18.0</v>
      </c>
      <c r="D9" s="7">
        <v>18.0</v>
      </c>
      <c r="E9" s="9">
        <f t="shared" si="1"/>
        <v>50</v>
      </c>
      <c r="F9" s="9">
        <f t="shared" si="2"/>
        <v>16.66666667</v>
      </c>
      <c r="G9" s="10"/>
    </row>
    <row r="10">
      <c r="A10" s="6" t="s">
        <v>82</v>
      </c>
      <c r="B10" s="7">
        <v>16.0</v>
      </c>
      <c r="C10" s="7">
        <v>25.0</v>
      </c>
      <c r="D10" s="7">
        <v>20.0</v>
      </c>
      <c r="E10" s="9">
        <f t="shared" si="1"/>
        <v>61</v>
      </c>
      <c r="F10" s="9">
        <f t="shared" si="2"/>
        <v>20.33333333</v>
      </c>
      <c r="G10" s="10"/>
    </row>
    <row r="11">
      <c r="A11" s="6" t="s">
        <v>83</v>
      </c>
      <c r="B11" s="7">
        <v>18.0</v>
      </c>
      <c r="C11" s="7">
        <v>21.0</v>
      </c>
      <c r="D11" s="7">
        <v>22.0</v>
      </c>
      <c r="E11" s="9">
        <f t="shared" si="1"/>
        <v>61</v>
      </c>
      <c r="F11" s="9">
        <f t="shared" si="2"/>
        <v>20.33333333</v>
      </c>
      <c r="G11" s="10"/>
    </row>
    <row r="12">
      <c r="A12" s="6" t="s">
        <v>84</v>
      </c>
      <c r="B12" s="7">
        <v>17.0</v>
      </c>
      <c r="C12" s="7">
        <v>23.0</v>
      </c>
      <c r="D12" s="7">
        <v>13.0</v>
      </c>
      <c r="E12" s="9">
        <f t="shared" si="1"/>
        <v>53</v>
      </c>
      <c r="F12" s="9">
        <f t="shared" si="2"/>
        <v>17.66666667</v>
      </c>
      <c r="G12" s="10"/>
    </row>
    <row r="13">
      <c r="A13" s="13" t="s">
        <v>85</v>
      </c>
      <c r="B13" s="14">
        <v>20.0</v>
      </c>
      <c r="C13" s="14">
        <v>25.0</v>
      </c>
      <c r="D13" s="14">
        <v>25.0</v>
      </c>
      <c r="E13" s="9">
        <f t="shared" si="1"/>
        <v>70</v>
      </c>
      <c r="F13" s="9">
        <f t="shared" si="2"/>
        <v>23.33333333</v>
      </c>
      <c r="G13" s="10"/>
    </row>
    <row r="14">
      <c r="A14" s="12">
        <f>COUNTA(A5:A13)</f>
        <v>9</v>
      </c>
      <c r="B14" s="12">
        <f>countif(B5:B13,"&gt;=20")</f>
        <v>3</v>
      </c>
    </row>
    <row r="15" ht="19.5" customHeight="1">
      <c r="A15" s="15" t="s">
        <v>86</v>
      </c>
      <c r="B15" s="15"/>
      <c r="C15" s="15"/>
      <c r="D15" s="15"/>
      <c r="E15" s="15"/>
      <c r="G15" s="12" t="s">
        <v>34</v>
      </c>
    </row>
    <row r="16" ht="19.5" customHeight="1">
      <c r="A16" s="15" t="s">
        <v>87</v>
      </c>
      <c r="B16" s="15"/>
      <c r="C16" s="15"/>
      <c r="D16" s="15"/>
      <c r="E16" s="15"/>
      <c r="G16" s="12" t="s">
        <v>25</v>
      </c>
    </row>
    <row r="17" ht="19.5" customHeight="1">
      <c r="A17" s="15" t="s">
        <v>88</v>
      </c>
      <c r="B17" s="15"/>
      <c r="C17" s="15"/>
      <c r="D17" s="15"/>
      <c r="E17" s="15"/>
      <c r="G17" s="12" t="s">
        <v>89</v>
      </c>
      <c r="L17" s="17" t="s">
        <v>81</v>
      </c>
      <c r="M17" s="17" t="s">
        <v>90</v>
      </c>
    </row>
    <row r="18" ht="19.5" customHeight="1">
      <c r="A18" s="15" t="s">
        <v>91</v>
      </c>
      <c r="B18" s="15"/>
      <c r="C18" s="15"/>
      <c r="D18" s="15"/>
      <c r="E18" s="15"/>
      <c r="K18" s="17" t="s">
        <v>4</v>
      </c>
      <c r="L18" s="12">
        <f t="shared" ref="L18:L21" si="3">VLOOKUP(K18,$A$4:$G$13,5,0)</f>
        <v>70</v>
      </c>
      <c r="M18" s="12" t="str">
        <f t="shared" ref="M18:M20" si="4">VLOOKUP(K18,$A$4:$G$13,7,0)</f>
        <v>a</v>
      </c>
    </row>
    <row r="19" ht="19.5" customHeight="1">
      <c r="A19" s="15" t="s">
        <v>92</v>
      </c>
      <c r="B19" s="15"/>
      <c r="C19" s="15"/>
      <c r="D19" s="15"/>
      <c r="E19" s="15"/>
      <c r="G19" s="12" t="s">
        <v>89</v>
      </c>
      <c r="K19" s="17" t="s">
        <v>6</v>
      </c>
      <c r="L19" s="12">
        <f t="shared" si="3"/>
        <v>43</v>
      </c>
      <c r="M19" s="12" t="str">
        <f t="shared" si="4"/>
        <v/>
      </c>
      <c r="O19" s="35"/>
    </row>
    <row r="20">
      <c r="C20" s="17" t="s">
        <v>93</v>
      </c>
      <c r="K20" s="17" t="s">
        <v>5</v>
      </c>
      <c r="L20" s="12">
        <f t="shared" si="3"/>
        <v>57</v>
      </c>
      <c r="M20" s="12" t="str">
        <f t="shared" si="4"/>
        <v/>
      </c>
    </row>
    <row r="21" ht="15.75" customHeight="1">
      <c r="B21" s="17" t="s">
        <v>94</v>
      </c>
      <c r="C21" s="12">
        <f>VLOOKUP(B21,$A$4:$G$13,5,0)</f>
        <v>70</v>
      </c>
      <c r="K21" s="36" t="s">
        <v>80</v>
      </c>
      <c r="L21" s="12">
        <f t="shared" si="3"/>
        <v>46</v>
      </c>
    </row>
    <row r="22" ht="15.75" customHeight="1">
      <c r="L22" s="35">
        <f>SUM(L18:L21)</f>
        <v>216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>
    <dataValidation type="list" allowBlank="1" sqref="L17">
      <formula1>$A$5:$A$13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14"/>
    <col customWidth="1" min="3" max="3" width="13.57"/>
    <col customWidth="1" min="4" max="4" width="8.71"/>
    <col customWidth="1" min="5" max="5" width="10.29"/>
    <col customWidth="1" min="6" max="6" width="11.43"/>
    <col customWidth="1" min="7" max="7" width="9.86"/>
    <col customWidth="1" min="8" max="9" width="8.0"/>
    <col customWidth="1" min="10" max="10" width="13.14"/>
    <col customWidth="1" min="11" max="11" width="11.86"/>
    <col customWidth="1" min="12" max="12" width="14.14"/>
    <col customWidth="1" min="13" max="26" width="8.0"/>
  </cols>
  <sheetData>
    <row r="1" ht="18.75" customHeight="1">
      <c r="A1" s="19" t="s">
        <v>95</v>
      </c>
    </row>
    <row r="2">
      <c r="A2" s="21" t="s">
        <v>70</v>
      </c>
    </row>
    <row r="4">
      <c r="A4" s="37" t="s">
        <v>96</v>
      </c>
      <c r="B4" s="38" t="s">
        <v>97</v>
      </c>
      <c r="C4" s="38" t="s">
        <v>98</v>
      </c>
      <c r="D4" s="38" t="s">
        <v>99</v>
      </c>
      <c r="E4" s="38" t="s">
        <v>100</v>
      </c>
      <c r="F4" s="38" t="s">
        <v>101</v>
      </c>
      <c r="G4" s="38" t="s">
        <v>102</v>
      </c>
      <c r="H4" s="38" t="s">
        <v>75</v>
      </c>
      <c r="I4" s="39" t="s">
        <v>45</v>
      </c>
      <c r="J4" s="40"/>
      <c r="K4" s="40"/>
      <c r="L4" s="40"/>
    </row>
    <row r="5">
      <c r="A5" s="6" t="s">
        <v>103</v>
      </c>
      <c r="B5" s="7" t="s">
        <v>52</v>
      </c>
      <c r="C5" s="7" t="s">
        <v>104</v>
      </c>
      <c r="D5" s="7">
        <v>5000.0</v>
      </c>
      <c r="E5" s="9">
        <f>D5*2.5%</f>
        <v>125</v>
      </c>
      <c r="F5" s="9">
        <f>D5*3.5%</f>
        <v>175</v>
      </c>
      <c r="G5" s="9"/>
      <c r="H5" s="9"/>
      <c r="I5" s="41"/>
      <c r="J5" s="35"/>
      <c r="K5" s="35"/>
      <c r="L5" s="35"/>
    </row>
    <row r="6">
      <c r="A6" s="6" t="s">
        <v>105</v>
      </c>
      <c r="B6" s="7" t="s">
        <v>52</v>
      </c>
      <c r="C6" s="7" t="s">
        <v>106</v>
      </c>
      <c r="D6" s="7">
        <v>8000.0</v>
      </c>
      <c r="E6" s="9"/>
      <c r="F6" s="9"/>
      <c r="G6" s="9"/>
      <c r="H6" s="9"/>
      <c r="I6" s="41"/>
    </row>
    <row r="7">
      <c r="A7" s="6" t="s">
        <v>14</v>
      </c>
      <c r="B7" s="7" t="s">
        <v>52</v>
      </c>
      <c r="C7" s="7" t="s">
        <v>107</v>
      </c>
      <c r="D7" s="7">
        <v>3000.0</v>
      </c>
      <c r="E7" s="9"/>
      <c r="F7" s="9"/>
      <c r="G7" s="9"/>
      <c r="H7" s="9"/>
      <c r="I7" s="41"/>
    </row>
    <row r="8">
      <c r="A8" s="6" t="s">
        <v>17</v>
      </c>
      <c r="B8" s="7" t="s">
        <v>108</v>
      </c>
      <c r="C8" s="7" t="s">
        <v>109</v>
      </c>
      <c r="D8" s="7">
        <v>6000.0</v>
      </c>
      <c r="E8" s="9">
        <f>D8*2.5%</f>
        <v>150</v>
      </c>
      <c r="F8" s="9"/>
      <c r="G8" s="9"/>
      <c r="H8" s="9"/>
      <c r="I8" s="41"/>
    </row>
    <row r="9">
      <c r="A9" s="6" t="s">
        <v>110</v>
      </c>
      <c r="B9" s="7" t="s">
        <v>108</v>
      </c>
      <c r="C9" s="7" t="s">
        <v>111</v>
      </c>
      <c r="D9" s="7">
        <v>8000.0</v>
      </c>
      <c r="E9" s="9"/>
      <c r="F9" s="9"/>
      <c r="G9" s="9"/>
      <c r="H9" s="9"/>
      <c r="I9" s="41"/>
    </row>
    <row r="10">
      <c r="A10" s="6" t="s">
        <v>112</v>
      </c>
      <c r="B10" s="7" t="s">
        <v>108</v>
      </c>
      <c r="C10" s="7" t="s">
        <v>113</v>
      </c>
      <c r="D10" s="7">
        <v>9000.0</v>
      </c>
      <c r="E10" s="9"/>
      <c r="F10" s="9"/>
      <c r="G10" s="9"/>
      <c r="H10" s="9"/>
      <c r="I10" s="41"/>
    </row>
    <row r="11">
      <c r="A11" s="6" t="s">
        <v>114</v>
      </c>
      <c r="B11" s="7" t="s">
        <v>115</v>
      </c>
      <c r="C11" s="7" t="s">
        <v>104</v>
      </c>
      <c r="D11" s="7">
        <v>10000.0</v>
      </c>
      <c r="E11" s="9"/>
      <c r="F11" s="9"/>
      <c r="G11" s="9"/>
      <c r="H11" s="9"/>
      <c r="I11" s="41"/>
    </row>
    <row r="12">
      <c r="A12" s="13" t="s">
        <v>116</v>
      </c>
      <c r="B12" s="14" t="s">
        <v>115</v>
      </c>
      <c r="C12" s="14" t="s">
        <v>109</v>
      </c>
      <c r="D12" s="14">
        <v>5000.0</v>
      </c>
      <c r="E12" s="9"/>
      <c r="F12" s="9"/>
      <c r="G12" s="9"/>
      <c r="H12" s="9"/>
      <c r="I12" s="42"/>
    </row>
    <row r="14" ht="19.5" customHeight="1">
      <c r="A14" s="15" t="s">
        <v>117</v>
      </c>
      <c r="B14" s="15"/>
      <c r="C14" s="15"/>
      <c r="D14" s="15"/>
      <c r="E14" s="15"/>
      <c r="F14" s="15"/>
      <c r="H14" s="12" t="s">
        <v>25</v>
      </c>
      <c r="I14" s="15"/>
      <c r="J14" s="15"/>
      <c r="K14" s="15"/>
      <c r="L14" s="15"/>
    </row>
    <row r="15" ht="19.5" customHeight="1">
      <c r="A15" s="15" t="s">
        <v>118</v>
      </c>
      <c r="B15" s="15"/>
      <c r="C15" s="15"/>
      <c r="D15" s="15"/>
      <c r="E15" s="15"/>
      <c r="F15" s="15"/>
      <c r="H15" s="15" t="s">
        <v>29</v>
      </c>
    </row>
    <row r="16" ht="19.5" customHeight="1">
      <c r="A16" s="15" t="s">
        <v>119</v>
      </c>
      <c r="B16" s="15"/>
      <c r="C16" s="15"/>
      <c r="D16" s="15"/>
      <c r="E16" s="15"/>
      <c r="F16" s="15"/>
      <c r="H16" s="12" t="s">
        <v>89</v>
      </c>
      <c r="I16" s="21"/>
      <c r="J16" s="43"/>
    </row>
    <row r="17" ht="19.5" customHeight="1">
      <c r="A17" s="15" t="s">
        <v>120</v>
      </c>
      <c r="B17" s="15"/>
      <c r="C17" s="15"/>
      <c r="D17" s="15"/>
      <c r="E17" s="15"/>
      <c r="F17" s="15"/>
    </row>
    <row r="18" ht="19.5" customHeight="1">
      <c r="A18" s="15" t="s">
        <v>121</v>
      </c>
      <c r="B18" s="15"/>
      <c r="C18" s="15"/>
      <c r="D18" s="15"/>
      <c r="E18" s="21"/>
      <c r="F18" s="21"/>
      <c r="H18" s="1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5" width="8.0"/>
    <col customWidth="1" min="6" max="6" width="12.86"/>
    <col customWidth="1" min="7" max="7" width="7.86"/>
    <col customWidth="1" min="8" max="8" width="17.14"/>
    <col customWidth="1" min="9" max="9" width="10.0"/>
    <col customWidth="1" min="10" max="10" width="13.29"/>
    <col customWidth="1" min="11" max="11" width="10.57"/>
    <col customWidth="1" min="12" max="12" width="8.0"/>
    <col customWidth="1" min="13" max="13" width="9.0"/>
    <col customWidth="1" min="14" max="14" width="13.0"/>
    <col customWidth="1" min="15" max="15" width="8.86"/>
    <col customWidth="1" min="16" max="28" width="8.0"/>
  </cols>
  <sheetData>
    <row r="1" ht="18.75" customHeight="1">
      <c r="A1" s="19" t="s">
        <v>122</v>
      </c>
    </row>
    <row r="2">
      <c r="A2" s="21" t="s">
        <v>123</v>
      </c>
    </row>
    <row r="3">
      <c r="A3" s="21"/>
      <c r="B3" s="21"/>
      <c r="C3" s="21"/>
      <c r="D3" s="21"/>
      <c r="E3" s="21"/>
      <c r="F3" s="21"/>
      <c r="G3" s="21"/>
      <c r="H3" s="21"/>
    </row>
    <row r="4">
      <c r="A4" s="44" t="s">
        <v>124</v>
      </c>
      <c r="B4" s="44" t="s">
        <v>125</v>
      </c>
      <c r="C4" s="44" t="s">
        <v>126</v>
      </c>
      <c r="D4" s="44" t="s">
        <v>127</v>
      </c>
      <c r="E4" s="44" t="s">
        <v>128</v>
      </c>
      <c r="F4" s="44" t="s">
        <v>129</v>
      </c>
      <c r="G4" s="44" t="s">
        <v>130</v>
      </c>
      <c r="H4" s="44" t="s">
        <v>131</v>
      </c>
      <c r="I4" s="44" t="s">
        <v>132</v>
      </c>
      <c r="J4" s="45" t="s">
        <v>133</v>
      </c>
      <c r="K4" s="44" t="s">
        <v>124</v>
      </c>
      <c r="N4" s="12">
        <f>COUNTA(A5:A15)</f>
        <v>11</v>
      </c>
      <c r="O4" s="12" t="str">
        <f>VLOOKUP("AJEET",$A$4:$M$15,10,0)</f>
        <v/>
      </c>
    </row>
    <row r="5">
      <c r="A5" s="7" t="s">
        <v>134</v>
      </c>
      <c r="B5" s="7">
        <v>2000.0</v>
      </c>
      <c r="C5" s="7">
        <v>1500.0</v>
      </c>
      <c r="D5" s="7">
        <v>300.0</v>
      </c>
      <c r="E5" s="7">
        <v>1400.0</v>
      </c>
      <c r="F5" s="8">
        <v>2500.0</v>
      </c>
      <c r="G5" s="8">
        <v>2800.0</v>
      </c>
      <c r="H5" s="9">
        <f t="shared" ref="H5:H15" si="1">SUM(B5:G5)</f>
        <v>10500</v>
      </c>
      <c r="I5" s="7">
        <v>10000.0</v>
      </c>
      <c r="J5" s="9" t="str">
        <f>IF(H5&gt;I5,"Achieved","not achieved")</f>
        <v>Achieved</v>
      </c>
      <c r="K5" s="7" t="s">
        <v>134</v>
      </c>
      <c r="N5" s="12" t="str">
        <f t="shared" ref="N5:N15" si="2">IF(H5&gt;I5,"ACHIVED","NOT ACHIVED")</f>
        <v>ACHIVED</v>
      </c>
    </row>
    <row r="6">
      <c r="A6" s="7" t="s">
        <v>112</v>
      </c>
      <c r="B6" s="7">
        <v>5000.0</v>
      </c>
      <c r="C6" s="7">
        <v>1200.0</v>
      </c>
      <c r="D6" s="7">
        <v>500.0</v>
      </c>
      <c r="E6" s="7">
        <v>1200.0</v>
      </c>
      <c r="F6" s="7">
        <v>1200.0</v>
      </c>
      <c r="G6" s="7">
        <v>2800.0</v>
      </c>
      <c r="H6" s="9">
        <f t="shared" si="1"/>
        <v>11900</v>
      </c>
      <c r="I6" s="7">
        <v>12000.0</v>
      </c>
      <c r="J6" s="46" t="str">
        <f>IF(M14?)</f>
        <v>#N/A</v>
      </c>
      <c r="K6" s="7" t="s">
        <v>112</v>
      </c>
      <c r="N6" s="12" t="str">
        <f t="shared" si="2"/>
        <v>NOT ACHIVED</v>
      </c>
    </row>
    <row r="7">
      <c r="A7" s="7" t="s">
        <v>110</v>
      </c>
      <c r="B7" s="7">
        <v>3000.0</v>
      </c>
      <c r="C7" s="7">
        <v>800.0</v>
      </c>
      <c r="D7" s="7">
        <v>1200.0</v>
      </c>
      <c r="E7" s="7">
        <v>3000.0</v>
      </c>
      <c r="F7" s="7">
        <v>1500.0</v>
      </c>
      <c r="G7" s="7">
        <v>3500.0</v>
      </c>
      <c r="H7" s="9">
        <f t="shared" si="1"/>
        <v>13000</v>
      </c>
      <c r="I7" s="7">
        <v>18000.0</v>
      </c>
      <c r="J7" s="9"/>
      <c r="K7" s="7" t="s">
        <v>110</v>
      </c>
      <c r="N7" s="12" t="str">
        <f t="shared" si="2"/>
        <v>NOT ACHIVED</v>
      </c>
    </row>
    <row r="8">
      <c r="A8" s="7" t="s">
        <v>17</v>
      </c>
      <c r="B8" s="7">
        <v>1000.0</v>
      </c>
      <c r="C8" s="7">
        <v>900.0</v>
      </c>
      <c r="D8" s="7">
        <v>1800.0</v>
      </c>
      <c r="E8" s="7">
        <v>5000.0</v>
      </c>
      <c r="F8" s="7">
        <v>1400.0</v>
      </c>
      <c r="G8" s="7">
        <v>1200.0</v>
      </c>
      <c r="H8" s="9">
        <f t="shared" si="1"/>
        <v>11300</v>
      </c>
      <c r="I8" s="7">
        <v>10000.0</v>
      </c>
      <c r="J8" s="9"/>
      <c r="K8" s="7" t="s">
        <v>17</v>
      </c>
      <c r="N8" s="12" t="str">
        <f t="shared" si="2"/>
        <v>ACHIVED</v>
      </c>
    </row>
    <row r="9">
      <c r="A9" s="7" t="s">
        <v>14</v>
      </c>
      <c r="B9" s="7">
        <v>500.0</v>
      </c>
      <c r="C9" s="7">
        <v>1000.0</v>
      </c>
      <c r="D9" s="7">
        <v>2300.0</v>
      </c>
      <c r="E9" s="7">
        <v>8000.0</v>
      </c>
      <c r="F9" s="7">
        <v>1700.0</v>
      </c>
      <c r="G9" s="7">
        <v>1400.0</v>
      </c>
      <c r="H9" s="9">
        <f t="shared" si="1"/>
        <v>14900</v>
      </c>
      <c r="I9" s="7">
        <v>12000.0</v>
      </c>
      <c r="J9" s="9"/>
      <c r="K9" s="7" t="s">
        <v>14</v>
      </c>
      <c r="N9" s="12" t="str">
        <f t="shared" si="2"/>
        <v>ACHIVED</v>
      </c>
    </row>
    <row r="10">
      <c r="A10" s="7" t="s">
        <v>13</v>
      </c>
      <c r="B10" s="7">
        <v>800.0</v>
      </c>
      <c r="C10" s="7">
        <v>500.0</v>
      </c>
      <c r="D10" s="7">
        <v>2400.0</v>
      </c>
      <c r="E10" s="7">
        <v>1900.0</v>
      </c>
      <c r="F10" s="7">
        <v>1800.0</v>
      </c>
      <c r="G10" s="7">
        <v>1800.0</v>
      </c>
      <c r="H10" s="9">
        <f t="shared" si="1"/>
        <v>9200</v>
      </c>
      <c r="I10" s="7">
        <v>10000.0</v>
      </c>
      <c r="J10" s="9"/>
      <c r="K10" s="7" t="s">
        <v>13</v>
      </c>
      <c r="N10" s="12" t="str">
        <f t="shared" si="2"/>
        <v>NOT ACHIVED</v>
      </c>
    </row>
    <row r="11">
      <c r="A11" s="7" t="s">
        <v>135</v>
      </c>
      <c r="B11" s="7">
        <v>1200.0</v>
      </c>
      <c r="C11" s="7">
        <v>1400.0</v>
      </c>
      <c r="D11" s="7">
        <v>1500.0</v>
      </c>
      <c r="E11" s="7">
        <v>700.0</v>
      </c>
      <c r="F11" s="7">
        <v>2500.0</v>
      </c>
      <c r="G11" s="7">
        <v>7000.0</v>
      </c>
      <c r="H11" s="9">
        <f t="shared" si="1"/>
        <v>14300</v>
      </c>
      <c r="I11" s="7">
        <v>12000.0</v>
      </c>
      <c r="J11" s="9"/>
      <c r="K11" s="7" t="s">
        <v>135</v>
      </c>
      <c r="N11" s="12" t="str">
        <f t="shared" si="2"/>
        <v>ACHIVED</v>
      </c>
    </row>
    <row r="12">
      <c r="A12" s="7" t="s">
        <v>136</v>
      </c>
      <c r="B12" s="7">
        <v>1500.0</v>
      </c>
      <c r="C12" s="7">
        <v>1800.0</v>
      </c>
      <c r="D12" s="7">
        <v>1800.0</v>
      </c>
      <c r="E12" s="7">
        <v>1800.0</v>
      </c>
      <c r="F12" s="7">
        <v>300.0</v>
      </c>
      <c r="G12" s="7">
        <v>1500.0</v>
      </c>
      <c r="H12" s="9">
        <f t="shared" si="1"/>
        <v>8700</v>
      </c>
      <c r="I12" s="7">
        <v>10000.0</v>
      </c>
      <c r="J12" s="9"/>
      <c r="K12" s="7" t="s">
        <v>136</v>
      </c>
      <c r="N12" s="12" t="str">
        <f t="shared" si="2"/>
        <v>NOT ACHIVED</v>
      </c>
    </row>
    <row r="13">
      <c r="A13" s="7" t="s">
        <v>137</v>
      </c>
      <c r="B13" s="7">
        <v>1800.0</v>
      </c>
      <c r="C13" s="7">
        <v>2500.0</v>
      </c>
      <c r="D13" s="7">
        <v>1700.0</v>
      </c>
      <c r="E13" s="7">
        <v>1500.0</v>
      </c>
      <c r="F13" s="7">
        <v>2800.0</v>
      </c>
      <c r="G13" s="7">
        <v>1800.0</v>
      </c>
      <c r="H13" s="9">
        <f t="shared" si="1"/>
        <v>12100</v>
      </c>
      <c r="I13" s="7">
        <v>12000.0</v>
      </c>
      <c r="J13" s="9"/>
      <c r="K13" s="7" t="s">
        <v>137</v>
      </c>
      <c r="N13" s="12" t="str">
        <f t="shared" si="2"/>
        <v>ACHIVED</v>
      </c>
    </row>
    <row r="14">
      <c r="A14" s="7" t="s">
        <v>138</v>
      </c>
      <c r="B14" s="7">
        <v>200.0</v>
      </c>
      <c r="C14" s="7">
        <v>3000.0</v>
      </c>
      <c r="D14" s="7">
        <v>1900.0</v>
      </c>
      <c r="E14" s="7">
        <v>1200.0</v>
      </c>
      <c r="F14" s="7">
        <v>1500.0</v>
      </c>
      <c r="G14" s="7">
        <v>3000.0</v>
      </c>
      <c r="H14" s="9">
        <f t="shared" si="1"/>
        <v>10800</v>
      </c>
      <c r="I14" s="7">
        <v>10000.0</v>
      </c>
      <c r="J14" s="9"/>
      <c r="K14" s="7" t="s">
        <v>138</v>
      </c>
      <c r="N14" s="12" t="str">
        <f t="shared" si="2"/>
        <v>ACHIVED</v>
      </c>
    </row>
    <row r="15">
      <c r="A15" s="7" t="s">
        <v>139</v>
      </c>
      <c r="B15" s="7">
        <v>1600.0</v>
      </c>
      <c r="C15" s="7">
        <v>1200.0</v>
      </c>
      <c r="D15" s="7">
        <v>2000.0</v>
      </c>
      <c r="E15" s="7">
        <v>800.0</v>
      </c>
      <c r="F15" s="7">
        <v>1700.0</v>
      </c>
      <c r="G15" s="7">
        <v>800.0</v>
      </c>
      <c r="H15" s="9">
        <f t="shared" si="1"/>
        <v>8100</v>
      </c>
      <c r="I15" s="7">
        <v>10000.0</v>
      </c>
      <c r="J15" s="9"/>
      <c r="K15" s="7" t="s">
        <v>139</v>
      </c>
      <c r="N15" s="12" t="str">
        <f t="shared" si="2"/>
        <v>NOT ACHIVED</v>
      </c>
    </row>
    <row r="17" ht="19.5" customHeight="1">
      <c r="A17" s="15" t="s">
        <v>140</v>
      </c>
      <c r="B17" s="15"/>
      <c r="C17" s="15"/>
      <c r="D17" s="15"/>
      <c r="E17" s="15"/>
      <c r="H17" s="12" t="s">
        <v>141</v>
      </c>
    </row>
    <row r="18" ht="19.5" customHeight="1">
      <c r="A18" s="15" t="s">
        <v>142</v>
      </c>
      <c r="B18" s="15"/>
      <c r="C18" s="15"/>
      <c r="D18" s="15"/>
      <c r="E18" s="15"/>
      <c r="H18" s="12" t="s">
        <v>143</v>
      </c>
      <c r="M18" s="12" t="str">
        <f>VLOOKUP(B5,B4:K15,10,0)</f>
        <v>RAMESH</v>
      </c>
    </row>
    <row r="19" ht="19.5" customHeight="1">
      <c r="A19" s="15" t="s">
        <v>144</v>
      </c>
      <c r="B19" s="15"/>
      <c r="C19" s="15"/>
      <c r="D19" s="15"/>
      <c r="E19" s="15"/>
      <c r="H19" s="12" t="s">
        <v>89</v>
      </c>
      <c r="O19" s="17" t="s">
        <v>14</v>
      </c>
    </row>
    <row r="20" ht="19.5" customHeight="1">
      <c r="A20" s="15" t="s">
        <v>145</v>
      </c>
      <c r="B20" s="15"/>
      <c r="C20" s="15"/>
      <c r="D20" s="15"/>
      <c r="E20" s="15"/>
      <c r="G20" s="12">
        <f>countif(J5:J15,J8)</f>
        <v>0</v>
      </c>
      <c r="H20" s="12" t="s">
        <v>25</v>
      </c>
      <c r="N20" s="12">
        <f>COUNTIF(J5:J15,J8)</f>
        <v>0</v>
      </c>
    </row>
    <row r="21" ht="19.5" customHeight="1">
      <c r="A21" s="15" t="s">
        <v>146</v>
      </c>
      <c r="B21" s="15"/>
      <c r="C21" s="15"/>
      <c r="D21" s="15"/>
      <c r="E21" s="15"/>
      <c r="H21" s="12" t="s">
        <v>147</v>
      </c>
    </row>
    <row r="22" ht="15.75" customHeight="1"/>
    <row r="23" ht="15.75" customHeight="1"/>
    <row r="24" ht="15.75" customHeight="1"/>
    <row r="25" ht="15.75" customHeight="1"/>
    <row r="26" ht="15.75" customHeight="1">
      <c r="I26" s="33"/>
      <c r="J26" s="47"/>
    </row>
    <row r="27" ht="15.75" customHeight="1">
      <c r="H27" s="6"/>
    </row>
    <row r="28" ht="15.75" customHeight="1"/>
    <row r="29" ht="15.75" customHeight="1">
      <c r="H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>
    <dataValidation type="list" allowBlank="1" sqref="O19">
      <formula1>$A$5:$A$15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0"/>
    <col customWidth="1" min="3" max="3" width="20.0"/>
    <col customWidth="1" min="4" max="4" width="19.0"/>
    <col customWidth="1" min="5" max="5" width="20.86"/>
    <col customWidth="1" min="6" max="7" width="8.0"/>
    <col customWidth="1" min="8" max="8" width="16.14"/>
    <col customWidth="1" min="9" max="9" width="9.86"/>
    <col customWidth="1" min="10" max="26" width="8.0"/>
  </cols>
  <sheetData>
    <row r="1" ht="18.75" customHeight="1">
      <c r="A1" s="19" t="s">
        <v>148</v>
      </c>
    </row>
    <row r="2">
      <c r="A2" s="15" t="s">
        <v>149</v>
      </c>
      <c r="B2" s="15"/>
      <c r="C2" s="15"/>
    </row>
    <row r="4">
      <c r="A4" s="48" t="str">
        <f>dated</f>
        <v>#NAME?</v>
      </c>
      <c r="B4" s="49" t="s">
        <v>150</v>
      </c>
      <c r="C4" s="49" t="s">
        <v>151</v>
      </c>
      <c r="D4" s="49" t="s">
        <v>152</v>
      </c>
      <c r="E4" s="50" t="s">
        <v>153</v>
      </c>
      <c r="H4" s="51"/>
      <c r="I4" s="52"/>
    </row>
    <row r="5">
      <c r="A5" s="6" t="s">
        <v>134</v>
      </c>
      <c r="B5" s="53">
        <v>29356.0</v>
      </c>
      <c r="C5" s="9"/>
      <c r="D5" s="9"/>
      <c r="E5" s="10"/>
      <c r="F5" s="17" t="str">
        <f t="shared" ref="F5:F15" si="1">IF(E5&gt;20,"ADULT","CHILD")</f>
        <v>CHILD</v>
      </c>
      <c r="H5" s="51"/>
    </row>
    <row r="6">
      <c r="A6" s="6" t="s">
        <v>112</v>
      </c>
      <c r="B6" s="53">
        <v>29818.0</v>
      </c>
      <c r="C6" s="9"/>
      <c r="D6" s="9"/>
      <c r="E6" s="10"/>
      <c r="F6" s="17" t="str">
        <f t="shared" si="1"/>
        <v>CHILD</v>
      </c>
    </row>
    <row r="7">
      <c r="A7" s="6" t="s">
        <v>110</v>
      </c>
      <c r="B7" s="53">
        <v>37909.0</v>
      </c>
      <c r="C7" s="9"/>
      <c r="D7" s="9"/>
      <c r="E7" s="10"/>
      <c r="F7" s="17" t="str">
        <f t="shared" si="1"/>
        <v>CHILD</v>
      </c>
    </row>
    <row r="8">
      <c r="A8" s="6" t="s">
        <v>17</v>
      </c>
      <c r="B8" s="53">
        <v>33018.0</v>
      </c>
      <c r="C8" s="9"/>
      <c r="D8" s="9"/>
      <c r="E8" s="10"/>
      <c r="F8" s="17" t="str">
        <f t="shared" si="1"/>
        <v>CHILD</v>
      </c>
    </row>
    <row r="9">
      <c r="A9" s="6" t="s">
        <v>14</v>
      </c>
      <c r="B9" s="53">
        <v>33840.0</v>
      </c>
      <c r="C9" s="9"/>
      <c r="D9" s="9"/>
      <c r="E9" s="10"/>
      <c r="F9" s="17" t="str">
        <f t="shared" si="1"/>
        <v>CHILD</v>
      </c>
    </row>
    <row r="10">
      <c r="A10" s="6" t="s">
        <v>13</v>
      </c>
      <c r="B10" s="53">
        <v>36030.0</v>
      </c>
      <c r="C10" s="9"/>
      <c r="D10" s="9"/>
      <c r="E10" s="10"/>
      <c r="F10" s="17" t="str">
        <f t="shared" si="1"/>
        <v>CHILD</v>
      </c>
    </row>
    <row r="11">
      <c r="A11" s="6" t="s">
        <v>135</v>
      </c>
      <c r="B11" s="53">
        <v>29353.0</v>
      </c>
      <c r="C11" s="9"/>
      <c r="D11" s="9"/>
      <c r="E11" s="10"/>
      <c r="F11" s="17" t="str">
        <f t="shared" si="1"/>
        <v>CHILD</v>
      </c>
    </row>
    <row r="12">
      <c r="A12" s="6" t="s">
        <v>136</v>
      </c>
      <c r="B12" s="53">
        <v>38429.0</v>
      </c>
      <c r="C12" s="9"/>
      <c r="D12" s="9"/>
      <c r="E12" s="10"/>
      <c r="F12" s="17" t="str">
        <f t="shared" si="1"/>
        <v>CHILD</v>
      </c>
    </row>
    <row r="13">
      <c r="A13" s="6" t="s">
        <v>137</v>
      </c>
      <c r="B13" s="53">
        <v>39309.0</v>
      </c>
      <c r="C13" s="9"/>
      <c r="D13" s="9"/>
      <c r="E13" s="10"/>
      <c r="F13" s="17" t="str">
        <f t="shared" si="1"/>
        <v>CHILD</v>
      </c>
    </row>
    <row r="14">
      <c r="A14" s="6" t="s">
        <v>138</v>
      </c>
      <c r="B14" s="53">
        <v>40323.0</v>
      </c>
      <c r="C14" s="9"/>
      <c r="D14" s="9"/>
      <c r="E14" s="10"/>
      <c r="F14" s="17" t="str">
        <f t="shared" si="1"/>
        <v>CHILD</v>
      </c>
    </row>
    <row r="15">
      <c r="A15" s="13" t="s">
        <v>139</v>
      </c>
      <c r="B15" s="54">
        <v>34206.0</v>
      </c>
      <c r="C15" s="55"/>
      <c r="D15" s="55"/>
      <c r="E15" s="10"/>
      <c r="F15" s="17" t="str">
        <f t="shared" si="1"/>
        <v>CHILD</v>
      </c>
    </row>
    <row r="17" ht="19.5" customHeight="1">
      <c r="A17" s="15" t="s">
        <v>154</v>
      </c>
      <c r="B17" s="15"/>
      <c r="C17" s="15"/>
      <c r="F17" s="56" t="s">
        <v>34</v>
      </c>
      <c r="H17" s="12">
        <f>COUNTA(A5:A15)</f>
        <v>11</v>
      </c>
      <c r="I17" s="12">
        <f>counta(A5:A15)</f>
        <v>11</v>
      </c>
    </row>
    <row r="18" ht="19.5" customHeight="1">
      <c r="A18" s="15" t="s">
        <v>155</v>
      </c>
      <c r="B18" s="15"/>
      <c r="C18" s="15"/>
      <c r="F18" s="56" t="s">
        <v>29</v>
      </c>
      <c r="H18" s="12">
        <f>SUMIF(A5:A15,"surendra",E5:E15)</f>
        <v>0</v>
      </c>
    </row>
    <row r="19" ht="19.5" customHeight="1">
      <c r="A19" s="15" t="s">
        <v>156</v>
      </c>
      <c r="B19" s="15"/>
      <c r="C19" s="15"/>
      <c r="G19" s="56" t="s">
        <v>25</v>
      </c>
      <c r="H19" s="12">
        <f>COUNTIF(E5:E15,"&gt;20")</f>
        <v>0</v>
      </c>
    </row>
    <row r="20" ht="19.5" customHeight="1">
      <c r="A20" s="15" t="s">
        <v>157</v>
      </c>
      <c r="B20" s="15"/>
      <c r="C20" s="15"/>
      <c r="H20" s="56" t="s">
        <v>143</v>
      </c>
    </row>
    <row r="21" ht="19.5" customHeight="1">
      <c r="A21" s="15" t="s">
        <v>158</v>
      </c>
      <c r="B21" s="15"/>
      <c r="C21" s="15"/>
      <c r="G21" s="56" t="s">
        <v>25</v>
      </c>
      <c r="I21" s="12">
        <f>COUNTIF(E5:E15,"&gt;=20")</f>
        <v>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2.29"/>
    <col customWidth="1" min="3" max="3" width="24.71"/>
    <col customWidth="1" min="4" max="4" width="18.29"/>
    <col customWidth="1" min="5" max="26" width="8.0"/>
  </cols>
  <sheetData>
    <row r="1" ht="18.75" customHeight="1">
      <c r="A1" s="57" t="str">
        <f>IFERROR(__xludf.DUMMYFUNCTION("FILTER(A4:C11,A6)"),"#N/A")</f>
        <v>#N/A</v>
      </c>
      <c r="B1" s="19"/>
      <c r="C1" s="19"/>
      <c r="D1" s="20"/>
      <c r="E1" s="20"/>
      <c r="F1" s="20"/>
      <c r="G1" s="20"/>
      <c r="H1" s="20"/>
    </row>
    <row r="2">
      <c r="A2" s="21" t="s">
        <v>159</v>
      </c>
      <c r="D2" s="15"/>
      <c r="E2" s="15"/>
      <c r="F2" s="15"/>
      <c r="G2" s="15"/>
      <c r="H2" s="15"/>
    </row>
    <row r="4">
      <c r="A4" s="58" t="s">
        <v>160</v>
      </c>
      <c r="B4" s="59" t="s">
        <v>161</v>
      </c>
      <c r="C4" s="60" t="s">
        <v>162</v>
      </c>
      <c r="D4" s="17" t="s">
        <v>163</v>
      </c>
    </row>
    <row r="5">
      <c r="A5" s="61" t="s">
        <v>164</v>
      </c>
      <c r="B5" s="62">
        <v>42370.0</v>
      </c>
      <c r="C5" s="63">
        <v>800.0</v>
      </c>
      <c r="D5" s="12">
        <f t="shared" ref="D5:D23" si="1">countif($A$5:$A$23,A5)</f>
        <v>4</v>
      </c>
    </row>
    <row r="6">
      <c r="A6" s="61" t="s">
        <v>165</v>
      </c>
      <c r="B6" s="62">
        <v>42502.0</v>
      </c>
      <c r="C6" s="63">
        <v>2000.0</v>
      </c>
      <c r="D6" s="12">
        <f t="shared" si="1"/>
        <v>5</v>
      </c>
    </row>
    <row r="7">
      <c r="A7" s="61" t="s">
        <v>164</v>
      </c>
      <c r="B7" s="62">
        <v>42508.0</v>
      </c>
      <c r="C7" s="63">
        <v>500.0</v>
      </c>
      <c r="D7" s="12">
        <f t="shared" si="1"/>
        <v>4</v>
      </c>
    </row>
    <row r="8">
      <c r="A8" s="61" t="s">
        <v>166</v>
      </c>
      <c r="B8" s="62">
        <v>42510.0</v>
      </c>
      <c r="C8" s="63">
        <v>800.0</v>
      </c>
      <c r="D8" s="12">
        <f t="shared" si="1"/>
        <v>2</v>
      </c>
    </row>
    <row r="9">
      <c r="A9" s="61" t="s">
        <v>166</v>
      </c>
      <c r="B9" s="62">
        <v>42410.0</v>
      </c>
      <c r="C9" s="63">
        <v>1000.0</v>
      </c>
      <c r="D9" s="12">
        <f t="shared" si="1"/>
        <v>2</v>
      </c>
    </row>
    <row r="10">
      <c r="A10" s="61" t="s">
        <v>167</v>
      </c>
      <c r="B10" s="62">
        <v>42498.0</v>
      </c>
      <c r="C10" s="63">
        <v>1000.0</v>
      </c>
      <c r="D10" s="12">
        <f t="shared" si="1"/>
        <v>5</v>
      </c>
    </row>
    <row r="11">
      <c r="A11" s="61" t="s">
        <v>165</v>
      </c>
      <c r="B11" s="62">
        <v>42500.0</v>
      </c>
      <c r="C11" s="63">
        <v>1200.0</v>
      </c>
      <c r="D11" s="12">
        <f t="shared" si="1"/>
        <v>5</v>
      </c>
      <c r="K11" s="61">
        <f>sumif($A$5:$A$23,A5,$C$5:$C$23)</f>
        <v>3500</v>
      </c>
    </row>
    <row r="12">
      <c r="A12" s="61" t="s">
        <v>165</v>
      </c>
      <c r="B12" s="62">
        <v>42515.0</v>
      </c>
      <c r="C12" s="63">
        <v>1500.0</v>
      </c>
      <c r="D12" s="12">
        <f t="shared" si="1"/>
        <v>5</v>
      </c>
      <c r="K12" s="12">
        <f>sumif($A$5:$A$23,A10,$C$5:$C$23)</f>
        <v>7300</v>
      </c>
    </row>
    <row r="13">
      <c r="A13" s="61" t="s">
        <v>168</v>
      </c>
      <c r="B13" s="62">
        <v>42561.0</v>
      </c>
      <c r="C13" s="63">
        <v>1800.0</v>
      </c>
      <c r="D13" s="12">
        <f t="shared" si="1"/>
        <v>3</v>
      </c>
      <c r="K13" s="12">
        <f>sum(K11:K12)</f>
        <v>10800</v>
      </c>
    </row>
    <row r="14">
      <c r="A14" s="61" t="s">
        <v>165</v>
      </c>
      <c r="B14" s="62">
        <v>42379.0</v>
      </c>
      <c r="C14" s="63">
        <v>2000.0</v>
      </c>
      <c r="D14" s="12">
        <f t="shared" si="1"/>
        <v>5</v>
      </c>
    </row>
    <row r="15">
      <c r="A15" s="61" t="s">
        <v>168</v>
      </c>
      <c r="B15" s="62">
        <v>42536.0</v>
      </c>
      <c r="C15" s="63">
        <v>1500.0</v>
      </c>
      <c r="D15" s="12">
        <f t="shared" si="1"/>
        <v>3</v>
      </c>
    </row>
    <row r="16">
      <c r="A16" s="61" t="s">
        <v>168</v>
      </c>
      <c r="B16" s="62">
        <v>42381.0</v>
      </c>
      <c r="C16" s="63">
        <v>1000.0</v>
      </c>
      <c r="D16" s="12">
        <f t="shared" si="1"/>
        <v>3</v>
      </c>
    </row>
    <row r="17">
      <c r="A17" s="61" t="s">
        <v>167</v>
      </c>
      <c r="B17" s="62">
        <v>42370.0</v>
      </c>
      <c r="C17" s="63">
        <v>1200.0</v>
      </c>
      <c r="D17" s="12">
        <f t="shared" si="1"/>
        <v>5</v>
      </c>
    </row>
    <row r="18">
      <c r="A18" s="61" t="s">
        <v>167</v>
      </c>
      <c r="B18" s="62">
        <v>42500.0</v>
      </c>
      <c r="C18" s="63">
        <v>1500.0</v>
      </c>
      <c r="D18" s="12">
        <f t="shared" si="1"/>
        <v>5</v>
      </c>
    </row>
    <row r="19">
      <c r="A19" s="61" t="s">
        <v>167</v>
      </c>
      <c r="B19" s="62">
        <v>42500.0</v>
      </c>
      <c r="C19" s="63">
        <v>1800.0</v>
      </c>
      <c r="D19" s="12">
        <f t="shared" si="1"/>
        <v>5</v>
      </c>
      <c r="N19" s="17" t="s">
        <v>169</v>
      </c>
    </row>
    <row r="20">
      <c r="A20" s="61" t="s">
        <v>164</v>
      </c>
      <c r="B20" s="62">
        <v>42500.0</v>
      </c>
      <c r="C20" s="63">
        <v>1000.0</v>
      </c>
      <c r="D20" s="12">
        <f t="shared" si="1"/>
        <v>4</v>
      </c>
    </row>
    <row r="21" ht="15.75" customHeight="1">
      <c r="A21" s="61" t="s">
        <v>164</v>
      </c>
      <c r="B21" s="62">
        <v>42596.0</v>
      </c>
      <c r="C21" s="63">
        <v>1200.0</v>
      </c>
      <c r="D21" s="12">
        <f t="shared" si="1"/>
        <v>4</v>
      </c>
    </row>
    <row r="22" ht="15.75" customHeight="1">
      <c r="A22" s="61" t="s">
        <v>165</v>
      </c>
      <c r="B22" s="62">
        <v>42597.0</v>
      </c>
      <c r="C22" s="63">
        <v>1500.0</v>
      </c>
      <c r="D22" s="12">
        <f t="shared" si="1"/>
        <v>5</v>
      </c>
    </row>
    <row r="23" ht="15.75" customHeight="1">
      <c r="A23" s="64" t="s">
        <v>167</v>
      </c>
      <c r="B23" s="65">
        <v>42602.0</v>
      </c>
      <c r="C23" s="66">
        <v>1800.0</v>
      </c>
      <c r="D23" s="12">
        <f t="shared" si="1"/>
        <v>5</v>
      </c>
    </row>
    <row r="24" ht="15.75" customHeight="1"/>
    <row r="25" ht="15.75" customHeight="1">
      <c r="A25" s="15" t="s">
        <v>170</v>
      </c>
      <c r="B25" s="15"/>
      <c r="D25" s="12" t="s">
        <v>34</v>
      </c>
      <c r="E25" s="12">
        <f>counta(A5:A24)</f>
        <v>19</v>
      </c>
    </row>
    <row r="26" ht="15.75" customHeight="1">
      <c r="A26" s="15" t="s">
        <v>171</v>
      </c>
      <c r="B26" s="15"/>
      <c r="D26" s="12" t="s">
        <v>25</v>
      </c>
      <c r="E26" s="12">
        <f>countifs(A5:A23,A19,A5:A23,A5,A5:A23,A6)</f>
        <v>0</v>
      </c>
      <c r="I26" s="12"/>
    </row>
    <row r="27" ht="15.75" customHeight="1">
      <c r="A27" s="15" t="s">
        <v>172</v>
      </c>
      <c r="B27" s="15"/>
      <c r="C27" s="17">
        <v>2000.0</v>
      </c>
      <c r="D27" s="12" t="s">
        <v>25</v>
      </c>
      <c r="G27" s="17" t="s">
        <v>173</v>
      </c>
      <c r="H27" s="12">
        <f>COUNTIF(C5:C23,"&gt;1000")</f>
        <v>12</v>
      </c>
    </row>
    <row r="28" ht="15.75" customHeight="1">
      <c r="A28" s="15" t="s">
        <v>174</v>
      </c>
      <c r="B28" s="15"/>
      <c r="D28" s="12" t="s">
        <v>175</v>
      </c>
      <c r="G28" s="17" t="s">
        <v>176</v>
      </c>
    </row>
    <row r="29" ht="15.75" customHeight="1">
      <c r="A29" s="15" t="s">
        <v>177</v>
      </c>
      <c r="B29" s="15"/>
      <c r="D29" s="12" t="s">
        <v>178</v>
      </c>
    </row>
    <row r="30" ht="15.75" customHeight="1">
      <c r="A30" s="15" t="s">
        <v>179</v>
      </c>
      <c r="B30" s="15"/>
      <c r="D30" s="12" t="s">
        <v>29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C$23"/>
  <mergeCells count="1">
    <mergeCell ref="A2:C2"/>
  </mergeCells>
  <conditionalFormatting sqref="A5:A13">
    <cfRule type="containsText" dxfId="0" priority="1" operator="containsText" text="BRAKES">
      <formula>NOT(ISERROR(SEARCH(("BRAKES"),(A5))))</formula>
    </cfRule>
  </conditionalFormatting>
  <conditionalFormatting sqref="C5">
    <cfRule type="cellIs" dxfId="1" priority="2" operator="equal">
      <formula>1500</formula>
    </cfRule>
  </conditionalFormatting>
  <conditionalFormatting sqref="C5:C23">
    <cfRule type="cellIs" dxfId="1" priority="3" operator="equal">
      <formula>1500</formula>
    </cfRule>
  </conditionalFormatting>
  <dataValidations>
    <dataValidation type="list" allowBlank="1" sqref="I26">
      <formula1>$A$5:$A$23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8.0"/>
    <col customWidth="1" min="3" max="3" width="9.29"/>
    <col customWidth="1" min="4" max="4" width="9.86"/>
    <col customWidth="1" min="5" max="5" width="7.14"/>
    <col customWidth="1" min="6" max="6" width="15.86"/>
    <col customWidth="1" min="7" max="7" width="30.29"/>
    <col customWidth="1" min="8" max="26" width="8.0"/>
  </cols>
  <sheetData>
    <row r="1" ht="18.75" customHeight="1">
      <c r="A1" s="19" t="s">
        <v>180</v>
      </c>
    </row>
    <row r="2">
      <c r="A2" s="67" t="s">
        <v>181</v>
      </c>
      <c r="B2" s="68"/>
      <c r="C2" s="68"/>
      <c r="D2" s="68"/>
      <c r="E2" s="68"/>
      <c r="F2" s="68"/>
      <c r="G2" s="68"/>
    </row>
    <row r="3">
      <c r="A3" s="67"/>
      <c r="B3" s="67"/>
      <c r="C3" s="67"/>
      <c r="D3" s="67"/>
      <c r="E3" s="67"/>
      <c r="F3" s="67"/>
      <c r="G3" s="67"/>
    </row>
    <row r="4">
      <c r="A4" s="44" t="s">
        <v>182</v>
      </c>
      <c r="B4" s="69" t="s">
        <v>183</v>
      </c>
      <c r="C4" s="70"/>
      <c r="D4" s="71"/>
      <c r="E4" s="69" t="s">
        <v>184</v>
      </c>
      <c r="F4" s="70"/>
      <c r="G4" s="71"/>
    </row>
    <row r="5">
      <c r="A5" s="72" t="s">
        <v>185</v>
      </c>
      <c r="B5" s="73" t="s">
        <v>186</v>
      </c>
      <c r="C5" s="73" t="s">
        <v>5</v>
      </c>
      <c r="D5" s="73" t="s">
        <v>7</v>
      </c>
      <c r="E5" s="73" t="s">
        <v>75</v>
      </c>
      <c r="F5" s="73" t="s">
        <v>187</v>
      </c>
      <c r="G5" s="74" t="s">
        <v>45</v>
      </c>
      <c r="I5" s="11">
        <f t="shared" ref="I5:I15" si="1">E6*100/300</f>
        <v>80</v>
      </c>
    </row>
    <row r="6">
      <c r="A6" s="75" t="s">
        <v>188</v>
      </c>
      <c r="B6" s="76">
        <v>80.0</v>
      </c>
      <c r="C6" s="76">
        <v>75.0</v>
      </c>
      <c r="D6" s="76">
        <v>85.0</v>
      </c>
      <c r="E6" s="77">
        <f t="shared" ref="E6:E15" si="2">SUM(B6:D6)</f>
        <v>240</v>
      </c>
      <c r="F6" s="46">
        <f t="shared" ref="F6:F15" si="3">E6/3</f>
        <v>80</v>
      </c>
      <c r="G6" s="10" t="str">
        <f>IF(F6&gt;70,"EXCELLENT",IF(F6&gt;50,"GOOD","BAD"))</f>
        <v>EXCELLENT</v>
      </c>
      <c r="I6" s="11">
        <f t="shared" si="1"/>
        <v>40</v>
      </c>
      <c r="J6" s="12" t="str">
        <f t="shared" ref="J6:J15" si="4">IF(I5&gt;70,"excelent",IF(I5&gt;50,"good","bad"))</f>
        <v>excelent</v>
      </c>
    </row>
    <row r="7">
      <c r="A7" s="75" t="s">
        <v>189</v>
      </c>
      <c r="B7" s="76">
        <v>50.0</v>
      </c>
      <c r="C7" s="76">
        <v>30.0</v>
      </c>
      <c r="D7" s="76">
        <v>40.0</v>
      </c>
      <c r="E7" s="77">
        <f t="shared" si="2"/>
        <v>120</v>
      </c>
      <c r="F7" s="46">
        <f t="shared" si="3"/>
        <v>40</v>
      </c>
      <c r="G7" s="10"/>
      <c r="I7" s="11">
        <f t="shared" si="1"/>
        <v>43.33333333</v>
      </c>
      <c r="J7" s="12" t="str">
        <f t="shared" si="4"/>
        <v>bad</v>
      </c>
    </row>
    <row r="8">
      <c r="A8" s="75" t="s">
        <v>190</v>
      </c>
      <c r="B8" s="76">
        <v>60.0</v>
      </c>
      <c r="C8" s="76">
        <v>70.0</v>
      </c>
      <c r="D8" s="76" t="s">
        <v>191</v>
      </c>
      <c r="E8" s="77">
        <f t="shared" si="2"/>
        <v>130</v>
      </c>
      <c r="F8" s="46">
        <f t="shared" si="3"/>
        <v>43.33333333</v>
      </c>
      <c r="G8" s="10"/>
      <c r="I8" s="11">
        <f t="shared" si="1"/>
        <v>90</v>
      </c>
      <c r="J8" s="12" t="str">
        <f t="shared" si="4"/>
        <v>bad</v>
      </c>
    </row>
    <row r="9">
      <c r="A9" s="75" t="s">
        <v>192</v>
      </c>
      <c r="B9" s="76">
        <v>90.0</v>
      </c>
      <c r="C9" s="76">
        <v>85.0</v>
      </c>
      <c r="D9" s="76">
        <v>95.0</v>
      </c>
      <c r="E9" s="77">
        <f t="shared" si="2"/>
        <v>270</v>
      </c>
      <c r="F9" s="46">
        <f t="shared" si="3"/>
        <v>90</v>
      </c>
      <c r="G9" s="10"/>
      <c r="I9" s="11">
        <f t="shared" si="1"/>
        <v>16.66666667</v>
      </c>
      <c r="J9" s="12" t="str">
        <f t="shared" si="4"/>
        <v>excelent</v>
      </c>
    </row>
    <row r="10">
      <c r="A10" s="75" t="s">
        <v>193</v>
      </c>
      <c r="B10" s="76">
        <v>20.0</v>
      </c>
      <c r="C10" s="76">
        <v>30.0</v>
      </c>
      <c r="D10" s="76" t="s">
        <v>194</v>
      </c>
      <c r="E10" s="77">
        <f t="shared" si="2"/>
        <v>50</v>
      </c>
      <c r="F10" s="46">
        <f t="shared" si="3"/>
        <v>16.66666667</v>
      </c>
      <c r="G10" s="10"/>
      <c r="I10" s="11">
        <f t="shared" si="1"/>
        <v>60</v>
      </c>
      <c r="J10" s="12" t="str">
        <f t="shared" si="4"/>
        <v>bad</v>
      </c>
    </row>
    <row r="11">
      <c r="A11" s="75" t="s">
        <v>195</v>
      </c>
      <c r="B11" s="76">
        <v>40.0</v>
      </c>
      <c r="C11" s="76">
        <v>60.0</v>
      </c>
      <c r="D11" s="76">
        <v>80.0</v>
      </c>
      <c r="E11" s="77">
        <f t="shared" si="2"/>
        <v>180</v>
      </c>
      <c r="F11" s="46">
        <f t="shared" si="3"/>
        <v>60</v>
      </c>
      <c r="G11" s="10"/>
      <c r="I11" s="11">
        <f t="shared" si="1"/>
        <v>60</v>
      </c>
      <c r="J11" s="12" t="str">
        <f t="shared" si="4"/>
        <v>good</v>
      </c>
    </row>
    <row r="12">
      <c r="A12" s="75" t="s">
        <v>196</v>
      </c>
      <c r="B12" s="76">
        <v>10.0</v>
      </c>
      <c r="C12" s="76">
        <v>90.0</v>
      </c>
      <c r="D12" s="76">
        <v>80.0</v>
      </c>
      <c r="E12" s="77">
        <f t="shared" si="2"/>
        <v>180</v>
      </c>
      <c r="F12" s="46">
        <f t="shared" si="3"/>
        <v>60</v>
      </c>
      <c r="G12" s="10"/>
      <c r="I12" s="11">
        <f t="shared" si="1"/>
        <v>70</v>
      </c>
      <c r="J12" s="12" t="str">
        <f t="shared" si="4"/>
        <v>good</v>
      </c>
    </row>
    <row r="13">
      <c r="A13" s="75" t="s">
        <v>197</v>
      </c>
      <c r="B13" s="76">
        <v>80.0</v>
      </c>
      <c r="C13" s="76">
        <v>70.0</v>
      </c>
      <c r="D13" s="76">
        <v>60.0</v>
      </c>
      <c r="E13" s="77">
        <f t="shared" si="2"/>
        <v>210</v>
      </c>
      <c r="F13" s="46">
        <f t="shared" si="3"/>
        <v>70</v>
      </c>
      <c r="G13" s="10"/>
      <c r="I13" s="11">
        <f t="shared" si="1"/>
        <v>20</v>
      </c>
      <c r="J13" s="12" t="str">
        <f t="shared" si="4"/>
        <v>good</v>
      </c>
    </row>
    <row r="14">
      <c r="A14" s="75" t="s">
        <v>198</v>
      </c>
      <c r="B14" s="76">
        <v>30.0</v>
      </c>
      <c r="C14" s="76">
        <v>10.0</v>
      </c>
      <c r="D14" s="76">
        <v>20.0</v>
      </c>
      <c r="E14" s="77">
        <f t="shared" si="2"/>
        <v>60</v>
      </c>
      <c r="F14" s="46">
        <f t="shared" si="3"/>
        <v>20</v>
      </c>
      <c r="G14" s="10"/>
      <c r="I14" s="11">
        <f t="shared" si="1"/>
        <v>20</v>
      </c>
      <c r="J14" s="12" t="str">
        <f t="shared" si="4"/>
        <v>bad</v>
      </c>
    </row>
    <row r="15">
      <c r="A15" s="78" t="s">
        <v>199</v>
      </c>
      <c r="B15" s="79">
        <v>10.0</v>
      </c>
      <c r="C15" s="79">
        <v>20.0</v>
      </c>
      <c r="D15" s="79">
        <v>30.0</v>
      </c>
      <c r="E15" s="80">
        <f t="shared" si="2"/>
        <v>60</v>
      </c>
      <c r="F15" s="46">
        <f t="shared" si="3"/>
        <v>20</v>
      </c>
      <c r="G15" s="81"/>
      <c r="I15" s="11">
        <f t="shared" si="1"/>
        <v>0</v>
      </c>
      <c r="J15" s="12" t="str">
        <f t="shared" si="4"/>
        <v>bad</v>
      </c>
    </row>
    <row r="17" ht="19.5" customHeight="1">
      <c r="A17" s="82" t="s">
        <v>200</v>
      </c>
      <c r="B17" s="15"/>
      <c r="C17" s="15"/>
      <c r="D17" s="15"/>
      <c r="F17" s="83" t="s">
        <v>201</v>
      </c>
      <c r="G17" s="12">
        <f>COUNTA(A6:A15)</f>
        <v>10</v>
      </c>
    </row>
    <row r="18" ht="19.5" customHeight="1">
      <c r="A18" s="84" t="s">
        <v>202</v>
      </c>
      <c r="F18" s="83" t="s">
        <v>203</v>
      </c>
      <c r="G18" s="12">
        <f>COUNTIF(I5:I14,"&gt;50")</f>
        <v>5</v>
      </c>
    </row>
    <row r="19" ht="19.5" customHeight="1">
      <c r="A19" s="84" t="s">
        <v>204</v>
      </c>
      <c r="B19" s="15"/>
      <c r="C19" s="15"/>
      <c r="D19" s="15"/>
      <c r="F19" s="83" t="s">
        <v>205</v>
      </c>
      <c r="G19" s="12">
        <f>SUMIF(A6:A15,A7,E6:E15)</f>
        <v>120</v>
      </c>
    </row>
    <row r="20" ht="19.5" customHeight="1">
      <c r="A20" s="15" t="s">
        <v>206</v>
      </c>
      <c r="B20" s="15"/>
      <c r="C20" s="15"/>
      <c r="D20" s="15"/>
    </row>
    <row r="21" ht="19.5" customHeight="1">
      <c r="A21" s="15" t="s">
        <v>207</v>
      </c>
      <c r="B21" s="15"/>
      <c r="C21" s="15"/>
      <c r="D21" s="15"/>
      <c r="F21" s="83" t="s">
        <v>203</v>
      </c>
      <c r="H21" s="12">
        <f>COUNTIF(J6:J15,J10)</f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A2:G2"/>
    <mergeCell ref="B4:D4"/>
    <mergeCell ref="E4:G4"/>
    <mergeCell ref="A18:D1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2.86"/>
    <col customWidth="1" min="3" max="3" width="13.0"/>
    <col customWidth="1" min="4" max="5" width="8.0"/>
    <col customWidth="1" min="6" max="6" width="14.57"/>
    <col customWidth="1" min="7" max="7" width="10.57"/>
    <col customWidth="1" min="8" max="8" width="16.57"/>
    <col customWidth="1" min="9" max="9" width="19.43"/>
    <col customWidth="1" min="10" max="26" width="8.0"/>
  </cols>
  <sheetData>
    <row r="1" ht="18.75" customHeight="1">
      <c r="A1" s="19" t="s">
        <v>208</v>
      </c>
    </row>
    <row r="2">
      <c r="A2" s="67" t="s">
        <v>209</v>
      </c>
      <c r="B2" s="68"/>
      <c r="C2" s="68"/>
      <c r="D2" s="68"/>
      <c r="E2" s="68"/>
      <c r="F2" s="68"/>
      <c r="G2" s="68"/>
    </row>
    <row r="4">
      <c r="A4" s="15" t="s">
        <v>210</v>
      </c>
      <c r="B4" s="15"/>
      <c r="C4" s="85" t="s">
        <v>211</v>
      </c>
      <c r="D4" s="85"/>
      <c r="E4" s="85"/>
      <c r="F4" s="85"/>
      <c r="G4" s="85"/>
    </row>
    <row r="6" ht="15.75" customHeight="1">
      <c r="A6" s="86" t="s">
        <v>212</v>
      </c>
      <c r="B6" s="86" t="s">
        <v>213</v>
      </c>
      <c r="C6" s="86" t="s">
        <v>214</v>
      </c>
      <c r="F6" s="87" t="s">
        <v>212</v>
      </c>
      <c r="G6" s="87" t="s">
        <v>215</v>
      </c>
      <c r="H6" s="87" t="s">
        <v>216</v>
      </c>
      <c r="I6" s="87" t="s">
        <v>217</v>
      </c>
    </row>
    <row r="7">
      <c r="A7" s="88">
        <v>110608.0</v>
      </c>
      <c r="B7" s="88" t="s">
        <v>218</v>
      </c>
      <c r="C7" s="88" t="s">
        <v>219</v>
      </c>
      <c r="D7" s="89"/>
      <c r="E7" s="89"/>
      <c r="F7" s="90">
        <v>602693.0</v>
      </c>
      <c r="G7" s="91">
        <v>84289.0</v>
      </c>
      <c r="H7" s="7" t="str">
        <f>LOOKUP(F7,$A$7:$A$19,$C$7:$C$19)</f>
        <v>Micheal</v>
      </c>
      <c r="I7" s="7" t="str">
        <f>LOOKUP(F7,$A$7:$A$19,$B$7:$B$19)</f>
        <v>Vick</v>
      </c>
    </row>
    <row r="8">
      <c r="A8" s="88">
        <v>253072.0</v>
      </c>
      <c r="B8" s="88" t="s">
        <v>220</v>
      </c>
      <c r="C8" s="88" t="s">
        <v>221</v>
      </c>
      <c r="D8" s="89"/>
      <c r="E8" s="89"/>
      <c r="F8" s="90">
        <v>611810.0</v>
      </c>
      <c r="G8" s="91">
        <v>137670.0</v>
      </c>
      <c r="H8" s="7"/>
      <c r="I8" s="7"/>
    </row>
    <row r="9">
      <c r="A9" s="88">
        <v>352711.0</v>
      </c>
      <c r="B9" s="88" t="s">
        <v>222</v>
      </c>
      <c r="C9" s="88" t="s">
        <v>219</v>
      </c>
      <c r="D9" s="89"/>
      <c r="E9" s="89"/>
      <c r="F9" s="90">
        <v>549457.0</v>
      </c>
      <c r="G9" s="91">
        <v>190024.0</v>
      </c>
      <c r="H9" s="7"/>
      <c r="I9" s="7"/>
    </row>
    <row r="10">
      <c r="A10" s="88">
        <v>391006.0</v>
      </c>
      <c r="B10" s="88" t="s">
        <v>223</v>
      </c>
      <c r="C10" s="88" t="s">
        <v>224</v>
      </c>
      <c r="D10" s="89"/>
      <c r="E10" s="89"/>
      <c r="F10" s="90">
        <v>612235.0</v>
      </c>
      <c r="G10" s="91">
        <v>122604.0</v>
      </c>
      <c r="H10" s="7"/>
      <c r="I10" s="7"/>
    </row>
    <row r="11">
      <c r="A11" s="88">
        <v>392128.0</v>
      </c>
      <c r="B11" s="88" t="s">
        <v>225</v>
      </c>
      <c r="C11" s="88" t="s">
        <v>226</v>
      </c>
      <c r="D11" s="89"/>
      <c r="E11" s="89"/>
      <c r="F11" s="90">
        <v>580622.0</v>
      </c>
      <c r="G11" s="91">
        <v>111709.0</v>
      </c>
      <c r="H11" s="7"/>
      <c r="I11" s="7"/>
    </row>
    <row r="12">
      <c r="A12" s="88">
        <v>549457.0</v>
      </c>
      <c r="B12" s="88" t="s">
        <v>227</v>
      </c>
      <c r="C12" s="88" t="s">
        <v>219</v>
      </c>
      <c r="D12" s="89"/>
      <c r="E12" s="89"/>
      <c r="F12" s="90">
        <v>830385.0</v>
      </c>
      <c r="G12" s="91">
        <v>85931.0</v>
      </c>
      <c r="H12" s="7"/>
      <c r="I12" s="7"/>
    </row>
    <row r="13">
      <c r="A13" s="88">
        <v>580622.0</v>
      </c>
      <c r="B13" s="88" t="s">
        <v>228</v>
      </c>
      <c r="C13" s="88" t="s">
        <v>229</v>
      </c>
      <c r="D13" s="89"/>
      <c r="E13" s="89"/>
      <c r="F13" s="90">
        <v>253072.0</v>
      </c>
      <c r="G13" s="91">
        <v>168114.0</v>
      </c>
      <c r="H13" s="7"/>
      <c r="I13" s="7"/>
    </row>
    <row r="14">
      <c r="A14" s="88">
        <v>602693.0</v>
      </c>
      <c r="B14" s="88" t="s">
        <v>230</v>
      </c>
      <c r="C14" s="88" t="s">
        <v>231</v>
      </c>
      <c r="D14" s="89"/>
      <c r="E14" s="89"/>
      <c r="F14" s="90">
        <v>391006.0</v>
      </c>
      <c r="G14" s="91">
        <v>89627.0</v>
      </c>
      <c r="H14" s="7"/>
      <c r="I14" s="7"/>
    </row>
    <row r="15">
      <c r="A15" s="88">
        <v>611810.0</v>
      </c>
      <c r="B15" s="88" t="s">
        <v>232</v>
      </c>
      <c r="C15" s="88" t="s">
        <v>233</v>
      </c>
      <c r="D15" s="89"/>
      <c r="E15" s="89"/>
      <c r="F15" s="90">
        <v>990678.0</v>
      </c>
      <c r="G15" s="91">
        <v>149946.0</v>
      </c>
      <c r="H15" s="7"/>
      <c r="I15" s="7" t="str">
        <f>LOOKUP(F15,A$6:A$19,B6:B19)</f>
        <v>Pitt</v>
      </c>
    </row>
    <row r="16">
      <c r="A16" s="88">
        <v>612235.0</v>
      </c>
      <c r="B16" s="88" t="s">
        <v>234</v>
      </c>
      <c r="C16" s="88" t="s">
        <v>231</v>
      </c>
      <c r="D16" s="89"/>
      <c r="E16" s="89"/>
      <c r="F16" s="90">
        <v>795574.0</v>
      </c>
      <c r="G16" s="91">
        <v>145893.0</v>
      </c>
      <c r="H16" s="7"/>
      <c r="I16" s="7"/>
    </row>
    <row r="17">
      <c r="A17" s="88">
        <v>795574.0</v>
      </c>
      <c r="B17" s="88" t="s">
        <v>235</v>
      </c>
      <c r="C17" s="88" t="s">
        <v>236</v>
      </c>
      <c r="D17" s="89"/>
      <c r="E17" s="89"/>
      <c r="F17" s="90">
        <v>392128.0</v>
      </c>
      <c r="G17" s="91">
        <v>64757.0</v>
      </c>
      <c r="H17" s="7"/>
      <c r="I17" s="7"/>
    </row>
    <row r="18">
      <c r="A18" s="88">
        <v>830385.0</v>
      </c>
      <c r="B18" s="88" t="s">
        <v>237</v>
      </c>
      <c r="C18" s="88" t="s">
        <v>238</v>
      </c>
      <c r="D18" s="89"/>
      <c r="E18" s="89"/>
      <c r="F18" s="90">
        <v>352711.0</v>
      </c>
      <c r="G18" s="91">
        <v>71478.0</v>
      </c>
      <c r="H18" s="7"/>
      <c r="I18" s="7"/>
    </row>
    <row r="19">
      <c r="A19" s="88">
        <v>990678.0</v>
      </c>
      <c r="B19" s="88" t="s">
        <v>239</v>
      </c>
      <c r="C19" s="88" t="s">
        <v>240</v>
      </c>
      <c r="D19" s="89"/>
      <c r="E19" s="89"/>
      <c r="F19" s="90">
        <v>110608.0</v>
      </c>
      <c r="G19" s="91">
        <v>121444.0</v>
      </c>
      <c r="H19" s="7"/>
      <c r="I19" s="7"/>
    </row>
    <row r="20">
      <c r="B20" s="17" t="s">
        <v>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6.29"/>
    <col customWidth="1" min="3" max="3" width="12.0"/>
    <col customWidth="1" min="4" max="4" width="15.0"/>
    <col customWidth="1" min="5" max="5" width="20.71"/>
    <col customWidth="1" min="6" max="6" width="10.71"/>
    <col customWidth="1" min="7" max="26" width="8.0"/>
  </cols>
  <sheetData>
    <row r="1" ht="18.75" customHeight="1"/>
    <row r="2">
      <c r="A2" s="67" t="s">
        <v>242</v>
      </c>
      <c r="B2" s="68"/>
      <c r="C2" s="68"/>
      <c r="D2" s="68"/>
      <c r="E2" s="68"/>
      <c r="F2" s="68"/>
      <c r="G2" s="68"/>
    </row>
    <row r="4" ht="26.25" customHeight="1">
      <c r="A4" s="19" t="s">
        <v>243</v>
      </c>
    </row>
    <row r="6">
      <c r="A6" s="92" t="s">
        <v>244</v>
      </c>
      <c r="B6" s="92" t="s">
        <v>245</v>
      </c>
      <c r="C6" s="92" t="s">
        <v>246</v>
      </c>
      <c r="D6" s="92" t="s">
        <v>247</v>
      </c>
      <c r="E6" s="92" t="s">
        <v>248</v>
      </c>
      <c r="F6" s="92" t="s">
        <v>249</v>
      </c>
    </row>
    <row r="7">
      <c r="A7" s="93" t="s">
        <v>250</v>
      </c>
      <c r="B7" s="9" t="str">
        <f>VLOOKUP(A7,A12:F25,2)</f>
        <v>Adele M. Fulton</v>
      </c>
      <c r="C7" s="9"/>
      <c r="D7" s="9"/>
      <c r="E7" s="9"/>
      <c r="F7" s="9"/>
    </row>
    <row r="8">
      <c r="A8" s="94" t="s">
        <v>251</v>
      </c>
      <c r="B8" s="9"/>
      <c r="C8" s="9"/>
      <c r="D8" s="9"/>
      <c r="E8" s="9"/>
      <c r="F8" s="9"/>
    </row>
    <row r="9">
      <c r="A9" s="94" t="s">
        <v>252</v>
      </c>
      <c r="B9" s="9"/>
      <c r="C9" s="9"/>
      <c r="D9" s="9"/>
      <c r="E9" s="9"/>
      <c r="F9" s="9"/>
    </row>
    <row r="11">
      <c r="A11" s="95" t="s">
        <v>244</v>
      </c>
      <c r="B11" s="95" t="s">
        <v>245</v>
      </c>
      <c r="C11" s="95" t="s">
        <v>246</v>
      </c>
      <c r="D11" s="95" t="s">
        <v>247</v>
      </c>
      <c r="E11" s="95" t="s">
        <v>248</v>
      </c>
      <c r="F11" s="95" t="s">
        <v>249</v>
      </c>
    </row>
    <row r="12">
      <c r="A12" s="93" t="s">
        <v>253</v>
      </c>
      <c r="B12" s="96" t="s">
        <v>254</v>
      </c>
      <c r="C12" s="97">
        <v>8.45043962E8</v>
      </c>
      <c r="D12" s="96" t="s">
        <v>255</v>
      </c>
      <c r="E12" s="98">
        <v>39474.0</v>
      </c>
      <c r="F12" s="99">
        <v>73500.0</v>
      </c>
    </row>
    <row r="13">
      <c r="A13" s="93" t="s">
        <v>251</v>
      </c>
      <c r="B13" s="96" t="s">
        <v>256</v>
      </c>
      <c r="C13" s="97">
        <v>3.45284935E8</v>
      </c>
      <c r="D13" s="96" t="s">
        <v>257</v>
      </c>
      <c r="E13" s="98">
        <v>39508.0</v>
      </c>
      <c r="F13" s="99">
        <v>80000.0</v>
      </c>
    </row>
    <row r="14">
      <c r="A14" s="93" t="s">
        <v>252</v>
      </c>
      <c r="B14" s="96" t="s">
        <v>258</v>
      </c>
      <c r="C14" s="97">
        <v>5.0353835E8</v>
      </c>
      <c r="D14" s="96" t="s">
        <v>255</v>
      </c>
      <c r="E14" s="98">
        <v>39554.0</v>
      </c>
      <c r="F14" s="99">
        <v>95000.0</v>
      </c>
    </row>
    <row r="15">
      <c r="A15" s="93" t="s">
        <v>259</v>
      </c>
      <c r="B15" s="96" t="s">
        <v>260</v>
      </c>
      <c r="C15" s="97">
        <v>8.58397967E8</v>
      </c>
      <c r="D15" s="96" t="s">
        <v>255</v>
      </c>
      <c r="E15" s="98">
        <v>39571.0</v>
      </c>
      <c r="F15" s="99">
        <v>105000.0</v>
      </c>
    </row>
    <row r="16">
      <c r="A16" s="93" t="s">
        <v>261</v>
      </c>
      <c r="B16" s="96" t="s">
        <v>262</v>
      </c>
      <c r="C16" s="97">
        <v>2.4518589E8</v>
      </c>
      <c r="D16" s="96" t="s">
        <v>263</v>
      </c>
      <c r="E16" s="98">
        <v>39640.0</v>
      </c>
      <c r="F16" s="99">
        <v>90000.0</v>
      </c>
    </row>
    <row r="17">
      <c r="A17" s="93" t="s">
        <v>264</v>
      </c>
      <c r="B17" s="96" t="s">
        <v>265</v>
      </c>
      <c r="C17" s="97">
        <v>8.73458675E8</v>
      </c>
      <c r="D17" s="96" t="s">
        <v>266</v>
      </c>
      <c r="E17" s="98">
        <v>39646.0</v>
      </c>
      <c r="F17" s="99">
        <v>60000.0</v>
      </c>
    </row>
    <row r="18">
      <c r="A18" s="93" t="s">
        <v>267</v>
      </c>
      <c r="B18" s="96" t="s">
        <v>268</v>
      </c>
      <c r="C18" s="97">
        <v>1.90083679E8</v>
      </c>
      <c r="D18" s="96" t="s">
        <v>266</v>
      </c>
      <c r="E18" s="98">
        <v>39726.0</v>
      </c>
      <c r="F18" s="99">
        <v>87000.0</v>
      </c>
    </row>
    <row r="19">
      <c r="A19" s="93" t="s">
        <v>250</v>
      </c>
      <c r="B19" s="96" t="s">
        <v>269</v>
      </c>
      <c r="C19" s="97">
        <v>3.52369553E8</v>
      </c>
      <c r="D19" s="96" t="s">
        <v>263</v>
      </c>
      <c r="E19" s="98">
        <v>39749.0</v>
      </c>
      <c r="F19" s="99">
        <v>104000.0</v>
      </c>
    </row>
    <row r="20">
      <c r="A20" s="93" t="s">
        <v>270</v>
      </c>
      <c r="B20" s="96" t="s">
        <v>271</v>
      </c>
      <c r="C20" s="97">
        <v>6.45740451E8</v>
      </c>
      <c r="D20" s="96" t="s">
        <v>255</v>
      </c>
      <c r="E20" s="98">
        <v>39757.0</v>
      </c>
      <c r="F20" s="99">
        <v>380050.0</v>
      </c>
    </row>
    <row r="21" ht="15.75" customHeight="1">
      <c r="A21" s="93" t="s">
        <v>272</v>
      </c>
      <c r="B21" s="96" t="s">
        <v>273</v>
      </c>
      <c r="C21" s="97">
        <v>5.58531475E8</v>
      </c>
      <c r="D21" s="96" t="s">
        <v>255</v>
      </c>
      <c r="E21" s="98">
        <v>39791.0</v>
      </c>
      <c r="F21" s="99">
        <v>93000.0</v>
      </c>
    </row>
    <row r="22" ht="15.75" customHeight="1">
      <c r="A22" s="93" t="s">
        <v>274</v>
      </c>
      <c r="B22" s="96" t="s">
        <v>275</v>
      </c>
      <c r="C22" s="97">
        <v>1.29426148E8</v>
      </c>
      <c r="D22" s="96" t="s">
        <v>257</v>
      </c>
      <c r="E22" s="98">
        <v>39856.0</v>
      </c>
      <c r="F22" s="99">
        <v>180000.0</v>
      </c>
    </row>
    <row r="23" ht="15.75" customHeight="1">
      <c r="A23" s="93" t="s">
        <v>276</v>
      </c>
      <c r="B23" s="96" t="s">
        <v>277</v>
      </c>
      <c r="C23" s="97">
        <v>7.96504767E8</v>
      </c>
      <c r="D23" s="96" t="s">
        <v>255</v>
      </c>
      <c r="E23" s="98">
        <v>39891.0</v>
      </c>
      <c r="F23" s="99">
        <v>100000.0</v>
      </c>
    </row>
    <row r="24" ht="15.75" customHeight="1">
      <c r="A24" s="93" t="s">
        <v>278</v>
      </c>
      <c r="B24" s="96" t="s">
        <v>279</v>
      </c>
      <c r="C24" s="97">
        <v>2.66481339E8</v>
      </c>
      <c r="D24" s="96" t="s">
        <v>280</v>
      </c>
      <c r="E24" s="98">
        <v>39916.0</v>
      </c>
      <c r="F24" s="99">
        <v>136000.0</v>
      </c>
    </row>
    <row r="25" ht="15.75" customHeight="1">
      <c r="A25" s="93" t="s">
        <v>281</v>
      </c>
      <c r="B25" s="96" t="s">
        <v>282</v>
      </c>
      <c r="C25" s="97">
        <v>6.63003285E8</v>
      </c>
      <c r="D25" s="96" t="s">
        <v>255</v>
      </c>
      <c r="E25" s="98">
        <v>39931.0</v>
      </c>
      <c r="F25" s="99">
        <v>68000.0</v>
      </c>
    </row>
    <row r="26" ht="15.75" customHeight="1"/>
    <row r="27" ht="19.5" customHeight="1">
      <c r="A27" s="100" t="s">
        <v>283</v>
      </c>
      <c r="B27" s="15"/>
      <c r="C27" s="15"/>
      <c r="D27" s="15"/>
      <c r="E27" s="56" t="s">
        <v>284</v>
      </c>
      <c r="F27" s="12">
        <f>COUNTA(B12:B25)</f>
        <v>14</v>
      </c>
    </row>
    <row r="28" ht="19.5" customHeight="1">
      <c r="A28" s="100" t="s">
        <v>285</v>
      </c>
      <c r="B28" s="15"/>
      <c r="C28" s="15"/>
      <c r="D28" s="15"/>
      <c r="E28" s="56" t="s">
        <v>286</v>
      </c>
      <c r="F28" s="12">
        <f>COUNTIF(D12:D25,D17)</f>
        <v>2</v>
      </c>
      <c r="G28" s="12">
        <f>COUNTIF(D12:D25,D15)</f>
        <v>7</v>
      </c>
    </row>
    <row r="29" ht="19.5" customHeight="1">
      <c r="A29" s="15" t="s">
        <v>287</v>
      </c>
      <c r="B29" s="15"/>
      <c r="C29" s="15"/>
      <c r="D29" s="15"/>
      <c r="E29" s="56" t="s">
        <v>89</v>
      </c>
      <c r="F29" s="12" t="str">
        <f>VLOOKUP(B16,B11:F25,3,0)</f>
        <v>Engineering</v>
      </c>
      <c r="G29" s="99">
        <f>VLOOKUP(B16,B11:F25,5,0)</f>
        <v>90000</v>
      </c>
    </row>
    <row r="30" ht="19.5" customHeight="1">
      <c r="A30" s="15" t="s">
        <v>288</v>
      </c>
      <c r="B30" s="15"/>
      <c r="C30" s="15"/>
      <c r="D30" s="15"/>
      <c r="E30" s="56" t="s">
        <v>89</v>
      </c>
      <c r="F30" s="101">
        <f>VLOOKUP(B16,B11:F25,2,0)</f>
        <v>245185890</v>
      </c>
    </row>
    <row r="31" ht="19.5" customHeight="1">
      <c r="A31" s="15" t="s">
        <v>289</v>
      </c>
      <c r="B31" s="15"/>
      <c r="C31" s="15"/>
      <c r="D31" s="15"/>
      <c r="E31" s="56" t="s">
        <v>29</v>
      </c>
      <c r="F31" s="12">
        <f>SUMIF(D12:D25,D15,F12:F25)</f>
        <v>914550</v>
      </c>
    </row>
    <row r="32" ht="15.75" customHeight="1"/>
    <row r="33" ht="15.75" customHeight="1"/>
    <row r="34" ht="15.75" customHeight="1">
      <c r="B34" s="12">
        <f>AVERAGEA(B21:B25)</f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A4:G4"/>
  </mergeCells>
  <dataValidations>
    <dataValidation type="list" allowBlank="1" showInputMessage="1" showErrorMessage="1" prompt="Employee ID - Select Employee ID" sqref="A8:A9">
      <formula1>$B$18:$B$31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8.0"/>
    <col customWidth="1" min="3" max="3" width="10.71"/>
    <col customWidth="1" min="4" max="4" width="9.86"/>
    <col customWidth="1" min="5" max="26" width="8.0"/>
  </cols>
  <sheetData>
    <row r="1" ht="18.75" customHeight="1">
      <c r="A1" s="19" t="s">
        <v>290</v>
      </c>
    </row>
    <row r="2">
      <c r="A2" s="67" t="s">
        <v>291</v>
      </c>
      <c r="B2" s="68"/>
      <c r="C2" s="68"/>
      <c r="D2" s="68"/>
      <c r="E2" s="68"/>
      <c r="F2" s="68"/>
      <c r="G2" s="68"/>
    </row>
    <row r="4">
      <c r="A4" s="102" t="s">
        <v>292</v>
      </c>
      <c r="B4" s="103" t="s">
        <v>293</v>
      </c>
      <c r="C4" s="103" t="s">
        <v>294</v>
      </c>
      <c r="D4" s="103" t="s">
        <v>295</v>
      </c>
    </row>
    <row r="5">
      <c r="A5" s="36" t="s">
        <v>296</v>
      </c>
      <c r="B5" s="104">
        <v>2.95</v>
      </c>
      <c r="C5" s="104">
        <v>3.75</v>
      </c>
      <c r="D5" s="104">
        <v>4.15</v>
      </c>
    </row>
    <row r="6">
      <c r="A6" s="36" t="s">
        <v>297</v>
      </c>
      <c r="B6" s="104">
        <v>2.95</v>
      </c>
      <c r="C6" s="104">
        <v>3.65</v>
      </c>
      <c r="D6" s="104">
        <v>4.15</v>
      </c>
    </row>
    <row r="7">
      <c r="A7" s="36" t="s">
        <v>298</v>
      </c>
      <c r="B7" s="104">
        <v>3.75</v>
      </c>
      <c r="C7" s="104">
        <v>3.95</v>
      </c>
      <c r="D7" s="104">
        <v>4.25</v>
      </c>
    </row>
    <row r="8">
      <c r="A8" s="36" t="s">
        <v>299</v>
      </c>
      <c r="B8" s="104">
        <v>3.25</v>
      </c>
      <c r="C8" s="104">
        <v>3.95</v>
      </c>
      <c r="D8" s="104">
        <v>4.4</v>
      </c>
    </row>
    <row r="9">
      <c r="A9" s="36" t="s">
        <v>300</v>
      </c>
      <c r="B9" s="104">
        <v>3.45</v>
      </c>
      <c r="C9" s="104">
        <v>4.15</v>
      </c>
      <c r="D9" s="104">
        <v>4.55</v>
      </c>
    </row>
    <row r="10">
      <c r="A10" s="36" t="s">
        <v>301</v>
      </c>
      <c r="B10" s="104">
        <v>2.0</v>
      </c>
      <c r="C10" s="104">
        <v>2.4</v>
      </c>
      <c r="D10" s="104">
        <v>2.75</v>
      </c>
    </row>
    <row r="11">
      <c r="A11" s="36" t="s">
        <v>302</v>
      </c>
      <c r="B11" s="104">
        <v>3.95</v>
      </c>
      <c r="C11" s="104">
        <v>4.75</v>
      </c>
      <c r="D11" s="104">
        <v>5.15</v>
      </c>
    </row>
    <row r="12">
      <c r="A12" s="36" t="s">
        <v>303</v>
      </c>
      <c r="B12" s="104">
        <v>2.25</v>
      </c>
      <c r="C12" s="104">
        <v>2.5</v>
      </c>
      <c r="D12" s="104">
        <v>2.75</v>
      </c>
    </row>
    <row r="13">
      <c r="A13" s="36" t="s">
        <v>304</v>
      </c>
      <c r="B13" s="104">
        <v>1.75</v>
      </c>
      <c r="C13" s="104">
        <v>1.95</v>
      </c>
      <c r="D13" s="104">
        <v>2.05</v>
      </c>
    </row>
    <row r="14">
      <c r="A14" s="36"/>
      <c r="B14" s="36"/>
      <c r="C14" s="36"/>
      <c r="D14" s="36"/>
    </row>
    <row r="15">
      <c r="A15" s="105" t="s">
        <v>305</v>
      </c>
      <c r="B15" s="106"/>
      <c r="C15" s="106"/>
      <c r="D15" s="106"/>
    </row>
    <row r="16">
      <c r="A16" s="105" t="s">
        <v>306</v>
      </c>
      <c r="B16" s="106"/>
      <c r="C16" s="106"/>
      <c r="D16" s="106"/>
    </row>
    <row r="17">
      <c r="A17" s="36"/>
      <c r="B17" s="36"/>
      <c r="C17" s="36"/>
      <c r="D17" s="36"/>
    </row>
    <row r="18">
      <c r="A18" s="89" t="s">
        <v>307</v>
      </c>
      <c r="B18" s="107">
        <f t="shared" ref="B18:B20" si="1">match(A18,$A$4:$D$4,0)</f>
        <v>3</v>
      </c>
      <c r="C18" s="36" t="s">
        <v>308</v>
      </c>
      <c r="D18" s="36"/>
      <c r="F18" s="12">
        <f>MATCH(A19,$A$4:$D$4,0)</f>
        <v>4</v>
      </c>
    </row>
    <row r="19">
      <c r="A19" s="108" t="s">
        <v>295</v>
      </c>
      <c r="B19" s="107">
        <f t="shared" si="1"/>
        <v>4</v>
      </c>
      <c r="C19" s="36" t="s">
        <v>308</v>
      </c>
      <c r="D19" s="36"/>
      <c r="F19" s="12">
        <f>MATCH(A18,$A$4:$D$4,0)</f>
        <v>3</v>
      </c>
    </row>
    <row r="20">
      <c r="A20" s="108" t="s">
        <v>293</v>
      </c>
      <c r="B20" s="107">
        <f t="shared" si="1"/>
        <v>2</v>
      </c>
      <c r="C20" s="36" t="s">
        <v>308</v>
      </c>
      <c r="D20" s="36"/>
      <c r="F20" s="12">
        <f>MATCH(A20,$A$4:$D$4,0)</f>
        <v>2</v>
      </c>
    </row>
    <row r="21" ht="15.75" customHeight="1"/>
    <row r="22" ht="15.75" customHeight="1">
      <c r="A22" s="105" t="s">
        <v>309</v>
      </c>
      <c r="B22" s="105"/>
      <c r="C22" s="106"/>
      <c r="D22" s="106"/>
      <c r="E22" s="106"/>
    </row>
    <row r="23" ht="15.75" customHeight="1">
      <c r="A23" s="105" t="s">
        <v>310</v>
      </c>
      <c r="B23" s="105"/>
      <c r="C23" s="106"/>
      <c r="D23" s="106"/>
      <c r="E23" s="106"/>
    </row>
    <row r="24" ht="15.75" customHeight="1">
      <c r="A24" s="36"/>
      <c r="B24" s="36"/>
      <c r="C24" s="36"/>
      <c r="D24" s="36"/>
      <c r="E24" s="36"/>
    </row>
    <row r="25" ht="15.75" customHeight="1">
      <c r="A25" s="89" t="s">
        <v>299</v>
      </c>
      <c r="B25" s="89" t="s">
        <v>307</v>
      </c>
      <c r="C25" s="109">
        <f t="shared" ref="C25:C27" si="2">vlookup(A25,$A$4:$D$13,match(B25,$A$4:$D$4,0))</f>
        <v>3.75</v>
      </c>
      <c r="D25" s="36"/>
      <c r="E25" s="36"/>
    </row>
    <row r="26" ht="15.75" customHeight="1">
      <c r="A26" s="12" t="str">
        <f>A25</f>
        <v>Caffe Mocha</v>
      </c>
      <c r="B26" s="12" t="str">
        <f>B4</f>
        <v>TALL</v>
      </c>
      <c r="C26" s="109">
        <f t="shared" si="2"/>
        <v>2.95</v>
      </c>
    </row>
    <row r="27" ht="15.75" customHeight="1">
      <c r="A27" s="12" t="str">
        <f>A25</f>
        <v>Caffe Mocha</v>
      </c>
      <c r="B27" s="12" t="str">
        <f>D4</f>
        <v>VENTI</v>
      </c>
      <c r="C27" s="109">
        <f t="shared" si="2"/>
        <v>4.15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7" width="8.0"/>
    <col customWidth="1" min="8" max="8" width="16.0"/>
    <col customWidth="1" min="9" max="9" width="8.0"/>
    <col customWidth="1" min="10" max="10" width="10.43"/>
    <col customWidth="1" min="11" max="12" width="8.0"/>
    <col customWidth="1" min="13" max="13" width="10.43"/>
    <col customWidth="1" min="14" max="26" width="8.0"/>
  </cols>
  <sheetData>
    <row r="1" ht="18.75" customHeight="1">
      <c r="A1" s="19" t="s">
        <v>311</v>
      </c>
    </row>
    <row r="2">
      <c r="A2" s="21" t="s">
        <v>312</v>
      </c>
    </row>
    <row r="4" ht="19.5" customHeight="1">
      <c r="A4" s="110" t="s">
        <v>313</v>
      </c>
      <c r="B4" s="111" t="s">
        <v>314</v>
      </c>
      <c r="C4" s="111" t="s">
        <v>315</v>
      </c>
      <c r="D4" s="111" t="s">
        <v>316</v>
      </c>
      <c r="E4" s="111" t="s">
        <v>317</v>
      </c>
      <c r="F4" s="111" t="s">
        <v>318</v>
      </c>
      <c r="G4" s="111" t="s">
        <v>319</v>
      </c>
      <c r="H4" s="111" t="s">
        <v>320</v>
      </c>
      <c r="I4" s="111" t="s">
        <v>321</v>
      </c>
      <c r="J4" s="112" t="s">
        <v>322</v>
      </c>
    </row>
    <row r="5" ht="19.5" customHeight="1">
      <c r="A5" s="113" t="s">
        <v>323</v>
      </c>
      <c r="B5" s="114">
        <v>2773.0</v>
      </c>
      <c r="C5" s="114">
        <v>17462.0</v>
      </c>
      <c r="D5" s="114">
        <v>5954.0</v>
      </c>
      <c r="E5" s="114">
        <v>1348.0</v>
      </c>
      <c r="F5" s="114">
        <v>28158.0</v>
      </c>
      <c r="G5" s="114">
        <v>28799.0</v>
      </c>
      <c r="H5" s="114">
        <v>25415.0</v>
      </c>
      <c r="I5" s="114">
        <v>17227.0</v>
      </c>
      <c r="J5" s="114">
        <f t="shared" ref="J5:J6" si="1">SUM(B5:I5)</f>
        <v>127136</v>
      </c>
    </row>
    <row r="6" ht="19.5" customHeight="1">
      <c r="A6" s="113" t="s">
        <v>324</v>
      </c>
      <c r="B6" s="114">
        <v>12908.0</v>
      </c>
      <c r="C6" s="114">
        <v>3083.0</v>
      </c>
      <c r="D6" s="114">
        <v>24492.0</v>
      </c>
      <c r="E6" s="114">
        <v>5825.0</v>
      </c>
      <c r="F6" s="114">
        <v>1080.0</v>
      </c>
      <c r="G6" s="114">
        <v>2188.0</v>
      </c>
      <c r="H6" s="114">
        <v>11087.0</v>
      </c>
      <c r="I6" s="114">
        <v>15544.0</v>
      </c>
      <c r="J6" s="115">
        <f t="shared" si="1"/>
        <v>76207</v>
      </c>
    </row>
    <row r="7" ht="19.5" customHeight="1">
      <c r="A7" s="113" t="s">
        <v>325</v>
      </c>
      <c r="B7" s="114">
        <v>6554.0</v>
      </c>
      <c r="C7" s="114">
        <v>14262.0</v>
      </c>
      <c r="D7" s="114">
        <v>8377.0</v>
      </c>
      <c r="E7" s="114">
        <v>24982.0</v>
      </c>
      <c r="F7" s="114">
        <v>12184.0</v>
      </c>
      <c r="G7" s="114">
        <v>6430.0</v>
      </c>
      <c r="H7" s="114">
        <v>21159.0</v>
      </c>
      <c r="I7" s="114">
        <v>18597.0</v>
      </c>
      <c r="J7" s="9" t="s">
        <v>326</v>
      </c>
      <c r="M7" s="113"/>
    </row>
    <row r="8" ht="19.5" customHeight="1">
      <c r="A8" s="113" t="s">
        <v>327</v>
      </c>
      <c r="B8" s="114">
        <v>28913.0</v>
      </c>
      <c r="C8" s="114">
        <v>1437.0</v>
      </c>
      <c r="D8" s="114">
        <v>20019.0</v>
      </c>
      <c r="E8" s="114">
        <v>13026.0</v>
      </c>
      <c r="F8" s="114">
        <v>26952.0</v>
      </c>
      <c r="G8" s="114">
        <v>27076.0</v>
      </c>
      <c r="H8" s="114">
        <v>7040.0</v>
      </c>
      <c r="I8" s="114">
        <v>10884.0</v>
      </c>
      <c r="J8" s="9" t="s">
        <v>326</v>
      </c>
      <c r="M8" s="113"/>
    </row>
    <row r="9" ht="19.5" customHeight="1">
      <c r="A9" s="113" t="s">
        <v>328</v>
      </c>
      <c r="B9" s="114">
        <v>4768.0</v>
      </c>
      <c r="C9" s="114">
        <v>7622.0</v>
      </c>
      <c r="D9" s="114">
        <v>28918.0</v>
      </c>
      <c r="E9" s="114">
        <v>27141.0</v>
      </c>
      <c r="F9" s="114">
        <v>3578.0</v>
      </c>
      <c r="G9" s="114">
        <v>10092.0</v>
      </c>
      <c r="H9" s="114">
        <v>15207.0</v>
      </c>
      <c r="I9" s="114">
        <v>12771.0</v>
      </c>
      <c r="J9" s="9" t="s">
        <v>326</v>
      </c>
    </row>
    <row r="10" ht="19.5" customHeight="1">
      <c r="A10" s="113" t="s">
        <v>329</v>
      </c>
      <c r="B10" s="114">
        <v>13390.0</v>
      </c>
      <c r="C10" s="114">
        <v>3611.0</v>
      </c>
      <c r="D10" s="114">
        <v>6226.0</v>
      </c>
      <c r="E10" s="114">
        <v>27567.0</v>
      </c>
      <c r="F10" s="114">
        <v>29962.0</v>
      </c>
      <c r="G10" s="114">
        <v>2967.0</v>
      </c>
      <c r="H10" s="114">
        <v>5740.0</v>
      </c>
      <c r="I10" s="114">
        <v>2137.0</v>
      </c>
      <c r="J10" s="9" t="s">
        <v>326</v>
      </c>
    </row>
    <row r="11" ht="19.5" customHeight="1">
      <c r="A11" s="113" t="s">
        <v>330</v>
      </c>
      <c r="B11" s="114">
        <v>17585.0</v>
      </c>
      <c r="C11" s="114">
        <v>28508.0</v>
      </c>
      <c r="D11" s="114">
        <v>9614.0</v>
      </c>
      <c r="E11" s="114">
        <v>17110.0</v>
      </c>
      <c r="F11" s="114">
        <v>12143.0</v>
      </c>
      <c r="G11" s="114">
        <v>7365.0</v>
      </c>
      <c r="H11" s="114">
        <v>24185.0</v>
      </c>
      <c r="I11" s="114">
        <v>1643.0</v>
      </c>
      <c r="J11" s="9" t="s">
        <v>326</v>
      </c>
    </row>
    <row r="12">
      <c r="A12" s="113" t="s">
        <v>331</v>
      </c>
      <c r="B12" s="114">
        <v>22579.0</v>
      </c>
      <c r="C12" s="114">
        <v>16301.0</v>
      </c>
      <c r="D12" s="114">
        <v>6469.0</v>
      </c>
      <c r="E12" s="114">
        <v>22050.0</v>
      </c>
      <c r="F12" s="114">
        <v>8740.0</v>
      </c>
      <c r="G12" s="114">
        <v>18806.0</v>
      </c>
      <c r="H12" s="114">
        <v>3334.0</v>
      </c>
      <c r="I12" s="114">
        <v>3597.0</v>
      </c>
      <c r="J12" s="9" t="s">
        <v>326</v>
      </c>
      <c r="P12" s="116" t="str">
        <f>MATCH(N6,$B$4:$J$4, 0)</f>
        <v>#N/A</v>
      </c>
    </row>
    <row r="14">
      <c r="A14" s="117" t="s">
        <v>332</v>
      </c>
      <c r="G14" s="12">
        <f>COUNTA(A5:A12)</f>
        <v>8</v>
      </c>
    </row>
    <row r="15">
      <c r="A15" s="117" t="s">
        <v>333</v>
      </c>
      <c r="H15" s="17" t="s">
        <v>316</v>
      </c>
      <c r="I15" s="17" t="s">
        <v>320</v>
      </c>
    </row>
    <row r="16">
      <c r="G16" s="17" t="s">
        <v>325</v>
      </c>
      <c r="H16" s="118">
        <f>VLOOKUP(G16,$A$4:$J$12,4,0)</f>
        <v>8377</v>
      </c>
    </row>
    <row r="17">
      <c r="G17" s="17" t="s">
        <v>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71"/>
    <col customWidth="1" min="3" max="3" width="11.29"/>
    <col customWidth="1" min="4" max="4" width="11.14"/>
    <col customWidth="1" min="5" max="26" width="8.0"/>
  </cols>
  <sheetData>
    <row r="1" ht="18.75" customHeight="1">
      <c r="A1" s="1" t="s">
        <v>335</v>
      </c>
      <c r="E1" s="20"/>
      <c r="F1" s="20"/>
      <c r="G1" s="20"/>
      <c r="H1" s="20"/>
      <c r="I1" s="20"/>
      <c r="J1" s="20"/>
    </row>
    <row r="2">
      <c r="A2" s="21" t="s">
        <v>336</v>
      </c>
      <c r="E2" s="15"/>
      <c r="F2" s="15"/>
      <c r="G2" s="15"/>
      <c r="H2" s="15"/>
      <c r="I2" s="15"/>
      <c r="J2" s="15"/>
    </row>
    <row r="4">
      <c r="A4" s="119" t="s">
        <v>213</v>
      </c>
      <c r="B4" s="119" t="s">
        <v>337</v>
      </c>
      <c r="C4" s="119" t="s">
        <v>338</v>
      </c>
      <c r="D4" s="119" t="s">
        <v>339</v>
      </c>
    </row>
    <row r="5">
      <c r="A5" s="9" t="s">
        <v>222</v>
      </c>
      <c r="B5" s="120">
        <v>16753.0</v>
      </c>
      <c r="C5" s="9" t="s">
        <v>340</v>
      </c>
      <c r="D5" s="9" t="s">
        <v>341</v>
      </c>
    </row>
    <row r="6">
      <c r="A6" s="9" t="s">
        <v>342</v>
      </c>
      <c r="B6" s="120">
        <v>14808.0</v>
      </c>
      <c r="C6" s="9" t="s">
        <v>343</v>
      </c>
      <c r="D6" s="9" t="s">
        <v>344</v>
      </c>
    </row>
    <row r="7">
      <c r="A7" s="9" t="s">
        <v>237</v>
      </c>
      <c r="B7" s="120">
        <v>10644.0</v>
      </c>
      <c r="C7" s="9" t="s">
        <v>340</v>
      </c>
      <c r="D7" s="9" t="s">
        <v>345</v>
      </c>
    </row>
    <row r="8">
      <c r="A8" s="9" t="s">
        <v>346</v>
      </c>
      <c r="B8" s="120">
        <v>1390.0</v>
      </c>
      <c r="C8" s="9" t="s">
        <v>343</v>
      </c>
      <c r="D8" s="9" t="s">
        <v>341</v>
      </c>
    </row>
    <row r="9">
      <c r="A9" s="9" t="s">
        <v>347</v>
      </c>
      <c r="B9" s="120">
        <v>4865.0</v>
      </c>
      <c r="C9" s="9" t="s">
        <v>343</v>
      </c>
      <c r="D9" s="9" t="s">
        <v>344</v>
      </c>
    </row>
    <row r="10">
      <c r="A10" s="9" t="s">
        <v>237</v>
      </c>
      <c r="B10" s="120">
        <v>12438.0</v>
      </c>
      <c r="C10" s="9" t="s">
        <v>340</v>
      </c>
      <c r="D10" s="9" t="s">
        <v>348</v>
      </c>
    </row>
    <row r="11">
      <c r="A11" s="9" t="s">
        <v>342</v>
      </c>
      <c r="B11" s="120">
        <v>9339.0</v>
      </c>
      <c r="C11" s="9" t="s">
        <v>340</v>
      </c>
      <c r="D11" s="9" t="s">
        <v>345</v>
      </c>
    </row>
    <row r="12">
      <c r="A12" s="9" t="s">
        <v>222</v>
      </c>
      <c r="B12" s="120">
        <v>18919.0</v>
      </c>
      <c r="C12" s="9" t="s">
        <v>343</v>
      </c>
      <c r="D12" s="9" t="s">
        <v>341</v>
      </c>
    </row>
    <row r="13">
      <c r="A13" s="9" t="s">
        <v>346</v>
      </c>
      <c r="B13" s="120">
        <v>9213.0</v>
      </c>
      <c r="C13" s="9" t="s">
        <v>343</v>
      </c>
      <c r="D13" s="9" t="s">
        <v>344</v>
      </c>
    </row>
    <row r="14">
      <c r="A14" s="9" t="s">
        <v>346</v>
      </c>
      <c r="B14" s="120">
        <v>7433.0</v>
      </c>
      <c r="C14" s="9" t="s">
        <v>340</v>
      </c>
      <c r="D14" s="9" t="s">
        <v>348</v>
      </c>
    </row>
    <row r="15">
      <c r="A15" s="9" t="s">
        <v>347</v>
      </c>
      <c r="B15" s="120">
        <v>3255.0</v>
      </c>
      <c r="C15" s="9" t="s">
        <v>343</v>
      </c>
      <c r="D15" s="9" t="s">
        <v>345</v>
      </c>
    </row>
    <row r="16">
      <c r="A16" s="9" t="s">
        <v>237</v>
      </c>
      <c r="B16" s="120">
        <v>14867.0</v>
      </c>
      <c r="C16" s="9" t="s">
        <v>343</v>
      </c>
      <c r="D16" s="9" t="s">
        <v>341</v>
      </c>
    </row>
    <row r="17">
      <c r="A17" s="9" t="s">
        <v>237</v>
      </c>
      <c r="B17" s="120">
        <v>19302.0</v>
      </c>
      <c r="C17" s="9" t="s">
        <v>340</v>
      </c>
      <c r="D17" s="9" t="s">
        <v>344</v>
      </c>
    </row>
    <row r="18">
      <c r="A18" s="9" t="s">
        <v>222</v>
      </c>
      <c r="B18" s="120">
        <v>9698.0</v>
      </c>
      <c r="C18" s="9" t="s">
        <v>343</v>
      </c>
      <c r="D18" s="9" t="s">
        <v>348</v>
      </c>
    </row>
    <row r="20">
      <c r="A20" s="8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.43"/>
    <col customWidth="1" min="3" max="3" width="10.43"/>
    <col customWidth="1" min="4" max="4" width="10.86"/>
    <col customWidth="1" min="5" max="5" width="9.71"/>
    <col customWidth="1" min="6" max="26" width="8.0"/>
  </cols>
  <sheetData>
    <row r="1" ht="18.75" customHeight="1">
      <c r="A1" s="19" t="s">
        <v>349</v>
      </c>
    </row>
    <row r="2">
      <c r="A2" s="67" t="s">
        <v>350</v>
      </c>
      <c r="B2" s="68"/>
      <c r="C2" s="68"/>
      <c r="D2" s="68"/>
      <c r="E2" s="68"/>
      <c r="F2" s="68"/>
      <c r="G2" s="68"/>
    </row>
    <row r="4">
      <c r="A4" s="121" t="s">
        <v>351</v>
      </c>
      <c r="B4" s="121" t="s">
        <v>352</v>
      </c>
      <c r="C4" s="121" t="s">
        <v>353</v>
      </c>
      <c r="D4" s="121" t="s">
        <v>354</v>
      </c>
      <c r="E4" s="121" t="s">
        <v>355</v>
      </c>
    </row>
    <row r="5">
      <c r="A5" s="122" t="s">
        <v>356</v>
      </c>
      <c r="B5" s="122">
        <v>1998.0</v>
      </c>
      <c r="C5" s="122" t="s">
        <v>357</v>
      </c>
      <c r="D5" s="122" t="s">
        <v>358</v>
      </c>
      <c r="E5" s="123">
        <v>554536.0</v>
      </c>
    </row>
    <row r="6">
      <c r="A6" s="122" t="s">
        <v>356</v>
      </c>
      <c r="B6" s="122">
        <v>1998.0</v>
      </c>
      <c r="C6" s="122" t="s">
        <v>359</v>
      </c>
      <c r="D6" s="122" t="s">
        <v>358</v>
      </c>
      <c r="E6" s="123">
        <v>540643.0</v>
      </c>
    </row>
    <row r="7">
      <c r="A7" s="122" t="s">
        <v>356</v>
      </c>
      <c r="B7" s="122">
        <v>1998.0</v>
      </c>
      <c r="C7" s="122" t="s">
        <v>360</v>
      </c>
      <c r="D7" s="122" t="s">
        <v>358</v>
      </c>
      <c r="E7" s="123">
        <v>577548.0</v>
      </c>
    </row>
    <row r="8">
      <c r="A8" s="122" t="s">
        <v>356</v>
      </c>
      <c r="B8" s="122">
        <v>1998.0</v>
      </c>
      <c r="C8" s="122" t="s">
        <v>361</v>
      </c>
      <c r="D8" s="122" t="s">
        <v>358</v>
      </c>
      <c r="E8" s="123">
        <v>455905.0</v>
      </c>
    </row>
    <row r="9">
      <c r="A9" s="122" t="s">
        <v>356</v>
      </c>
      <c r="B9" s="122">
        <v>1998.0</v>
      </c>
      <c r="C9" s="122" t="s">
        <v>362</v>
      </c>
      <c r="D9" s="122" t="s">
        <v>358</v>
      </c>
      <c r="E9" s="123">
        <v>490871.0</v>
      </c>
    </row>
    <row r="10">
      <c r="A10" s="122" t="s">
        <v>356</v>
      </c>
      <c r="B10" s="122">
        <v>1998.0</v>
      </c>
      <c r="C10" s="122" t="s">
        <v>363</v>
      </c>
      <c r="D10" s="122" t="s">
        <v>358</v>
      </c>
      <c r="E10" s="123">
        <v>446383.0</v>
      </c>
    </row>
    <row r="11">
      <c r="A11" s="122" t="s">
        <v>356</v>
      </c>
      <c r="B11" s="122">
        <v>1998.0</v>
      </c>
      <c r="C11" s="122" t="s">
        <v>357</v>
      </c>
      <c r="D11" s="122" t="s">
        <v>364</v>
      </c>
      <c r="E11" s="123">
        <v>457726.0</v>
      </c>
    </row>
    <row r="12">
      <c r="A12" s="122" t="s">
        <v>356</v>
      </c>
      <c r="B12" s="122">
        <v>1998.0</v>
      </c>
      <c r="C12" s="122" t="s">
        <v>359</v>
      </c>
      <c r="D12" s="122" t="s">
        <v>364</v>
      </c>
      <c r="E12" s="123">
        <v>347696.0</v>
      </c>
    </row>
    <row r="13">
      <c r="A13" s="122" t="s">
        <v>356</v>
      </c>
      <c r="B13" s="122">
        <v>1998.0</v>
      </c>
      <c r="C13" s="122" t="s">
        <v>360</v>
      </c>
      <c r="D13" s="122" t="s">
        <v>364</v>
      </c>
      <c r="E13" s="123">
        <v>384541.0</v>
      </c>
    </row>
    <row r="14">
      <c r="A14" s="122" t="s">
        <v>356</v>
      </c>
      <c r="B14" s="122">
        <v>1998.0</v>
      </c>
      <c r="C14" s="122" t="s">
        <v>361</v>
      </c>
      <c r="D14" s="122" t="s">
        <v>364</v>
      </c>
      <c r="E14" s="123">
        <v>386420.0</v>
      </c>
    </row>
    <row r="15">
      <c r="A15" s="122" t="s">
        <v>356</v>
      </c>
      <c r="B15" s="122">
        <v>1998.0</v>
      </c>
      <c r="C15" s="122" t="s">
        <v>362</v>
      </c>
      <c r="D15" s="122" t="s">
        <v>364</v>
      </c>
      <c r="E15" s="123">
        <v>370970.0</v>
      </c>
    </row>
    <row r="16">
      <c r="A16" s="122" t="s">
        <v>356</v>
      </c>
      <c r="B16" s="122">
        <v>1998.0</v>
      </c>
      <c r="C16" s="122" t="s">
        <v>363</v>
      </c>
      <c r="D16" s="122" t="s">
        <v>364</v>
      </c>
      <c r="E16" s="123">
        <v>430754.0</v>
      </c>
    </row>
    <row r="17">
      <c r="A17" s="122" t="s">
        <v>356</v>
      </c>
      <c r="B17" s="122">
        <v>1998.0</v>
      </c>
      <c r="C17" s="122" t="s">
        <v>357</v>
      </c>
      <c r="D17" s="122" t="s">
        <v>365</v>
      </c>
      <c r="E17" s="123">
        <v>500847.0</v>
      </c>
    </row>
    <row r="18">
      <c r="A18" s="122" t="s">
        <v>356</v>
      </c>
      <c r="B18" s="122">
        <v>1998.0</v>
      </c>
      <c r="C18" s="122" t="s">
        <v>359</v>
      </c>
      <c r="D18" s="122" t="s">
        <v>365</v>
      </c>
      <c r="E18" s="123">
        <v>507070.0</v>
      </c>
    </row>
    <row r="19">
      <c r="A19" s="122" t="s">
        <v>356</v>
      </c>
      <c r="B19" s="122">
        <v>1998.0</v>
      </c>
      <c r="C19" s="122" t="s">
        <v>360</v>
      </c>
      <c r="D19" s="122" t="s">
        <v>365</v>
      </c>
      <c r="E19" s="123">
        <v>482346.0</v>
      </c>
    </row>
    <row r="20">
      <c r="A20" s="122" t="s">
        <v>356</v>
      </c>
      <c r="B20" s="122">
        <v>1998.0</v>
      </c>
      <c r="C20" s="122" t="s">
        <v>361</v>
      </c>
      <c r="D20" s="122" t="s">
        <v>365</v>
      </c>
      <c r="E20" s="123">
        <v>608713.0</v>
      </c>
    </row>
    <row r="21" ht="15.75" customHeight="1">
      <c r="A21" s="122" t="s">
        <v>356</v>
      </c>
      <c r="B21" s="122">
        <v>1998.0</v>
      </c>
      <c r="C21" s="122" t="s">
        <v>362</v>
      </c>
      <c r="D21" s="122" t="s">
        <v>365</v>
      </c>
      <c r="E21" s="123">
        <v>150000.0</v>
      </c>
    </row>
    <row r="22" ht="15.75" customHeight="1">
      <c r="A22" s="122" t="s">
        <v>356</v>
      </c>
      <c r="B22" s="122">
        <v>1998.0</v>
      </c>
      <c r="C22" s="122" t="s">
        <v>363</v>
      </c>
      <c r="D22" s="122" t="s">
        <v>365</v>
      </c>
      <c r="E22" s="123">
        <v>500649.0</v>
      </c>
    </row>
    <row r="23" ht="15.75" customHeight="1">
      <c r="A23" s="122" t="s">
        <v>366</v>
      </c>
      <c r="B23" s="122">
        <v>1998.0</v>
      </c>
      <c r="C23" s="122" t="s">
        <v>357</v>
      </c>
      <c r="D23" s="122" t="s">
        <v>358</v>
      </c>
      <c r="E23" s="123">
        <v>545780.0</v>
      </c>
    </row>
    <row r="24" ht="15.75" customHeight="1">
      <c r="A24" s="122" t="s">
        <v>366</v>
      </c>
      <c r="B24" s="122">
        <v>1998.0</v>
      </c>
      <c r="C24" s="122" t="s">
        <v>359</v>
      </c>
      <c r="D24" s="122" t="s">
        <v>358</v>
      </c>
      <c r="E24" s="123">
        <v>440644.0</v>
      </c>
    </row>
    <row r="25" ht="15.75" customHeight="1">
      <c r="A25" s="122" t="s">
        <v>366</v>
      </c>
      <c r="B25" s="122">
        <v>1998.0</v>
      </c>
      <c r="C25" s="122" t="s">
        <v>360</v>
      </c>
      <c r="D25" s="122" t="s">
        <v>358</v>
      </c>
      <c r="E25" s="123">
        <v>580359.0</v>
      </c>
    </row>
    <row r="26" ht="15.75" customHeight="1">
      <c r="A26" s="122" t="s">
        <v>366</v>
      </c>
      <c r="B26" s="122">
        <v>1998.0</v>
      </c>
      <c r="C26" s="122" t="s">
        <v>361</v>
      </c>
      <c r="D26" s="122" t="s">
        <v>358</v>
      </c>
      <c r="E26" s="123">
        <v>536225.0</v>
      </c>
    </row>
    <row r="27" ht="15.75" customHeight="1">
      <c r="A27" s="122" t="s">
        <v>366</v>
      </c>
      <c r="B27" s="122">
        <v>1998.0</v>
      </c>
      <c r="C27" s="122" t="s">
        <v>362</v>
      </c>
      <c r="D27" s="122" t="s">
        <v>358</v>
      </c>
      <c r="E27" s="123">
        <v>414908.0</v>
      </c>
    </row>
    <row r="28" ht="15.75" customHeight="1">
      <c r="A28" s="122" t="s">
        <v>366</v>
      </c>
      <c r="B28" s="122">
        <v>1998.0</v>
      </c>
      <c r="C28" s="122" t="s">
        <v>363</v>
      </c>
      <c r="D28" s="122" t="s">
        <v>358</v>
      </c>
      <c r="E28" s="123">
        <v>377997.0</v>
      </c>
    </row>
    <row r="29" ht="15.75" customHeight="1">
      <c r="A29" s="122" t="s">
        <v>366</v>
      </c>
      <c r="B29" s="122">
        <v>1998.0</v>
      </c>
      <c r="C29" s="122" t="s">
        <v>357</v>
      </c>
      <c r="D29" s="122" t="s">
        <v>364</v>
      </c>
      <c r="E29" s="123">
        <v>331289.0</v>
      </c>
    </row>
    <row r="30" ht="15.75" customHeight="1">
      <c r="A30" s="122" t="s">
        <v>366</v>
      </c>
      <c r="B30" s="122">
        <v>1998.0</v>
      </c>
      <c r="C30" s="122" t="s">
        <v>359</v>
      </c>
      <c r="D30" s="122" t="s">
        <v>364</v>
      </c>
      <c r="E30" s="123">
        <v>384572.0</v>
      </c>
    </row>
    <row r="31" ht="15.75" customHeight="1">
      <c r="A31" s="122" t="s">
        <v>366</v>
      </c>
      <c r="B31" s="122">
        <v>1998.0</v>
      </c>
      <c r="C31" s="122" t="s">
        <v>360</v>
      </c>
      <c r="D31" s="122" t="s">
        <v>364</v>
      </c>
      <c r="E31" s="123">
        <v>365813.0</v>
      </c>
    </row>
    <row r="32" ht="15.75" customHeight="1">
      <c r="A32" s="122" t="s">
        <v>366</v>
      </c>
      <c r="B32" s="122">
        <v>1998.0</v>
      </c>
      <c r="C32" s="122" t="s">
        <v>361</v>
      </c>
      <c r="D32" s="122" t="s">
        <v>364</v>
      </c>
      <c r="E32" s="123">
        <v>396338.0</v>
      </c>
    </row>
    <row r="33" ht="15.75" customHeight="1">
      <c r="A33" s="122" t="s">
        <v>366</v>
      </c>
      <c r="B33" s="122">
        <v>1998.0</v>
      </c>
      <c r="C33" s="122" t="s">
        <v>362</v>
      </c>
      <c r="D33" s="122" t="s">
        <v>364</v>
      </c>
      <c r="E33" s="123">
        <v>453761.0</v>
      </c>
    </row>
    <row r="34" ht="15.75" customHeight="1">
      <c r="A34" s="122" t="s">
        <v>366</v>
      </c>
      <c r="B34" s="122">
        <v>1998.0</v>
      </c>
      <c r="C34" s="122" t="s">
        <v>363</v>
      </c>
      <c r="D34" s="122" t="s">
        <v>364</v>
      </c>
      <c r="E34" s="123">
        <v>356538.0</v>
      </c>
    </row>
    <row r="35" ht="15.75" customHeight="1">
      <c r="A35" s="122" t="s">
        <v>366</v>
      </c>
      <c r="B35" s="122">
        <v>1998.0</v>
      </c>
      <c r="C35" s="122" t="s">
        <v>357</v>
      </c>
      <c r="D35" s="122" t="s">
        <v>365</v>
      </c>
      <c r="E35" s="123">
        <v>606332.0</v>
      </c>
    </row>
    <row r="36" ht="15.75" customHeight="1">
      <c r="A36" s="122" t="s">
        <v>366</v>
      </c>
      <c r="B36" s="122">
        <v>1998.0</v>
      </c>
      <c r="C36" s="122" t="s">
        <v>359</v>
      </c>
      <c r="D36" s="122" t="s">
        <v>365</v>
      </c>
      <c r="E36" s="123">
        <v>535218.0</v>
      </c>
    </row>
    <row r="37" ht="15.75" customHeight="1">
      <c r="A37" s="122" t="s">
        <v>366</v>
      </c>
      <c r="B37" s="122">
        <v>1998.0</v>
      </c>
      <c r="C37" s="122" t="s">
        <v>360</v>
      </c>
      <c r="D37" s="122" t="s">
        <v>365</v>
      </c>
      <c r="E37" s="123">
        <v>493364.0</v>
      </c>
    </row>
    <row r="38" ht="15.75" customHeight="1">
      <c r="A38" s="122" t="s">
        <v>366</v>
      </c>
      <c r="B38" s="122">
        <v>1998.0</v>
      </c>
      <c r="C38" s="122" t="s">
        <v>361</v>
      </c>
      <c r="D38" s="122" t="s">
        <v>365</v>
      </c>
      <c r="E38" s="123">
        <v>559100.0</v>
      </c>
    </row>
    <row r="39" ht="15.75" customHeight="1">
      <c r="A39" s="122" t="s">
        <v>366</v>
      </c>
      <c r="B39" s="122">
        <v>1998.0</v>
      </c>
      <c r="C39" s="122" t="s">
        <v>362</v>
      </c>
      <c r="D39" s="122" t="s">
        <v>365</v>
      </c>
      <c r="E39" s="123">
        <v>220350.0</v>
      </c>
    </row>
    <row r="40" ht="15.75" customHeight="1">
      <c r="A40" s="122" t="s">
        <v>366</v>
      </c>
      <c r="B40" s="122">
        <v>1998.0</v>
      </c>
      <c r="C40" s="122" t="s">
        <v>363</v>
      </c>
      <c r="D40" s="122" t="s">
        <v>365</v>
      </c>
      <c r="E40" s="123">
        <v>476975.0</v>
      </c>
    </row>
    <row r="41" ht="15.75" customHeight="1"/>
    <row r="42" ht="15.75" customHeight="1">
      <c r="A42" s="84" t="s">
        <v>367</v>
      </c>
      <c r="B42" s="15"/>
      <c r="G42" s="56" t="s">
        <v>368</v>
      </c>
      <c r="H42" s="56"/>
    </row>
    <row r="43" ht="15.75" customHeight="1">
      <c r="A43" s="108" t="s">
        <v>369</v>
      </c>
      <c r="B43" s="108"/>
      <c r="C43" s="89"/>
      <c r="D43" s="89"/>
      <c r="G43" s="56" t="s">
        <v>370</v>
      </c>
      <c r="H43" s="56"/>
    </row>
    <row r="44" ht="15.75" customHeight="1">
      <c r="A44" s="108" t="s">
        <v>371</v>
      </c>
      <c r="B44" s="108"/>
      <c r="C44" s="89"/>
      <c r="D44" s="89"/>
      <c r="G44" s="56" t="s">
        <v>372</v>
      </c>
      <c r="H44" s="56"/>
    </row>
    <row r="45" ht="15.75" customHeight="1">
      <c r="A45" s="108" t="s">
        <v>373</v>
      </c>
      <c r="B45" s="108"/>
      <c r="C45" s="89"/>
      <c r="D45" s="89"/>
      <c r="G45" s="56" t="s">
        <v>370</v>
      </c>
      <c r="H45" s="56"/>
    </row>
    <row r="46" ht="15.75" customHeight="1">
      <c r="A46" s="108" t="s">
        <v>374</v>
      </c>
      <c r="B46" s="108"/>
      <c r="C46" s="89"/>
      <c r="D46" s="89"/>
    </row>
    <row r="47" ht="15.75" customHeight="1">
      <c r="A47" s="89"/>
      <c r="B47" s="89"/>
      <c r="C47" s="89"/>
      <c r="D47" s="89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0"/>
    <col customWidth="1" min="3" max="3" width="11.0"/>
    <col customWidth="1" min="4" max="4" width="10.29"/>
    <col customWidth="1" min="5" max="5" width="10.43"/>
    <col customWidth="1" min="6" max="6" width="15.43"/>
    <col customWidth="1" min="7" max="12" width="8.0"/>
    <col customWidth="1" min="13" max="13" width="9.57"/>
    <col customWidth="1" min="14" max="26" width="8.0"/>
  </cols>
  <sheetData>
    <row r="1" ht="18.75" customHeight="1">
      <c r="A1" s="19" t="s">
        <v>375</v>
      </c>
    </row>
    <row r="2">
      <c r="A2" s="21" t="s">
        <v>376</v>
      </c>
    </row>
    <row r="4">
      <c r="A4" s="3" t="s">
        <v>377</v>
      </c>
      <c r="B4" s="4" t="s">
        <v>58</v>
      </c>
      <c r="C4" s="4" t="s">
        <v>378</v>
      </c>
      <c r="D4" s="4" t="s">
        <v>379</v>
      </c>
      <c r="E4" s="4" t="s">
        <v>161</v>
      </c>
      <c r="F4" s="5" t="s">
        <v>338</v>
      </c>
    </row>
    <row r="5">
      <c r="A5" s="6">
        <v>1.0</v>
      </c>
      <c r="B5" s="7" t="s">
        <v>380</v>
      </c>
      <c r="C5" s="7" t="s">
        <v>381</v>
      </c>
      <c r="D5" s="114">
        <v>4270.0</v>
      </c>
      <c r="E5" s="53">
        <v>42375.0</v>
      </c>
      <c r="F5" s="41" t="s">
        <v>382</v>
      </c>
    </row>
    <row r="6">
      <c r="A6" s="6">
        <v>2.0</v>
      </c>
      <c r="B6" s="7" t="s">
        <v>383</v>
      </c>
      <c r="C6" s="7" t="s">
        <v>381</v>
      </c>
      <c r="D6" s="114">
        <v>8239.0</v>
      </c>
      <c r="E6" s="53">
        <v>42376.0</v>
      </c>
      <c r="F6" s="41" t="s">
        <v>384</v>
      </c>
    </row>
    <row r="7">
      <c r="A7" s="6">
        <v>3.0</v>
      </c>
      <c r="B7" s="7" t="s">
        <v>385</v>
      </c>
      <c r="C7" s="7" t="s">
        <v>386</v>
      </c>
      <c r="D7" s="114">
        <v>617.0</v>
      </c>
      <c r="E7" s="53">
        <v>42377.0</v>
      </c>
      <c r="F7" s="41" t="s">
        <v>382</v>
      </c>
    </row>
    <row r="8">
      <c r="A8" s="6">
        <v>4.0</v>
      </c>
      <c r="B8" s="7" t="s">
        <v>385</v>
      </c>
      <c r="C8" s="7" t="s">
        <v>386</v>
      </c>
      <c r="D8" s="114">
        <v>8384.0</v>
      </c>
      <c r="E8" s="53">
        <v>42379.0</v>
      </c>
      <c r="F8" s="41" t="s">
        <v>387</v>
      </c>
    </row>
    <row r="9">
      <c r="A9" s="6">
        <v>5.0</v>
      </c>
      <c r="B9" s="7" t="s">
        <v>388</v>
      </c>
      <c r="C9" s="7" t="s">
        <v>381</v>
      </c>
      <c r="D9" s="114">
        <v>2626.0</v>
      </c>
      <c r="E9" s="53">
        <v>42379.0</v>
      </c>
      <c r="F9" s="41" t="s">
        <v>389</v>
      </c>
    </row>
    <row r="10">
      <c r="A10" s="6">
        <v>6.0</v>
      </c>
      <c r="B10" s="7" t="s">
        <v>390</v>
      </c>
      <c r="C10" s="7" t="s">
        <v>386</v>
      </c>
      <c r="D10" s="114">
        <v>3610.0</v>
      </c>
      <c r="E10" s="53">
        <v>42380.0</v>
      </c>
      <c r="F10" s="41" t="s">
        <v>382</v>
      </c>
    </row>
    <row r="11">
      <c r="A11" s="6">
        <v>7.0</v>
      </c>
      <c r="B11" s="7" t="s">
        <v>383</v>
      </c>
      <c r="C11" s="7" t="s">
        <v>381</v>
      </c>
      <c r="D11" s="114">
        <v>9062.0</v>
      </c>
      <c r="E11" s="53">
        <v>42380.0</v>
      </c>
      <c r="F11" s="41" t="s">
        <v>391</v>
      </c>
    </row>
    <row r="12">
      <c r="A12" s="6">
        <v>8.0</v>
      </c>
      <c r="B12" s="7" t="s">
        <v>385</v>
      </c>
      <c r="C12" s="7" t="s">
        <v>386</v>
      </c>
      <c r="D12" s="114">
        <v>6906.0</v>
      </c>
      <c r="E12" s="53">
        <v>42385.0</v>
      </c>
      <c r="F12" s="41" t="s">
        <v>392</v>
      </c>
    </row>
    <row r="13">
      <c r="A13" s="6">
        <v>9.0</v>
      </c>
      <c r="B13" s="7" t="s">
        <v>393</v>
      </c>
      <c r="C13" s="7" t="s">
        <v>386</v>
      </c>
      <c r="D13" s="114">
        <v>2417.0</v>
      </c>
      <c r="E13" s="53">
        <v>42385.0</v>
      </c>
      <c r="F13" s="41" t="s">
        <v>394</v>
      </c>
    </row>
    <row r="14">
      <c r="A14" s="6">
        <v>10.0</v>
      </c>
      <c r="B14" s="7" t="s">
        <v>393</v>
      </c>
      <c r="C14" s="7" t="s">
        <v>386</v>
      </c>
      <c r="D14" s="114">
        <v>7431.0</v>
      </c>
      <c r="E14" s="53">
        <v>42385.0</v>
      </c>
      <c r="F14" s="41" t="s">
        <v>387</v>
      </c>
    </row>
    <row r="15">
      <c r="A15" s="6">
        <v>11.0</v>
      </c>
      <c r="B15" s="7" t="s">
        <v>385</v>
      </c>
      <c r="C15" s="7" t="s">
        <v>386</v>
      </c>
      <c r="D15" s="114">
        <v>8250.0</v>
      </c>
      <c r="E15" s="53">
        <v>42385.0</v>
      </c>
      <c r="F15" s="41" t="s">
        <v>389</v>
      </c>
    </row>
    <row r="16">
      <c r="A16" s="6">
        <v>12.0</v>
      </c>
      <c r="B16" s="7" t="s">
        <v>383</v>
      </c>
      <c r="C16" s="7" t="s">
        <v>381</v>
      </c>
      <c r="D16" s="114">
        <v>7012.0</v>
      </c>
      <c r="E16" s="53">
        <v>42387.0</v>
      </c>
      <c r="F16" s="41" t="s">
        <v>382</v>
      </c>
    </row>
    <row r="17">
      <c r="A17" s="6">
        <v>13.0</v>
      </c>
      <c r="B17" s="7" t="s">
        <v>380</v>
      </c>
      <c r="C17" s="7" t="s">
        <v>381</v>
      </c>
      <c r="D17" s="114">
        <v>1903.0</v>
      </c>
      <c r="E17" s="53">
        <v>42389.0</v>
      </c>
      <c r="F17" s="41" t="s">
        <v>389</v>
      </c>
    </row>
    <row r="18">
      <c r="A18" s="6">
        <v>14.0</v>
      </c>
      <c r="B18" s="7" t="s">
        <v>383</v>
      </c>
      <c r="C18" s="7" t="s">
        <v>381</v>
      </c>
      <c r="D18" s="114">
        <v>2824.0</v>
      </c>
      <c r="E18" s="53">
        <v>42391.0</v>
      </c>
      <c r="F18" s="41" t="s">
        <v>387</v>
      </c>
    </row>
    <row r="19">
      <c r="A19" s="6">
        <v>15.0</v>
      </c>
      <c r="B19" s="7" t="s">
        <v>393</v>
      </c>
      <c r="C19" s="7" t="s">
        <v>386</v>
      </c>
      <c r="D19" s="114">
        <v>6946.0</v>
      </c>
      <c r="E19" s="53">
        <v>42393.0</v>
      </c>
      <c r="F19" s="41" t="s">
        <v>394</v>
      </c>
    </row>
    <row r="20">
      <c r="A20" s="6">
        <v>16.0</v>
      </c>
      <c r="B20" s="7" t="s">
        <v>385</v>
      </c>
      <c r="C20" s="7" t="s">
        <v>386</v>
      </c>
      <c r="D20" s="114">
        <v>2320.0</v>
      </c>
      <c r="E20" s="53">
        <v>42396.0</v>
      </c>
      <c r="F20" s="41" t="s">
        <v>384</v>
      </c>
    </row>
    <row r="21" ht="15.75" customHeight="1">
      <c r="A21" s="6">
        <v>17.0</v>
      </c>
      <c r="B21" s="7" t="s">
        <v>385</v>
      </c>
      <c r="C21" s="7" t="s">
        <v>386</v>
      </c>
      <c r="D21" s="114">
        <v>2116.0</v>
      </c>
      <c r="E21" s="53">
        <v>42397.0</v>
      </c>
      <c r="F21" s="41" t="s">
        <v>382</v>
      </c>
    </row>
    <row r="22" ht="15.75" customHeight="1">
      <c r="A22" s="6">
        <v>18.0</v>
      </c>
      <c r="B22" s="7" t="s">
        <v>385</v>
      </c>
      <c r="C22" s="7" t="s">
        <v>386</v>
      </c>
      <c r="D22" s="114">
        <v>1135.0</v>
      </c>
      <c r="E22" s="53">
        <v>42399.0</v>
      </c>
      <c r="F22" s="41" t="s">
        <v>384</v>
      </c>
    </row>
    <row r="23" ht="15.75" customHeight="1">
      <c r="A23" s="6">
        <v>19.0</v>
      </c>
      <c r="B23" s="7" t="s">
        <v>383</v>
      </c>
      <c r="C23" s="7" t="s">
        <v>381</v>
      </c>
      <c r="D23" s="114">
        <v>3595.0</v>
      </c>
      <c r="E23" s="53">
        <v>42399.0</v>
      </c>
      <c r="F23" s="41" t="s">
        <v>384</v>
      </c>
    </row>
    <row r="24" ht="15.75" customHeight="1">
      <c r="A24" s="6">
        <v>20.0</v>
      </c>
      <c r="B24" s="7" t="s">
        <v>393</v>
      </c>
      <c r="C24" s="7" t="s">
        <v>386</v>
      </c>
      <c r="D24" s="114">
        <v>1161.0</v>
      </c>
      <c r="E24" s="53">
        <v>42402.0</v>
      </c>
      <c r="F24" s="41" t="s">
        <v>382</v>
      </c>
    </row>
    <row r="25" ht="15.75" customHeight="1">
      <c r="A25" s="6">
        <v>21.0</v>
      </c>
      <c r="B25" s="7" t="s">
        <v>390</v>
      </c>
      <c r="C25" s="7" t="s">
        <v>386</v>
      </c>
      <c r="D25" s="114">
        <v>2256.0</v>
      </c>
      <c r="E25" s="53">
        <v>42404.0</v>
      </c>
      <c r="F25" s="41" t="s">
        <v>394</v>
      </c>
    </row>
    <row r="26" ht="15.75" customHeight="1">
      <c r="A26" s="6">
        <v>22.0</v>
      </c>
      <c r="B26" s="7" t="s">
        <v>385</v>
      </c>
      <c r="C26" s="7" t="s">
        <v>386</v>
      </c>
      <c r="D26" s="114">
        <v>1004.0</v>
      </c>
      <c r="E26" s="53">
        <v>42411.0</v>
      </c>
      <c r="F26" s="41" t="s">
        <v>392</v>
      </c>
    </row>
    <row r="27" ht="15.75" customHeight="1">
      <c r="A27" s="6">
        <v>23.0</v>
      </c>
      <c r="B27" s="7" t="s">
        <v>385</v>
      </c>
      <c r="C27" s="7" t="s">
        <v>386</v>
      </c>
      <c r="D27" s="114">
        <v>3642.0</v>
      </c>
      <c r="E27" s="53">
        <v>42414.0</v>
      </c>
      <c r="F27" s="41" t="s">
        <v>387</v>
      </c>
    </row>
    <row r="28" ht="15.75" customHeight="1">
      <c r="A28" s="6">
        <v>24.0</v>
      </c>
      <c r="B28" s="7" t="s">
        <v>385</v>
      </c>
      <c r="C28" s="7" t="s">
        <v>386</v>
      </c>
      <c r="D28" s="114">
        <v>4582.0</v>
      </c>
      <c r="E28" s="53">
        <v>42417.0</v>
      </c>
      <c r="F28" s="41" t="s">
        <v>382</v>
      </c>
      <c r="M28" s="41" t="s">
        <v>387</v>
      </c>
      <c r="N28" s="41" t="s">
        <v>384</v>
      </c>
    </row>
    <row r="29" ht="15.75" customHeight="1">
      <c r="A29" s="6">
        <v>25.0</v>
      </c>
      <c r="B29" s="7" t="s">
        <v>388</v>
      </c>
      <c r="C29" s="7" t="s">
        <v>381</v>
      </c>
      <c r="D29" s="114">
        <v>3559.0</v>
      </c>
      <c r="E29" s="53">
        <v>42417.0</v>
      </c>
      <c r="F29" s="41" t="s">
        <v>384</v>
      </c>
      <c r="L29" s="124" t="s">
        <v>385</v>
      </c>
      <c r="M29" s="17">
        <f t="shared" ref="M29:N29" si="1">COUNTIFS($B$5:$B$34,$L29,$F$5:$F$34,M$28)</f>
        <v>2</v>
      </c>
      <c r="N29" s="17">
        <f t="shared" si="1"/>
        <v>2</v>
      </c>
    </row>
    <row r="30" ht="15.75" customHeight="1">
      <c r="A30" s="6">
        <v>26.0</v>
      </c>
      <c r="B30" s="7" t="s">
        <v>380</v>
      </c>
      <c r="C30" s="7" t="s">
        <v>381</v>
      </c>
      <c r="D30" s="114">
        <v>5154.0</v>
      </c>
      <c r="E30" s="53">
        <v>42417.0</v>
      </c>
      <c r="F30" s="41" t="s">
        <v>391</v>
      </c>
      <c r="L30" s="125" t="s">
        <v>393</v>
      </c>
      <c r="M30" s="17">
        <f t="shared" ref="M30:N30" si="2">COUNTIFS($B$5:$B$34,$L30,$F$5:$F$34,M$28)</f>
        <v>1</v>
      </c>
      <c r="N30" s="17">
        <f t="shared" si="2"/>
        <v>0</v>
      </c>
    </row>
    <row r="31" ht="15.75" customHeight="1">
      <c r="A31" s="6">
        <v>27.0</v>
      </c>
      <c r="B31" s="7" t="s">
        <v>395</v>
      </c>
      <c r="C31" s="7" t="s">
        <v>386</v>
      </c>
      <c r="D31" s="114">
        <v>7388.0</v>
      </c>
      <c r="E31" s="53">
        <v>42418.0</v>
      </c>
      <c r="F31" s="41" t="s">
        <v>394</v>
      </c>
    </row>
    <row r="32" ht="15.75" customHeight="1">
      <c r="A32" s="6">
        <v>28.0</v>
      </c>
      <c r="B32" s="7" t="s">
        <v>388</v>
      </c>
      <c r="C32" s="7" t="s">
        <v>381</v>
      </c>
      <c r="D32" s="114">
        <v>7163.0</v>
      </c>
      <c r="E32" s="53">
        <v>42418.0</v>
      </c>
      <c r="F32" s="41" t="s">
        <v>382</v>
      </c>
    </row>
    <row r="33" ht="15.75" customHeight="1">
      <c r="A33" s="6">
        <v>29.0</v>
      </c>
      <c r="B33" s="7" t="s">
        <v>388</v>
      </c>
      <c r="C33" s="7" t="s">
        <v>381</v>
      </c>
      <c r="D33" s="114">
        <v>5101.0</v>
      </c>
      <c r="E33" s="53">
        <v>42420.0</v>
      </c>
      <c r="F33" s="41" t="s">
        <v>389</v>
      </c>
    </row>
    <row r="34" ht="15.75" customHeight="1">
      <c r="A34" s="13">
        <v>30.0</v>
      </c>
      <c r="B34" s="14" t="s">
        <v>393</v>
      </c>
      <c r="C34" s="14" t="s">
        <v>386</v>
      </c>
      <c r="D34" s="126">
        <v>7602.0</v>
      </c>
      <c r="E34" s="54">
        <v>42421.0</v>
      </c>
      <c r="F34" s="127" t="s">
        <v>394</v>
      </c>
    </row>
    <row r="35" ht="15.75" customHeight="1">
      <c r="H35" s="17" t="s">
        <v>396</v>
      </c>
      <c r="I35" s="17" t="s">
        <v>397</v>
      </c>
      <c r="J35" s="17" t="s">
        <v>398</v>
      </c>
    </row>
    <row r="36" ht="15.75" customHeight="1">
      <c r="A36" s="15" t="s">
        <v>399</v>
      </c>
      <c r="B36" s="15"/>
      <c r="C36" s="15"/>
      <c r="D36" s="15"/>
      <c r="F36" s="56" t="s">
        <v>286</v>
      </c>
      <c r="G36" s="56"/>
      <c r="H36" s="56">
        <f>COUNTIF(C5:C34,C31)</f>
        <v>18</v>
      </c>
      <c r="I36" s="12">
        <f>COUNTIF(C5:C34,C30)</f>
        <v>12</v>
      </c>
      <c r="J36" s="12">
        <f>SUMIF( B5:B34,B26,D5:D34)</f>
        <v>38956</v>
      </c>
    </row>
    <row r="37" ht="15.75" customHeight="1">
      <c r="A37" s="15" t="s">
        <v>400</v>
      </c>
      <c r="B37" s="15"/>
      <c r="C37" s="15"/>
      <c r="D37" s="15"/>
      <c r="F37" s="56" t="s">
        <v>401</v>
      </c>
      <c r="G37" s="56"/>
      <c r="H37" s="56">
        <f>SUMIF(B5:B34,B24,D5:D34)</f>
        <v>25557</v>
      </c>
    </row>
    <row r="38" ht="15.75" customHeight="1">
      <c r="A38" s="15" t="s">
        <v>402</v>
      </c>
      <c r="B38" s="15"/>
      <c r="C38" s="15"/>
      <c r="D38" s="15"/>
      <c r="F38" s="56"/>
      <c r="G38" s="56" t="s">
        <v>34</v>
      </c>
      <c r="H38" s="56"/>
      <c r="I38" s="12">
        <f>COUNTA(B5:B34)</f>
        <v>30</v>
      </c>
    </row>
    <row r="39" ht="15.75" customHeight="1">
      <c r="A39" s="15" t="s">
        <v>403</v>
      </c>
      <c r="B39" s="15"/>
      <c r="C39" s="15"/>
      <c r="D39" s="15"/>
      <c r="F39" s="56"/>
      <c r="G39" s="56" t="s">
        <v>404</v>
      </c>
      <c r="H39" s="56"/>
    </row>
    <row r="40" ht="15.75" customHeight="1">
      <c r="A40" s="15" t="s">
        <v>405</v>
      </c>
      <c r="B40" s="15"/>
      <c r="C40" s="15"/>
      <c r="D40" s="15"/>
      <c r="F40" s="56"/>
      <c r="G40" s="56" t="s">
        <v>406</v>
      </c>
      <c r="H40" s="5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57"/>
    <col customWidth="1" min="4" max="4" width="15.0"/>
    <col customWidth="1" min="5" max="26" width="8.0"/>
  </cols>
  <sheetData>
    <row r="1" ht="18.75" customHeight="1">
      <c r="A1" s="19" t="s">
        <v>407</v>
      </c>
    </row>
    <row r="2">
      <c r="A2" s="67" t="s">
        <v>408</v>
      </c>
      <c r="B2" s="68"/>
      <c r="C2" s="68"/>
      <c r="D2" s="68"/>
      <c r="E2" s="68"/>
      <c r="F2" s="68"/>
      <c r="G2" s="68"/>
    </row>
    <row r="4">
      <c r="A4" s="128" t="s">
        <v>185</v>
      </c>
      <c r="B4" s="128" t="s">
        <v>409</v>
      </c>
      <c r="C4" s="128" t="s">
        <v>338</v>
      </c>
      <c r="D4" s="128" t="s">
        <v>410</v>
      </c>
    </row>
    <row r="5">
      <c r="A5" s="7" t="s">
        <v>411</v>
      </c>
      <c r="B5" s="7" t="s">
        <v>412</v>
      </c>
      <c r="C5" s="7" t="s">
        <v>382</v>
      </c>
      <c r="D5" s="7">
        <v>74.0</v>
      </c>
    </row>
    <row r="6">
      <c r="A6" s="7" t="s">
        <v>413</v>
      </c>
      <c r="B6" s="7" t="s">
        <v>414</v>
      </c>
      <c r="C6" s="7" t="s">
        <v>384</v>
      </c>
      <c r="D6" s="7">
        <v>92.0</v>
      </c>
    </row>
    <row r="7">
      <c r="A7" s="7" t="s">
        <v>415</v>
      </c>
      <c r="B7" s="7" t="s">
        <v>412</v>
      </c>
      <c r="C7" s="7" t="s">
        <v>382</v>
      </c>
      <c r="D7" s="7">
        <v>65.0</v>
      </c>
    </row>
    <row r="8">
      <c r="A8" s="7" t="s">
        <v>416</v>
      </c>
      <c r="B8" s="7" t="s">
        <v>414</v>
      </c>
      <c r="C8" s="7" t="s">
        <v>387</v>
      </c>
      <c r="D8" s="7">
        <v>82.0</v>
      </c>
    </row>
    <row r="9">
      <c r="A9" s="7" t="s">
        <v>417</v>
      </c>
      <c r="B9" s="7" t="s">
        <v>414</v>
      </c>
      <c r="C9" s="7" t="s">
        <v>391</v>
      </c>
      <c r="D9" s="7">
        <v>50.0</v>
      </c>
    </row>
    <row r="10">
      <c r="A10" s="7" t="s">
        <v>418</v>
      </c>
      <c r="B10" s="7" t="s">
        <v>414</v>
      </c>
      <c r="C10" s="7" t="s">
        <v>387</v>
      </c>
      <c r="D10" s="7">
        <v>91.0</v>
      </c>
    </row>
    <row r="11">
      <c r="A11" s="7" t="s">
        <v>190</v>
      </c>
      <c r="B11" s="7" t="s">
        <v>414</v>
      </c>
      <c r="C11" s="7" t="s">
        <v>382</v>
      </c>
      <c r="D11" s="7">
        <v>96.0</v>
      </c>
    </row>
    <row r="12">
      <c r="A12" s="7" t="s">
        <v>419</v>
      </c>
      <c r="B12" s="7" t="s">
        <v>412</v>
      </c>
      <c r="C12" s="7" t="s">
        <v>382</v>
      </c>
      <c r="D12" s="7">
        <v>58.0</v>
      </c>
    </row>
    <row r="13">
      <c r="A13" s="7" t="s">
        <v>219</v>
      </c>
      <c r="B13" s="7" t="s">
        <v>412</v>
      </c>
      <c r="C13" s="7" t="s">
        <v>387</v>
      </c>
      <c r="D13" s="7">
        <v>67.0</v>
      </c>
    </row>
    <row r="14">
      <c r="A14" s="7" t="s">
        <v>420</v>
      </c>
      <c r="B14" s="7" t="s">
        <v>414</v>
      </c>
      <c r="C14" s="7" t="s">
        <v>384</v>
      </c>
      <c r="D14" s="7">
        <v>54.0</v>
      </c>
    </row>
    <row r="15">
      <c r="A15" s="7" t="s">
        <v>192</v>
      </c>
      <c r="B15" s="7" t="s">
        <v>412</v>
      </c>
      <c r="C15" s="7" t="s">
        <v>382</v>
      </c>
      <c r="D15" s="7">
        <v>83.0</v>
      </c>
    </row>
    <row r="17" ht="19.5" customHeight="1">
      <c r="A17" s="15" t="s">
        <v>421</v>
      </c>
      <c r="B17" s="15"/>
      <c r="C17" s="15"/>
      <c r="E17" s="56" t="s">
        <v>286</v>
      </c>
      <c r="F17" s="56"/>
      <c r="G17" s="56"/>
      <c r="H17" s="56">
        <f>COUNTIF(B5:B15,B6)</f>
        <v>6</v>
      </c>
      <c r="I17" s="56"/>
    </row>
    <row r="18" ht="19.5" customHeight="1">
      <c r="A18" s="15" t="s">
        <v>422</v>
      </c>
      <c r="B18" s="15"/>
      <c r="C18" s="15"/>
      <c r="E18" s="56" t="s">
        <v>423</v>
      </c>
      <c r="F18" s="56"/>
      <c r="G18" s="56"/>
      <c r="H18" s="56">
        <f>COUNTIFS(C5:C15,C5,B5:B15,B5)</f>
        <v>4</v>
      </c>
      <c r="I18" s="56"/>
    </row>
    <row r="19" ht="19.5" customHeight="1">
      <c r="A19" s="15" t="s">
        <v>424</v>
      </c>
      <c r="B19" s="15"/>
      <c r="C19" s="15"/>
      <c r="E19" s="56" t="s">
        <v>89</v>
      </c>
      <c r="F19" s="56"/>
      <c r="G19" s="56"/>
      <c r="H19" s="56" t="str">
        <f>VLOOKUP(A8,$A$4:$D$15,3,0)</f>
        <v>Canada</v>
      </c>
      <c r="I19" s="56" t="str">
        <f>VLOOKUP(A13,$A$4:$D$15,3,0)</f>
        <v>Canada</v>
      </c>
    </row>
    <row r="20" ht="19.5" customHeight="1">
      <c r="A20" s="15" t="s">
        <v>425</v>
      </c>
      <c r="B20" s="15"/>
      <c r="C20" s="15"/>
      <c r="E20" s="56" t="s">
        <v>426</v>
      </c>
      <c r="F20" s="56"/>
      <c r="G20" s="56"/>
      <c r="H20" s="56"/>
      <c r="I20" s="56"/>
      <c r="J20" s="12">
        <f>sumifs(D5:D15,C5:C15,C5,B5:B15,B5)</f>
        <v>280</v>
      </c>
    </row>
    <row r="21" ht="19.5" customHeight="1">
      <c r="A21" s="15" t="s">
        <v>427</v>
      </c>
      <c r="B21" s="15"/>
      <c r="C21" s="15"/>
      <c r="E21" s="56"/>
      <c r="F21" s="56"/>
      <c r="G21" s="56" t="s">
        <v>428</v>
      </c>
      <c r="H21" s="56"/>
      <c r="I21" s="56"/>
      <c r="J21" s="12">
        <f>SUMIFS(D5:D15,C5:C15,C5,B5:B15,B5)</f>
        <v>280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29"/>
    <col customWidth="1" min="3" max="3" width="11.86"/>
    <col customWidth="1" min="4" max="6" width="8.0"/>
    <col customWidth="1" min="7" max="7" width="10.14"/>
    <col customWidth="1" min="8" max="26" width="8.0"/>
  </cols>
  <sheetData>
    <row r="1" ht="18.75" customHeight="1">
      <c r="A1" s="19" t="s">
        <v>429</v>
      </c>
    </row>
    <row r="2">
      <c r="A2" s="67" t="s">
        <v>430</v>
      </c>
      <c r="B2" s="68"/>
      <c r="C2" s="68"/>
      <c r="D2" s="68"/>
      <c r="E2" s="68"/>
      <c r="F2" s="68"/>
      <c r="G2" s="68"/>
    </row>
    <row r="4">
      <c r="A4" s="3" t="s">
        <v>431</v>
      </c>
      <c r="B4" s="4" t="s">
        <v>432</v>
      </c>
      <c r="C4" s="5" t="s">
        <v>58</v>
      </c>
      <c r="E4" s="129" t="s">
        <v>431</v>
      </c>
      <c r="F4" s="129" t="s">
        <v>433</v>
      </c>
      <c r="G4" s="129" t="s">
        <v>434</v>
      </c>
    </row>
    <row r="5">
      <c r="A5" s="6">
        <v>101.0</v>
      </c>
      <c r="B5" s="7" t="s">
        <v>435</v>
      </c>
      <c r="C5" s="41" t="s">
        <v>63</v>
      </c>
      <c r="E5" s="7">
        <v>104.0</v>
      </c>
      <c r="F5" s="9" t="str">
        <f>VLOOKUP(E5,$A$4:$C$8,2,0)</f>
        <v>HP</v>
      </c>
      <c r="G5" s="9"/>
    </row>
    <row r="6">
      <c r="A6" s="6">
        <v>102.0</v>
      </c>
      <c r="B6" s="7" t="s">
        <v>436</v>
      </c>
      <c r="C6" s="41" t="s">
        <v>437</v>
      </c>
      <c r="E6" s="7">
        <v>103.0</v>
      </c>
      <c r="F6" s="9"/>
      <c r="G6" s="9"/>
    </row>
    <row r="7">
      <c r="A7" s="6">
        <v>103.0</v>
      </c>
      <c r="B7" s="7" t="s">
        <v>436</v>
      </c>
      <c r="C7" s="41" t="s">
        <v>438</v>
      </c>
      <c r="E7" s="7">
        <v>104.0</v>
      </c>
      <c r="F7" s="9"/>
      <c r="G7" s="9"/>
    </row>
    <row r="8">
      <c r="A8" s="13">
        <v>104.0</v>
      </c>
      <c r="B8" s="14" t="s">
        <v>439</v>
      </c>
      <c r="C8" s="127" t="s">
        <v>440</v>
      </c>
      <c r="E8" s="7">
        <v>101.0</v>
      </c>
      <c r="F8" s="9"/>
      <c r="G8" s="9"/>
    </row>
    <row r="9">
      <c r="E9" s="7">
        <v>102.0</v>
      </c>
      <c r="F9" s="9"/>
      <c r="G9" s="9"/>
    </row>
    <row r="10">
      <c r="A10" s="15" t="s">
        <v>441</v>
      </c>
      <c r="E10" s="7">
        <v>103.0</v>
      </c>
      <c r="F10" s="9"/>
      <c r="G10" s="9"/>
    </row>
    <row r="11">
      <c r="E11" s="7">
        <v>101.0</v>
      </c>
      <c r="F11" s="9"/>
      <c r="G11" s="9"/>
    </row>
    <row r="12">
      <c r="E12" s="7">
        <v>104.0</v>
      </c>
      <c r="F12" s="9"/>
      <c r="G12" s="9"/>
    </row>
    <row r="13">
      <c r="E13" s="7">
        <v>101.0</v>
      </c>
      <c r="F13" s="9"/>
      <c r="G13" s="9"/>
    </row>
    <row r="14">
      <c r="E14" s="7">
        <v>102.0</v>
      </c>
      <c r="F14" s="9"/>
      <c r="G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86"/>
    <col customWidth="1" min="3" max="3" width="11.29"/>
    <col customWidth="1" min="4" max="4" width="10.14"/>
    <col customWidth="1" min="5" max="5" width="11.0"/>
    <col customWidth="1" min="6" max="7" width="8.0"/>
    <col customWidth="1" min="8" max="8" width="32.86"/>
    <col customWidth="1" min="9" max="26" width="8.0"/>
  </cols>
  <sheetData>
    <row r="1" ht="18.75" customHeight="1">
      <c r="A1" s="19" t="s">
        <v>442</v>
      </c>
    </row>
    <row r="2">
      <c r="A2" s="67" t="s">
        <v>443</v>
      </c>
      <c r="B2" s="68"/>
      <c r="C2" s="68"/>
      <c r="D2" s="68"/>
      <c r="E2" s="68"/>
      <c r="F2" s="68"/>
      <c r="G2" s="68"/>
    </row>
    <row r="5">
      <c r="A5" s="130" t="s">
        <v>431</v>
      </c>
      <c r="B5" s="131">
        <v>101.0</v>
      </c>
      <c r="C5" s="131">
        <v>102.0</v>
      </c>
      <c r="D5" s="131">
        <v>103.0</v>
      </c>
      <c r="E5" s="131">
        <v>104.0</v>
      </c>
    </row>
    <row r="6">
      <c r="A6" s="44" t="s">
        <v>432</v>
      </c>
      <c r="B6" s="9" t="s">
        <v>435</v>
      </c>
      <c r="C6" s="9" t="s">
        <v>436</v>
      </c>
      <c r="D6" s="9" t="s">
        <v>436</v>
      </c>
      <c r="E6" s="9" t="s">
        <v>439</v>
      </c>
    </row>
    <row r="7">
      <c r="A7" s="44" t="s">
        <v>58</v>
      </c>
      <c r="B7" s="9" t="s">
        <v>63</v>
      </c>
      <c r="C7" s="9" t="s">
        <v>437</v>
      </c>
      <c r="D7" s="9" t="s">
        <v>438</v>
      </c>
      <c r="E7" s="9" t="s">
        <v>440</v>
      </c>
    </row>
    <row r="9">
      <c r="A9" s="132" t="s">
        <v>431</v>
      </c>
      <c r="B9" s="132" t="s">
        <v>58</v>
      </c>
      <c r="C9" s="133" t="str">
        <f>A6</f>
        <v>Brand</v>
      </c>
    </row>
    <row r="10">
      <c r="A10" s="7">
        <v>104.0</v>
      </c>
      <c r="B10" s="7" t="str">
        <f>HLOOKUP(A10,$A$5:$E$7,3,0)</f>
        <v>Printer</v>
      </c>
      <c r="C10" s="44"/>
    </row>
    <row r="11">
      <c r="A11" s="7">
        <v>103.0</v>
      </c>
      <c r="B11" s="7"/>
      <c r="C11" s="44" t="str">
        <f>HLOOKUP(A11,$A$5:$E$7,2,0)</f>
        <v>Logitech</v>
      </c>
    </row>
    <row r="12">
      <c r="A12" s="7">
        <v>104.0</v>
      </c>
      <c r="B12" s="7"/>
      <c r="C12" s="44"/>
    </row>
    <row r="13">
      <c r="A13" s="7">
        <v>101.0</v>
      </c>
      <c r="B13" s="7"/>
      <c r="C13" s="44"/>
    </row>
    <row r="14">
      <c r="A14" s="7">
        <v>102.0</v>
      </c>
      <c r="B14" s="7"/>
      <c r="C14" s="44"/>
    </row>
    <row r="15">
      <c r="A15" s="7">
        <v>103.0</v>
      </c>
      <c r="B15" s="7"/>
      <c r="C15" s="44"/>
    </row>
    <row r="16">
      <c r="A16" s="7">
        <v>101.0</v>
      </c>
      <c r="B16" s="7"/>
      <c r="C16" s="44"/>
    </row>
    <row r="17">
      <c r="A17" s="7">
        <v>104.0</v>
      </c>
      <c r="B17" s="7"/>
      <c r="C17" s="44"/>
    </row>
    <row r="18">
      <c r="A18" s="7">
        <v>101.0</v>
      </c>
      <c r="B18" s="7"/>
      <c r="C18" s="44"/>
    </row>
    <row r="19">
      <c r="A19" s="7">
        <v>102.0</v>
      </c>
      <c r="B19" s="7"/>
      <c r="C19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444</v>
      </c>
    </row>
    <row r="2">
      <c r="A2" s="67" t="s">
        <v>445</v>
      </c>
      <c r="B2" s="68"/>
      <c r="C2" s="68"/>
      <c r="D2" s="68"/>
      <c r="E2" s="68"/>
      <c r="F2" s="68"/>
      <c r="G2" s="68"/>
    </row>
    <row r="4">
      <c r="A4" s="134" t="s">
        <v>446</v>
      </c>
      <c r="B4" s="135" t="s">
        <v>314</v>
      </c>
      <c r="C4" s="135" t="s">
        <v>447</v>
      </c>
      <c r="D4" s="135" t="s">
        <v>316</v>
      </c>
    </row>
    <row r="5">
      <c r="A5" s="136" t="s">
        <v>448</v>
      </c>
      <c r="B5" s="137">
        <v>5535.0</v>
      </c>
      <c r="C5" s="137">
        <v>5414.0</v>
      </c>
      <c r="D5" s="137">
        <v>9027.0</v>
      </c>
    </row>
    <row r="6">
      <c r="A6" s="136" t="s">
        <v>449</v>
      </c>
      <c r="B6" s="137">
        <v>5013.0</v>
      </c>
      <c r="C6" s="137">
        <v>5107.0</v>
      </c>
      <c r="D6" s="137">
        <v>11667.0</v>
      </c>
    </row>
    <row r="7">
      <c r="A7" s="136" t="s">
        <v>450</v>
      </c>
      <c r="B7" s="137">
        <v>6597.0</v>
      </c>
      <c r="C7" s="137">
        <v>3858.0</v>
      </c>
      <c r="D7" s="137">
        <v>1507.0</v>
      </c>
    </row>
    <row r="8">
      <c r="A8" s="136" t="s">
        <v>451</v>
      </c>
      <c r="B8" s="137">
        <v>3195.0</v>
      </c>
      <c r="C8" s="137">
        <v>3654.0</v>
      </c>
      <c r="D8" s="137">
        <v>7225.0</v>
      </c>
    </row>
    <row r="10">
      <c r="A10" s="138" t="s">
        <v>450</v>
      </c>
      <c r="B10" s="135" t="s">
        <v>316</v>
      </c>
      <c r="C10" s="138">
        <f t="array" ref="C10">INDEX(A4:D8,MATCH(A10,A4:A8,0),MATCH(B10,A4:D4,0))</f>
        <v>1507</v>
      </c>
    </row>
    <row r="11">
      <c r="A11" s="7" t="str">
        <f>A8</f>
        <v>West</v>
      </c>
      <c r="B11" s="9" t="s">
        <v>447</v>
      </c>
      <c r="C11" s="9" t="str">
        <f t="shared" ref="C11:C13" si="1">INDEX($A$4:$D$8,MATCH($A11,$A$4:$A$8,MATCH($B11,$A$4:$D$4,0)))</f>
        <v>West</v>
      </c>
      <c r="D11" s="139">
        <v>3195.0</v>
      </c>
      <c r="E11" s="140">
        <v>3654.0</v>
      </c>
      <c r="F11" s="140">
        <v>7225.0</v>
      </c>
    </row>
    <row r="12">
      <c r="A12" s="7" t="str">
        <f>A6</f>
        <v>South</v>
      </c>
      <c r="B12" s="9" t="s">
        <v>314</v>
      </c>
      <c r="C12" s="9" t="str">
        <f t="shared" si="1"/>
        <v>East</v>
      </c>
      <c r="D12" s="139">
        <v>6597.0</v>
      </c>
      <c r="E12" s="140">
        <v>3858.0</v>
      </c>
      <c r="F12" s="140">
        <v>1507.0</v>
      </c>
    </row>
    <row r="13">
      <c r="A13" s="7" t="str">
        <f>A5</f>
        <v>North</v>
      </c>
      <c r="B13" s="9" t="s">
        <v>316</v>
      </c>
      <c r="C13" s="9" t="str">
        <f t="shared" si="1"/>
        <v>North</v>
      </c>
      <c r="D13" s="139">
        <v>5535.0</v>
      </c>
      <c r="E13" s="140">
        <v>5414.0</v>
      </c>
      <c r="F13" s="140">
        <v>9027.0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1.14"/>
    <col customWidth="1" min="3" max="5" width="8.0"/>
    <col customWidth="1" min="6" max="6" width="12.43"/>
    <col customWidth="1" min="7" max="7" width="18.43"/>
    <col customWidth="1" min="8" max="8" width="10.0"/>
    <col customWidth="1" min="9" max="9" width="10.86"/>
    <col customWidth="1" min="10" max="10" width="8.0"/>
    <col customWidth="1" min="11" max="11" width="13.71"/>
    <col customWidth="1" min="12" max="15" width="8.0"/>
    <col customWidth="1" min="16" max="16" width="11.71"/>
    <col customWidth="1" min="17" max="17" width="17.14"/>
    <col customWidth="1" min="18" max="26" width="8.0"/>
  </cols>
  <sheetData>
    <row r="1" ht="18.75" customHeight="1">
      <c r="A1" s="19" t="s">
        <v>452</v>
      </c>
    </row>
    <row r="2">
      <c r="A2" s="21" t="s">
        <v>453</v>
      </c>
    </row>
    <row r="4" ht="45.0" customHeight="1">
      <c r="A4" s="141" t="s">
        <v>454</v>
      </c>
      <c r="B4" s="141" t="s">
        <v>455</v>
      </c>
      <c r="C4" s="141" t="s">
        <v>456</v>
      </c>
      <c r="D4" s="141" t="s">
        <v>457</v>
      </c>
      <c r="E4" s="141" t="s">
        <v>458</v>
      </c>
      <c r="F4" s="141" t="s">
        <v>459</v>
      </c>
      <c r="G4" s="141" t="s">
        <v>460</v>
      </c>
      <c r="H4" s="141" t="s">
        <v>313</v>
      </c>
      <c r="I4" s="141" t="s">
        <v>461</v>
      </c>
      <c r="J4" s="141" t="s">
        <v>462</v>
      </c>
      <c r="K4" s="142" t="s">
        <v>463</v>
      </c>
      <c r="N4" s="12">
        <f>IFERROR(__xludf.DUMMYFUNCTION("FILTER(A9:K29,(H9:H29=H5)*(E9:E29=E5))"),1.0)</f>
        <v>1</v>
      </c>
      <c r="O4" s="143">
        <f>IFERROR(__xludf.DUMMYFUNCTION("""COMPUTED_VALUE"""),43039.0)</f>
        <v>43039</v>
      </c>
      <c r="P4" s="12" t="str">
        <f>IFERROR(__xludf.DUMMYFUNCTION("""COMPUTED_VALUE"""),"Abhay Gaurav")</f>
        <v>Abhay Gaurav</v>
      </c>
      <c r="Q4" s="12" t="str">
        <f>IFERROR(__xludf.DUMMYFUNCTION("""COMPUTED_VALUE"""),"Aakash Harit")</f>
        <v>Aakash Harit</v>
      </c>
      <c r="R4" s="12" t="str">
        <f>IFERROR(__xludf.DUMMYFUNCTION("""COMPUTED_VALUE"""),"Chloe Jones")</f>
        <v>Chloe Jones</v>
      </c>
      <c r="S4" s="12" t="str">
        <f>IFERROR(__xludf.DUMMYFUNCTION("""COMPUTED_VALUE"""),"919-555-8658")</f>
        <v>919-555-8658</v>
      </c>
      <c r="T4" s="12" t="str">
        <f>IFERROR(__xludf.DUMMYFUNCTION("""COMPUTED_VALUE"""),"lo@email.com")</f>
        <v>lo@email.com</v>
      </c>
      <c r="U4" s="12" t="str">
        <f>IFERROR(__xludf.DUMMYFUNCTION("""COMPUTED_VALUE"""),"Apple")</f>
        <v>Apple</v>
      </c>
      <c r="V4" s="144">
        <f>IFERROR(__xludf.DUMMYFUNCTION("""COMPUTED_VALUE"""),14.0)</f>
        <v>14</v>
      </c>
      <c r="W4" s="145">
        <f>IFERROR(__xludf.DUMMYFUNCTION("""COMPUTED_VALUE"""),76.0)</f>
        <v>76</v>
      </c>
      <c r="X4" s="146">
        <f>IFERROR(__xludf.DUMMYFUNCTION("""COMPUTED_VALUE"""),1064.0)</f>
        <v>1064</v>
      </c>
    </row>
    <row r="5" ht="30.0" customHeight="1">
      <c r="A5" s="147"/>
      <c r="B5" s="7"/>
      <c r="C5" s="148"/>
      <c r="D5" s="148"/>
      <c r="E5" s="148" t="s">
        <v>464</v>
      </c>
      <c r="F5" s="7"/>
      <c r="G5" s="7"/>
      <c r="H5" s="147" t="s">
        <v>393</v>
      </c>
      <c r="I5" s="7"/>
      <c r="J5" s="9"/>
      <c r="K5" s="147"/>
      <c r="N5" s="12">
        <f>IFERROR(__xludf.DUMMYFUNCTION("""COMPUTED_VALUE"""),9.0)</f>
        <v>9</v>
      </c>
      <c r="O5" s="143">
        <f>IFERROR(__xludf.DUMMYFUNCTION("""COMPUTED_VALUE"""),43049.0)</f>
        <v>43049</v>
      </c>
      <c r="P5" s="12" t="str">
        <f>IFERROR(__xludf.DUMMYFUNCTION("""COMPUTED_VALUE"""),"Nishu Kumari")</f>
        <v>Nishu Kumari</v>
      </c>
      <c r="Q5" s="12" t="str">
        <f>IFERROR(__xludf.DUMMYFUNCTION("""COMPUTED_VALUE"""),"Aakash Harit")</f>
        <v>Aakash Harit</v>
      </c>
      <c r="R5" s="12" t="str">
        <f>IFERROR(__xludf.DUMMYFUNCTION("""COMPUTED_VALUE"""),"Chloe Jones")</f>
        <v>Chloe Jones</v>
      </c>
      <c r="S5" s="12" t="str">
        <f>IFERROR(__xludf.DUMMYFUNCTION("""COMPUTED_VALUE"""),"919-555-8658")</f>
        <v>919-555-8658</v>
      </c>
      <c r="T5" s="12" t="str">
        <f>IFERROR(__xludf.DUMMYFUNCTION("""COMPUTED_VALUE"""),"lo@email.com")</f>
        <v>lo@email.com</v>
      </c>
      <c r="U5" s="12" t="str">
        <f>IFERROR(__xludf.DUMMYFUNCTION("""COMPUTED_VALUE"""),"Apple")</f>
        <v>Apple</v>
      </c>
      <c r="V5" s="144">
        <f>IFERROR(__xludf.DUMMYFUNCTION("""COMPUTED_VALUE"""),14.0)</f>
        <v>14</v>
      </c>
      <c r="W5" s="145">
        <f>IFERROR(__xludf.DUMMYFUNCTION("""COMPUTED_VALUE"""),15.0)</f>
        <v>15</v>
      </c>
      <c r="X5" s="146">
        <f>IFERROR(__xludf.DUMMYFUNCTION("""COMPUTED_VALUE"""),210.0)</f>
        <v>210</v>
      </c>
    </row>
    <row r="6">
      <c r="A6" s="147"/>
      <c r="B6" s="7"/>
      <c r="C6" s="148"/>
      <c r="D6" s="7"/>
      <c r="E6" s="7"/>
      <c r="F6" s="7"/>
      <c r="G6" s="7"/>
      <c r="H6" s="147"/>
      <c r="I6" s="7"/>
      <c r="J6" s="7"/>
      <c r="K6" s="147"/>
    </row>
    <row r="7">
      <c r="A7" s="149"/>
    </row>
    <row r="8">
      <c r="A8" s="149"/>
    </row>
    <row r="9" ht="45.0" customHeight="1">
      <c r="A9" s="150" t="s">
        <v>454</v>
      </c>
      <c r="B9" s="151" t="s">
        <v>455</v>
      </c>
      <c r="C9" s="151" t="s">
        <v>456</v>
      </c>
      <c r="D9" s="151" t="s">
        <v>457</v>
      </c>
      <c r="E9" s="151" t="s">
        <v>458</v>
      </c>
      <c r="F9" s="151" t="s">
        <v>459</v>
      </c>
      <c r="G9" s="151" t="s">
        <v>460</v>
      </c>
      <c r="H9" s="151" t="s">
        <v>313</v>
      </c>
      <c r="I9" s="151" t="s">
        <v>461</v>
      </c>
      <c r="J9" s="151" t="s">
        <v>462</v>
      </c>
      <c r="K9" s="152" t="s">
        <v>463</v>
      </c>
      <c r="P9" s="12">
        <f>IFERROR(__xludf.DUMMYFUNCTION("FILTER(A9:K29,(H9:H29=""Apple"")*(E9:E29=E5))"),1.0)</f>
        <v>1</v>
      </c>
      <c r="Q9" s="143">
        <f>IFERROR(__xludf.DUMMYFUNCTION("""COMPUTED_VALUE"""),43039.0)</f>
        <v>43039</v>
      </c>
      <c r="R9" s="12" t="str">
        <f>IFERROR(__xludf.DUMMYFUNCTION("""COMPUTED_VALUE"""),"Abhay Gaurav")</f>
        <v>Abhay Gaurav</v>
      </c>
      <c r="S9" s="12" t="str">
        <f>IFERROR(__xludf.DUMMYFUNCTION("""COMPUTED_VALUE"""),"Aakash Harit")</f>
        <v>Aakash Harit</v>
      </c>
      <c r="T9" s="12" t="str">
        <f>IFERROR(__xludf.DUMMYFUNCTION("""COMPUTED_VALUE"""),"Chloe Jones")</f>
        <v>Chloe Jones</v>
      </c>
      <c r="U9" s="12" t="str">
        <f>IFERROR(__xludf.DUMMYFUNCTION("""COMPUTED_VALUE"""),"919-555-8658")</f>
        <v>919-555-8658</v>
      </c>
      <c r="V9" s="12" t="str">
        <f>IFERROR(__xludf.DUMMYFUNCTION("""COMPUTED_VALUE"""),"lo@email.com")</f>
        <v>lo@email.com</v>
      </c>
      <c r="W9" s="12" t="str">
        <f>IFERROR(__xludf.DUMMYFUNCTION("""COMPUTED_VALUE"""),"Apple")</f>
        <v>Apple</v>
      </c>
      <c r="X9" s="144">
        <f>IFERROR(__xludf.DUMMYFUNCTION("""COMPUTED_VALUE"""),14.0)</f>
        <v>14</v>
      </c>
      <c r="Y9" s="145">
        <f>IFERROR(__xludf.DUMMYFUNCTION("""COMPUTED_VALUE"""),76.0)</f>
        <v>76</v>
      </c>
      <c r="Z9" s="146">
        <f>IFERROR(__xludf.DUMMYFUNCTION("""COMPUTED_VALUE"""),1064.0)</f>
        <v>1064</v>
      </c>
    </row>
    <row r="10" ht="30.0" customHeight="1">
      <c r="A10" s="147">
        <v>1.0</v>
      </c>
      <c r="B10" s="53">
        <v>43039.0</v>
      </c>
      <c r="C10" s="148" t="s">
        <v>465</v>
      </c>
      <c r="D10" s="148" t="s">
        <v>466</v>
      </c>
      <c r="E10" s="148" t="s">
        <v>464</v>
      </c>
      <c r="F10" s="7" t="s">
        <v>467</v>
      </c>
      <c r="G10" s="7" t="s">
        <v>468</v>
      </c>
      <c r="H10" s="7" t="s">
        <v>393</v>
      </c>
      <c r="I10" s="153">
        <v>14.0</v>
      </c>
      <c r="J10" s="154">
        <v>76.0</v>
      </c>
      <c r="K10" s="155">
        <v>1064.0</v>
      </c>
      <c r="P10" s="12">
        <f>IFERROR(__xludf.DUMMYFUNCTION("""COMPUTED_VALUE"""),9.0)</f>
        <v>9</v>
      </c>
      <c r="Q10" s="143">
        <f>IFERROR(__xludf.DUMMYFUNCTION("""COMPUTED_VALUE"""),43049.0)</f>
        <v>43049</v>
      </c>
      <c r="R10" s="12" t="str">
        <f>IFERROR(__xludf.DUMMYFUNCTION("""COMPUTED_VALUE"""),"Nishu Kumari")</f>
        <v>Nishu Kumari</v>
      </c>
      <c r="S10" s="12" t="str">
        <f>IFERROR(__xludf.DUMMYFUNCTION("""COMPUTED_VALUE"""),"Aakash Harit")</f>
        <v>Aakash Harit</v>
      </c>
      <c r="T10" s="12" t="str">
        <f>IFERROR(__xludf.DUMMYFUNCTION("""COMPUTED_VALUE"""),"Chloe Jones")</f>
        <v>Chloe Jones</v>
      </c>
      <c r="U10" s="12" t="str">
        <f>IFERROR(__xludf.DUMMYFUNCTION("""COMPUTED_VALUE"""),"919-555-8658")</f>
        <v>919-555-8658</v>
      </c>
      <c r="V10" s="12" t="str">
        <f>IFERROR(__xludf.DUMMYFUNCTION("""COMPUTED_VALUE"""),"lo@email.com")</f>
        <v>lo@email.com</v>
      </c>
      <c r="W10" s="12" t="str">
        <f>IFERROR(__xludf.DUMMYFUNCTION("""COMPUTED_VALUE"""),"Apple")</f>
        <v>Apple</v>
      </c>
      <c r="X10" s="144">
        <f>IFERROR(__xludf.DUMMYFUNCTION("""COMPUTED_VALUE"""),14.0)</f>
        <v>14</v>
      </c>
      <c r="Y10" s="145">
        <f>IFERROR(__xludf.DUMMYFUNCTION("""COMPUTED_VALUE"""),15.0)</f>
        <v>15</v>
      </c>
      <c r="Z10" s="146">
        <f>IFERROR(__xludf.DUMMYFUNCTION("""COMPUTED_VALUE"""),210.0)</f>
        <v>210</v>
      </c>
    </row>
    <row r="11" ht="30.0" customHeight="1">
      <c r="A11" s="147">
        <v>2.0</v>
      </c>
      <c r="B11" s="53">
        <v>42912.0</v>
      </c>
      <c r="C11" s="148" t="s">
        <v>469</v>
      </c>
      <c r="D11" s="148" t="s">
        <v>466</v>
      </c>
      <c r="E11" s="148" t="s">
        <v>470</v>
      </c>
      <c r="F11" s="7" t="s">
        <v>471</v>
      </c>
      <c r="G11" s="7" t="s">
        <v>472</v>
      </c>
      <c r="H11" s="7" t="s">
        <v>385</v>
      </c>
      <c r="I11" s="153">
        <v>3.0</v>
      </c>
      <c r="J11" s="154">
        <v>33.0</v>
      </c>
      <c r="K11" s="155">
        <v>99.0</v>
      </c>
    </row>
    <row r="12" ht="30.0" customHeight="1">
      <c r="A12" s="147">
        <v>3.0</v>
      </c>
      <c r="B12" s="53">
        <v>42755.0</v>
      </c>
      <c r="C12" s="148" t="s">
        <v>465</v>
      </c>
      <c r="D12" s="148" t="s">
        <v>466</v>
      </c>
      <c r="E12" s="148" t="s">
        <v>473</v>
      </c>
      <c r="F12" s="7" t="s">
        <v>474</v>
      </c>
      <c r="G12" s="7" t="s">
        <v>475</v>
      </c>
      <c r="H12" s="7" t="s">
        <v>385</v>
      </c>
      <c r="I12" s="153">
        <v>3.0</v>
      </c>
      <c r="J12" s="154">
        <v>73.0</v>
      </c>
      <c r="K12" s="155">
        <v>219.0</v>
      </c>
    </row>
    <row r="13" ht="30.0" customHeight="1">
      <c r="A13" s="147">
        <v>4.0</v>
      </c>
      <c r="B13" s="53">
        <v>43081.0</v>
      </c>
      <c r="C13" s="148" t="s">
        <v>476</v>
      </c>
      <c r="D13" s="148" t="s">
        <v>466</v>
      </c>
      <c r="E13" s="148" t="s">
        <v>470</v>
      </c>
      <c r="F13" s="7" t="s">
        <v>471</v>
      </c>
      <c r="G13" s="7" t="s">
        <v>472</v>
      </c>
      <c r="H13" s="7" t="s">
        <v>393</v>
      </c>
      <c r="I13" s="153">
        <v>14.0</v>
      </c>
      <c r="J13" s="154">
        <v>44.0</v>
      </c>
      <c r="K13" s="155">
        <v>616.0</v>
      </c>
      <c r="O13" s="12">
        <f>IFERROR(__xludf.DUMMYFUNCTION("filter(A9:K29,(E9:E29=E5) *(H9:H29=H5))"),1.0)</f>
        <v>1</v>
      </c>
      <c r="P13" s="143">
        <f>IFERROR(__xludf.DUMMYFUNCTION("""COMPUTED_VALUE"""),43039.0)</f>
        <v>43039</v>
      </c>
      <c r="Q13" s="12" t="str">
        <f>IFERROR(__xludf.DUMMYFUNCTION("""COMPUTED_VALUE"""),"Abhay Gaurav")</f>
        <v>Abhay Gaurav</v>
      </c>
      <c r="R13" s="12" t="str">
        <f>IFERROR(__xludf.DUMMYFUNCTION("""COMPUTED_VALUE"""),"Aakash Harit")</f>
        <v>Aakash Harit</v>
      </c>
      <c r="S13" s="12" t="str">
        <f>IFERROR(__xludf.DUMMYFUNCTION("""COMPUTED_VALUE"""),"Chloe Jones")</f>
        <v>Chloe Jones</v>
      </c>
      <c r="T13" s="12" t="str">
        <f>IFERROR(__xludf.DUMMYFUNCTION("""COMPUTED_VALUE"""),"919-555-8658")</f>
        <v>919-555-8658</v>
      </c>
      <c r="U13" s="12" t="str">
        <f>IFERROR(__xludf.DUMMYFUNCTION("""COMPUTED_VALUE"""),"lo@email.com")</f>
        <v>lo@email.com</v>
      </c>
      <c r="V13" s="12" t="str">
        <f>IFERROR(__xludf.DUMMYFUNCTION("""COMPUTED_VALUE"""),"Apple")</f>
        <v>Apple</v>
      </c>
      <c r="W13" s="144">
        <f>IFERROR(__xludf.DUMMYFUNCTION("""COMPUTED_VALUE"""),14.0)</f>
        <v>14</v>
      </c>
      <c r="X13" s="145">
        <f>IFERROR(__xludf.DUMMYFUNCTION("""COMPUTED_VALUE"""),76.0)</f>
        <v>76</v>
      </c>
      <c r="Y13" s="146">
        <f>IFERROR(__xludf.DUMMYFUNCTION("""COMPUTED_VALUE"""),1064.0)</f>
        <v>1064</v>
      </c>
    </row>
    <row r="14" ht="30.0" customHeight="1">
      <c r="A14" s="147">
        <v>5.0</v>
      </c>
      <c r="B14" s="53">
        <v>42934.0</v>
      </c>
      <c r="C14" s="148" t="s">
        <v>465</v>
      </c>
      <c r="D14" s="148" t="s">
        <v>466</v>
      </c>
      <c r="E14" s="148" t="s">
        <v>477</v>
      </c>
      <c r="F14" s="7" t="s">
        <v>478</v>
      </c>
      <c r="G14" s="7" t="s">
        <v>479</v>
      </c>
      <c r="H14" s="7" t="s">
        <v>393</v>
      </c>
      <c r="I14" s="153">
        <v>14.0</v>
      </c>
      <c r="J14" s="154">
        <v>44.0</v>
      </c>
      <c r="K14" s="155">
        <v>616.0</v>
      </c>
      <c r="O14" s="12">
        <f>IFERROR(__xludf.DUMMYFUNCTION("""COMPUTED_VALUE"""),9.0)</f>
        <v>9</v>
      </c>
      <c r="P14" s="143">
        <f>IFERROR(__xludf.DUMMYFUNCTION("""COMPUTED_VALUE"""),43049.0)</f>
        <v>43049</v>
      </c>
      <c r="Q14" s="12" t="str">
        <f>IFERROR(__xludf.DUMMYFUNCTION("""COMPUTED_VALUE"""),"Nishu Kumari")</f>
        <v>Nishu Kumari</v>
      </c>
      <c r="R14" s="12" t="str">
        <f>IFERROR(__xludf.DUMMYFUNCTION("""COMPUTED_VALUE"""),"Aakash Harit")</f>
        <v>Aakash Harit</v>
      </c>
      <c r="S14" s="12" t="str">
        <f>IFERROR(__xludf.DUMMYFUNCTION("""COMPUTED_VALUE"""),"Chloe Jones")</f>
        <v>Chloe Jones</v>
      </c>
      <c r="T14" s="12" t="str">
        <f>IFERROR(__xludf.DUMMYFUNCTION("""COMPUTED_VALUE"""),"919-555-8658")</f>
        <v>919-555-8658</v>
      </c>
      <c r="U14" s="12" t="str">
        <f>IFERROR(__xludf.DUMMYFUNCTION("""COMPUTED_VALUE"""),"lo@email.com")</f>
        <v>lo@email.com</v>
      </c>
      <c r="V14" s="12" t="str">
        <f>IFERROR(__xludf.DUMMYFUNCTION("""COMPUTED_VALUE"""),"Apple")</f>
        <v>Apple</v>
      </c>
      <c r="W14" s="144">
        <f>IFERROR(__xludf.DUMMYFUNCTION("""COMPUTED_VALUE"""),14.0)</f>
        <v>14</v>
      </c>
      <c r="X14" s="145">
        <f>IFERROR(__xludf.DUMMYFUNCTION("""COMPUTED_VALUE"""),15.0)</f>
        <v>15</v>
      </c>
      <c r="Y14" s="146">
        <f>IFERROR(__xludf.DUMMYFUNCTION("""COMPUTED_VALUE"""),210.0)</f>
        <v>210</v>
      </c>
    </row>
    <row r="15" ht="30.0" customHeight="1">
      <c r="A15" s="147">
        <v>6.0</v>
      </c>
      <c r="B15" s="53">
        <v>42808.0</v>
      </c>
      <c r="C15" s="148" t="s">
        <v>465</v>
      </c>
      <c r="D15" s="148" t="s">
        <v>466</v>
      </c>
      <c r="E15" s="148" t="s">
        <v>480</v>
      </c>
      <c r="F15" s="7" t="s">
        <v>481</v>
      </c>
      <c r="G15" s="7" t="s">
        <v>482</v>
      </c>
      <c r="H15" s="7" t="s">
        <v>385</v>
      </c>
      <c r="I15" s="153">
        <v>3.0</v>
      </c>
      <c r="J15" s="154">
        <v>12.0</v>
      </c>
      <c r="K15" s="155">
        <v>36.0</v>
      </c>
    </row>
    <row r="16" ht="30.0" customHeight="1">
      <c r="A16" s="147">
        <v>7.0</v>
      </c>
      <c r="B16" s="53">
        <v>43060.0</v>
      </c>
      <c r="C16" s="148" t="s">
        <v>476</v>
      </c>
      <c r="D16" s="148" t="s">
        <v>466</v>
      </c>
      <c r="E16" s="148" t="s">
        <v>477</v>
      </c>
      <c r="F16" s="7" t="s">
        <v>478</v>
      </c>
      <c r="G16" s="7" t="s">
        <v>479</v>
      </c>
      <c r="H16" s="7" t="s">
        <v>483</v>
      </c>
      <c r="I16" s="153">
        <v>33.0</v>
      </c>
      <c r="J16" s="154">
        <v>98.0</v>
      </c>
      <c r="K16" s="155">
        <v>3234.0</v>
      </c>
    </row>
    <row r="17" ht="30.0" customHeight="1">
      <c r="A17" s="147">
        <v>8.0</v>
      </c>
      <c r="B17" s="53">
        <v>42877.0</v>
      </c>
      <c r="C17" s="148" t="s">
        <v>476</v>
      </c>
      <c r="D17" s="148" t="s">
        <v>466</v>
      </c>
      <c r="E17" s="148" t="s">
        <v>480</v>
      </c>
      <c r="F17" s="7" t="s">
        <v>481</v>
      </c>
      <c r="G17" s="7" t="s">
        <v>482</v>
      </c>
      <c r="H17" s="7" t="s">
        <v>483</v>
      </c>
      <c r="I17" s="153">
        <v>33.0</v>
      </c>
      <c r="J17" s="154">
        <v>42.0</v>
      </c>
      <c r="K17" s="155">
        <v>1386.0</v>
      </c>
    </row>
    <row r="18" ht="30.0" customHeight="1">
      <c r="A18" s="147">
        <v>9.0</v>
      </c>
      <c r="B18" s="53">
        <v>43049.0</v>
      </c>
      <c r="C18" s="148" t="s">
        <v>476</v>
      </c>
      <c r="D18" s="148" t="s">
        <v>466</v>
      </c>
      <c r="E18" s="148" t="s">
        <v>464</v>
      </c>
      <c r="F18" s="7" t="s">
        <v>467</v>
      </c>
      <c r="G18" s="7" t="s">
        <v>468</v>
      </c>
      <c r="H18" s="7" t="s">
        <v>393</v>
      </c>
      <c r="I18" s="153">
        <v>14.0</v>
      </c>
      <c r="J18" s="154">
        <v>15.0</v>
      </c>
      <c r="K18" s="155">
        <v>210.0</v>
      </c>
    </row>
    <row r="19" ht="30.0" customHeight="1">
      <c r="A19" s="147">
        <v>10.0</v>
      </c>
      <c r="B19" s="53">
        <v>43038.0</v>
      </c>
      <c r="C19" s="148" t="s">
        <v>465</v>
      </c>
      <c r="D19" s="148" t="s">
        <v>466</v>
      </c>
      <c r="E19" s="148" t="s">
        <v>473</v>
      </c>
      <c r="F19" s="7" t="s">
        <v>474</v>
      </c>
      <c r="G19" s="7" t="s">
        <v>475</v>
      </c>
      <c r="H19" s="7" t="s">
        <v>334</v>
      </c>
      <c r="I19" s="153">
        <v>24.0</v>
      </c>
      <c r="J19" s="154">
        <v>40.0</v>
      </c>
      <c r="K19" s="155">
        <v>960.0</v>
      </c>
    </row>
    <row r="20" ht="30.0" customHeight="1">
      <c r="A20" s="147">
        <v>11.0</v>
      </c>
      <c r="B20" s="53">
        <v>42885.0</v>
      </c>
      <c r="C20" s="148" t="s">
        <v>476</v>
      </c>
      <c r="D20" s="148" t="s">
        <v>466</v>
      </c>
      <c r="E20" s="148" t="s">
        <v>470</v>
      </c>
      <c r="F20" s="7" t="s">
        <v>471</v>
      </c>
      <c r="G20" s="7" t="s">
        <v>472</v>
      </c>
      <c r="H20" s="7" t="s">
        <v>334</v>
      </c>
      <c r="I20" s="153">
        <v>24.0</v>
      </c>
      <c r="J20" s="154">
        <v>71.0</v>
      </c>
      <c r="K20" s="155">
        <v>1704.0</v>
      </c>
    </row>
    <row r="21" ht="30.0" customHeight="1">
      <c r="A21" s="147">
        <v>12.0</v>
      </c>
      <c r="B21" s="53">
        <v>42868.0</v>
      </c>
      <c r="C21" s="148" t="s">
        <v>476</v>
      </c>
      <c r="D21" s="148" t="s">
        <v>466</v>
      </c>
      <c r="E21" s="148" t="s">
        <v>470</v>
      </c>
      <c r="F21" s="7" t="s">
        <v>471</v>
      </c>
      <c r="G21" s="7" t="s">
        <v>472</v>
      </c>
      <c r="H21" s="7" t="s">
        <v>393</v>
      </c>
      <c r="I21" s="153">
        <v>14.0</v>
      </c>
      <c r="J21" s="154">
        <v>84.0</v>
      </c>
      <c r="K21" s="155">
        <v>1176.0</v>
      </c>
    </row>
    <row r="22" ht="30.0" customHeight="1">
      <c r="A22" s="147">
        <v>13.0</v>
      </c>
      <c r="B22" s="53">
        <v>42737.0</v>
      </c>
      <c r="C22" s="148" t="s">
        <v>469</v>
      </c>
      <c r="D22" s="148" t="s">
        <v>466</v>
      </c>
      <c r="E22" s="148" t="s">
        <v>477</v>
      </c>
      <c r="F22" s="7" t="s">
        <v>478</v>
      </c>
      <c r="G22" s="7" t="s">
        <v>479</v>
      </c>
      <c r="H22" s="7" t="s">
        <v>393</v>
      </c>
      <c r="I22" s="153">
        <v>14.0</v>
      </c>
      <c r="J22" s="154">
        <v>97.0</v>
      </c>
      <c r="K22" s="155">
        <v>1358.0</v>
      </c>
    </row>
    <row r="23" ht="30.0" customHeight="1">
      <c r="A23" s="147">
        <v>14.0</v>
      </c>
      <c r="B23" s="53">
        <v>42994.0</v>
      </c>
      <c r="C23" s="148" t="s">
        <v>465</v>
      </c>
      <c r="D23" s="148" t="s">
        <v>466</v>
      </c>
      <c r="E23" s="148" t="s">
        <v>480</v>
      </c>
      <c r="F23" s="7" t="s">
        <v>481</v>
      </c>
      <c r="G23" s="7" t="s">
        <v>482</v>
      </c>
      <c r="H23" s="7" t="s">
        <v>385</v>
      </c>
      <c r="I23" s="153">
        <v>3.0</v>
      </c>
      <c r="J23" s="154">
        <v>28.0</v>
      </c>
      <c r="K23" s="155">
        <v>84.0</v>
      </c>
    </row>
    <row r="24" ht="30.0" customHeight="1">
      <c r="A24" s="147">
        <v>14.0</v>
      </c>
      <c r="B24" s="53">
        <v>42994.0</v>
      </c>
      <c r="C24" s="148" t="s">
        <v>465</v>
      </c>
      <c r="D24" s="148" t="s">
        <v>466</v>
      </c>
      <c r="E24" s="148" t="s">
        <v>480</v>
      </c>
      <c r="F24" s="7" t="s">
        <v>481</v>
      </c>
      <c r="G24" s="7" t="s">
        <v>482</v>
      </c>
      <c r="H24" s="7" t="s">
        <v>385</v>
      </c>
      <c r="I24" s="153">
        <v>3.0</v>
      </c>
      <c r="J24" s="154">
        <v>28.0</v>
      </c>
      <c r="K24" s="155">
        <v>84.0</v>
      </c>
    </row>
    <row r="25" ht="30.0" customHeight="1">
      <c r="A25" s="147">
        <v>8.0</v>
      </c>
      <c r="B25" s="53">
        <v>42877.0</v>
      </c>
      <c r="C25" s="148" t="s">
        <v>476</v>
      </c>
      <c r="D25" s="148" t="s">
        <v>466</v>
      </c>
      <c r="E25" s="148" t="s">
        <v>480</v>
      </c>
      <c r="F25" s="7" t="s">
        <v>481</v>
      </c>
      <c r="G25" s="7" t="s">
        <v>482</v>
      </c>
      <c r="H25" s="7" t="s">
        <v>483</v>
      </c>
      <c r="I25" s="153">
        <v>33.0</v>
      </c>
      <c r="J25" s="154">
        <v>42.0</v>
      </c>
      <c r="K25" s="155">
        <v>1386.0</v>
      </c>
    </row>
    <row r="26" ht="30.0" customHeight="1">
      <c r="A26" s="147">
        <v>17.0</v>
      </c>
      <c r="B26" s="53">
        <v>42765.0</v>
      </c>
      <c r="C26" s="148" t="s">
        <v>484</v>
      </c>
      <c r="D26" s="148" t="s">
        <v>485</v>
      </c>
      <c r="E26" s="148" t="s">
        <v>477</v>
      </c>
      <c r="F26" s="7" t="s">
        <v>478</v>
      </c>
      <c r="G26" s="7" t="s">
        <v>479</v>
      </c>
      <c r="H26" s="7" t="s">
        <v>334</v>
      </c>
      <c r="I26" s="153">
        <v>24.0</v>
      </c>
      <c r="J26" s="154">
        <v>28.0</v>
      </c>
      <c r="K26" s="155">
        <v>672.0</v>
      </c>
    </row>
    <row r="27" ht="30.0" customHeight="1">
      <c r="A27" s="147">
        <v>5.0</v>
      </c>
      <c r="B27" s="53">
        <v>42934.0</v>
      </c>
      <c r="C27" s="148" t="s">
        <v>465</v>
      </c>
      <c r="D27" s="148" t="s">
        <v>466</v>
      </c>
      <c r="E27" s="148" t="s">
        <v>477</v>
      </c>
      <c r="F27" s="7" t="s">
        <v>478</v>
      </c>
      <c r="G27" s="7" t="s">
        <v>479</v>
      </c>
      <c r="H27" s="7" t="s">
        <v>393</v>
      </c>
      <c r="I27" s="153">
        <v>14.0</v>
      </c>
      <c r="J27" s="154">
        <v>44.0</v>
      </c>
      <c r="K27" s="155">
        <v>616.0</v>
      </c>
    </row>
    <row r="28" ht="30.0" customHeight="1">
      <c r="A28" s="147">
        <v>19.0</v>
      </c>
      <c r="B28" s="53">
        <v>42944.0</v>
      </c>
      <c r="C28" s="148" t="s">
        <v>484</v>
      </c>
      <c r="D28" s="148" t="s">
        <v>485</v>
      </c>
      <c r="E28" s="148" t="s">
        <v>473</v>
      </c>
      <c r="F28" s="7" t="s">
        <v>474</v>
      </c>
      <c r="G28" s="7" t="s">
        <v>475</v>
      </c>
      <c r="H28" s="7" t="s">
        <v>483</v>
      </c>
      <c r="I28" s="153">
        <v>33.0</v>
      </c>
      <c r="J28" s="154">
        <v>14.0</v>
      </c>
      <c r="K28" s="155">
        <v>462.0</v>
      </c>
    </row>
    <row r="29" ht="30.0" customHeight="1">
      <c r="A29" s="147">
        <v>20.0</v>
      </c>
      <c r="B29" s="53">
        <v>42818.0</v>
      </c>
      <c r="C29" s="148" t="s">
        <v>484</v>
      </c>
      <c r="D29" s="148" t="s">
        <v>485</v>
      </c>
      <c r="E29" s="148" t="s">
        <v>470</v>
      </c>
      <c r="F29" s="7" t="s">
        <v>471</v>
      </c>
      <c r="G29" s="7" t="s">
        <v>472</v>
      </c>
      <c r="H29" s="7" t="s">
        <v>393</v>
      </c>
      <c r="I29" s="153">
        <v>14.0</v>
      </c>
      <c r="J29" s="154">
        <v>48.0</v>
      </c>
      <c r="K29" s="155">
        <v>672.0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1"/>
  <mergeCells count="2">
    <mergeCell ref="A1:K1"/>
    <mergeCell ref="A2:K2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43"/>
    <col customWidth="1" min="3" max="3" width="11.71"/>
    <col customWidth="1" min="4" max="4" width="8.86"/>
    <col customWidth="1" min="5" max="7" width="8.0"/>
    <col customWidth="1" min="8" max="8" width="12.71"/>
    <col customWidth="1" min="9" max="26" width="8.0"/>
  </cols>
  <sheetData>
    <row r="1" ht="18.75" customHeight="1">
      <c r="A1" s="19" t="s">
        <v>486</v>
      </c>
    </row>
    <row r="2">
      <c r="A2" s="67" t="s">
        <v>487</v>
      </c>
      <c r="B2" s="68"/>
      <c r="C2" s="68"/>
      <c r="D2" s="68"/>
      <c r="E2" s="68"/>
      <c r="F2" s="68"/>
      <c r="G2" s="68"/>
    </row>
    <row r="4" ht="15.75" customHeight="1">
      <c r="A4" s="156" t="s">
        <v>488</v>
      </c>
      <c r="B4" s="156" t="s">
        <v>489</v>
      </c>
      <c r="C4" s="156" t="s">
        <v>247</v>
      </c>
      <c r="D4" s="156" t="s">
        <v>490</v>
      </c>
      <c r="E4" s="157"/>
      <c r="F4" s="30"/>
      <c r="G4" s="156" t="s">
        <v>490</v>
      </c>
      <c r="H4" s="156" t="s">
        <v>489</v>
      </c>
    </row>
    <row r="5" ht="15.75" customHeight="1">
      <c r="A5" s="158" t="s">
        <v>491</v>
      </c>
      <c r="B5" s="159">
        <v>92671.0</v>
      </c>
      <c r="C5" s="158" t="s">
        <v>337</v>
      </c>
      <c r="D5" s="158" t="s">
        <v>492</v>
      </c>
      <c r="E5" s="157"/>
      <c r="F5" s="30"/>
      <c r="G5" s="158" t="s">
        <v>492</v>
      </c>
      <c r="H5" s="159">
        <f t="array" ref="H5">INDEX($B$2:$B$21,MATCH(G5,$D$2:$D$21,0))</f>
        <v>92671</v>
      </c>
    </row>
    <row r="6" ht="15.75" customHeight="1">
      <c r="A6" s="158" t="s">
        <v>493</v>
      </c>
      <c r="B6" s="159">
        <v>84120.0</v>
      </c>
      <c r="C6" s="158" t="s">
        <v>494</v>
      </c>
      <c r="D6" s="158" t="s">
        <v>495</v>
      </c>
      <c r="E6" s="157"/>
      <c r="F6" s="30"/>
      <c r="G6" s="158" t="s">
        <v>495</v>
      </c>
      <c r="H6" s="159" t="s">
        <v>326</v>
      </c>
    </row>
    <row r="7" ht="15.75" customHeight="1">
      <c r="A7" s="158" t="s">
        <v>496</v>
      </c>
      <c r="B7" s="159">
        <v>50793.0</v>
      </c>
      <c r="C7" s="158" t="s">
        <v>255</v>
      </c>
      <c r="D7" s="158" t="s">
        <v>497</v>
      </c>
      <c r="E7" s="157"/>
      <c r="F7" s="30"/>
      <c r="G7" s="158" t="s">
        <v>497</v>
      </c>
      <c r="H7" s="159" t="s">
        <v>326</v>
      </c>
    </row>
    <row r="8" ht="15.75" customHeight="1">
      <c r="A8" s="158" t="s">
        <v>498</v>
      </c>
      <c r="B8" s="159">
        <v>77833.0</v>
      </c>
      <c r="C8" s="158" t="s">
        <v>499</v>
      </c>
      <c r="D8" s="158" t="s">
        <v>500</v>
      </c>
      <c r="E8" s="157"/>
      <c r="F8" s="30"/>
      <c r="G8" s="158" t="s">
        <v>500</v>
      </c>
      <c r="H8" s="159" t="s">
        <v>326</v>
      </c>
    </row>
    <row r="9" ht="15.75" customHeight="1">
      <c r="A9" s="158" t="s">
        <v>501</v>
      </c>
      <c r="B9" s="159">
        <v>58914.0</v>
      </c>
      <c r="C9" s="158" t="s">
        <v>266</v>
      </c>
      <c r="D9" s="158" t="s">
        <v>502</v>
      </c>
      <c r="E9" s="157"/>
      <c r="F9" s="30"/>
      <c r="G9" s="158" t="s">
        <v>502</v>
      </c>
      <c r="H9" s="159" t="s">
        <v>326</v>
      </c>
    </row>
    <row r="10" ht="15.75" customHeight="1">
      <c r="A10" s="158" t="s">
        <v>503</v>
      </c>
      <c r="B10" s="159">
        <v>51096.0</v>
      </c>
      <c r="C10" s="158" t="s">
        <v>504</v>
      </c>
      <c r="D10" s="158" t="s">
        <v>505</v>
      </c>
      <c r="E10" s="157"/>
      <c r="F10" s="30"/>
      <c r="G10" s="158" t="s">
        <v>505</v>
      </c>
      <c r="H10" s="159" t="s">
        <v>326</v>
      </c>
    </row>
    <row r="11" ht="15.75" customHeight="1">
      <c r="A11" s="158" t="s">
        <v>506</v>
      </c>
      <c r="B11" s="159">
        <v>83735.0</v>
      </c>
      <c r="C11" s="158" t="s">
        <v>255</v>
      </c>
      <c r="D11" s="158" t="s">
        <v>507</v>
      </c>
      <c r="E11" s="157"/>
      <c r="F11" s="30"/>
      <c r="G11" s="158" t="s">
        <v>507</v>
      </c>
      <c r="H11" s="159" t="s">
        <v>326</v>
      </c>
    </row>
    <row r="12" ht="15.75" customHeight="1">
      <c r="A12" s="158" t="s">
        <v>508</v>
      </c>
      <c r="B12" s="159">
        <v>74418.0</v>
      </c>
      <c r="C12" s="158" t="s">
        <v>504</v>
      </c>
      <c r="D12" s="158" t="s">
        <v>509</v>
      </c>
      <c r="E12" s="157"/>
      <c r="F12" s="30"/>
      <c r="G12" s="158" t="s">
        <v>509</v>
      </c>
      <c r="H12" s="159" t="s">
        <v>326</v>
      </c>
    </row>
    <row r="13" ht="15.75" customHeight="1">
      <c r="A13" s="158" t="s">
        <v>510</v>
      </c>
      <c r="B13" s="159">
        <v>51366.0</v>
      </c>
      <c r="C13" s="158" t="s">
        <v>337</v>
      </c>
      <c r="D13" s="158" t="s">
        <v>511</v>
      </c>
      <c r="E13" s="157"/>
      <c r="F13" s="30"/>
      <c r="G13" s="158" t="s">
        <v>511</v>
      </c>
      <c r="H13" s="159" t="s">
        <v>326</v>
      </c>
    </row>
    <row r="14" ht="15.75" customHeight="1">
      <c r="A14" s="158" t="s">
        <v>512</v>
      </c>
      <c r="B14" s="159">
        <v>54600.0</v>
      </c>
      <c r="C14" s="158" t="s">
        <v>266</v>
      </c>
      <c r="D14" s="158" t="s">
        <v>513</v>
      </c>
      <c r="E14" s="157"/>
      <c r="F14" s="30"/>
      <c r="G14" s="158" t="s">
        <v>513</v>
      </c>
      <c r="H14" s="159" t="s">
        <v>326</v>
      </c>
    </row>
    <row r="15" ht="15.75" customHeight="1">
      <c r="A15" s="158" t="s">
        <v>514</v>
      </c>
      <c r="B15" s="159">
        <v>93509.0</v>
      </c>
      <c r="C15" s="158" t="s">
        <v>494</v>
      </c>
      <c r="D15" s="158" t="s">
        <v>515</v>
      </c>
      <c r="E15" s="157"/>
      <c r="F15" s="30"/>
      <c r="G15" s="158" t="s">
        <v>515</v>
      </c>
      <c r="H15" s="159" t="s">
        <v>326</v>
      </c>
    </row>
    <row r="16" ht="15.75" customHeight="1">
      <c r="A16" s="158" t="s">
        <v>516</v>
      </c>
      <c r="B16" s="159">
        <v>80105.0</v>
      </c>
      <c r="C16" s="158" t="s">
        <v>266</v>
      </c>
      <c r="D16" s="158" t="s">
        <v>517</v>
      </c>
      <c r="E16" s="157"/>
      <c r="F16" s="30"/>
      <c r="G16" s="158" t="s">
        <v>517</v>
      </c>
      <c r="H16" s="159" t="s">
        <v>326</v>
      </c>
    </row>
    <row r="17" ht="15.75" customHeight="1">
      <c r="A17" s="158" t="s">
        <v>518</v>
      </c>
      <c r="B17" s="159">
        <v>60802.0</v>
      </c>
      <c r="C17" s="158" t="s">
        <v>255</v>
      </c>
      <c r="D17" s="158" t="s">
        <v>519</v>
      </c>
      <c r="E17" s="157"/>
      <c r="F17" s="30"/>
      <c r="G17" s="158" t="s">
        <v>519</v>
      </c>
      <c r="H17" s="159" t="s">
        <v>326</v>
      </c>
    </row>
    <row r="18" ht="15.75" customHeight="1">
      <c r="A18" s="158" t="s">
        <v>520</v>
      </c>
      <c r="B18" s="159">
        <v>76260.0</v>
      </c>
      <c r="C18" s="158" t="s">
        <v>337</v>
      </c>
      <c r="D18" s="158" t="s">
        <v>521</v>
      </c>
      <c r="E18" s="157"/>
      <c r="F18" s="30"/>
      <c r="G18" s="158" t="s">
        <v>521</v>
      </c>
      <c r="H18" s="159" t="s">
        <v>326</v>
      </c>
    </row>
    <row r="19" ht="15.75" customHeight="1">
      <c r="A19" s="158" t="s">
        <v>522</v>
      </c>
      <c r="B19" s="159">
        <v>88965.0</v>
      </c>
      <c r="C19" s="158" t="s">
        <v>504</v>
      </c>
      <c r="D19" s="158" t="s">
        <v>523</v>
      </c>
      <c r="E19" s="157"/>
      <c r="F19" s="30"/>
      <c r="G19" s="158" t="s">
        <v>523</v>
      </c>
      <c r="H19" s="159" t="s">
        <v>326</v>
      </c>
    </row>
    <row r="20" ht="15.75" customHeight="1">
      <c r="A20" s="158" t="s">
        <v>524</v>
      </c>
      <c r="B20" s="159">
        <v>63288.0</v>
      </c>
      <c r="C20" s="158" t="s">
        <v>494</v>
      </c>
      <c r="D20" s="158" t="s">
        <v>525</v>
      </c>
      <c r="E20" s="157"/>
      <c r="F20" s="30"/>
      <c r="G20" s="158" t="s">
        <v>525</v>
      </c>
      <c r="H20" s="159" t="s">
        <v>326</v>
      </c>
    </row>
    <row r="21" ht="15.75" customHeight="1">
      <c r="A21" s="158" t="s">
        <v>526</v>
      </c>
      <c r="B21" s="159">
        <v>45742.0</v>
      </c>
      <c r="C21" s="158" t="s">
        <v>337</v>
      </c>
      <c r="D21" s="158" t="s">
        <v>527</v>
      </c>
      <c r="E21" s="157"/>
      <c r="F21" s="30"/>
      <c r="G21" s="158" t="s">
        <v>527</v>
      </c>
      <c r="H21" s="159" t="s">
        <v>326</v>
      </c>
    </row>
    <row r="22" ht="15.75" customHeight="1">
      <c r="A22" s="158" t="s">
        <v>192</v>
      </c>
      <c r="B22" s="159">
        <v>88354.0</v>
      </c>
      <c r="C22" s="158" t="s">
        <v>255</v>
      </c>
      <c r="D22" s="158" t="s">
        <v>528</v>
      </c>
      <c r="E22" s="157"/>
      <c r="F22" s="30"/>
      <c r="G22" s="158" t="s">
        <v>528</v>
      </c>
      <c r="H22" s="159" t="s">
        <v>326</v>
      </c>
    </row>
    <row r="23" ht="15.75" customHeight="1">
      <c r="A23" s="158" t="s">
        <v>529</v>
      </c>
      <c r="B23" s="159">
        <v>76641.0</v>
      </c>
      <c r="C23" s="158" t="s">
        <v>255</v>
      </c>
      <c r="D23" s="158" t="s">
        <v>530</v>
      </c>
      <c r="E23" s="157"/>
      <c r="F23" s="30"/>
      <c r="G23" s="158" t="s">
        <v>530</v>
      </c>
      <c r="H23" s="159" t="s">
        <v>326</v>
      </c>
    </row>
    <row r="24" ht="15.75" customHeight="1">
      <c r="A24" s="158" t="s">
        <v>224</v>
      </c>
      <c r="B24" s="159">
        <v>61678.0</v>
      </c>
      <c r="C24" s="158" t="s">
        <v>337</v>
      </c>
      <c r="D24" s="158" t="s">
        <v>531</v>
      </c>
      <c r="E24" s="157"/>
      <c r="F24" s="30"/>
      <c r="G24" s="158" t="s">
        <v>531</v>
      </c>
      <c r="H24" s="159" t="s">
        <v>326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G2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43"/>
    <col customWidth="1" min="3" max="3" width="12.86"/>
    <col customWidth="1" min="4" max="4" width="11.29"/>
    <col customWidth="1" min="5" max="7" width="8.0"/>
    <col customWidth="1" min="8" max="8" width="11.57"/>
    <col customWidth="1" min="9" max="26" width="8.0"/>
  </cols>
  <sheetData>
    <row r="1" ht="18.75" customHeight="1"/>
    <row r="2">
      <c r="A2" s="21" t="s">
        <v>532</v>
      </c>
    </row>
    <row r="4" ht="15.75" customHeight="1">
      <c r="A4" s="156" t="s">
        <v>488</v>
      </c>
      <c r="B4" s="156" t="s">
        <v>489</v>
      </c>
      <c r="C4" s="156" t="s">
        <v>247</v>
      </c>
      <c r="D4" s="156" t="s">
        <v>490</v>
      </c>
      <c r="E4" s="157"/>
      <c r="F4" s="30"/>
      <c r="G4" s="156" t="s">
        <v>490</v>
      </c>
      <c r="H4" s="156" t="s">
        <v>489</v>
      </c>
    </row>
    <row r="5" ht="15.75" customHeight="1">
      <c r="A5" s="158" t="s">
        <v>491</v>
      </c>
      <c r="B5" s="159">
        <v>92671.0</v>
      </c>
      <c r="C5" s="158" t="s">
        <v>337</v>
      </c>
      <c r="D5" s="158" t="s">
        <v>492</v>
      </c>
      <c r="E5" s="157"/>
      <c r="F5" s="30"/>
      <c r="G5" s="158" t="s">
        <v>492</v>
      </c>
      <c r="H5" s="159">
        <f>LOOKUP(G5,$D$2:$D$21,$B$2:$B$21)</f>
        <v>92671</v>
      </c>
    </row>
    <row r="6" ht="15.75" customHeight="1">
      <c r="A6" s="158" t="s">
        <v>493</v>
      </c>
      <c r="B6" s="159">
        <v>84120.0</v>
      </c>
      <c r="C6" s="158" t="s">
        <v>494</v>
      </c>
      <c r="D6" s="158" t="s">
        <v>495</v>
      </c>
      <c r="E6" s="157"/>
      <c r="F6" s="30"/>
      <c r="G6" s="158" t="s">
        <v>495</v>
      </c>
      <c r="H6" s="159">
        <f t="array" ref="H6">index(A4:D24,Match(G6,D4:D24,0),Match(H4,A4:D4,0))</f>
        <v>84120</v>
      </c>
    </row>
    <row r="7" ht="15.75" customHeight="1">
      <c r="A7" s="158" t="s">
        <v>496</v>
      </c>
      <c r="B7" s="159">
        <v>50793.0</v>
      </c>
      <c r="C7" s="158" t="s">
        <v>255</v>
      </c>
      <c r="D7" s="158" t="s">
        <v>497</v>
      </c>
      <c r="E7" s="157"/>
      <c r="F7" s="30"/>
      <c r="G7" s="158" t="s">
        <v>497</v>
      </c>
      <c r="H7" s="159">
        <f>LOOKUP(G7,$D$5:$D$10,B5:B10)</f>
        <v>50793</v>
      </c>
    </row>
    <row r="8" ht="15.75" customHeight="1">
      <c r="A8" s="158" t="s">
        <v>498</v>
      </c>
      <c r="B8" s="159">
        <v>77833.0</v>
      </c>
      <c r="C8" s="158" t="s">
        <v>499</v>
      </c>
      <c r="D8" s="158" t="s">
        <v>500</v>
      </c>
      <c r="E8" s="157"/>
      <c r="F8" s="30"/>
      <c r="G8" s="158" t="s">
        <v>500</v>
      </c>
      <c r="H8" s="159">
        <f>LOOKUP(G8,$D$5:$D$10,$B$5:$B$10)</f>
        <v>77833</v>
      </c>
    </row>
    <row r="9" ht="15.75" customHeight="1">
      <c r="A9" s="158" t="s">
        <v>501</v>
      </c>
      <c r="B9" s="159">
        <v>58914.0</v>
      </c>
      <c r="C9" s="158" t="s">
        <v>266</v>
      </c>
      <c r="D9" s="158" t="s">
        <v>502</v>
      </c>
      <c r="E9" s="157"/>
      <c r="F9" s="30"/>
      <c r="G9" s="158" t="s">
        <v>502</v>
      </c>
      <c r="H9" s="159" t="s">
        <v>326</v>
      </c>
    </row>
    <row r="10" ht="15.75" customHeight="1">
      <c r="A10" s="158" t="s">
        <v>503</v>
      </c>
      <c r="B10" s="159">
        <v>51096.0</v>
      </c>
      <c r="C10" s="158" t="s">
        <v>504</v>
      </c>
      <c r="D10" s="158" t="s">
        <v>505</v>
      </c>
      <c r="E10" s="157"/>
      <c r="F10" s="30"/>
      <c r="G10" s="158" t="s">
        <v>505</v>
      </c>
      <c r="H10" s="159" t="s">
        <v>326</v>
      </c>
    </row>
    <row r="11" ht="15.75" customHeight="1">
      <c r="A11" s="158" t="s">
        <v>506</v>
      </c>
      <c r="B11" s="19" t="s">
        <v>533</v>
      </c>
    </row>
    <row r="12" ht="15.75" customHeight="1">
      <c r="A12" s="158" t="s">
        <v>508</v>
      </c>
      <c r="B12" s="159">
        <v>74418.0</v>
      </c>
      <c r="C12" s="158" t="s">
        <v>504</v>
      </c>
      <c r="D12" s="158" t="s">
        <v>509</v>
      </c>
      <c r="E12" s="157"/>
      <c r="F12" s="30"/>
      <c r="G12" s="158" t="s">
        <v>509</v>
      </c>
      <c r="H12" s="159" t="s">
        <v>326</v>
      </c>
    </row>
    <row r="13" ht="15.75" customHeight="1">
      <c r="A13" s="158" t="s">
        <v>510</v>
      </c>
      <c r="B13" s="159">
        <v>51366.0</v>
      </c>
      <c r="C13" s="158" t="s">
        <v>337</v>
      </c>
      <c r="D13" s="158" t="s">
        <v>511</v>
      </c>
      <c r="E13" s="157"/>
      <c r="F13" s="30"/>
      <c r="G13" s="158" t="s">
        <v>511</v>
      </c>
      <c r="H13" s="159" t="s">
        <v>326</v>
      </c>
    </row>
    <row r="14" ht="15.75" customHeight="1">
      <c r="A14" s="158" t="s">
        <v>512</v>
      </c>
      <c r="B14" s="159">
        <v>54600.0</v>
      </c>
      <c r="C14" s="158" t="s">
        <v>266</v>
      </c>
      <c r="D14" s="158" t="s">
        <v>513</v>
      </c>
      <c r="E14" s="157"/>
      <c r="F14" s="30"/>
      <c r="G14" s="158" t="s">
        <v>513</v>
      </c>
      <c r="H14" s="159" t="s">
        <v>326</v>
      </c>
    </row>
    <row r="15" ht="15.75" customHeight="1">
      <c r="A15" s="158" t="s">
        <v>514</v>
      </c>
      <c r="B15" s="159">
        <v>93509.0</v>
      </c>
      <c r="C15" s="158" t="s">
        <v>494</v>
      </c>
      <c r="D15" s="158" t="s">
        <v>515</v>
      </c>
      <c r="E15" s="157"/>
      <c r="F15" s="30"/>
      <c r="G15" s="158" t="s">
        <v>515</v>
      </c>
      <c r="H15" s="159" t="s">
        <v>326</v>
      </c>
    </row>
    <row r="16" ht="15.75" customHeight="1">
      <c r="A16" s="158" t="s">
        <v>516</v>
      </c>
      <c r="B16" s="159">
        <v>80105.0</v>
      </c>
      <c r="C16" s="158" t="s">
        <v>266</v>
      </c>
      <c r="D16" s="158" t="s">
        <v>517</v>
      </c>
      <c r="E16" s="157"/>
      <c r="F16" s="30"/>
      <c r="G16" s="158" t="s">
        <v>517</v>
      </c>
      <c r="H16" s="159" t="s">
        <v>326</v>
      </c>
    </row>
    <row r="17" ht="15.75" customHeight="1">
      <c r="A17" s="158" t="s">
        <v>518</v>
      </c>
      <c r="B17" s="159">
        <v>60802.0</v>
      </c>
      <c r="C17" s="158" t="s">
        <v>255</v>
      </c>
      <c r="D17" s="158" t="s">
        <v>519</v>
      </c>
      <c r="E17" s="157"/>
      <c r="F17" s="30"/>
      <c r="G17" s="158" t="s">
        <v>519</v>
      </c>
      <c r="H17" s="159" t="s">
        <v>326</v>
      </c>
    </row>
    <row r="18" ht="15.75" customHeight="1">
      <c r="A18" s="158" t="s">
        <v>520</v>
      </c>
      <c r="B18" s="159">
        <v>76260.0</v>
      </c>
      <c r="C18" s="158" t="s">
        <v>337</v>
      </c>
      <c r="D18" s="158" t="s">
        <v>521</v>
      </c>
      <c r="E18" s="157"/>
      <c r="F18" s="30"/>
      <c r="G18" s="158" t="s">
        <v>521</v>
      </c>
      <c r="H18" s="159" t="s">
        <v>326</v>
      </c>
    </row>
    <row r="19" ht="15.75" customHeight="1">
      <c r="A19" s="158" t="s">
        <v>522</v>
      </c>
      <c r="B19" s="159">
        <v>88965.0</v>
      </c>
      <c r="C19" s="158" t="s">
        <v>504</v>
      </c>
      <c r="D19" s="158" t="s">
        <v>523</v>
      </c>
      <c r="E19" s="157"/>
      <c r="F19" s="30"/>
      <c r="G19" s="158" t="s">
        <v>523</v>
      </c>
      <c r="H19" s="159" t="s">
        <v>326</v>
      </c>
    </row>
    <row r="20" ht="15.75" customHeight="1">
      <c r="A20" s="158" t="s">
        <v>524</v>
      </c>
      <c r="B20" s="159">
        <v>63288.0</v>
      </c>
      <c r="C20" s="158" t="s">
        <v>494</v>
      </c>
      <c r="D20" s="158" t="s">
        <v>525</v>
      </c>
      <c r="E20" s="157"/>
      <c r="F20" s="30"/>
      <c r="G20" s="158" t="s">
        <v>525</v>
      </c>
      <c r="H20" s="159" t="s">
        <v>326</v>
      </c>
    </row>
    <row r="21" ht="15.75" customHeight="1">
      <c r="A21" s="158" t="s">
        <v>526</v>
      </c>
      <c r="B21" s="159">
        <v>45742.0</v>
      </c>
      <c r="C21" s="158" t="s">
        <v>337</v>
      </c>
      <c r="D21" s="158" t="s">
        <v>527</v>
      </c>
      <c r="E21" s="157"/>
      <c r="F21" s="30"/>
      <c r="G21" s="158" t="s">
        <v>527</v>
      </c>
      <c r="H21" s="159" t="s">
        <v>326</v>
      </c>
    </row>
    <row r="22" ht="15.75" customHeight="1">
      <c r="A22" s="158" t="s">
        <v>192</v>
      </c>
      <c r="B22" s="159">
        <v>88354.0</v>
      </c>
      <c r="C22" s="158" t="s">
        <v>255</v>
      </c>
      <c r="D22" s="158" t="s">
        <v>528</v>
      </c>
      <c r="E22" s="157"/>
      <c r="F22" s="30"/>
      <c r="G22" s="158" t="s">
        <v>528</v>
      </c>
      <c r="H22" s="159" t="s">
        <v>326</v>
      </c>
    </row>
    <row r="23" ht="15.75" customHeight="1">
      <c r="A23" s="158" t="s">
        <v>529</v>
      </c>
      <c r="B23" s="159">
        <v>76641.0</v>
      </c>
      <c r="C23" s="158" t="s">
        <v>255</v>
      </c>
      <c r="D23" s="158" t="s">
        <v>530</v>
      </c>
      <c r="E23" s="157"/>
      <c r="F23" s="30"/>
      <c r="G23" s="158" t="s">
        <v>530</v>
      </c>
      <c r="H23" s="159" t="s">
        <v>326</v>
      </c>
    </row>
    <row r="24" ht="15.75" customHeight="1">
      <c r="A24" s="158" t="s">
        <v>224</v>
      </c>
      <c r="B24" s="159">
        <v>61678.0</v>
      </c>
      <c r="C24" s="158" t="s">
        <v>337</v>
      </c>
      <c r="D24" s="158" t="s">
        <v>531</v>
      </c>
      <c r="E24" s="157"/>
      <c r="F24" s="30"/>
      <c r="G24" s="158" t="s">
        <v>531</v>
      </c>
      <c r="H24" s="159" t="s">
        <v>326</v>
      </c>
    </row>
    <row r="25" ht="15.75" customHeight="1"/>
    <row r="26" ht="15.75" customHeight="1">
      <c r="A26" s="160" t="s">
        <v>534</v>
      </c>
      <c r="H26" s="161" t="s">
        <v>25</v>
      </c>
    </row>
    <row r="27" ht="15.75" customHeight="1">
      <c r="A27" s="160" t="s">
        <v>535</v>
      </c>
      <c r="H27" s="162" t="s">
        <v>29</v>
      </c>
    </row>
    <row r="28" ht="15.75" customHeight="1">
      <c r="A28" s="12" t="s">
        <v>536</v>
      </c>
      <c r="H28" s="56" t="s">
        <v>29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B11:I1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3" width="10.71"/>
    <col customWidth="1" min="4" max="4" width="11.43"/>
    <col customWidth="1" min="5" max="5" width="8.0"/>
    <col customWidth="1" min="6" max="6" width="19.29"/>
    <col customWidth="1" min="7" max="26" width="8.0"/>
  </cols>
  <sheetData>
    <row r="1" ht="18.75" customHeight="1">
      <c r="A1" s="19" t="s">
        <v>537</v>
      </c>
    </row>
    <row r="2">
      <c r="A2" s="21" t="s">
        <v>538</v>
      </c>
    </row>
    <row r="4">
      <c r="A4" s="163" t="s">
        <v>96</v>
      </c>
      <c r="B4" s="163" t="s">
        <v>80</v>
      </c>
      <c r="C4" s="163" t="s">
        <v>81</v>
      </c>
      <c r="D4" s="163" t="s">
        <v>539</v>
      </c>
      <c r="E4" s="163" t="s">
        <v>540</v>
      </c>
      <c r="F4" s="163" t="s">
        <v>541</v>
      </c>
    </row>
    <row r="5">
      <c r="A5" s="164" t="s">
        <v>542</v>
      </c>
      <c r="B5" s="165" t="s">
        <v>543</v>
      </c>
      <c r="C5" s="165" t="s">
        <v>543</v>
      </c>
      <c r="D5" s="165" t="s">
        <v>544</v>
      </c>
      <c r="E5" s="165" t="s">
        <v>543</v>
      </c>
      <c r="F5" s="164" t="b">
        <f>AND(B5="PASS",C5="PASS",D5="PASS",E5="PASS")</f>
        <v>0</v>
      </c>
    </row>
    <row r="6">
      <c r="A6" s="164" t="s">
        <v>545</v>
      </c>
      <c r="B6" s="165" t="s">
        <v>543</v>
      </c>
      <c r="C6" s="165" t="s">
        <v>543</v>
      </c>
      <c r="D6" s="165" t="s">
        <v>543</v>
      </c>
      <c r="E6" s="165" t="s">
        <v>543</v>
      </c>
      <c r="F6" s="164" t="b">
        <f>And(B6="PASS",C6="PASS",D6="PASS",E6="PASS")</f>
        <v>1</v>
      </c>
    </row>
    <row r="7">
      <c r="A7" s="164" t="s">
        <v>546</v>
      </c>
      <c r="B7" s="165" t="s">
        <v>543</v>
      </c>
      <c r="C7" s="165" t="s">
        <v>544</v>
      </c>
      <c r="D7" s="165" t="s">
        <v>543</v>
      </c>
      <c r="E7" s="165" t="s">
        <v>543</v>
      </c>
      <c r="F7" s="164" t="s">
        <v>326</v>
      </c>
    </row>
    <row r="8">
      <c r="A8" s="164" t="s">
        <v>547</v>
      </c>
      <c r="B8" s="165" t="s">
        <v>543</v>
      </c>
      <c r="C8" s="165" t="s">
        <v>543</v>
      </c>
      <c r="D8" s="165" t="s">
        <v>543</v>
      </c>
      <c r="E8" s="165" t="s">
        <v>543</v>
      </c>
      <c r="F8" s="164" t="s">
        <v>326</v>
      </c>
    </row>
    <row r="9">
      <c r="A9" s="164" t="s">
        <v>548</v>
      </c>
      <c r="B9" s="165" t="s">
        <v>543</v>
      </c>
      <c r="C9" s="165" t="s">
        <v>544</v>
      </c>
      <c r="D9" s="165" t="s">
        <v>543</v>
      </c>
      <c r="E9" s="165" t="s">
        <v>543</v>
      </c>
      <c r="F9" s="164" t="s">
        <v>326</v>
      </c>
    </row>
    <row r="10">
      <c r="A10" s="164" t="s">
        <v>549</v>
      </c>
      <c r="B10" s="165" t="s">
        <v>544</v>
      </c>
      <c r="C10" s="165" t="s">
        <v>543</v>
      </c>
      <c r="D10" s="165" t="s">
        <v>543</v>
      </c>
      <c r="E10" s="165" t="s">
        <v>543</v>
      </c>
      <c r="F10" s="164" t="s">
        <v>326</v>
      </c>
    </row>
    <row r="11">
      <c r="A11" s="164" t="s">
        <v>550</v>
      </c>
      <c r="B11" s="165" t="s">
        <v>543</v>
      </c>
      <c r="C11" s="165" t="s">
        <v>543</v>
      </c>
      <c r="D11" s="165" t="s">
        <v>543</v>
      </c>
      <c r="E11" s="165" t="s">
        <v>544</v>
      </c>
      <c r="F11" s="164" t="s">
        <v>326</v>
      </c>
    </row>
    <row r="12">
      <c r="A12" s="164" t="s">
        <v>551</v>
      </c>
      <c r="B12" s="165" t="s">
        <v>543</v>
      </c>
      <c r="C12" s="165" t="s">
        <v>543</v>
      </c>
      <c r="D12" s="165" t="s">
        <v>544</v>
      </c>
      <c r="E12" s="165" t="s">
        <v>543</v>
      </c>
      <c r="F12" s="164" t="s">
        <v>326</v>
      </c>
    </row>
    <row r="13">
      <c r="A13" s="164" t="s">
        <v>114</v>
      </c>
      <c r="B13" s="165" t="s">
        <v>543</v>
      </c>
      <c r="C13" s="165" t="s">
        <v>543</v>
      </c>
      <c r="D13" s="165" t="s">
        <v>543</v>
      </c>
      <c r="E13" s="165" t="s">
        <v>543</v>
      </c>
      <c r="F13" s="164" t="s">
        <v>326</v>
      </c>
    </row>
    <row r="15">
      <c r="A15" s="166" t="s">
        <v>552</v>
      </c>
      <c r="B15" s="166"/>
      <c r="C15" s="166"/>
      <c r="D15" s="166"/>
      <c r="E15" s="166"/>
      <c r="F15" s="1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14"/>
    <col customWidth="1" min="3" max="5" width="8.0"/>
    <col customWidth="1" min="6" max="6" width="16.43"/>
    <col customWidth="1" min="7" max="26" width="8.0"/>
  </cols>
  <sheetData>
    <row r="1" ht="18.75" customHeight="1">
      <c r="A1" s="19" t="s">
        <v>553</v>
      </c>
    </row>
    <row r="2">
      <c r="A2" s="21" t="s">
        <v>554</v>
      </c>
    </row>
    <row r="4">
      <c r="A4" s="167" t="s">
        <v>313</v>
      </c>
      <c r="B4" s="167" t="s">
        <v>555</v>
      </c>
      <c r="D4" s="167" t="s">
        <v>556</v>
      </c>
      <c r="E4" s="167" t="s">
        <v>557</v>
      </c>
      <c r="F4" s="167" t="s">
        <v>410</v>
      </c>
    </row>
    <row r="5">
      <c r="A5" s="168" t="s">
        <v>558</v>
      </c>
      <c r="B5" s="169">
        <v>250.0</v>
      </c>
      <c r="D5" s="168" t="s">
        <v>219</v>
      </c>
      <c r="E5" s="168" t="s">
        <v>559</v>
      </c>
      <c r="F5" s="168">
        <v>90.0</v>
      </c>
    </row>
    <row r="6">
      <c r="A6" s="168" t="s">
        <v>560</v>
      </c>
      <c r="B6" s="169">
        <v>110.0</v>
      </c>
      <c r="D6" s="168" t="s">
        <v>561</v>
      </c>
      <c r="E6" s="168" t="s">
        <v>562</v>
      </c>
      <c r="F6" s="168">
        <v>77.0</v>
      </c>
    </row>
    <row r="7">
      <c r="A7" s="168" t="s">
        <v>563</v>
      </c>
      <c r="B7" s="169">
        <v>300.0</v>
      </c>
      <c r="D7" s="168" t="s">
        <v>564</v>
      </c>
      <c r="E7" s="168" t="s">
        <v>559</v>
      </c>
      <c r="F7" s="168">
        <v>80.0</v>
      </c>
    </row>
    <row r="8">
      <c r="A8" s="168" t="s">
        <v>565</v>
      </c>
      <c r="B8" s="169">
        <v>50.0</v>
      </c>
      <c r="D8" s="168" t="s">
        <v>566</v>
      </c>
      <c r="E8" s="168" t="s">
        <v>559</v>
      </c>
      <c r="F8" s="168">
        <v>65.0</v>
      </c>
    </row>
    <row r="9">
      <c r="A9" s="168" t="s">
        <v>567</v>
      </c>
      <c r="B9" s="169">
        <v>45.0</v>
      </c>
      <c r="D9" s="168" t="s">
        <v>568</v>
      </c>
      <c r="E9" s="168" t="s">
        <v>562</v>
      </c>
      <c r="F9" s="168">
        <v>45.0</v>
      </c>
    </row>
    <row r="10">
      <c r="A10" s="168" t="s">
        <v>560</v>
      </c>
      <c r="B10" s="169">
        <v>23.0</v>
      </c>
      <c r="D10" s="168" t="s">
        <v>569</v>
      </c>
      <c r="E10" s="168" t="s">
        <v>562</v>
      </c>
      <c r="F10" s="168">
        <v>55.0</v>
      </c>
    </row>
    <row r="11">
      <c r="A11" s="168" t="s">
        <v>570</v>
      </c>
      <c r="B11" s="169">
        <v>25.0</v>
      </c>
    </row>
    <row r="12">
      <c r="A12" s="168" t="s">
        <v>558</v>
      </c>
      <c r="B12" s="169">
        <v>90.0</v>
      </c>
      <c r="D12" s="170" t="s">
        <v>571</v>
      </c>
      <c r="E12" s="171"/>
      <c r="F12" s="172"/>
    </row>
    <row r="13">
      <c r="A13" s="168" t="s">
        <v>560</v>
      </c>
      <c r="B13" s="169">
        <v>450.0</v>
      </c>
      <c r="D13" s="173" t="s">
        <v>572</v>
      </c>
      <c r="E13" s="174">
        <f>AVERAGEIF(E4:E10,E7,F4:F10)</f>
        <v>78.33333333</v>
      </c>
      <c r="F13" s="71"/>
    </row>
    <row r="14">
      <c r="A14" s="168" t="s">
        <v>567</v>
      </c>
      <c r="B14" s="169">
        <v>23.0</v>
      </c>
      <c r="D14" s="173" t="s">
        <v>562</v>
      </c>
      <c r="E14" s="174">
        <f>Averageif(E5:E10,E9,F5:F10)</f>
        <v>59</v>
      </c>
      <c r="F14" s="71"/>
    </row>
    <row r="15">
      <c r="A15" s="168" t="s">
        <v>558</v>
      </c>
      <c r="B15" s="169">
        <v>250.0</v>
      </c>
    </row>
    <row r="16">
      <c r="A16" s="168" t="s">
        <v>565</v>
      </c>
      <c r="B16" s="169">
        <v>25.0</v>
      </c>
    </row>
    <row r="17">
      <c r="A17" s="107"/>
      <c r="B17" s="107"/>
    </row>
    <row r="18">
      <c r="A18" s="173" t="s">
        <v>573</v>
      </c>
      <c r="B18" s="9">
        <f>AVERAGEIF(A5:A16,A8,B5:B16)</f>
        <v>37.5</v>
      </c>
    </row>
    <row r="19">
      <c r="A19" s="173" t="s">
        <v>574</v>
      </c>
      <c r="B19" s="46">
        <f>Averageif(A5:A16,A6,B5:B16)</f>
        <v>194.3333333</v>
      </c>
    </row>
    <row r="21" ht="15.75" customHeight="1"/>
    <row r="22" ht="15.75" customHeight="1">
      <c r="A22" s="167" t="s">
        <v>575</v>
      </c>
      <c r="B22" s="167" t="s">
        <v>576</v>
      </c>
      <c r="C22" s="167" t="s">
        <v>337</v>
      </c>
      <c r="E22" s="167" t="s">
        <v>313</v>
      </c>
      <c r="F22" s="167" t="s">
        <v>555</v>
      </c>
    </row>
    <row r="23" ht="15.75" customHeight="1">
      <c r="A23" s="168" t="s">
        <v>449</v>
      </c>
      <c r="B23" s="168" t="s">
        <v>577</v>
      </c>
      <c r="C23" s="168">
        <v>25000.0</v>
      </c>
      <c r="E23" s="168" t="s">
        <v>558</v>
      </c>
      <c r="F23" s="169">
        <v>250.0</v>
      </c>
    </row>
    <row r="24" ht="15.75" customHeight="1">
      <c r="A24" s="168" t="s">
        <v>578</v>
      </c>
      <c r="B24" s="168" t="s">
        <v>579</v>
      </c>
      <c r="C24" s="168">
        <v>12000.0</v>
      </c>
      <c r="E24" s="168" t="s">
        <v>560</v>
      </c>
      <c r="F24" s="169">
        <v>110.0</v>
      </c>
    </row>
    <row r="25" ht="15.75" customHeight="1">
      <c r="A25" s="168" t="s">
        <v>448</v>
      </c>
      <c r="B25" s="168" t="s">
        <v>580</v>
      </c>
      <c r="C25" s="168">
        <v>4200.0</v>
      </c>
      <c r="E25" s="168" t="s">
        <v>563</v>
      </c>
      <c r="F25" s="169">
        <v>300.0</v>
      </c>
    </row>
    <row r="26" ht="15.75" customHeight="1">
      <c r="A26" s="168" t="s">
        <v>448</v>
      </c>
      <c r="B26" s="168" t="s">
        <v>581</v>
      </c>
      <c r="C26" s="168">
        <v>5600.0</v>
      </c>
      <c r="E26" s="168" t="s">
        <v>565</v>
      </c>
      <c r="F26" s="169">
        <v>50.0</v>
      </c>
    </row>
    <row r="27" ht="15.75" customHeight="1">
      <c r="A27" s="168" t="s">
        <v>451</v>
      </c>
      <c r="B27" s="168" t="s">
        <v>582</v>
      </c>
      <c r="C27" s="168">
        <v>15000.0</v>
      </c>
      <c r="E27" s="168" t="s">
        <v>567</v>
      </c>
      <c r="F27" s="169">
        <v>45.0</v>
      </c>
    </row>
    <row r="28" ht="15.75" customHeight="1">
      <c r="A28" s="168" t="s">
        <v>578</v>
      </c>
      <c r="B28" s="168" t="s">
        <v>583</v>
      </c>
      <c r="C28" s="168">
        <v>7000.0</v>
      </c>
      <c r="E28" s="168" t="s">
        <v>560</v>
      </c>
      <c r="F28" s="169">
        <v>23.0</v>
      </c>
    </row>
    <row r="29" ht="15.75" customHeight="1">
      <c r="A29" s="168" t="s">
        <v>449</v>
      </c>
      <c r="B29" s="168" t="s">
        <v>584</v>
      </c>
      <c r="C29" s="168">
        <v>5200.0</v>
      </c>
      <c r="E29" s="168" t="s">
        <v>570</v>
      </c>
      <c r="F29" s="169">
        <v>25.0</v>
      </c>
    </row>
    <row r="30" ht="15.75" customHeight="1">
      <c r="A30" s="168" t="s">
        <v>448</v>
      </c>
      <c r="B30" s="168" t="s">
        <v>585</v>
      </c>
      <c r="C30" s="168">
        <v>6000.0</v>
      </c>
      <c r="E30" s="168" t="s">
        <v>558</v>
      </c>
      <c r="F30" s="169">
        <v>90.0</v>
      </c>
    </row>
    <row r="31" ht="15.75" customHeight="1">
      <c r="A31" s="168" t="s">
        <v>451</v>
      </c>
      <c r="B31" s="168" t="s">
        <v>586</v>
      </c>
      <c r="C31" s="168">
        <v>8500.0</v>
      </c>
      <c r="E31" s="168" t="s">
        <v>560</v>
      </c>
      <c r="F31" s="169">
        <v>450.0</v>
      </c>
    </row>
    <row r="32" ht="15.75" customHeight="1">
      <c r="A32" s="168" t="s">
        <v>587</v>
      </c>
      <c r="B32" s="168" t="s">
        <v>588</v>
      </c>
      <c r="C32" s="168">
        <v>12000.0</v>
      </c>
      <c r="E32" s="168" t="s">
        <v>567</v>
      </c>
      <c r="F32" s="169">
        <v>23.0</v>
      </c>
    </row>
    <row r="33" ht="15.75" customHeight="1">
      <c r="A33" s="168" t="s">
        <v>448</v>
      </c>
      <c r="B33" s="168" t="s">
        <v>589</v>
      </c>
      <c r="C33" s="168">
        <v>4300.0</v>
      </c>
      <c r="E33" s="168" t="s">
        <v>558</v>
      </c>
      <c r="F33" s="169">
        <v>250.0</v>
      </c>
    </row>
    <row r="34" ht="15.75" customHeight="1">
      <c r="A34" s="168" t="s">
        <v>451</v>
      </c>
      <c r="B34" s="168" t="s">
        <v>590</v>
      </c>
      <c r="C34" s="168">
        <v>1200.0</v>
      </c>
      <c r="E34" s="168" t="s">
        <v>565</v>
      </c>
      <c r="F34" s="169">
        <v>25.0</v>
      </c>
    </row>
    <row r="35" ht="15.75" customHeight="1">
      <c r="A35" s="107"/>
      <c r="B35" s="107"/>
      <c r="C35" s="107"/>
      <c r="E35" s="107"/>
      <c r="F35" s="107"/>
    </row>
    <row r="36" ht="15.75" customHeight="1">
      <c r="A36" s="175" t="s">
        <v>591</v>
      </c>
      <c r="B36" s="70"/>
      <c r="C36" s="71"/>
      <c r="E36" s="176" t="s">
        <v>592</v>
      </c>
      <c r="F36" s="71"/>
      <c r="G36" s="177">
        <f>AVERAGEIF(F23:F34,"&gt;250")</f>
        <v>375</v>
      </c>
      <c r="H36" s="71"/>
    </row>
    <row r="37" ht="15.75" customHeight="1">
      <c r="A37" s="63">
        <f>AVERAGEIF(A23:A34,A27,C23:C34)</f>
        <v>8233.333333</v>
      </c>
      <c r="B37" s="70"/>
      <c r="C37" s="71"/>
      <c r="E37" s="178" t="s">
        <v>593</v>
      </c>
      <c r="F37" s="71"/>
      <c r="G37" s="179">
        <f>Averageif(F23:F34,"&lt;100")</f>
        <v>40.14285714</v>
      </c>
      <c r="H37" s="7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36:C36"/>
    <mergeCell ref="A37:C37"/>
    <mergeCell ref="E37:F37"/>
    <mergeCell ref="G37:H37"/>
    <mergeCell ref="A1:H1"/>
    <mergeCell ref="A2:H2"/>
    <mergeCell ref="D12:F12"/>
    <mergeCell ref="E13:F13"/>
    <mergeCell ref="E14:F14"/>
    <mergeCell ref="E36:F36"/>
    <mergeCell ref="G36:H36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1.43"/>
    <col customWidth="1" min="3" max="3" width="8.0"/>
    <col customWidth="1" min="4" max="4" width="18.57"/>
    <col customWidth="1" min="5" max="5" width="9.43"/>
    <col customWidth="1" min="6" max="26" width="8.0"/>
  </cols>
  <sheetData>
    <row r="1" ht="18.75" customHeight="1">
      <c r="A1" s="19" t="s">
        <v>594</v>
      </c>
    </row>
    <row r="2">
      <c r="A2" s="21" t="s">
        <v>595</v>
      </c>
    </row>
    <row r="4">
      <c r="A4" s="180" t="s">
        <v>596</v>
      </c>
      <c r="B4" s="180" t="s">
        <v>597</v>
      </c>
      <c r="D4" s="180" t="s">
        <v>598</v>
      </c>
      <c r="E4" s="180" t="s">
        <v>599</v>
      </c>
    </row>
    <row r="5">
      <c r="A5" s="7" t="s">
        <v>600</v>
      </c>
      <c r="B5" s="7"/>
      <c r="C5" s="12" t="b">
        <v>1</v>
      </c>
      <c r="D5" s="7" t="s">
        <v>601</v>
      </c>
      <c r="E5" s="7"/>
      <c r="F5" s="12" t="b">
        <v>1</v>
      </c>
    </row>
    <row r="6">
      <c r="A6" s="7" t="s">
        <v>602</v>
      </c>
      <c r="B6" s="7"/>
      <c r="C6" s="12" t="b">
        <v>1</v>
      </c>
      <c r="D6" s="7" t="s">
        <v>603</v>
      </c>
      <c r="E6" s="7"/>
      <c r="F6" s="12" t="b">
        <v>1</v>
      </c>
    </row>
    <row r="7">
      <c r="A7" s="7" t="s">
        <v>604</v>
      </c>
      <c r="B7" s="7"/>
      <c r="C7" s="12" t="b">
        <v>1</v>
      </c>
      <c r="D7" s="7" t="s">
        <v>605</v>
      </c>
      <c r="E7" s="7"/>
      <c r="F7" s="12" t="b">
        <v>1</v>
      </c>
    </row>
    <row r="8">
      <c r="A8" s="7" t="s">
        <v>606</v>
      </c>
      <c r="B8" s="7"/>
      <c r="C8" s="12" t="b">
        <v>1</v>
      </c>
      <c r="D8" s="7" t="s">
        <v>607</v>
      </c>
      <c r="E8" s="7"/>
      <c r="F8" s="12" t="b">
        <v>1</v>
      </c>
    </row>
    <row r="9">
      <c r="D9" s="7" t="s">
        <v>608</v>
      </c>
      <c r="E9" s="7"/>
      <c r="F9" s="12" t="b">
        <v>1</v>
      </c>
    </row>
    <row r="10">
      <c r="A10" s="180" t="s">
        <v>598</v>
      </c>
      <c r="B10" s="180" t="s">
        <v>599</v>
      </c>
      <c r="C10" s="107"/>
      <c r="D10" s="7" t="s">
        <v>609</v>
      </c>
      <c r="E10" s="7"/>
      <c r="F10" s="12" t="b">
        <v>0</v>
      </c>
    </row>
    <row r="11">
      <c r="A11" s="7" t="s">
        <v>610</v>
      </c>
      <c r="B11" s="7"/>
      <c r="C11" s="12" t="b">
        <v>1</v>
      </c>
      <c r="D11" s="7" t="s">
        <v>611</v>
      </c>
      <c r="E11" s="7"/>
      <c r="F11" s="12" t="b">
        <v>1</v>
      </c>
    </row>
    <row r="12">
      <c r="A12" s="7" t="s">
        <v>612</v>
      </c>
      <c r="B12" s="7"/>
      <c r="C12" s="12" t="b">
        <v>0</v>
      </c>
    </row>
    <row r="13">
      <c r="A13" s="7" t="s">
        <v>613</v>
      </c>
      <c r="B13" s="7"/>
      <c r="C13" s="12" t="b">
        <v>1</v>
      </c>
    </row>
    <row r="14">
      <c r="A14" s="7" t="s">
        <v>614</v>
      </c>
      <c r="B14" s="7"/>
      <c r="C14" s="12" t="b">
        <v>0</v>
      </c>
    </row>
    <row r="15">
      <c r="A15" s="7" t="s">
        <v>615</v>
      </c>
      <c r="B15" s="7"/>
      <c r="C15" s="12" t="b">
        <v>1</v>
      </c>
    </row>
    <row r="16">
      <c r="A16" s="7" t="s">
        <v>616</v>
      </c>
      <c r="B16" s="7"/>
      <c r="C16" s="1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43"/>
    <col customWidth="1" min="3" max="3" width="15.43"/>
    <col customWidth="1" min="4" max="6" width="8.0"/>
    <col customWidth="1" min="7" max="7" width="16.71"/>
    <col customWidth="1" min="8" max="26" width="8.0"/>
  </cols>
  <sheetData>
    <row r="1" ht="18.75" customHeight="1">
      <c r="A1" s="19" t="s">
        <v>617</v>
      </c>
    </row>
    <row r="2">
      <c r="A2" s="21" t="s">
        <v>618</v>
      </c>
    </row>
    <row r="4">
      <c r="A4" s="167" t="s">
        <v>619</v>
      </c>
      <c r="B4" s="167" t="s">
        <v>620</v>
      </c>
      <c r="C4" s="173" t="s">
        <v>184</v>
      </c>
      <c r="E4" s="167" t="s">
        <v>619</v>
      </c>
      <c r="F4" s="167" t="s">
        <v>620</v>
      </c>
      <c r="G4" s="173" t="s">
        <v>184</v>
      </c>
    </row>
    <row r="5">
      <c r="A5" s="9" t="s">
        <v>621</v>
      </c>
      <c r="B5" s="9" t="s">
        <v>622</v>
      </c>
      <c r="C5" s="181" t="str">
        <f t="shared" ref="C5:C9" si="1">IF(A5=B5,"Matching","Not Matching")</f>
        <v>Not Matching</v>
      </c>
      <c r="E5" s="9">
        <v>343749.0</v>
      </c>
      <c r="F5" s="9">
        <v>160466.0</v>
      </c>
      <c r="G5" s="9">
        <f>VLOOKUP(F5,E5:E12,1,0)</f>
        <v>160466</v>
      </c>
    </row>
    <row r="6">
      <c r="A6" s="9" t="s">
        <v>623</v>
      </c>
      <c r="B6" s="9" t="s">
        <v>623</v>
      </c>
      <c r="C6" s="181" t="str">
        <f t="shared" si="1"/>
        <v>Matching</v>
      </c>
      <c r="E6" s="9">
        <v>183257.0</v>
      </c>
      <c r="F6" s="9">
        <v>183258.0</v>
      </c>
      <c r="G6" s="9" t="str">
        <f>IFERROR(VLOOKUP(F6,E5:E12,1,0),"Value not in List 1")</f>
        <v>Value not in List 1</v>
      </c>
    </row>
    <row r="7">
      <c r="A7" s="9" t="s">
        <v>624</v>
      </c>
      <c r="B7" s="9" t="s">
        <v>625</v>
      </c>
      <c r="C7" s="181" t="str">
        <f t="shared" si="1"/>
        <v>Not Matching</v>
      </c>
      <c r="E7" s="9">
        <v>160466.0</v>
      </c>
      <c r="F7" s="9">
        <v>249447.0</v>
      </c>
      <c r="G7" s="9">
        <f>VLOOKUP(F7,E5:E12,1,0)</f>
        <v>249447</v>
      </c>
    </row>
    <row r="8">
      <c r="A8" s="9" t="s">
        <v>626</v>
      </c>
      <c r="B8" s="9" t="s">
        <v>626</v>
      </c>
      <c r="C8" s="181" t="str">
        <f t="shared" si="1"/>
        <v>Matching</v>
      </c>
      <c r="E8" s="9">
        <v>249447.0</v>
      </c>
      <c r="F8" s="9">
        <v>343749.0</v>
      </c>
      <c r="G8" s="9">
        <f>VLOOKUP(F8,E5:E12,1,0)</f>
        <v>343749</v>
      </c>
    </row>
    <row r="9">
      <c r="A9" s="9" t="s">
        <v>627</v>
      </c>
      <c r="B9" s="9" t="s">
        <v>628</v>
      </c>
      <c r="C9" s="181" t="str">
        <f t="shared" si="1"/>
        <v>Not Matching</v>
      </c>
      <c r="E9" s="9">
        <v>532765.0</v>
      </c>
      <c r="F9" s="9">
        <v>356160.0</v>
      </c>
      <c r="G9" s="9" t="str">
        <f>IFERROR(VLOOKUP(F9,E5:E12,1,0),"Value not in List 1")</f>
        <v>Value not in List 1</v>
      </c>
    </row>
    <row r="10">
      <c r="E10" s="9">
        <v>356163.0</v>
      </c>
      <c r="F10" s="9">
        <v>379391.0</v>
      </c>
      <c r="G10" s="9">
        <f>VLOOKUP(F10,E5:E12,1,0)</f>
        <v>379391</v>
      </c>
    </row>
    <row r="11">
      <c r="A11" s="15" t="s">
        <v>629</v>
      </c>
      <c r="E11" s="9">
        <v>455292.0</v>
      </c>
      <c r="F11" s="9">
        <v>455292.0</v>
      </c>
      <c r="G11" s="9">
        <f>VLOOKUP(F11,E5:E12,1,0)</f>
        <v>455292</v>
      </c>
    </row>
    <row r="12">
      <c r="E12" s="9">
        <v>379391.0</v>
      </c>
      <c r="F12" s="9">
        <v>532765.0</v>
      </c>
      <c r="G12" s="9">
        <f>VLOOKUP(F12,E5:E12,1,0)</f>
        <v>532765</v>
      </c>
    </row>
    <row r="14">
      <c r="E14" s="15" t="s">
        <v>630</v>
      </c>
    </row>
    <row r="16">
      <c r="A16" s="119" t="s">
        <v>631</v>
      </c>
      <c r="B16" s="36"/>
      <c r="C16" s="129" t="s">
        <v>184</v>
      </c>
      <c r="D16" s="21"/>
      <c r="E16" s="119" t="s">
        <v>632</v>
      </c>
    </row>
    <row r="17">
      <c r="A17" s="9" t="s">
        <v>633</v>
      </c>
      <c r="B17" s="36"/>
      <c r="C17" s="9" t="str">
        <f t="shared" ref="C17:C22" si="2">VLOOKUP(A17,E17:E22,1,FALSE)</f>
        <v>Red</v>
      </c>
      <c r="D17" s="107"/>
      <c r="E17" s="9" t="s">
        <v>633</v>
      </c>
    </row>
    <row r="18">
      <c r="A18" s="9" t="s">
        <v>634</v>
      </c>
      <c r="B18" s="36"/>
      <c r="C18" s="9" t="str">
        <f t="shared" si="2"/>
        <v>Yellow</v>
      </c>
      <c r="D18" s="107"/>
      <c r="E18" s="9" t="s">
        <v>634</v>
      </c>
    </row>
    <row r="19">
      <c r="A19" s="9" t="s">
        <v>635</v>
      </c>
      <c r="B19" s="36"/>
      <c r="C19" s="9" t="str">
        <f t="shared" si="2"/>
        <v>Green</v>
      </c>
      <c r="D19" s="107"/>
      <c r="E19" s="9" t="s">
        <v>636</v>
      </c>
    </row>
    <row r="20">
      <c r="A20" s="9" t="s">
        <v>637</v>
      </c>
      <c r="B20" s="36"/>
      <c r="C20" s="9" t="str">
        <f t="shared" si="2"/>
        <v>#N/A</v>
      </c>
      <c r="D20" s="107"/>
      <c r="E20" s="9" t="s">
        <v>635</v>
      </c>
    </row>
    <row r="21" ht="15.75" customHeight="1">
      <c r="A21" s="9" t="s">
        <v>390</v>
      </c>
      <c r="B21" s="36"/>
      <c r="C21" s="9" t="str">
        <f t="shared" si="2"/>
        <v>Orange</v>
      </c>
      <c r="D21" s="107"/>
      <c r="E21" s="9" t="s">
        <v>390</v>
      </c>
    </row>
    <row r="22" ht="15.75" customHeight="1">
      <c r="A22" s="9" t="s">
        <v>638</v>
      </c>
      <c r="B22" s="36"/>
      <c r="C22" s="9" t="str">
        <f t="shared" si="2"/>
        <v>#N/A</v>
      </c>
      <c r="D22" s="107"/>
      <c r="E22" s="9" t="s">
        <v>639</v>
      </c>
    </row>
    <row r="23" ht="15.75" customHeight="1"/>
    <row r="24" ht="15.75" customHeight="1">
      <c r="A24" s="15" t="s">
        <v>640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2.0"/>
    <col customWidth="1" min="3" max="3" width="13.14"/>
    <col customWidth="1" min="4" max="4" width="22.71"/>
    <col customWidth="1" min="5" max="26" width="8.0"/>
  </cols>
  <sheetData>
    <row r="1" ht="18.75" customHeight="1">
      <c r="A1" s="19" t="s">
        <v>641</v>
      </c>
      <c r="E1" s="20"/>
      <c r="F1" s="20"/>
      <c r="G1" s="20"/>
      <c r="H1" s="20"/>
    </row>
    <row r="2">
      <c r="A2" s="21" t="s">
        <v>642</v>
      </c>
      <c r="E2" s="15"/>
      <c r="F2" s="15"/>
      <c r="G2" s="15"/>
      <c r="H2" s="15"/>
    </row>
    <row r="4">
      <c r="A4" s="182" t="s">
        <v>490</v>
      </c>
      <c r="B4" s="182" t="s">
        <v>214</v>
      </c>
      <c r="C4" s="182" t="s">
        <v>213</v>
      </c>
      <c r="D4" s="167" t="s">
        <v>245</v>
      </c>
    </row>
    <row r="5">
      <c r="A5" s="9" t="s">
        <v>643</v>
      </c>
      <c r="B5" s="9" t="s">
        <v>644</v>
      </c>
      <c r="C5" s="9" t="s">
        <v>645</v>
      </c>
      <c r="D5" s="9" t="str">
        <f t="shared" ref="D5:D10" si="1">CONCATENATE(B5," ",C5)</f>
        <v>Vishal Mohan</v>
      </c>
    </row>
    <row r="6">
      <c r="A6" s="9" t="s">
        <v>646</v>
      </c>
      <c r="B6" s="9" t="s">
        <v>219</v>
      </c>
      <c r="C6" s="9" t="s">
        <v>647</v>
      </c>
      <c r="D6" s="9" t="str">
        <f t="shared" si="1"/>
        <v>John Mathew</v>
      </c>
    </row>
    <row r="7">
      <c r="A7" s="9" t="s">
        <v>648</v>
      </c>
      <c r="B7" s="9" t="s">
        <v>649</v>
      </c>
      <c r="C7" s="9" t="s">
        <v>650</v>
      </c>
      <c r="D7" s="9" t="str">
        <f t="shared" si="1"/>
        <v>Jamemah Powel</v>
      </c>
    </row>
    <row r="8">
      <c r="A8" s="9" t="s">
        <v>651</v>
      </c>
      <c r="B8" s="9" t="s">
        <v>652</v>
      </c>
      <c r="C8" s="9" t="s">
        <v>653</v>
      </c>
      <c r="D8" s="9" t="str">
        <f t="shared" si="1"/>
        <v>Arundhati Swaminathan</v>
      </c>
    </row>
    <row r="9">
      <c r="A9" s="9" t="s">
        <v>654</v>
      </c>
      <c r="B9" s="9" t="s">
        <v>224</v>
      </c>
      <c r="C9" s="9" t="s">
        <v>655</v>
      </c>
      <c r="D9" s="9" t="str">
        <f t="shared" si="1"/>
        <v>Peter Potter</v>
      </c>
    </row>
    <row r="10">
      <c r="A10" s="9" t="s">
        <v>656</v>
      </c>
      <c r="B10" s="9" t="s">
        <v>657</v>
      </c>
      <c r="C10" s="9" t="s">
        <v>237</v>
      </c>
      <c r="D10" s="9" t="str">
        <f t="shared" si="1"/>
        <v>Roger Williams</v>
      </c>
    </row>
    <row r="12">
      <c r="A12" s="107" t="s">
        <v>658</v>
      </c>
      <c r="B12" s="15" t="s">
        <v>659</v>
      </c>
      <c r="C12" s="15"/>
    </row>
    <row r="15">
      <c r="A15" s="182" t="s">
        <v>490</v>
      </c>
      <c r="B15" s="183" t="s">
        <v>214</v>
      </c>
      <c r="C15" s="182" t="s">
        <v>213</v>
      </c>
      <c r="D15" s="167" t="s">
        <v>245</v>
      </c>
    </row>
    <row r="16">
      <c r="A16" s="9" t="s">
        <v>643</v>
      </c>
      <c r="B16" s="9" t="s">
        <v>644</v>
      </c>
      <c r="C16" s="9" t="s">
        <v>645</v>
      </c>
      <c r="D16" s="9" t="str">
        <f t="shared" ref="D16:D21" si="2">B16&amp;" "&amp;C16</f>
        <v>Vishal Mohan</v>
      </c>
    </row>
    <row r="17">
      <c r="A17" s="9" t="s">
        <v>646</v>
      </c>
      <c r="B17" s="9" t="s">
        <v>219</v>
      </c>
      <c r="C17" s="9" t="s">
        <v>647</v>
      </c>
      <c r="D17" s="9" t="str">
        <f t="shared" si="2"/>
        <v>John Mathew</v>
      </c>
    </row>
    <row r="18">
      <c r="A18" s="9" t="s">
        <v>648</v>
      </c>
      <c r="B18" s="9" t="s">
        <v>649</v>
      </c>
      <c r="C18" s="9" t="s">
        <v>650</v>
      </c>
      <c r="D18" s="9" t="str">
        <f t="shared" si="2"/>
        <v>Jamemah Powel</v>
      </c>
    </row>
    <row r="19">
      <c r="A19" s="9" t="s">
        <v>651</v>
      </c>
      <c r="B19" s="9" t="s">
        <v>652</v>
      </c>
      <c r="C19" s="9" t="s">
        <v>653</v>
      </c>
      <c r="D19" s="9" t="str">
        <f t="shared" si="2"/>
        <v>Arundhati Swaminathan</v>
      </c>
    </row>
    <row r="20">
      <c r="A20" s="9" t="s">
        <v>654</v>
      </c>
      <c r="B20" s="9" t="s">
        <v>224</v>
      </c>
      <c r="C20" s="9" t="s">
        <v>655</v>
      </c>
      <c r="D20" s="9" t="str">
        <f t="shared" si="2"/>
        <v>Peter Potter</v>
      </c>
    </row>
    <row r="21" ht="15.75" customHeight="1">
      <c r="A21" s="9" t="s">
        <v>656</v>
      </c>
      <c r="B21" s="9" t="s">
        <v>657</v>
      </c>
      <c r="C21" s="9" t="s">
        <v>237</v>
      </c>
      <c r="D21" s="9" t="str">
        <f t="shared" si="2"/>
        <v>Roger Williams</v>
      </c>
    </row>
    <row r="22" ht="15.75" customHeight="1"/>
    <row r="23" ht="15.75" customHeight="1">
      <c r="A23" s="107" t="s">
        <v>658</v>
      </c>
      <c r="B23" s="15" t="s">
        <v>660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86"/>
    <col customWidth="1" min="3" max="3" width="16.71"/>
    <col customWidth="1" min="4" max="4" width="22.86"/>
    <col customWidth="1" min="5" max="5" width="11.43"/>
    <col customWidth="1" min="6" max="26" width="8.0"/>
  </cols>
  <sheetData>
    <row r="1" ht="18.75" customHeight="1">
      <c r="A1" s="19" t="s">
        <v>661</v>
      </c>
    </row>
    <row r="2">
      <c r="A2" s="21" t="s">
        <v>662</v>
      </c>
    </row>
    <row r="4">
      <c r="A4" s="184" t="s">
        <v>663</v>
      </c>
      <c r="B4" s="70"/>
      <c r="C4" s="70"/>
      <c r="D4" s="70"/>
      <c r="E4" s="71"/>
    </row>
    <row r="5">
      <c r="A5" s="185" t="s">
        <v>161</v>
      </c>
      <c r="B5" s="185" t="s">
        <v>664</v>
      </c>
      <c r="C5" s="185" t="s">
        <v>185</v>
      </c>
      <c r="D5" s="185" t="s">
        <v>665</v>
      </c>
      <c r="E5" s="185" t="s">
        <v>666</v>
      </c>
      <c r="I5" s="12">
        <f>SUMIF(A6:A26,A7,B6:B26)</f>
        <v>3213</v>
      </c>
      <c r="M5" s="12" t="str">
        <f>VLOOKUp(C6,C6:E26,2,0)</f>
        <v>MIS-OPERATION</v>
      </c>
    </row>
    <row r="6">
      <c r="A6" s="186">
        <v>43405.0</v>
      </c>
      <c r="B6" s="147">
        <v>1101.0</v>
      </c>
      <c r="C6" s="147" t="s">
        <v>667</v>
      </c>
      <c r="D6" s="147" t="s">
        <v>668</v>
      </c>
      <c r="E6" s="147" t="s">
        <v>131</v>
      </c>
    </row>
    <row r="7">
      <c r="A7" s="186">
        <v>43405.0</v>
      </c>
      <c r="B7" s="147">
        <v>1102.0</v>
      </c>
      <c r="C7" s="147" t="s">
        <v>13</v>
      </c>
      <c r="D7" s="147" t="s">
        <v>669</v>
      </c>
      <c r="E7" s="147" t="s">
        <v>670</v>
      </c>
      <c r="P7" s="17">
        <v>1.0</v>
      </c>
      <c r="Q7" s="17">
        <v>1.0</v>
      </c>
    </row>
    <row r="8">
      <c r="A8" s="186">
        <v>43407.0</v>
      </c>
      <c r="B8" s="147">
        <v>1103.0</v>
      </c>
      <c r="C8" s="147" t="s">
        <v>671</v>
      </c>
      <c r="D8" s="147" t="s">
        <v>672</v>
      </c>
      <c r="E8" s="147" t="s">
        <v>673</v>
      </c>
      <c r="P8" s="17">
        <v>1.0</v>
      </c>
      <c r="Q8" s="17">
        <v>4.0</v>
      </c>
    </row>
    <row r="9">
      <c r="A9" s="186">
        <v>43407.0</v>
      </c>
      <c r="B9" s="147">
        <v>1104.0</v>
      </c>
      <c r="C9" s="147" t="s">
        <v>674</v>
      </c>
      <c r="D9" s="147" t="s">
        <v>675</v>
      </c>
      <c r="E9" s="147" t="s">
        <v>676</v>
      </c>
      <c r="P9" s="17">
        <v>2.0</v>
      </c>
    </row>
    <row r="10">
      <c r="A10" s="186">
        <v>43407.0</v>
      </c>
      <c r="B10" s="147">
        <v>1105.0</v>
      </c>
      <c r="C10" s="147" t="s">
        <v>677</v>
      </c>
      <c r="D10" s="147" t="s">
        <v>678</v>
      </c>
      <c r="E10" s="147" t="s">
        <v>679</v>
      </c>
      <c r="P10" s="17">
        <v>3.0</v>
      </c>
    </row>
    <row r="11">
      <c r="A11" s="186">
        <v>43410.0</v>
      </c>
      <c r="B11" s="147">
        <v>1106.0</v>
      </c>
      <c r="C11" s="147" t="s">
        <v>680</v>
      </c>
      <c r="D11" s="147" t="s">
        <v>678</v>
      </c>
      <c r="E11" s="147" t="s">
        <v>681</v>
      </c>
    </row>
    <row r="12">
      <c r="A12" s="186">
        <v>43410.0</v>
      </c>
      <c r="B12" s="147">
        <v>1107.0</v>
      </c>
      <c r="C12" s="147" t="s">
        <v>682</v>
      </c>
      <c r="D12" s="147" t="s">
        <v>683</v>
      </c>
      <c r="E12" s="147" t="s">
        <v>684</v>
      </c>
      <c r="P12" s="17">
        <v>1.0</v>
      </c>
      <c r="Q12" s="17">
        <v>1.0</v>
      </c>
    </row>
    <row r="13">
      <c r="A13" s="186">
        <v>43412.0</v>
      </c>
      <c r="B13" s="147">
        <v>1108.0</v>
      </c>
      <c r="C13" s="147" t="s">
        <v>685</v>
      </c>
      <c r="D13" s="147" t="s">
        <v>686</v>
      </c>
      <c r="E13" s="147" t="s">
        <v>687</v>
      </c>
      <c r="L13" s="17" t="s">
        <v>688</v>
      </c>
      <c r="P13" s="17">
        <v>1.0</v>
      </c>
      <c r="Q13" s="17">
        <v>1.0</v>
      </c>
    </row>
    <row r="14">
      <c r="A14" s="186">
        <v>43412.0</v>
      </c>
      <c r="B14" s="147">
        <v>1109.0</v>
      </c>
      <c r="C14" s="147" t="s">
        <v>689</v>
      </c>
      <c r="D14" s="147" t="s">
        <v>690</v>
      </c>
      <c r="E14" s="147" t="s">
        <v>131</v>
      </c>
      <c r="I14" s="147" t="s">
        <v>691</v>
      </c>
      <c r="K14" s="17" t="s">
        <v>692</v>
      </c>
      <c r="L14" s="12" t="str">
        <f t="array" ref="L14">INDEX(A6:E26,MATCH(K14,C6:C26,0),MATCH(L13,B5:E5,0))</f>
        <v>#N/A</v>
      </c>
      <c r="P14" s="17">
        <v>2.0</v>
      </c>
    </row>
    <row r="15">
      <c r="A15" s="186">
        <v>43412.0</v>
      </c>
      <c r="B15" s="147">
        <v>1110.0</v>
      </c>
      <c r="C15" s="147" t="s">
        <v>693</v>
      </c>
      <c r="D15" s="147" t="s">
        <v>690</v>
      </c>
      <c r="E15" s="147" t="s">
        <v>694</v>
      </c>
      <c r="K15" s="17" t="s">
        <v>685</v>
      </c>
      <c r="P15" s="17">
        <v>3.0</v>
      </c>
    </row>
    <row r="16">
      <c r="A16" s="186">
        <v>43413.0</v>
      </c>
      <c r="B16" s="147">
        <v>1111.0</v>
      </c>
      <c r="C16" s="147" t="s">
        <v>695</v>
      </c>
      <c r="D16" s="147" t="s">
        <v>690</v>
      </c>
      <c r="E16" s="147" t="s">
        <v>694</v>
      </c>
    </row>
    <row r="17">
      <c r="A17" s="186">
        <v>43413.0</v>
      </c>
      <c r="B17" s="147">
        <v>1109.0</v>
      </c>
      <c r="C17" s="147" t="s">
        <v>689</v>
      </c>
      <c r="D17" s="147" t="s">
        <v>690</v>
      </c>
      <c r="E17" s="147" t="s">
        <v>694</v>
      </c>
      <c r="P17" s="17">
        <v>1.0</v>
      </c>
      <c r="Q17" s="17">
        <v>1.0</v>
      </c>
    </row>
    <row r="18">
      <c r="A18" s="186">
        <v>43414.0</v>
      </c>
      <c r="B18" s="147">
        <v>1112.0</v>
      </c>
      <c r="C18" s="147" t="s">
        <v>696</v>
      </c>
      <c r="D18" s="147" t="s">
        <v>690</v>
      </c>
      <c r="E18" s="147" t="s">
        <v>697</v>
      </c>
      <c r="P18" s="17">
        <v>1.0</v>
      </c>
      <c r="Q18" s="17">
        <v>1.0</v>
      </c>
    </row>
    <row r="19">
      <c r="A19" s="186">
        <v>43414.0</v>
      </c>
      <c r="B19" s="147">
        <v>1113.0</v>
      </c>
      <c r="C19" s="147" t="s">
        <v>698</v>
      </c>
      <c r="D19" s="147" t="s">
        <v>690</v>
      </c>
      <c r="E19" s="147" t="s">
        <v>699</v>
      </c>
      <c r="P19" s="17" t="s">
        <v>700</v>
      </c>
      <c r="Q19" s="17">
        <v>4.0</v>
      </c>
    </row>
    <row r="20">
      <c r="A20" s="186">
        <v>43414.0</v>
      </c>
      <c r="B20" s="147">
        <v>1114.0</v>
      </c>
      <c r="C20" s="147" t="s">
        <v>701</v>
      </c>
      <c r="D20" s="147" t="s">
        <v>690</v>
      </c>
      <c r="E20" s="147" t="s">
        <v>699</v>
      </c>
    </row>
    <row r="21" ht="15.75" customHeight="1">
      <c r="A21" s="186">
        <v>43414.0</v>
      </c>
      <c r="B21" s="147">
        <v>1115.0</v>
      </c>
      <c r="C21" s="147" t="s">
        <v>691</v>
      </c>
      <c r="D21" s="147" t="s">
        <v>690</v>
      </c>
      <c r="E21" s="147" t="s">
        <v>702</v>
      </c>
    </row>
    <row r="22" ht="15.75" customHeight="1">
      <c r="A22" s="186">
        <v>43415.0</v>
      </c>
      <c r="B22" s="147">
        <v>1109.0</v>
      </c>
      <c r="C22" s="147" t="s">
        <v>689</v>
      </c>
      <c r="D22" s="147" t="s">
        <v>690</v>
      </c>
      <c r="E22" s="147" t="s">
        <v>694</v>
      </c>
      <c r="P22" s="17">
        <v>1.0</v>
      </c>
      <c r="Q22" s="17">
        <v>1.0</v>
      </c>
    </row>
    <row r="23" ht="15.75" customHeight="1">
      <c r="A23" s="186">
        <v>43415.0</v>
      </c>
      <c r="B23" s="147">
        <v>1116.0</v>
      </c>
      <c r="C23" s="147" t="s">
        <v>703</v>
      </c>
      <c r="D23" s="147" t="s">
        <v>690</v>
      </c>
      <c r="E23" s="147" t="s">
        <v>702</v>
      </c>
      <c r="P23" s="17">
        <v>1.0</v>
      </c>
      <c r="Q23" s="17">
        <v>1.0</v>
      </c>
    </row>
    <row r="24" ht="15.75" customHeight="1">
      <c r="A24" s="186">
        <v>43415.0</v>
      </c>
      <c r="B24" s="147">
        <v>1116.0</v>
      </c>
      <c r="C24" s="147" t="s">
        <v>703</v>
      </c>
      <c r="D24" s="147" t="s">
        <v>690</v>
      </c>
      <c r="E24" s="147" t="s">
        <v>702</v>
      </c>
      <c r="Q24" s="17">
        <v>4.0</v>
      </c>
    </row>
    <row r="25" ht="15.75" customHeight="1">
      <c r="A25" s="186">
        <v>43415.0</v>
      </c>
      <c r="B25" s="147">
        <v>1116.0</v>
      </c>
      <c r="C25" s="147" t="s">
        <v>703</v>
      </c>
      <c r="D25" s="147" t="s">
        <v>690</v>
      </c>
      <c r="E25" s="147" t="s">
        <v>702</v>
      </c>
      <c r="P25" s="17">
        <v>2.0</v>
      </c>
    </row>
    <row r="26" ht="15.75" customHeight="1">
      <c r="A26" s="187">
        <v>43405.0</v>
      </c>
      <c r="B26" s="147">
        <v>1010.0</v>
      </c>
      <c r="C26" s="147" t="s">
        <v>704</v>
      </c>
      <c r="D26" s="147" t="s">
        <v>705</v>
      </c>
      <c r="E26" s="147" t="s">
        <v>706</v>
      </c>
    </row>
    <row r="27" ht="15.75" customHeight="1"/>
    <row r="28" ht="15.75" customHeight="1">
      <c r="A28" s="15" t="s">
        <v>707</v>
      </c>
      <c r="D28" s="188" t="s">
        <v>34</v>
      </c>
    </row>
    <row r="29" ht="15.75" customHeight="1">
      <c r="A29" s="15" t="s">
        <v>708</v>
      </c>
      <c r="D29" s="188" t="s">
        <v>25</v>
      </c>
    </row>
    <row r="30" ht="15.75" customHeight="1">
      <c r="A30" s="15" t="s">
        <v>709</v>
      </c>
      <c r="E30" s="56" t="s">
        <v>404</v>
      </c>
    </row>
    <row r="31" ht="15.75" customHeight="1">
      <c r="A31" s="15" t="s">
        <v>710</v>
      </c>
      <c r="E31" s="56" t="s">
        <v>711</v>
      </c>
    </row>
    <row r="32" ht="15.75" customHeight="1">
      <c r="A32" s="15" t="s">
        <v>712</v>
      </c>
      <c r="E32" s="56" t="s">
        <v>713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:E2"/>
    <mergeCell ref="A4:E4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57"/>
  </cols>
  <sheetData>
    <row r="1" ht="18.75" customHeight="1">
      <c r="A1" s="19" t="s">
        <v>714</v>
      </c>
    </row>
    <row r="2">
      <c r="A2" s="21" t="s">
        <v>715</v>
      </c>
    </row>
    <row r="3">
      <c r="A3" s="21"/>
      <c r="B3" s="21"/>
      <c r="C3" s="21"/>
      <c r="D3" s="21"/>
      <c r="E3" s="21"/>
    </row>
    <row r="4">
      <c r="C4" s="189" t="s">
        <v>716</v>
      </c>
    </row>
    <row r="5">
      <c r="A5" s="190" t="s">
        <v>664</v>
      </c>
      <c r="B5" s="190" t="s">
        <v>214</v>
      </c>
      <c r="C5" s="190" t="s">
        <v>213</v>
      </c>
      <c r="D5" s="190" t="s">
        <v>247</v>
      </c>
      <c r="E5" s="190" t="s">
        <v>717</v>
      </c>
    </row>
    <row r="6">
      <c r="A6" s="191">
        <v>101.0</v>
      </c>
      <c r="B6" s="191" t="s">
        <v>718</v>
      </c>
      <c r="C6" s="191" t="s">
        <v>719</v>
      </c>
      <c r="D6" s="191" t="s">
        <v>266</v>
      </c>
      <c r="E6" s="191" t="s">
        <v>720</v>
      </c>
    </row>
    <row r="7">
      <c r="A7" s="9">
        <v>102.0</v>
      </c>
      <c r="B7" s="9" t="s">
        <v>721</v>
      </c>
      <c r="C7" s="9" t="s">
        <v>722</v>
      </c>
      <c r="D7" s="9" t="s">
        <v>255</v>
      </c>
      <c r="E7" s="9" t="s">
        <v>588</v>
      </c>
    </row>
    <row r="8">
      <c r="A8" s="191">
        <v>103.0</v>
      </c>
      <c r="B8" s="191" t="s">
        <v>198</v>
      </c>
      <c r="C8" s="191" t="s">
        <v>506</v>
      </c>
      <c r="D8" s="191" t="s">
        <v>266</v>
      </c>
      <c r="E8" s="191" t="s">
        <v>588</v>
      </c>
    </row>
    <row r="9">
      <c r="A9" s="9">
        <v>104.0</v>
      </c>
      <c r="B9" s="9" t="s">
        <v>192</v>
      </c>
      <c r="C9" s="9" t="s">
        <v>342</v>
      </c>
      <c r="D9" s="9" t="s">
        <v>255</v>
      </c>
      <c r="E9" s="9" t="s">
        <v>586</v>
      </c>
    </row>
    <row r="10">
      <c r="A10" s="191">
        <v>105.0</v>
      </c>
      <c r="B10" s="191" t="s">
        <v>198</v>
      </c>
      <c r="C10" s="191" t="s">
        <v>222</v>
      </c>
      <c r="D10" s="191" t="s">
        <v>255</v>
      </c>
      <c r="E10" s="191" t="s">
        <v>720</v>
      </c>
    </row>
    <row r="11">
      <c r="A11" s="9">
        <v>106.0</v>
      </c>
      <c r="B11" s="9" t="s">
        <v>723</v>
      </c>
      <c r="C11" s="9" t="s">
        <v>724</v>
      </c>
      <c r="D11" s="9" t="s">
        <v>504</v>
      </c>
      <c r="E11" s="9" t="s">
        <v>586</v>
      </c>
    </row>
    <row r="12">
      <c r="A12" s="191">
        <v>107.0</v>
      </c>
      <c r="B12" s="191" t="s">
        <v>725</v>
      </c>
      <c r="C12" s="191" t="s">
        <v>726</v>
      </c>
      <c r="D12" s="191" t="s">
        <v>266</v>
      </c>
      <c r="E12" s="191" t="s">
        <v>588</v>
      </c>
    </row>
    <row r="13">
      <c r="A13" s="9">
        <v>108.0</v>
      </c>
      <c r="B13" s="9" t="s">
        <v>727</v>
      </c>
      <c r="C13" s="9" t="s">
        <v>728</v>
      </c>
      <c r="D13" s="9" t="s">
        <v>255</v>
      </c>
      <c r="E13" s="9" t="s">
        <v>720</v>
      </c>
    </row>
    <row r="14">
      <c r="A14" s="191">
        <v>109.0</v>
      </c>
      <c r="B14" s="191" t="s">
        <v>729</v>
      </c>
      <c r="C14" s="191" t="s">
        <v>730</v>
      </c>
      <c r="D14" s="191" t="s">
        <v>504</v>
      </c>
      <c r="E14" s="191" t="s">
        <v>588</v>
      </c>
    </row>
    <row r="15">
      <c r="A15" s="192">
        <v>110.0</v>
      </c>
      <c r="B15" s="192" t="s">
        <v>731</v>
      </c>
      <c r="C15" s="192" t="s">
        <v>732</v>
      </c>
      <c r="D15" s="192" t="s">
        <v>504</v>
      </c>
      <c r="E15" s="192" t="s">
        <v>586</v>
      </c>
    </row>
    <row r="19">
      <c r="C19" s="189" t="s">
        <v>733</v>
      </c>
    </row>
    <row r="20">
      <c r="A20" s="190" t="s">
        <v>664</v>
      </c>
      <c r="B20" s="190" t="s">
        <v>214</v>
      </c>
      <c r="C20" s="190" t="s">
        <v>213</v>
      </c>
      <c r="D20" s="190" t="s">
        <v>247</v>
      </c>
      <c r="E20" s="190" t="s">
        <v>717</v>
      </c>
      <c r="G20" s="193" t="s">
        <v>664</v>
      </c>
      <c r="H20" s="190" t="s">
        <v>214</v>
      </c>
      <c r="I20" s="194" t="s">
        <v>213</v>
      </c>
      <c r="J20" s="190" t="s">
        <v>247</v>
      </c>
      <c r="K20" s="195" t="s">
        <v>717</v>
      </c>
    </row>
    <row r="21" ht="15.75" customHeight="1">
      <c r="A21" s="191">
        <v>101.0</v>
      </c>
      <c r="B21" s="191" t="str">
        <f t="shared" ref="B21:E21" si="1">VLOOKUP(A21,A5:E15,2, )</f>
        <v>Donald</v>
      </c>
      <c r="C21" s="191" t="str">
        <f t="shared" si="1"/>
        <v>Patrick</v>
      </c>
      <c r="D21" s="191" t="str">
        <f t="shared" si="1"/>
        <v>Finance</v>
      </c>
      <c r="E21" s="191" t="str">
        <f t="shared" si="1"/>
        <v>Banglore</v>
      </c>
      <c r="G21" s="196">
        <v>101.0</v>
      </c>
      <c r="H21" s="35" t="str">
        <f t="shared" ref="H21:H30" si="2">VLOOKUP($G21,$A$5:$E$15,2,0)</f>
        <v>Donald</v>
      </c>
      <c r="I21" s="197" t="str">
        <f t="shared" ref="I21:I30" si="3">VLOOKUP($G21,$A$5:$E$15,3,0)</f>
        <v>Patrick</v>
      </c>
      <c r="J21" s="35" t="str">
        <f t="shared" ref="J21:J30" si="4">VLOOKUP($G21,$A$5:$E$15,4,0)</f>
        <v>Finance</v>
      </c>
      <c r="K21" s="198" t="str">
        <f t="shared" ref="K21:K30" si="5">VLOOKUP($G21,$A$5:$E$15,5,0)</f>
        <v>Banglore</v>
      </c>
    </row>
    <row r="22" ht="15.75" customHeight="1">
      <c r="A22" s="9">
        <v>103.0</v>
      </c>
      <c r="B22" s="9" t="s">
        <v>326</v>
      </c>
      <c r="C22" s="9" t="s">
        <v>326</v>
      </c>
      <c r="D22" s="9" t="s">
        <v>326</v>
      </c>
      <c r="E22" s="9" t="s">
        <v>326</v>
      </c>
      <c r="G22" s="196">
        <v>103.0</v>
      </c>
      <c r="H22" s="35" t="str">
        <f t="shared" si="2"/>
        <v>Ian</v>
      </c>
      <c r="I22" s="197" t="str">
        <f t="shared" si="3"/>
        <v>Jacob</v>
      </c>
      <c r="J22" s="35" t="str">
        <f t="shared" si="4"/>
        <v>Finance</v>
      </c>
      <c r="K22" s="198" t="str">
        <f t="shared" si="5"/>
        <v>Hyderabad</v>
      </c>
    </row>
    <row r="23" ht="15.75" customHeight="1">
      <c r="A23" s="191">
        <v>102.0</v>
      </c>
      <c r="B23" s="9" t="s">
        <v>326</v>
      </c>
      <c r="C23" s="9" t="s">
        <v>326</v>
      </c>
      <c r="D23" s="9" t="s">
        <v>326</v>
      </c>
      <c r="E23" s="9" t="s">
        <v>326</v>
      </c>
      <c r="G23" s="196">
        <v>102.0</v>
      </c>
      <c r="H23" s="35" t="str">
        <f t="shared" si="2"/>
        <v>Samuel</v>
      </c>
      <c r="I23" s="197" t="str">
        <f t="shared" si="3"/>
        <v>Samson</v>
      </c>
      <c r="J23" s="35" t="str">
        <f t="shared" si="4"/>
        <v>Marketing</v>
      </c>
      <c r="K23" s="198" t="str">
        <f t="shared" si="5"/>
        <v>Hyderabad</v>
      </c>
    </row>
    <row r="24" ht="15.75" customHeight="1">
      <c r="A24" s="9">
        <v>105.0</v>
      </c>
      <c r="B24" s="9" t="s">
        <v>326</v>
      </c>
      <c r="C24" s="9" t="s">
        <v>326</v>
      </c>
      <c r="D24" s="9" t="s">
        <v>326</v>
      </c>
      <c r="E24" s="9" t="s">
        <v>326</v>
      </c>
      <c r="G24" s="199">
        <v>105.0</v>
      </c>
      <c r="H24" s="200" t="str">
        <f t="shared" si="2"/>
        <v>Ian</v>
      </c>
      <c r="I24" s="200" t="str">
        <f t="shared" si="3"/>
        <v>Smith</v>
      </c>
      <c r="J24" s="200" t="str">
        <f t="shared" si="4"/>
        <v>Marketing</v>
      </c>
      <c r="K24" s="200" t="str">
        <f t="shared" si="5"/>
        <v>Banglore</v>
      </c>
    </row>
    <row r="25" ht="15.75" customHeight="1">
      <c r="A25" s="191">
        <v>108.0</v>
      </c>
      <c r="B25" s="9" t="s">
        <v>326</v>
      </c>
      <c r="C25" s="9" t="s">
        <v>326</v>
      </c>
      <c r="D25" s="9" t="s">
        <v>326</v>
      </c>
      <c r="E25" s="9" t="s">
        <v>326</v>
      </c>
      <c r="G25" s="199">
        <v>108.0</v>
      </c>
      <c r="H25" s="200" t="str">
        <f t="shared" si="2"/>
        <v>Christine</v>
      </c>
      <c r="I25" s="200" t="str">
        <f t="shared" si="3"/>
        <v>Salvi</v>
      </c>
      <c r="J25" s="200" t="str">
        <f t="shared" si="4"/>
        <v>Marketing</v>
      </c>
      <c r="K25" s="200" t="str">
        <f t="shared" si="5"/>
        <v>Banglore</v>
      </c>
    </row>
    <row r="26" ht="15.75" customHeight="1">
      <c r="A26" s="9">
        <v>106.0</v>
      </c>
      <c r="B26" s="9" t="s">
        <v>326</v>
      </c>
      <c r="C26" s="9" t="s">
        <v>326</v>
      </c>
      <c r="D26" s="9" t="s">
        <v>326</v>
      </c>
      <c r="E26" s="9" t="s">
        <v>326</v>
      </c>
      <c r="G26" s="196">
        <v>106.0</v>
      </c>
      <c r="H26" s="35" t="str">
        <f t="shared" si="2"/>
        <v>Henry</v>
      </c>
      <c r="I26" s="197" t="str">
        <f t="shared" si="3"/>
        <v>Madrid</v>
      </c>
      <c r="J26" s="35" t="str">
        <f t="shared" si="4"/>
        <v>IT</v>
      </c>
      <c r="K26" s="198" t="str">
        <f t="shared" si="5"/>
        <v>Pune</v>
      </c>
    </row>
    <row r="27" ht="15.75" customHeight="1">
      <c r="A27" s="191">
        <v>107.0</v>
      </c>
      <c r="B27" s="9" t="s">
        <v>326</v>
      </c>
      <c r="C27" s="9" t="s">
        <v>326</v>
      </c>
      <c r="D27" s="9" t="s">
        <v>326</v>
      </c>
      <c r="E27" s="9" t="s">
        <v>326</v>
      </c>
      <c r="G27" s="196">
        <v>107.0</v>
      </c>
      <c r="H27" s="35" t="str">
        <f t="shared" si="2"/>
        <v>Ronica</v>
      </c>
      <c r="I27" s="197" t="str">
        <f t="shared" si="3"/>
        <v>Brave</v>
      </c>
      <c r="J27" s="35" t="str">
        <f t="shared" si="4"/>
        <v>Finance</v>
      </c>
      <c r="K27" s="198" t="str">
        <f t="shared" si="5"/>
        <v>Hyderabad</v>
      </c>
    </row>
    <row r="28" ht="15.75" customHeight="1">
      <c r="A28" s="9">
        <v>104.0</v>
      </c>
      <c r="B28" s="9" t="s">
        <v>326</v>
      </c>
      <c r="C28" s="9" t="s">
        <v>326</v>
      </c>
      <c r="D28" s="9" t="s">
        <v>326</v>
      </c>
      <c r="E28" s="9" t="s">
        <v>326</v>
      </c>
      <c r="G28" s="196">
        <v>104.0</v>
      </c>
      <c r="H28" s="35" t="str">
        <f t="shared" si="2"/>
        <v>David</v>
      </c>
      <c r="I28" s="197" t="str">
        <f t="shared" si="3"/>
        <v>Johnson</v>
      </c>
      <c r="J28" s="35" t="str">
        <f t="shared" si="4"/>
        <v>Marketing</v>
      </c>
      <c r="K28" s="198" t="str">
        <f t="shared" si="5"/>
        <v>Pune</v>
      </c>
    </row>
    <row r="29" ht="15.75" customHeight="1">
      <c r="A29" s="191">
        <v>109.0</v>
      </c>
      <c r="B29" s="9" t="s">
        <v>326</v>
      </c>
      <c r="C29" s="9" t="s">
        <v>326</v>
      </c>
      <c r="D29" s="9" t="s">
        <v>326</v>
      </c>
      <c r="E29" s="9" t="s">
        <v>326</v>
      </c>
      <c r="G29" s="196">
        <v>109.0</v>
      </c>
      <c r="H29" s="35" t="str">
        <f t="shared" si="2"/>
        <v>Andrew</v>
      </c>
      <c r="I29" s="197" t="str">
        <f t="shared" si="3"/>
        <v>Baisley</v>
      </c>
      <c r="J29" s="35" t="str">
        <f t="shared" si="4"/>
        <v>IT</v>
      </c>
      <c r="K29" s="198" t="str">
        <f t="shared" si="5"/>
        <v>Hyderabad</v>
      </c>
    </row>
    <row r="30" ht="15.75" customHeight="1">
      <c r="A30" s="192">
        <v>110.0</v>
      </c>
      <c r="B30" s="9" t="s">
        <v>326</v>
      </c>
      <c r="C30" s="9" t="s">
        <v>326</v>
      </c>
      <c r="D30" s="9" t="s">
        <v>326</v>
      </c>
      <c r="E30" s="9" t="s">
        <v>326</v>
      </c>
      <c r="G30" s="196">
        <v>110.0</v>
      </c>
      <c r="H30" s="35" t="str">
        <f t="shared" si="2"/>
        <v>Erica</v>
      </c>
      <c r="I30" s="197" t="str">
        <f t="shared" si="3"/>
        <v>Irons</v>
      </c>
      <c r="J30" s="35" t="str">
        <f t="shared" si="4"/>
        <v>IT</v>
      </c>
      <c r="K30" s="198" t="str">
        <f t="shared" si="5"/>
        <v>Pune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5" width="8.0"/>
    <col customWidth="1" min="6" max="6" width="13.86"/>
    <col customWidth="1" min="7" max="7" width="17.43"/>
    <col customWidth="1" min="8" max="26" width="8.0"/>
  </cols>
  <sheetData>
    <row r="1" ht="18.75" customHeight="1">
      <c r="A1" s="19" t="s">
        <v>734</v>
      </c>
    </row>
    <row r="2">
      <c r="A2" s="21" t="s">
        <v>735</v>
      </c>
    </row>
    <row r="4">
      <c r="F4" s="107" t="s">
        <v>736</v>
      </c>
    </row>
    <row r="5" ht="30.0" customHeight="1">
      <c r="A5" s="150" t="s">
        <v>737</v>
      </c>
      <c r="B5" s="150" t="s">
        <v>738</v>
      </c>
      <c r="C5" s="150" t="s">
        <v>739</v>
      </c>
      <c r="D5" s="36"/>
      <c r="E5" s="36"/>
      <c r="F5" s="36" t="s">
        <v>738</v>
      </c>
      <c r="G5" s="36" t="s">
        <v>740</v>
      </c>
    </row>
    <row r="6">
      <c r="A6" s="62">
        <v>43119.0</v>
      </c>
      <c r="B6" s="62" t="s">
        <v>741</v>
      </c>
      <c r="C6" s="201">
        <v>201439.5</v>
      </c>
      <c r="D6" s="36"/>
      <c r="E6" s="36"/>
      <c r="F6" s="36"/>
      <c r="G6" s="202"/>
    </row>
    <row r="7">
      <c r="A7" s="62">
        <v>43116.0</v>
      </c>
      <c r="B7" s="62" t="s">
        <v>741</v>
      </c>
      <c r="C7" s="201">
        <v>352518.75</v>
      </c>
      <c r="D7" s="36"/>
      <c r="E7" s="36"/>
      <c r="F7" s="203" t="s">
        <v>737</v>
      </c>
      <c r="G7" s="204" t="s">
        <v>742</v>
      </c>
    </row>
    <row r="8">
      <c r="A8" s="62">
        <v>43122.0</v>
      </c>
      <c r="B8" s="62" t="s">
        <v>741</v>
      </c>
      <c r="C8" s="201">
        <v>172406.25</v>
      </c>
      <c r="D8" s="36"/>
      <c r="E8" s="36"/>
      <c r="F8" s="205">
        <v>43112.0</v>
      </c>
      <c r="G8" s="206">
        <v>240000.0</v>
      </c>
    </row>
    <row r="9">
      <c r="A9" s="62">
        <v>43112.0</v>
      </c>
      <c r="B9" s="62" t="s">
        <v>741</v>
      </c>
      <c r="C9" s="201">
        <v>240000.0</v>
      </c>
      <c r="D9" s="36"/>
      <c r="E9" s="36"/>
      <c r="F9" s="205">
        <v>43116.0</v>
      </c>
      <c r="G9" s="206">
        <v>352518.75</v>
      </c>
    </row>
    <row r="10">
      <c r="A10" s="62">
        <v>43136.0</v>
      </c>
      <c r="B10" s="62" t="s">
        <v>743</v>
      </c>
      <c r="C10" s="201">
        <v>15204.75</v>
      </c>
      <c r="D10" s="36"/>
      <c r="E10" s="36"/>
      <c r="F10" s="205">
        <v>43119.0</v>
      </c>
      <c r="G10" s="206">
        <v>201439.5</v>
      </c>
    </row>
    <row r="11">
      <c r="A11" s="62">
        <v>43133.0</v>
      </c>
      <c r="B11" s="62" t="s">
        <v>743</v>
      </c>
      <c r="C11" s="201">
        <v>24327.0</v>
      </c>
      <c r="D11" s="36"/>
      <c r="E11" s="36"/>
      <c r="F11" s="205">
        <v>43122.0</v>
      </c>
      <c r="G11" s="206">
        <v>172406.25</v>
      </c>
      <c r="J11" s="12">
        <f>SUMPRODUCT(G8:G13)</f>
        <v>1005896.25</v>
      </c>
    </row>
    <row r="12">
      <c r="A12" s="62">
        <v>43144.0</v>
      </c>
      <c r="B12" s="62" t="s">
        <v>743</v>
      </c>
      <c r="C12" s="201">
        <v>50548.5</v>
      </c>
      <c r="D12" s="36"/>
      <c r="E12" s="36"/>
      <c r="F12" s="205">
        <v>43133.0</v>
      </c>
      <c r="G12" s="206">
        <v>24327.0</v>
      </c>
    </row>
    <row r="13">
      <c r="A13" s="62">
        <v>43146.0</v>
      </c>
      <c r="B13" s="62" t="s">
        <v>743</v>
      </c>
      <c r="C13" s="201">
        <v>15105.75</v>
      </c>
      <c r="D13" s="36"/>
      <c r="E13" s="36"/>
      <c r="F13" s="205">
        <v>43136.0</v>
      </c>
      <c r="G13" s="206">
        <v>15204.75</v>
      </c>
    </row>
    <row r="14">
      <c r="A14" s="62">
        <v>43146.0</v>
      </c>
      <c r="B14" s="62" t="s">
        <v>743</v>
      </c>
      <c r="C14" s="201">
        <v>19901.25</v>
      </c>
      <c r="D14" s="36"/>
      <c r="E14" s="36"/>
      <c r="F14" s="205">
        <v>43140.0</v>
      </c>
      <c r="G14" s="206">
        <v>15204.75</v>
      </c>
    </row>
    <row r="15">
      <c r="A15" s="62">
        <v>43140.0</v>
      </c>
      <c r="B15" s="62" t="s">
        <v>743</v>
      </c>
      <c r="C15" s="201">
        <v>15204.75</v>
      </c>
      <c r="D15" s="36"/>
      <c r="E15" s="36"/>
      <c r="F15" s="205">
        <v>43144.0</v>
      </c>
      <c r="G15" s="206">
        <v>50548.5</v>
      </c>
    </row>
    <row r="16">
      <c r="A16" s="62">
        <v>43153.0</v>
      </c>
      <c r="B16" s="62" t="s">
        <v>743</v>
      </c>
      <c r="C16" s="201">
        <v>300000.0</v>
      </c>
      <c r="D16" s="36"/>
      <c r="E16" s="36"/>
      <c r="F16" s="205">
        <v>43146.0</v>
      </c>
      <c r="G16" s="206">
        <v>35007.0</v>
      </c>
    </row>
    <row r="17">
      <c r="A17" s="62">
        <v>43157.0</v>
      </c>
      <c r="B17" s="62" t="s">
        <v>743</v>
      </c>
      <c r="C17" s="201">
        <v>150000.0</v>
      </c>
      <c r="D17" s="36"/>
      <c r="E17" s="36"/>
      <c r="F17" s="205">
        <v>43153.0</v>
      </c>
      <c r="G17" s="206">
        <v>300000.0</v>
      </c>
    </row>
    <row r="18">
      <c r="A18" s="62">
        <v>43157.0</v>
      </c>
      <c r="B18" s="62" t="s">
        <v>743</v>
      </c>
      <c r="C18" s="201">
        <v>330552.75</v>
      </c>
      <c r="D18" s="36"/>
      <c r="E18" s="36"/>
      <c r="F18" s="205">
        <v>43157.0</v>
      </c>
      <c r="G18" s="206">
        <v>643834.5</v>
      </c>
    </row>
    <row r="19">
      <c r="A19" s="62">
        <v>43157.0</v>
      </c>
      <c r="B19" s="62" t="s">
        <v>743</v>
      </c>
      <c r="C19" s="201">
        <v>163281.75</v>
      </c>
      <c r="D19" s="36"/>
      <c r="E19" s="36"/>
      <c r="F19" s="205">
        <v>43158.0</v>
      </c>
      <c r="G19" s="206">
        <v>564030.0</v>
      </c>
    </row>
    <row r="20">
      <c r="A20" s="62">
        <v>43158.0</v>
      </c>
      <c r="B20" s="62" t="s">
        <v>743</v>
      </c>
      <c r="C20" s="201">
        <v>564030.0</v>
      </c>
      <c r="D20" s="36"/>
      <c r="E20" s="36"/>
      <c r="F20" s="205">
        <v>43159.0</v>
      </c>
      <c r="G20" s="206">
        <v>720255.75</v>
      </c>
    </row>
    <row r="21" ht="15.75" customHeight="1">
      <c r="A21" s="62">
        <v>43159.0</v>
      </c>
      <c r="B21" s="62" t="s">
        <v>743</v>
      </c>
      <c r="C21" s="201">
        <v>503598.75</v>
      </c>
      <c r="D21" s="36"/>
      <c r="E21" s="36"/>
      <c r="F21" s="205" t="s">
        <v>744</v>
      </c>
      <c r="G21" s="206">
        <v>3334776.75</v>
      </c>
    </row>
    <row r="22" ht="15.75" customHeight="1">
      <c r="A22" s="62">
        <v>43159.0</v>
      </c>
      <c r="B22" s="62" t="s">
        <v>743</v>
      </c>
      <c r="C22" s="201">
        <v>15217.5</v>
      </c>
      <c r="D22" s="36"/>
      <c r="E22" s="36"/>
      <c r="F22" s="36"/>
      <c r="G22" s="202"/>
    </row>
    <row r="23" ht="15.75" customHeight="1">
      <c r="A23" s="53">
        <v>43159.0</v>
      </c>
      <c r="B23" s="62" t="s">
        <v>743</v>
      </c>
      <c r="C23" s="201">
        <v>201439.5</v>
      </c>
      <c r="D23" s="36"/>
      <c r="E23" s="36"/>
      <c r="F23" s="36"/>
      <c r="G23" s="20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A2:G2"/>
    <mergeCell ref="F4:G4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745</v>
      </c>
    </row>
    <row r="2">
      <c r="A2" s="21" t="s">
        <v>746</v>
      </c>
    </row>
    <row r="4">
      <c r="A4" s="183" t="s">
        <v>747</v>
      </c>
      <c r="B4" s="147" t="s">
        <v>741</v>
      </c>
      <c r="C4" s="147" t="s">
        <v>743</v>
      </c>
      <c r="D4" s="147" t="s">
        <v>748</v>
      </c>
      <c r="E4" s="147" t="s">
        <v>749</v>
      </c>
      <c r="F4" s="147" t="s">
        <v>318</v>
      </c>
      <c r="G4" s="147" t="s">
        <v>750</v>
      </c>
    </row>
    <row r="5">
      <c r="A5" s="183" t="s">
        <v>751</v>
      </c>
      <c r="B5" s="147">
        <v>240.0</v>
      </c>
      <c r="C5" s="147">
        <v>180.0</v>
      </c>
      <c r="D5" s="147">
        <v>310.0</v>
      </c>
      <c r="E5" s="147">
        <v>445.0</v>
      </c>
      <c r="F5" s="147">
        <v>650.0</v>
      </c>
      <c r="G5" s="147">
        <v>700.0</v>
      </c>
    </row>
    <row r="7">
      <c r="A7" s="183" t="s">
        <v>747</v>
      </c>
      <c r="B7" s="147" t="s">
        <v>749</v>
      </c>
      <c r="C7" s="36"/>
      <c r="D7" s="36"/>
    </row>
    <row r="8">
      <c r="A8" s="183" t="s">
        <v>751</v>
      </c>
      <c r="B8" s="46">
        <f>Hlookup(B7,A4:G5,2,0)</f>
        <v>445</v>
      </c>
      <c r="C8" s="36"/>
      <c r="D8" s="36"/>
    </row>
    <row r="11">
      <c r="A11" s="167" t="s">
        <v>185</v>
      </c>
      <c r="B11" s="168" t="s">
        <v>657</v>
      </c>
      <c r="C11" s="168" t="s">
        <v>752</v>
      </c>
      <c r="D11" s="168" t="s">
        <v>753</v>
      </c>
      <c r="E11" s="168" t="s">
        <v>754</v>
      </c>
      <c r="F11" s="168" t="s">
        <v>755</v>
      </c>
      <c r="G11" s="168" t="s">
        <v>756</v>
      </c>
    </row>
    <row r="12">
      <c r="A12" s="167" t="s">
        <v>757</v>
      </c>
      <c r="B12" s="168">
        <v>36.0</v>
      </c>
      <c r="C12" s="168">
        <v>45.0</v>
      </c>
      <c r="D12" s="168">
        <v>52.0</v>
      </c>
      <c r="E12" s="168">
        <v>66.0</v>
      </c>
      <c r="F12" s="168">
        <v>75.0</v>
      </c>
      <c r="G12" s="168">
        <v>40.0</v>
      </c>
    </row>
    <row r="13">
      <c r="A13" s="167" t="s">
        <v>758</v>
      </c>
      <c r="B13" s="168">
        <v>82.0</v>
      </c>
      <c r="C13" s="168">
        <v>71.0</v>
      </c>
      <c r="D13" s="168">
        <v>56.0</v>
      </c>
      <c r="E13" s="168">
        <v>32.0</v>
      </c>
      <c r="F13" s="168">
        <v>81.0</v>
      </c>
      <c r="G13" s="168">
        <v>66.0</v>
      </c>
    </row>
    <row r="14">
      <c r="A14" s="167" t="s">
        <v>186</v>
      </c>
      <c r="B14" s="168">
        <v>32.0</v>
      </c>
      <c r="C14" s="168">
        <v>45.0</v>
      </c>
      <c r="D14" s="168">
        <v>52.0</v>
      </c>
      <c r="E14" s="168">
        <v>51.0</v>
      </c>
      <c r="F14" s="168">
        <v>71.0</v>
      </c>
      <c r="G14" s="168">
        <v>74.0</v>
      </c>
    </row>
    <row r="17">
      <c r="A17" s="175" t="s">
        <v>759</v>
      </c>
      <c r="B17" s="71"/>
      <c r="C17" s="9">
        <f t="shared" ref="C17:G17" si="1">hlookup(B19,A19:G22,3,0)</f>
        <v>82</v>
      </c>
      <c r="D17" s="9">
        <f t="shared" si="1"/>
        <v>71</v>
      </c>
      <c r="E17" s="9">
        <f t="shared" si="1"/>
        <v>56</v>
      </c>
      <c r="F17" s="9">
        <f t="shared" si="1"/>
        <v>32</v>
      </c>
      <c r="G17" s="9">
        <f t="shared" si="1"/>
        <v>81</v>
      </c>
    </row>
    <row r="19">
      <c r="A19" s="167" t="s">
        <v>185</v>
      </c>
      <c r="B19" s="168" t="s">
        <v>657</v>
      </c>
      <c r="C19" s="168" t="s">
        <v>752</v>
      </c>
      <c r="D19" s="168" t="s">
        <v>753</v>
      </c>
      <c r="E19" s="168" t="s">
        <v>754</v>
      </c>
      <c r="F19" s="168" t="s">
        <v>755</v>
      </c>
      <c r="G19" s="168" t="s">
        <v>756</v>
      </c>
    </row>
    <row r="20">
      <c r="A20" s="167" t="s">
        <v>757</v>
      </c>
      <c r="B20" s="168">
        <v>36.0</v>
      </c>
      <c r="C20" s="168">
        <v>45.0</v>
      </c>
      <c r="D20" s="168">
        <v>52.0</v>
      </c>
      <c r="E20" s="168">
        <v>66.0</v>
      </c>
      <c r="F20" s="168">
        <v>75.0</v>
      </c>
      <c r="G20" s="168">
        <v>40.0</v>
      </c>
    </row>
    <row r="21" ht="15.75" customHeight="1">
      <c r="A21" s="167" t="s">
        <v>758</v>
      </c>
      <c r="B21" s="168">
        <v>82.0</v>
      </c>
      <c r="C21" s="168">
        <v>71.0</v>
      </c>
      <c r="D21" s="168">
        <v>56.0</v>
      </c>
      <c r="E21" s="168">
        <v>32.0</v>
      </c>
      <c r="F21" s="168">
        <v>81.0</v>
      </c>
      <c r="G21" s="168">
        <v>66.0</v>
      </c>
    </row>
    <row r="22" ht="15.75" customHeight="1">
      <c r="A22" s="167" t="s">
        <v>186</v>
      </c>
      <c r="B22" s="168">
        <v>32.0</v>
      </c>
      <c r="C22" s="168">
        <v>45.0</v>
      </c>
      <c r="D22" s="168">
        <v>52.0</v>
      </c>
      <c r="E22" s="168">
        <v>51.0</v>
      </c>
      <c r="F22" s="168">
        <v>71.0</v>
      </c>
      <c r="G22" s="168">
        <v>74.0</v>
      </c>
    </row>
    <row r="23" ht="15.75" customHeight="1"/>
    <row r="24" ht="15.75" customHeight="1">
      <c r="A24" s="175" t="s">
        <v>760</v>
      </c>
      <c r="B24" s="71"/>
      <c r="C24" s="9"/>
    </row>
    <row r="25" ht="15.75" customHeight="1"/>
    <row r="26" ht="15.75" customHeight="1">
      <c r="A26" s="167" t="s">
        <v>761</v>
      </c>
      <c r="B26" s="168" t="s">
        <v>762</v>
      </c>
      <c r="C26" s="208" t="s">
        <v>763</v>
      </c>
      <c r="D26" s="208" t="s">
        <v>764</v>
      </c>
      <c r="E26" s="208" t="s">
        <v>765</v>
      </c>
      <c r="F26" s="208" t="s">
        <v>766</v>
      </c>
    </row>
    <row r="27" ht="15.75" customHeight="1">
      <c r="A27" s="167" t="s">
        <v>767</v>
      </c>
      <c r="B27" s="9">
        <v>66.0</v>
      </c>
      <c r="C27" s="9">
        <v>43.0</v>
      </c>
      <c r="D27" s="9">
        <v>36.0</v>
      </c>
      <c r="E27" s="9">
        <v>82.0</v>
      </c>
      <c r="F27" s="9">
        <v>89.0</v>
      </c>
    </row>
    <row r="28" ht="15.75" customHeight="1">
      <c r="A28" s="167" t="s">
        <v>768</v>
      </c>
      <c r="B28" s="9">
        <v>51.0</v>
      </c>
      <c r="C28" s="9">
        <v>83.0</v>
      </c>
      <c r="D28" s="9">
        <v>41.0</v>
      </c>
      <c r="E28" s="9">
        <v>125.0</v>
      </c>
      <c r="F28" s="9">
        <v>79.0</v>
      </c>
    </row>
    <row r="29" ht="15.75" customHeight="1">
      <c r="A29" s="167" t="s">
        <v>769</v>
      </c>
      <c r="B29" s="9">
        <v>35.0</v>
      </c>
      <c r="C29" s="9">
        <v>97.0</v>
      </c>
      <c r="D29" s="9">
        <v>92.0</v>
      </c>
      <c r="E29" s="9">
        <v>41.0</v>
      </c>
      <c r="F29" s="9">
        <v>39.0</v>
      </c>
    </row>
    <row r="30" ht="15.75" customHeight="1">
      <c r="A30" s="167" t="s">
        <v>770</v>
      </c>
      <c r="B30" s="9">
        <v>84.0</v>
      </c>
      <c r="C30" s="9">
        <v>76.0</v>
      </c>
      <c r="D30" s="9">
        <v>35.0</v>
      </c>
      <c r="E30" s="9">
        <v>48.0</v>
      </c>
      <c r="F30" s="9">
        <v>37.0</v>
      </c>
    </row>
    <row r="31" ht="15.75" customHeight="1">
      <c r="A31" s="167" t="s">
        <v>771</v>
      </c>
      <c r="B31" s="9">
        <v>110.0</v>
      </c>
      <c r="C31" s="9">
        <v>77.0</v>
      </c>
      <c r="D31" s="9">
        <v>90.0</v>
      </c>
      <c r="E31" s="9">
        <v>37.0</v>
      </c>
      <c r="F31" s="9">
        <v>34.0</v>
      </c>
    </row>
    <row r="32" ht="15.75" customHeight="1"/>
    <row r="33" ht="15.75" customHeight="1">
      <c r="A33" s="167" t="s">
        <v>772</v>
      </c>
      <c r="B33" s="9" t="s">
        <v>765</v>
      </c>
    </row>
    <row r="34" ht="15.75" customHeight="1">
      <c r="A34" s="173" t="s">
        <v>773</v>
      </c>
      <c r="B34" s="9" t="s">
        <v>326</v>
      </c>
      <c r="C34" s="107"/>
      <c r="D34" s="107"/>
    </row>
    <row r="35" ht="15.75" customHeight="1"/>
    <row r="36" ht="45.0" customHeight="1">
      <c r="A36" s="209" t="s">
        <v>774</v>
      </c>
      <c r="B36" s="210">
        <v>21.0</v>
      </c>
      <c r="C36" s="210">
        <v>33.0</v>
      </c>
      <c r="D36" s="210">
        <v>39.0</v>
      </c>
      <c r="E36" s="210">
        <v>42.0</v>
      </c>
      <c r="F36" s="210">
        <v>50.0</v>
      </c>
    </row>
    <row r="37" ht="15.75" customHeight="1">
      <c r="A37" s="183" t="s">
        <v>775</v>
      </c>
      <c r="B37" s="147" t="s">
        <v>776</v>
      </c>
      <c r="C37" s="147" t="s">
        <v>579</v>
      </c>
      <c r="D37" s="147" t="s">
        <v>777</v>
      </c>
      <c r="E37" s="147" t="s">
        <v>586</v>
      </c>
      <c r="F37" s="147" t="s">
        <v>778</v>
      </c>
    </row>
    <row r="38" ht="15.75" customHeight="1"/>
    <row r="39" ht="15.75" customHeight="1">
      <c r="A39" s="167" t="s">
        <v>779</v>
      </c>
      <c r="B39" s="9">
        <v>40.0</v>
      </c>
    </row>
    <row r="40" ht="15.75" customHeight="1">
      <c r="A40" s="173" t="s">
        <v>576</v>
      </c>
      <c r="B40" s="9" t="s">
        <v>326</v>
      </c>
      <c r="C40" s="36"/>
      <c r="D40" s="36"/>
    </row>
    <row r="41" ht="15.75" customHeight="1"/>
    <row r="42" ht="15.75" customHeight="1">
      <c r="A42" s="167" t="s">
        <v>780</v>
      </c>
      <c r="B42" s="9" t="s">
        <v>781</v>
      </c>
      <c r="C42" s="9" t="s">
        <v>782</v>
      </c>
      <c r="D42" s="9" t="s">
        <v>783</v>
      </c>
      <c r="E42" s="9" t="s">
        <v>784</v>
      </c>
      <c r="F42" s="9" t="s">
        <v>190</v>
      </c>
      <c r="G42" s="9" t="s">
        <v>785</v>
      </c>
    </row>
    <row r="43" ht="15.75" customHeight="1">
      <c r="A43" s="167" t="s">
        <v>337</v>
      </c>
      <c r="B43" s="9">
        <v>200.0</v>
      </c>
      <c r="C43" s="9">
        <v>125.0</v>
      </c>
      <c r="D43" s="9">
        <v>320.0</v>
      </c>
      <c r="E43" s="9">
        <v>250.0</v>
      </c>
      <c r="F43" s="9">
        <v>300.0</v>
      </c>
      <c r="G43" s="9">
        <v>421.0</v>
      </c>
    </row>
    <row r="44" ht="15.75" customHeight="1"/>
    <row r="45" ht="15.75" customHeight="1">
      <c r="A45" s="167" t="s">
        <v>780</v>
      </c>
      <c r="B45" s="9" t="s">
        <v>786</v>
      </c>
    </row>
    <row r="46" ht="15.75" customHeight="1">
      <c r="A46" s="173" t="s">
        <v>337</v>
      </c>
      <c r="B46" s="9" t="s">
        <v>326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7:B17"/>
    <mergeCell ref="A24:B24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3.86"/>
    <col customWidth="1" min="3" max="3" width="12.43"/>
    <col customWidth="1" min="4" max="6" width="8.0"/>
    <col customWidth="1" min="7" max="7" width="14.86"/>
    <col customWidth="1" min="8" max="26" width="8.0"/>
  </cols>
  <sheetData>
    <row r="1" ht="18.75" customHeight="1">
      <c r="A1" s="19" t="s">
        <v>787</v>
      </c>
      <c r="G1" s="20"/>
      <c r="H1" s="20"/>
      <c r="I1" s="20"/>
    </row>
    <row r="2">
      <c r="A2" s="21" t="s">
        <v>788</v>
      </c>
      <c r="G2" s="15"/>
      <c r="H2" s="15"/>
      <c r="I2" s="15"/>
    </row>
    <row r="4" ht="38.25" customHeight="1">
      <c r="A4" s="211" t="s">
        <v>185</v>
      </c>
      <c r="B4" s="212" t="s">
        <v>789</v>
      </c>
      <c r="C4" s="213" t="s">
        <v>790</v>
      </c>
      <c r="E4" s="214" t="s">
        <v>791</v>
      </c>
      <c r="F4" s="68"/>
    </row>
    <row r="5">
      <c r="A5" s="215" t="s">
        <v>792</v>
      </c>
      <c r="B5" s="147">
        <v>92.0</v>
      </c>
      <c r="C5" s="177">
        <f>if(B5&lt;50,"F",IF(50&lt;B5&lt;60,"D",0))</f>
        <v>0</v>
      </c>
      <c r="E5" s="9" t="s">
        <v>793</v>
      </c>
      <c r="F5" s="9" t="s">
        <v>794</v>
      </c>
    </row>
    <row r="6">
      <c r="A6" s="215" t="s">
        <v>795</v>
      </c>
      <c r="B6" s="147">
        <v>88.0</v>
      </c>
      <c r="C6" s="177" t="str">
        <f t="shared" ref="C6:C13" si="1">IF(B6&lt;50,"F",IF(B6&lt;60,"D",IF(B6&lt;65,"D+",IF(B6&lt;70,"C",IF(B6&lt;75,"C+",IF(B6&lt;80,"B",IF(B6&lt;85,"B+",IF(B6&lt;90,"A","A+"))))))))</f>
        <v>A</v>
      </c>
      <c r="E6" s="9" t="s">
        <v>796</v>
      </c>
      <c r="F6" s="9" t="s">
        <v>558</v>
      </c>
    </row>
    <row r="7">
      <c r="A7" s="215" t="s">
        <v>797</v>
      </c>
      <c r="B7" s="147">
        <v>94.0</v>
      </c>
      <c r="C7" s="177" t="str">
        <f t="shared" si="1"/>
        <v>A+</v>
      </c>
      <c r="E7" s="9" t="s">
        <v>798</v>
      </c>
      <c r="F7" s="9" t="s">
        <v>799</v>
      </c>
    </row>
    <row r="8">
      <c r="A8" s="215" t="s">
        <v>800</v>
      </c>
      <c r="B8" s="147">
        <v>84.0</v>
      </c>
      <c r="C8" s="177" t="str">
        <f t="shared" si="1"/>
        <v>B+</v>
      </c>
      <c r="E8" s="9" t="s">
        <v>801</v>
      </c>
      <c r="F8" s="9" t="s">
        <v>802</v>
      </c>
    </row>
    <row r="9">
      <c r="A9" s="215" t="s">
        <v>803</v>
      </c>
      <c r="B9" s="147">
        <v>95.0</v>
      </c>
      <c r="C9" s="177" t="str">
        <f t="shared" si="1"/>
        <v>A+</v>
      </c>
      <c r="E9" s="9" t="s">
        <v>804</v>
      </c>
      <c r="F9" s="9" t="s">
        <v>805</v>
      </c>
    </row>
    <row r="10">
      <c r="A10" s="215" t="s">
        <v>806</v>
      </c>
      <c r="B10" s="147">
        <v>78.0</v>
      </c>
      <c r="C10" s="177" t="str">
        <f t="shared" si="1"/>
        <v>B</v>
      </c>
      <c r="E10" s="9" t="s">
        <v>807</v>
      </c>
      <c r="F10" s="9" t="s">
        <v>567</v>
      </c>
    </row>
    <row r="11">
      <c r="A11" s="215" t="s">
        <v>808</v>
      </c>
      <c r="B11" s="147">
        <v>59.0</v>
      </c>
      <c r="C11" s="177" t="str">
        <f t="shared" si="1"/>
        <v>D</v>
      </c>
      <c r="E11" s="9" t="s">
        <v>809</v>
      </c>
      <c r="F11" s="9" t="s">
        <v>810</v>
      </c>
    </row>
    <row r="12">
      <c r="A12" s="215" t="s">
        <v>811</v>
      </c>
      <c r="B12" s="147">
        <v>43.0</v>
      </c>
      <c r="C12" s="177" t="str">
        <f t="shared" si="1"/>
        <v>F</v>
      </c>
      <c r="E12" s="9" t="s">
        <v>812</v>
      </c>
      <c r="F12" s="9" t="s">
        <v>560</v>
      </c>
    </row>
    <row r="13">
      <c r="A13" s="216" t="s">
        <v>813</v>
      </c>
      <c r="B13" s="217">
        <v>90.0</v>
      </c>
      <c r="C13" s="218" t="str">
        <f t="shared" si="1"/>
        <v>A+</v>
      </c>
      <c r="E13" s="9" t="s">
        <v>814</v>
      </c>
      <c r="F13" s="9" t="s">
        <v>570</v>
      </c>
    </row>
    <row r="16">
      <c r="A16" s="185" t="s">
        <v>815</v>
      </c>
      <c r="B16" s="185" t="s">
        <v>738</v>
      </c>
      <c r="C16" s="185" t="s">
        <v>489</v>
      </c>
      <c r="D16" s="107"/>
      <c r="E16" s="107"/>
      <c r="F16" s="107"/>
      <c r="G16" s="107"/>
      <c r="H16" s="107"/>
      <c r="I16" s="107"/>
    </row>
    <row r="17">
      <c r="A17" s="9">
        <v>1.0</v>
      </c>
      <c r="B17" s="9" t="s">
        <v>741</v>
      </c>
      <c r="C17" s="201">
        <v>777307.0</v>
      </c>
      <c r="D17" s="107"/>
      <c r="E17" s="107"/>
      <c r="F17" s="107"/>
      <c r="G17" s="180" t="s">
        <v>816</v>
      </c>
      <c r="H17" s="9">
        <v>3.0</v>
      </c>
      <c r="I17" s="107"/>
    </row>
    <row r="18">
      <c r="A18" s="9">
        <v>2.0</v>
      </c>
      <c r="B18" s="9" t="s">
        <v>743</v>
      </c>
      <c r="C18" s="201">
        <v>590235.0</v>
      </c>
      <c r="D18" s="107"/>
      <c r="E18" s="107"/>
      <c r="F18" s="107"/>
      <c r="G18" s="180" t="s">
        <v>489</v>
      </c>
      <c r="H18" s="9" t="str">
        <f>VLOOKUP(H17,$A$2:$C$13,3,0)</f>
        <v>#N/A</v>
      </c>
      <c r="I18" s="107"/>
    </row>
    <row r="19">
      <c r="A19" s="9">
        <v>3.0</v>
      </c>
      <c r="B19" s="9" t="s">
        <v>748</v>
      </c>
      <c r="C19" s="201">
        <v>585683.0</v>
      </c>
      <c r="D19" s="107"/>
      <c r="E19" s="107"/>
      <c r="F19" s="107"/>
      <c r="G19" s="107"/>
      <c r="H19" s="107" t="s">
        <v>817</v>
      </c>
      <c r="I19" s="107"/>
    </row>
    <row r="20">
      <c r="A20" s="9">
        <v>4.0</v>
      </c>
      <c r="B20" s="9" t="s">
        <v>749</v>
      </c>
      <c r="C20" s="201">
        <v>740995.0</v>
      </c>
      <c r="D20" s="107"/>
      <c r="E20" s="107"/>
      <c r="F20" s="107"/>
      <c r="G20" s="107"/>
      <c r="H20" s="107"/>
      <c r="I20" s="107"/>
    </row>
    <row r="21" ht="15.75" customHeight="1">
      <c r="A21" s="9">
        <v>5.0</v>
      </c>
      <c r="B21" s="9" t="s">
        <v>318</v>
      </c>
      <c r="C21" s="201">
        <v>756502.0</v>
      </c>
      <c r="D21" s="107"/>
      <c r="E21" s="107"/>
      <c r="F21" s="107"/>
      <c r="G21" s="107"/>
      <c r="H21" s="107"/>
      <c r="I21" s="107"/>
    </row>
    <row r="22" ht="15.75" customHeight="1">
      <c r="A22" s="9">
        <v>6.0</v>
      </c>
      <c r="B22" s="9" t="s">
        <v>750</v>
      </c>
      <c r="C22" s="201">
        <v>626126.0</v>
      </c>
      <c r="D22" s="107"/>
      <c r="E22" s="107"/>
      <c r="F22" s="107"/>
      <c r="G22" s="107"/>
      <c r="H22" s="107"/>
      <c r="I22" s="107"/>
    </row>
    <row r="23" ht="15.75" customHeight="1">
      <c r="A23" s="9">
        <v>7.0</v>
      </c>
      <c r="B23" s="9" t="s">
        <v>818</v>
      </c>
      <c r="C23" s="201">
        <v>668352.0</v>
      </c>
      <c r="D23" s="107"/>
      <c r="E23" s="107"/>
      <c r="F23" s="107"/>
      <c r="G23" s="107"/>
      <c r="H23" s="107"/>
      <c r="I23" s="107"/>
    </row>
    <row r="24" ht="15.75" customHeight="1">
      <c r="A24" s="9">
        <v>8.0</v>
      </c>
      <c r="B24" s="9" t="s">
        <v>819</v>
      </c>
      <c r="C24" s="201">
        <v>698558.0</v>
      </c>
      <c r="D24" s="107"/>
      <c r="E24" s="107"/>
      <c r="F24" s="107"/>
      <c r="G24" s="107"/>
      <c r="H24" s="107"/>
      <c r="I24" s="107"/>
    </row>
    <row r="25" ht="15.75" customHeight="1">
      <c r="A25" s="9">
        <v>9.0</v>
      </c>
      <c r="B25" s="9" t="s">
        <v>820</v>
      </c>
      <c r="C25" s="201">
        <v>562835.0</v>
      </c>
      <c r="D25" s="107"/>
      <c r="E25" s="107"/>
      <c r="F25" s="107"/>
      <c r="G25" s="107"/>
      <c r="H25" s="107"/>
      <c r="I25" s="107"/>
    </row>
    <row r="26" ht="15.75" customHeight="1">
      <c r="A26" s="9">
        <v>10.0</v>
      </c>
      <c r="B26" s="9" t="s">
        <v>821</v>
      </c>
      <c r="C26" s="201">
        <v>564996.0</v>
      </c>
      <c r="D26" s="107"/>
      <c r="E26" s="107"/>
      <c r="F26" s="107"/>
      <c r="G26" s="107"/>
      <c r="H26" s="107"/>
      <c r="I26" s="107"/>
    </row>
    <row r="27" ht="15.75" customHeight="1">
      <c r="A27" s="9">
        <v>11.0</v>
      </c>
      <c r="B27" s="9" t="s">
        <v>822</v>
      </c>
      <c r="C27" s="201">
        <v>632549.0</v>
      </c>
      <c r="D27" s="107"/>
      <c r="E27" s="107"/>
      <c r="F27" s="107"/>
      <c r="G27" s="107"/>
      <c r="H27" s="107"/>
      <c r="I27" s="107"/>
    </row>
    <row r="28" ht="15.75" customHeight="1">
      <c r="A28" s="9">
        <v>12.0</v>
      </c>
      <c r="B28" s="9" t="s">
        <v>823</v>
      </c>
      <c r="C28" s="201">
        <v>702812.0</v>
      </c>
      <c r="D28" s="107"/>
      <c r="E28" s="107"/>
      <c r="F28" s="107"/>
      <c r="G28" s="107"/>
      <c r="H28" s="107"/>
      <c r="I28" s="10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F2"/>
    <mergeCell ref="E4:F4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8.0"/>
    <col customWidth="1" min="3" max="3" width="10.71"/>
    <col customWidth="1" min="4" max="26" width="8.0"/>
  </cols>
  <sheetData>
    <row r="1" ht="18.75" customHeight="1">
      <c r="A1" s="19" t="s">
        <v>824</v>
      </c>
    </row>
    <row r="2">
      <c r="A2" s="21" t="s">
        <v>825</v>
      </c>
    </row>
    <row r="4">
      <c r="A4" s="219" t="s">
        <v>826</v>
      </c>
      <c r="B4" s="71"/>
      <c r="C4" s="220"/>
      <c r="D4" s="220"/>
      <c r="E4" s="221" t="s">
        <v>827</v>
      </c>
      <c r="F4" s="71"/>
      <c r="G4" s="220"/>
      <c r="H4" s="221" t="s">
        <v>828</v>
      </c>
      <c r="I4" s="71"/>
    </row>
    <row r="5">
      <c r="A5" s="222" t="s">
        <v>490</v>
      </c>
      <c r="B5" s="222" t="s">
        <v>488</v>
      </c>
      <c r="C5" s="220"/>
      <c r="D5" s="220"/>
      <c r="E5" s="222" t="s">
        <v>490</v>
      </c>
      <c r="F5" s="222" t="s">
        <v>829</v>
      </c>
      <c r="G5" s="220"/>
      <c r="H5" s="222" t="s">
        <v>490</v>
      </c>
      <c r="I5" s="222" t="s">
        <v>489</v>
      </c>
    </row>
    <row r="6">
      <c r="A6" s="223" t="s">
        <v>492</v>
      </c>
      <c r="B6" s="223" t="s">
        <v>491</v>
      </c>
      <c r="C6" s="220"/>
      <c r="D6" s="220"/>
      <c r="E6" s="223" t="s">
        <v>492</v>
      </c>
      <c r="F6" s="223" t="s">
        <v>337</v>
      </c>
      <c r="G6" s="220"/>
      <c r="H6" s="223" t="s">
        <v>492</v>
      </c>
      <c r="I6" s="224">
        <v>92671.0</v>
      </c>
    </row>
    <row r="7">
      <c r="A7" s="223" t="s">
        <v>495</v>
      </c>
      <c r="B7" s="223" t="s">
        <v>493</v>
      </c>
      <c r="C7" s="220"/>
      <c r="D7" s="220"/>
      <c r="E7" s="223" t="s">
        <v>495</v>
      </c>
      <c r="F7" s="223" t="s">
        <v>494</v>
      </c>
      <c r="G7" s="220"/>
      <c r="H7" s="223" t="s">
        <v>495</v>
      </c>
      <c r="I7" s="224">
        <v>84120.0</v>
      </c>
    </row>
    <row r="8">
      <c r="A8" s="223" t="s">
        <v>497</v>
      </c>
      <c r="B8" s="223" t="s">
        <v>496</v>
      </c>
      <c r="C8" s="220"/>
      <c r="D8" s="220"/>
      <c r="E8" s="223" t="s">
        <v>497</v>
      </c>
      <c r="F8" s="223" t="s">
        <v>255</v>
      </c>
      <c r="G8" s="220"/>
      <c r="H8" s="223" t="s">
        <v>497</v>
      </c>
      <c r="I8" s="224">
        <v>50793.0</v>
      </c>
    </row>
    <row r="9">
      <c r="A9" s="223" t="s">
        <v>500</v>
      </c>
      <c r="B9" s="223" t="s">
        <v>498</v>
      </c>
      <c r="C9" s="220"/>
      <c r="D9" s="220"/>
      <c r="E9" s="223" t="s">
        <v>519</v>
      </c>
      <c r="F9" s="223" t="s">
        <v>255</v>
      </c>
      <c r="G9" s="220"/>
      <c r="H9" s="223" t="s">
        <v>500</v>
      </c>
      <c r="I9" s="224">
        <v>77833.0</v>
      </c>
    </row>
    <row r="10">
      <c r="A10" s="223" t="s">
        <v>502</v>
      </c>
      <c r="B10" s="223" t="s">
        <v>501</v>
      </c>
      <c r="C10" s="220"/>
      <c r="D10" s="220"/>
      <c r="E10" s="223" t="s">
        <v>521</v>
      </c>
      <c r="F10" s="223" t="s">
        <v>337</v>
      </c>
      <c r="G10" s="220"/>
      <c r="H10" s="223" t="s">
        <v>502</v>
      </c>
      <c r="I10" s="224">
        <v>58914.0</v>
      </c>
    </row>
    <row r="11">
      <c r="A11" s="223" t="s">
        <v>505</v>
      </c>
      <c r="B11" s="223" t="s">
        <v>503</v>
      </c>
      <c r="C11" s="220"/>
      <c r="D11" s="220"/>
      <c r="E11" s="223" t="s">
        <v>523</v>
      </c>
      <c r="F11" s="223" t="s">
        <v>504</v>
      </c>
      <c r="G11" s="220"/>
      <c r="H11" s="223" t="s">
        <v>505</v>
      </c>
      <c r="I11" s="224">
        <v>51096.0</v>
      </c>
    </row>
    <row r="12">
      <c r="A12" s="223" t="s">
        <v>507</v>
      </c>
      <c r="B12" s="223" t="s">
        <v>506</v>
      </c>
      <c r="C12" s="220"/>
      <c r="D12" s="220"/>
      <c r="E12" s="223" t="s">
        <v>525</v>
      </c>
      <c r="F12" s="223" t="s">
        <v>494</v>
      </c>
      <c r="G12" s="220"/>
      <c r="H12" s="223" t="s">
        <v>523</v>
      </c>
      <c r="I12" s="224">
        <v>88965.0</v>
      </c>
    </row>
    <row r="13">
      <c r="A13" s="223" t="s">
        <v>509</v>
      </c>
      <c r="B13" s="223" t="s">
        <v>508</v>
      </c>
      <c r="C13" s="220"/>
      <c r="D13" s="220"/>
      <c r="E13" s="223" t="s">
        <v>527</v>
      </c>
      <c r="F13" s="223" t="s">
        <v>337</v>
      </c>
      <c r="G13" s="220"/>
      <c r="H13" s="223" t="s">
        <v>525</v>
      </c>
      <c r="I13" s="224">
        <v>63288.0</v>
      </c>
    </row>
    <row r="14">
      <c r="A14" s="223" t="s">
        <v>511</v>
      </c>
      <c r="B14" s="223" t="s">
        <v>510</v>
      </c>
      <c r="C14" s="220"/>
      <c r="D14" s="220"/>
      <c r="E14" s="223" t="s">
        <v>531</v>
      </c>
      <c r="F14" s="223" t="s">
        <v>337</v>
      </c>
      <c r="G14" s="220"/>
      <c r="H14" s="223" t="s">
        <v>527</v>
      </c>
      <c r="I14" s="224">
        <v>45742.0</v>
      </c>
    </row>
    <row r="15">
      <c r="A15" s="223" t="s">
        <v>513</v>
      </c>
      <c r="B15" s="223" t="s">
        <v>512</v>
      </c>
      <c r="C15" s="220"/>
      <c r="D15" s="220"/>
      <c r="E15" s="223" t="s">
        <v>500</v>
      </c>
      <c r="F15" s="223" t="s">
        <v>499</v>
      </c>
      <c r="G15" s="220"/>
      <c r="H15" s="223" t="s">
        <v>528</v>
      </c>
      <c r="I15" s="224">
        <v>88354.0</v>
      </c>
    </row>
    <row r="16">
      <c r="A16" s="223" t="s">
        <v>515</v>
      </c>
      <c r="B16" s="223" t="s">
        <v>514</v>
      </c>
      <c r="C16" s="220"/>
      <c r="D16" s="220"/>
      <c r="E16" s="223" t="s">
        <v>502</v>
      </c>
      <c r="F16" s="223" t="s">
        <v>266</v>
      </c>
      <c r="G16" s="220"/>
      <c r="H16" s="223" t="s">
        <v>530</v>
      </c>
      <c r="I16" s="224">
        <v>76641.0</v>
      </c>
    </row>
    <row r="17">
      <c r="A17" s="223" t="s">
        <v>517</v>
      </c>
      <c r="B17" s="223" t="s">
        <v>516</v>
      </c>
      <c r="C17" s="220"/>
      <c r="D17" s="220"/>
      <c r="E17" s="223" t="s">
        <v>505</v>
      </c>
      <c r="F17" s="223" t="s">
        <v>504</v>
      </c>
      <c r="G17" s="220"/>
      <c r="H17" s="223" t="s">
        <v>531</v>
      </c>
      <c r="I17" s="224">
        <v>61678.0</v>
      </c>
    </row>
    <row r="18">
      <c r="A18" s="223" t="s">
        <v>519</v>
      </c>
      <c r="B18" s="223" t="s">
        <v>518</v>
      </c>
      <c r="C18" s="220"/>
      <c r="D18" s="220"/>
      <c r="E18" s="223" t="s">
        <v>528</v>
      </c>
      <c r="F18" s="223" t="s">
        <v>255</v>
      </c>
      <c r="G18" s="220"/>
      <c r="H18" s="223" t="s">
        <v>507</v>
      </c>
      <c r="I18" s="224">
        <v>83735.0</v>
      </c>
    </row>
    <row r="19">
      <c r="A19" s="223" t="s">
        <v>521</v>
      </c>
      <c r="B19" s="223" t="s">
        <v>520</v>
      </c>
      <c r="C19" s="220"/>
      <c r="D19" s="220"/>
      <c r="E19" s="223" t="s">
        <v>530</v>
      </c>
      <c r="F19" s="223" t="s">
        <v>255</v>
      </c>
      <c r="G19" s="220"/>
      <c r="H19" s="223" t="s">
        <v>509</v>
      </c>
      <c r="I19" s="224">
        <v>74418.0</v>
      </c>
    </row>
    <row r="20">
      <c r="A20" s="223" t="s">
        <v>523</v>
      </c>
      <c r="B20" s="223" t="s">
        <v>522</v>
      </c>
      <c r="C20" s="220"/>
      <c r="D20" s="220"/>
      <c r="E20" s="223" t="s">
        <v>507</v>
      </c>
      <c r="F20" s="223" t="s">
        <v>255</v>
      </c>
      <c r="G20" s="220"/>
      <c r="H20" s="223" t="s">
        <v>511</v>
      </c>
      <c r="I20" s="224">
        <v>51366.0</v>
      </c>
    </row>
    <row r="21" ht="15.75" customHeight="1">
      <c r="A21" s="223" t="s">
        <v>525</v>
      </c>
      <c r="B21" s="223" t="s">
        <v>524</v>
      </c>
      <c r="C21" s="220"/>
      <c r="D21" s="220"/>
      <c r="E21" s="223" t="s">
        <v>509</v>
      </c>
      <c r="F21" s="223" t="s">
        <v>504</v>
      </c>
      <c r="G21" s="220"/>
      <c r="H21" s="223" t="s">
        <v>513</v>
      </c>
      <c r="I21" s="224">
        <v>54600.0</v>
      </c>
    </row>
    <row r="22" ht="15.75" customHeight="1">
      <c r="A22" s="223" t="s">
        <v>527</v>
      </c>
      <c r="B22" s="223" t="s">
        <v>526</v>
      </c>
      <c r="C22" s="220"/>
      <c r="D22" s="220"/>
      <c r="E22" s="223" t="s">
        <v>511</v>
      </c>
      <c r="F22" s="223" t="s">
        <v>337</v>
      </c>
      <c r="G22" s="220"/>
      <c r="H22" s="223" t="s">
        <v>515</v>
      </c>
      <c r="I22" s="224">
        <v>93509.0</v>
      </c>
    </row>
    <row r="23" ht="15.75" customHeight="1">
      <c r="A23" s="223" t="s">
        <v>528</v>
      </c>
      <c r="B23" s="223" t="s">
        <v>192</v>
      </c>
      <c r="C23" s="220"/>
      <c r="D23" s="220"/>
      <c r="E23" s="223" t="s">
        <v>513</v>
      </c>
      <c r="F23" s="223" t="s">
        <v>266</v>
      </c>
      <c r="G23" s="220"/>
      <c r="H23" s="223" t="s">
        <v>517</v>
      </c>
      <c r="I23" s="224">
        <v>80105.0</v>
      </c>
    </row>
    <row r="24" ht="15.75" customHeight="1">
      <c r="A24" s="223" t="s">
        <v>530</v>
      </c>
      <c r="B24" s="223" t="s">
        <v>529</v>
      </c>
      <c r="C24" s="220"/>
      <c r="D24" s="220"/>
      <c r="E24" s="223" t="s">
        <v>515</v>
      </c>
      <c r="F24" s="223" t="s">
        <v>494</v>
      </c>
      <c r="G24" s="220"/>
      <c r="H24" s="223" t="s">
        <v>519</v>
      </c>
      <c r="I24" s="224">
        <v>60802.0</v>
      </c>
    </row>
    <row r="25" ht="15.75" customHeight="1">
      <c r="A25" s="223" t="s">
        <v>531</v>
      </c>
      <c r="B25" s="223" t="s">
        <v>224</v>
      </c>
      <c r="C25" s="220"/>
      <c r="D25" s="220"/>
      <c r="E25" s="223" t="s">
        <v>517</v>
      </c>
      <c r="F25" s="223" t="s">
        <v>266</v>
      </c>
      <c r="G25" s="220"/>
      <c r="H25" s="223" t="s">
        <v>521</v>
      </c>
      <c r="I25" s="224">
        <v>76260.0</v>
      </c>
    </row>
    <row r="26" ht="15.75" customHeight="1">
      <c r="A26" s="220"/>
      <c r="B26" s="220"/>
      <c r="C26" s="220"/>
      <c r="D26" s="220"/>
      <c r="E26" s="220"/>
      <c r="F26" s="220"/>
      <c r="G26" s="220"/>
      <c r="H26" s="220"/>
      <c r="I26" s="220"/>
    </row>
    <row r="27" ht="15.75" customHeight="1">
      <c r="A27" s="220"/>
      <c r="B27" s="220"/>
      <c r="C27" s="225" t="s">
        <v>830</v>
      </c>
      <c r="D27" s="220"/>
      <c r="E27" s="220"/>
      <c r="F27" s="220"/>
      <c r="G27" s="220"/>
      <c r="H27" s="220"/>
      <c r="I27" s="220"/>
    </row>
    <row r="28" ht="15.75" customHeight="1">
      <c r="A28" s="222" t="s">
        <v>490</v>
      </c>
      <c r="B28" s="222" t="s">
        <v>488</v>
      </c>
      <c r="C28" s="222" t="s">
        <v>247</v>
      </c>
      <c r="D28" s="222" t="s">
        <v>489</v>
      </c>
      <c r="E28" s="220"/>
      <c r="F28" s="220"/>
      <c r="G28" s="220"/>
      <c r="H28" s="220"/>
      <c r="I28" s="220"/>
    </row>
    <row r="29" ht="15.75" customHeight="1">
      <c r="A29" s="223" t="s">
        <v>492</v>
      </c>
      <c r="B29" s="223" t="s">
        <v>491</v>
      </c>
      <c r="C29" s="223" t="str">
        <f t="shared" ref="C29:C48" si="1">VLOOKUP(A29,$E$6:$F$25,2,0)</f>
        <v>Sales</v>
      </c>
      <c r="D29" s="224">
        <f t="shared" ref="D29:D48" si="2">VLOOKUP(A29,$H$6:$I$25,2,0)</f>
        <v>92671</v>
      </c>
      <c r="E29" s="220"/>
      <c r="F29" s="220"/>
      <c r="G29" s="220"/>
      <c r="H29" s="220"/>
      <c r="I29" s="220"/>
    </row>
    <row r="30" ht="15.75" customHeight="1">
      <c r="A30" s="223" t="s">
        <v>495</v>
      </c>
      <c r="B30" s="223" t="s">
        <v>493</v>
      </c>
      <c r="C30" s="223" t="str">
        <f t="shared" si="1"/>
        <v>Operations</v>
      </c>
      <c r="D30" s="224">
        <f t="shared" si="2"/>
        <v>84120</v>
      </c>
      <c r="E30" s="220"/>
      <c r="F30" s="220"/>
      <c r="G30" s="220"/>
      <c r="H30" s="220"/>
      <c r="I30" s="220"/>
    </row>
    <row r="31" ht="15.75" customHeight="1">
      <c r="A31" s="223" t="s">
        <v>497</v>
      </c>
      <c r="B31" s="223" t="s">
        <v>496</v>
      </c>
      <c r="C31" s="223" t="str">
        <f t="shared" si="1"/>
        <v>Marketing</v>
      </c>
      <c r="D31" s="224">
        <f t="shared" si="2"/>
        <v>50793</v>
      </c>
      <c r="E31" s="220"/>
      <c r="F31" s="220"/>
      <c r="G31" s="220"/>
      <c r="H31" s="220"/>
      <c r="I31" s="220"/>
    </row>
    <row r="32" ht="15.75" customHeight="1">
      <c r="A32" s="223" t="s">
        <v>500</v>
      </c>
      <c r="B32" s="223" t="s">
        <v>498</v>
      </c>
      <c r="C32" s="223" t="str">
        <f t="shared" si="1"/>
        <v>HR</v>
      </c>
      <c r="D32" s="224">
        <f t="shared" si="2"/>
        <v>77833</v>
      </c>
      <c r="E32" s="220"/>
      <c r="F32" s="220"/>
      <c r="G32" s="220"/>
      <c r="H32" s="220"/>
      <c r="I32" s="220"/>
    </row>
    <row r="33" ht="15.75" customHeight="1">
      <c r="A33" s="223" t="s">
        <v>502</v>
      </c>
      <c r="B33" s="223" t="s">
        <v>501</v>
      </c>
      <c r="C33" s="223" t="str">
        <f t="shared" si="1"/>
        <v>Finance</v>
      </c>
      <c r="D33" s="224">
        <f t="shared" si="2"/>
        <v>58914</v>
      </c>
      <c r="E33" s="220"/>
      <c r="F33" s="220"/>
      <c r="G33" s="220"/>
      <c r="H33" s="220"/>
      <c r="I33" s="220"/>
    </row>
    <row r="34" ht="15.75" customHeight="1">
      <c r="A34" s="223" t="s">
        <v>505</v>
      </c>
      <c r="B34" s="223" t="s">
        <v>503</v>
      </c>
      <c r="C34" s="223" t="str">
        <f t="shared" si="1"/>
        <v>IT</v>
      </c>
      <c r="D34" s="224">
        <f t="shared" si="2"/>
        <v>51096</v>
      </c>
      <c r="E34" s="220"/>
      <c r="F34" s="220"/>
      <c r="G34" s="220"/>
      <c r="H34" s="220"/>
      <c r="I34" s="220"/>
    </row>
    <row r="35" ht="15.75" customHeight="1">
      <c r="A35" s="223" t="s">
        <v>507</v>
      </c>
      <c r="B35" s="223" t="s">
        <v>506</v>
      </c>
      <c r="C35" s="223" t="str">
        <f t="shared" si="1"/>
        <v>Marketing</v>
      </c>
      <c r="D35" s="224">
        <f t="shared" si="2"/>
        <v>83735</v>
      </c>
      <c r="E35" s="220"/>
      <c r="F35" s="220"/>
      <c r="G35" s="220"/>
      <c r="H35" s="220"/>
      <c r="I35" s="220"/>
    </row>
    <row r="36" ht="15.75" customHeight="1">
      <c r="A36" s="223" t="s">
        <v>509</v>
      </c>
      <c r="B36" s="223" t="s">
        <v>508</v>
      </c>
      <c r="C36" s="223" t="str">
        <f t="shared" si="1"/>
        <v>IT</v>
      </c>
      <c r="D36" s="224">
        <f t="shared" si="2"/>
        <v>74418</v>
      </c>
      <c r="E36" s="220"/>
      <c r="F36" s="220"/>
      <c r="G36" s="220"/>
      <c r="H36" s="220"/>
      <c r="I36" s="220"/>
    </row>
    <row r="37" ht="15.75" customHeight="1">
      <c r="A37" s="223" t="s">
        <v>511</v>
      </c>
      <c r="B37" s="223" t="s">
        <v>510</v>
      </c>
      <c r="C37" s="223" t="str">
        <f t="shared" si="1"/>
        <v>Sales</v>
      </c>
      <c r="D37" s="224">
        <f t="shared" si="2"/>
        <v>51366</v>
      </c>
      <c r="E37" s="220"/>
      <c r="F37" s="220"/>
      <c r="G37" s="220"/>
      <c r="H37" s="220"/>
      <c r="I37" s="220"/>
    </row>
    <row r="38" ht="15.75" customHeight="1">
      <c r="A38" s="223" t="s">
        <v>513</v>
      </c>
      <c r="B38" s="223" t="s">
        <v>512</v>
      </c>
      <c r="C38" s="223" t="str">
        <f t="shared" si="1"/>
        <v>Finance</v>
      </c>
      <c r="D38" s="224">
        <f t="shared" si="2"/>
        <v>54600</v>
      </c>
      <c r="E38" s="220"/>
      <c r="F38" s="220"/>
      <c r="G38" s="220"/>
      <c r="H38" s="220"/>
      <c r="I38" s="220"/>
    </row>
    <row r="39" ht="15.75" customHeight="1">
      <c r="A39" s="223" t="s">
        <v>515</v>
      </c>
      <c r="B39" s="223" t="s">
        <v>514</v>
      </c>
      <c r="C39" s="223" t="str">
        <f t="shared" si="1"/>
        <v>Operations</v>
      </c>
      <c r="D39" s="224">
        <f t="shared" si="2"/>
        <v>93509</v>
      </c>
      <c r="E39" s="220"/>
      <c r="F39" s="220"/>
      <c r="G39" s="220"/>
      <c r="H39" s="220"/>
      <c r="I39" s="220"/>
    </row>
    <row r="40" ht="15.75" customHeight="1">
      <c r="A40" s="223" t="s">
        <v>517</v>
      </c>
      <c r="B40" s="223" t="s">
        <v>516</v>
      </c>
      <c r="C40" s="223" t="str">
        <f t="shared" si="1"/>
        <v>Finance</v>
      </c>
      <c r="D40" s="224">
        <f t="shared" si="2"/>
        <v>80105</v>
      </c>
      <c r="E40" s="220"/>
      <c r="F40" s="220"/>
      <c r="G40" s="220"/>
      <c r="H40" s="220"/>
      <c r="I40" s="220"/>
    </row>
    <row r="41" ht="15.75" customHeight="1">
      <c r="A41" s="223" t="s">
        <v>519</v>
      </c>
      <c r="B41" s="223" t="s">
        <v>518</v>
      </c>
      <c r="C41" s="223" t="str">
        <f t="shared" si="1"/>
        <v>Marketing</v>
      </c>
      <c r="D41" s="224">
        <f t="shared" si="2"/>
        <v>60802</v>
      </c>
      <c r="E41" s="220"/>
      <c r="F41" s="220"/>
      <c r="G41" s="220"/>
      <c r="H41" s="220"/>
      <c r="I41" s="220"/>
    </row>
    <row r="42" ht="15.75" customHeight="1">
      <c r="A42" s="223" t="s">
        <v>521</v>
      </c>
      <c r="B42" s="223" t="s">
        <v>520</v>
      </c>
      <c r="C42" s="223" t="str">
        <f t="shared" si="1"/>
        <v>Sales</v>
      </c>
      <c r="D42" s="224">
        <f t="shared" si="2"/>
        <v>76260</v>
      </c>
      <c r="E42" s="220"/>
      <c r="F42" s="220"/>
      <c r="G42" s="220"/>
      <c r="H42" s="220"/>
      <c r="I42" s="220"/>
    </row>
    <row r="43" ht="15.75" customHeight="1">
      <c r="A43" s="223" t="s">
        <v>523</v>
      </c>
      <c r="B43" s="223" t="s">
        <v>522</v>
      </c>
      <c r="C43" s="223" t="str">
        <f t="shared" si="1"/>
        <v>IT</v>
      </c>
      <c r="D43" s="224">
        <f t="shared" si="2"/>
        <v>88965</v>
      </c>
      <c r="E43" s="220"/>
      <c r="F43" s="220"/>
      <c r="G43" s="220"/>
      <c r="H43" s="220"/>
      <c r="I43" s="220"/>
    </row>
    <row r="44" ht="15.75" customHeight="1">
      <c r="A44" s="223" t="s">
        <v>525</v>
      </c>
      <c r="B44" s="223" t="s">
        <v>524</v>
      </c>
      <c r="C44" s="223" t="str">
        <f t="shared" si="1"/>
        <v>Operations</v>
      </c>
      <c r="D44" s="224">
        <f t="shared" si="2"/>
        <v>63288</v>
      </c>
      <c r="E44" s="220"/>
      <c r="F44" s="220"/>
      <c r="G44" s="220"/>
      <c r="H44" s="220"/>
      <c r="I44" s="220"/>
    </row>
    <row r="45" ht="15.75" customHeight="1">
      <c r="A45" s="223" t="s">
        <v>527</v>
      </c>
      <c r="B45" s="223" t="s">
        <v>526</v>
      </c>
      <c r="C45" s="223" t="str">
        <f t="shared" si="1"/>
        <v>Sales</v>
      </c>
      <c r="D45" s="224">
        <f t="shared" si="2"/>
        <v>45742</v>
      </c>
      <c r="E45" s="220"/>
      <c r="F45" s="220"/>
      <c r="G45" s="220"/>
      <c r="H45" s="220"/>
      <c r="I45" s="220"/>
    </row>
    <row r="46" ht="15.75" customHeight="1">
      <c r="A46" s="223" t="s">
        <v>528</v>
      </c>
      <c r="B46" s="223" t="s">
        <v>192</v>
      </c>
      <c r="C46" s="223" t="str">
        <f t="shared" si="1"/>
        <v>Marketing</v>
      </c>
      <c r="D46" s="224">
        <f t="shared" si="2"/>
        <v>88354</v>
      </c>
      <c r="E46" s="220"/>
      <c r="F46" s="220"/>
      <c r="G46" s="220"/>
      <c r="H46" s="220"/>
      <c r="I46" s="220"/>
    </row>
    <row r="47" ht="15.75" customHeight="1">
      <c r="A47" s="223" t="s">
        <v>530</v>
      </c>
      <c r="B47" s="223" t="s">
        <v>529</v>
      </c>
      <c r="C47" s="223" t="str">
        <f t="shared" si="1"/>
        <v>Marketing</v>
      </c>
      <c r="D47" s="224">
        <f t="shared" si="2"/>
        <v>76641</v>
      </c>
      <c r="E47" s="220"/>
      <c r="F47" s="220"/>
      <c r="G47" s="220"/>
      <c r="H47" s="220"/>
      <c r="I47" s="220"/>
    </row>
    <row r="48" ht="15.75" customHeight="1">
      <c r="A48" s="223" t="s">
        <v>531</v>
      </c>
      <c r="B48" s="223" t="s">
        <v>224</v>
      </c>
      <c r="C48" s="223" t="str">
        <f t="shared" si="1"/>
        <v>Sales</v>
      </c>
      <c r="D48" s="224">
        <f t="shared" si="2"/>
        <v>61678</v>
      </c>
      <c r="E48" s="220"/>
      <c r="F48" s="220"/>
      <c r="G48" s="220"/>
      <c r="H48" s="220"/>
      <c r="I48" s="2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I1"/>
    <mergeCell ref="A2:I2"/>
    <mergeCell ref="A4:B4"/>
    <mergeCell ref="E4:F4"/>
    <mergeCell ref="H4:I4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71"/>
    <col customWidth="1" min="3" max="3" width="13.57"/>
    <col customWidth="1" min="4" max="26" width="8.0"/>
  </cols>
  <sheetData>
    <row r="1" ht="18.75" customHeight="1">
      <c r="A1" s="19" t="s">
        <v>831</v>
      </c>
    </row>
    <row r="2">
      <c r="A2" s="21" t="s">
        <v>29</v>
      </c>
    </row>
    <row r="4">
      <c r="A4" s="167" t="s">
        <v>832</v>
      </c>
      <c r="B4" s="167" t="s">
        <v>833</v>
      </c>
      <c r="C4" s="167" t="s">
        <v>834</v>
      </c>
    </row>
    <row r="5">
      <c r="A5" s="9" t="s">
        <v>835</v>
      </c>
      <c r="B5" s="9" t="s">
        <v>836</v>
      </c>
      <c r="C5" s="9">
        <f>6960-2345</f>
        <v>4615</v>
      </c>
    </row>
    <row r="6">
      <c r="A6" s="9" t="s">
        <v>837</v>
      </c>
      <c r="B6" s="9" t="s">
        <v>838</v>
      </c>
      <c r="C6" s="9">
        <v>2345.0</v>
      </c>
    </row>
    <row r="7">
      <c r="A7" s="9" t="s">
        <v>835</v>
      </c>
      <c r="B7" s="9" t="s">
        <v>839</v>
      </c>
      <c r="C7" s="9">
        <v>11282.0</v>
      </c>
    </row>
    <row r="8">
      <c r="A8" s="9" t="s">
        <v>837</v>
      </c>
      <c r="B8" s="9" t="s">
        <v>840</v>
      </c>
      <c r="C8" s="9">
        <v>4159.0</v>
      </c>
    </row>
    <row r="9">
      <c r="A9" s="9" t="s">
        <v>841</v>
      </c>
      <c r="B9" s="9" t="s">
        <v>842</v>
      </c>
      <c r="C9" s="9">
        <v>7802.0</v>
      </c>
    </row>
    <row r="10">
      <c r="A10" s="9" t="s">
        <v>835</v>
      </c>
      <c r="B10" s="9" t="s">
        <v>843</v>
      </c>
      <c r="C10" s="9">
        <v>8486.0</v>
      </c>
    </row>
    <row r="11">
      <c r="A11" s="9" t="s">
        <v>837</v>
      </c>
      <c r="B11" s="9" t="s">
        <v>844</v>
      </c>
      <c r="C11" s="9">
        <v>3384.0</v>
      </c>
    </row>
    <row r="12">
      <c r="A12" s="9" t="s">
        <v>841</v>
      </c>
      <c r="B12" s="9" t="s">
        <v>845</v>
      </c>
      <c r="C12" s="9">
        <v>3422.0</v>
      </c>
    </row>
    <row r="14">
      <c r="A14" s="226" t="s">
        <v>846</v>
      </c>
      <c r="B14" s="227"/>
      <c r="C14" s="228">
        <f>SUMIF(A5:A12,"Ben",C5:C12)</f>
        <v>24383</v>
      </c>
      <c r="E14" s="226" t="s">
        <v>847</v>
      </c>
      <c r="F14" s="227"/>
      <c r="G14" s="55">
        <f>SUMIF(A5:A12,A7,C5:C12)</f>
        <v>24383</v>
      </c>
    </row>
    <row r="15">
      <c r="A15" s="229"/>
      <c r="B15" s="230"/>
      <c r="C15" s="231"/>
      <c r="E15" s="229"/>
      <c r="F15" s="230"/>
      <c r="G15" s="231"/>
    </row>
    <row r="16">
      <c r="G16" s="55">
        <f>SUMIF(A7:A14,A9,C7:C14)</f>
        <v>11224</v>
      </c>
    </row>
    <row r="17">
      <c r="A17" s="226" t="s">
        <v>848</v>
      </c>
      <c r="B17" s="227"/>
      <c r="C17" s="228">
        <f>SUMIF(A5:A12,"Ben",C5:C12)+SUMIF(A5:A12,"Jenny",C5:C12)</f>
        <v>35607</v>
      </c>
      <c r="E17" s="232" t="s">
        <v>848</v>
      </c>
      <c r="F17" s="227"/>
      <c r="G17" s="231"/>
    </row>
    <row r="18">
      <c r="A18" s="229"/>
      <c r="B18" s="230"/>
      <c r="C18" s="231"/>
      <c r="E18" s="229"/>
      <c r="F18" s="230"/>
      <c r="G18" s="55">
        <f>SUMIF(A9:A16,A11,C9:C16)</f>
        <v>3384</v>
      </c>
    </row>
    <row r="19">
      <c r="A19" s="12" t="s">
        <v>849</v>
      </c>
      <c r="G19" s="231"/>
    </row>
    <row r="21" ht="15.75" customHeight="1">
      <c r="A21" s="167" t="s">
        <v>832</v>
      </c>
      <c r="B21" s="167" t="s">
        <v>833</v>
      </c>
      <c r="C21" s="167" t="s">
        <v>834</v>
      </c>
    </row>
    <row r="22" ht="15.75" customHeight="1">
      <c r="A22" s="9" t="s">
        <v>835</v>
      </c>
      <c r="B22" s="9" t="s">
        <v>836</v>
      </c>
      <c r="C22" s="9">
        <f>6960-2345</f>
        <v>4615</v>
      </c>
    </row>
    <row r="23" ht="15.75" customHeight="1">
      <c r="A23" s="9" t="s">
        <v>837</v>
      </c>
      <c r="B23" s="9" t="s">
        <v>838</v>
      </c>
      <c r="C23" s="9">
        <v>2345.0</v>
      </c>
    </row>
    <row r="24" ht="15.75" customHeight="1">
      <c r="A24" s="9" t="s">
        <v>835</v>
      </c>
      <c r="B24" s="9" t="s">
        <v>839</v>
      </c>
      <c r="C24" s="9">
        <v>11282.0</v>
      </c>
    </row>
    <row r="25" ht="15.75" customHeight="1">
      <c r="A25" s="9" t="s">
        <v>837</v>
      </c>
      <c r="B25" s="9" t="s">
        <v>840</v>
      </c>
      <c r="C25" s="9">
        <v>4159.0</v>
      </c>
    </row>
    <row r="26" ht="15.75" customHeight="1">
      <c r="A26" s="9" t="s">
        <v>841</v>
      </c>
      <c r="B26" s="9" t="s">
        <v>842</v>
      </c>
      <c r="C26" s="9">
        <v>7802.0</v>
      </c>
    </row>
    <row r="27" ht="15.75" customHeight="1">
      <c r="A27" s="9" t="s">
        <v>835</v>
      </c>
      <c r="B27" s="9" t="s">
        <v>843</v>
      </c>
      <c r="C27" s="9">
        <v>8486.0</v>
      </c>
    </row>
    <row r="28" ht="15.75" customHeight="1">
      <c r="A28" s="9" t="s">
        <v>837</v>
      </c>
      <c r="B28" s="9" t="s">
        <v>844</v>
      </c>
      <c r="C28" s="9">
        <v>3384.0</v>
      </c>
    </row>
    <row r="29" ht="15.75" customHeight="1">
      <c r="A29" s="9" t="s">
        <v>841</v>
      </c>
      <c r="B29" s="9" t="s">
        <v>845</v>
      </c>
      <c r="C29" s="9">
        <v>3422.0</v>
      </c>
    </row>
    <row r="30" ht="15.75" customHeight="1"/>
    <row r="31" ht="15.75" customHeight="1">
      <c r="A31" s="226" t="s">
        <v>848</v>
      </c>
      <c r="B31" s="227"/>
      <c r="C31" s="228">
        <f>SUMIF(A22:A29,"Ben",C22:C29)+SUMIF(A22:A29,"Jenny",C22:C29)</f>
        <v>35607</v>
      </c>
      <c r="E31" s="226" t="s">
        <v>850</v>
      </c>
      <c r="F31" s="227"/>
      <c r="G31" s="55"/>
    </row>
    <row r="32" ht="15.75" customHeight="1">
      <c r="A32" s="229"/>
      <c r="B32" s="230"/>
      <c r="C32" s="231"/>
      <c r="E32" s="229"/>
      <c r="F32" s="230"/>
      <c r="G32" s="231"/>
    </row>
    <row r="33" ht="15.75" customHeight="1"/>
    <row r="34" ht="15.75" customHeight="1">
      <c r="A34" s="12" t="s">
        <v>849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7:B18"/>
    <mergeCell ref="C17:C18"/>
    <mergeCell ref="E17:F18"/>
    <mergeCell ref="G18:G19"/>
    <mergeCell ref="A31:B32"/>
    <mergeCell ref="C31:C32"/>
    <mergeCell ref="E31:F32"/>
    <mergeCell ref="G31:G32"/>
    <mergeCell ref="A1:I1"/>
    <mergeCell ref="A2:I2"/>
    <mergeCell ref="A14:B15"/>
    <mergeCell ref="C14:C15"/>
    <mergeCell ref="E14:F15"/>
    <mergeCell ref="G14:G15"/>
    <mergeCell ref="G16:G17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851</v>
      </c>
    </row>
    <row r="2">
      <c r="A2" s="21" t="s">
        <v>852</v>
      </c>
    </row>
    <row r="4">
      <c r="A4" s="167" t="s">
        <v>58</v>
      </c>
      <c r="B4" s="167" t="s">
        <v>853</v>
      </c>
      <c r="C4" s="167" t="s">
        <v>854</v>
      </c>
      <c r="E4" s="12">
        <f>SUMPRODUCT(C5:C9,B5:B9)</f>
        <v>799</v>
      </c>
    </row>
    <row r="5">
      <c r="A5" s="9" t="s">
        <v>855</v>
      </c>
      <c r="B5" s="9">
        <v>20.0</v>
      </c>
      <c r="C5" s="9">
        <v>10.0</v>
      </c>
    </row>
    <row r="6">
      <c r="A6" s="9" t="s">
        <v>856</v>
      </c>
      <c r="B6" s="9">
        <v>15.0</v>
      </c>
      <c r="C6" s="9">
        <v>20.0</v>
      </c>
    </row>
    <row r="7">
      <c r="A7" s="9" t="s">
        <v>857</v>
      </c>
      <c r="B7" s="9">
        <v>5.0</v>
      </c>
      <c r="C7" s="9">
        <v>35.0</v>
      </c>
    </row>
    <row r="8">
      <c r="A8" s="9" t="s">
        <v>858</v>
      </c>
      <c r="B8" s="9">
        <v>10.0</v>
      </c>
      <c r="C8" s="9">
        <v>6.0</v>
      </c>
    </row>
    <row r="9">
      <c r="A9" s="9" t="s">
        <v>859</v>
      </c>
      <c r="B9" s="9">
        <v>8.0</v>
      </c>
      <c r="C9" s="9">
        <v>8.0</v>
      </c>
    </row>
    <row r="10">
      <c r="A10" s="107"/>
      <c r="B10" s="21" t="s">
        <v>860</v>
      </c>
      <c r="C10" s="233">
        <f>SUMPRODUCT(B5:B9,C5:C9)</f>
        <v>799</v>
      </c>
      <c r="E10" s="15" t="s">
        <v>861</v>
      </c>
    </row>
    <row r="12">
      <c r="C12" s="15" t="s">
        <v>862</v>
      </c>
      <c r="E12" s="15" t="s">
        <v>863</v>
      </c>
    </row>
    <row r="13">
      <c r="C13" s="15"/>
      <c r="E13" s="15"/>
    </row>
    <row r="14">
      <c r="A14" s="234" t="s">
        <v>826</v>
      </c>
      <c r="B14" s="71"/>
      <c r="D14" s="234" t="s">
        <v>827</v>
      </c>
      <c r="E14" s="71"/>
    </row>
    <row r="15">
      <c r="A15" s="183" t="s">
        <v>864</v>
      </c>
      <c r="B15" s="183" t="s">
        <v>865</v>
      </c>
      <c r="D15" s="183" t="s">
        <v>864</v>
      </c>
      <c r="E15" s="183" t="s">
        <v>865</v>
      </c>
    </row>
    <row r="16">
      <c r="A16" s="235">
        <v>415930.0</v>
      </c>
      <c r="B16" s="235" t="s">
        <v>866</v>
      </c>
      <c r="C16" s="36"/>
      <c r="D16" s="236">
        <v>415930.0</v>
      </c>
      <c r="E16" s="237" t="str">
        <f>VLOOKUP(D16,$A$3:$B$23,2,0)</f>
        <v>U_362</v>
      </c>
    </row>
    <row r="17">
      <c r="A17" s="235">
        <v>100847.0</v>
      </c>
      <c r="B17" s="235" t="s">
        <v>867</v>
      </c>
      <c r="C17" s="36"/>
      <c r="D17" s="236">
        <v>100847.0</v>
      </c>
      <c r="E17" s="237" t="str">
        <f t="shared" ref="E17:E35" si="1">VLOOKUP(D17,A16:B35,2,0)</f>
        <v>Z_143</v>
      </c>
    </row>
    <row r="18">
      <c r="A18" s="235">
        <v>592629.0</v>
      </c>
      <c r="B18" s="235" t="s">
        <v>868</v>
      </c>
      <c r="C18" s="36"/>
      <c r="D18" s="236">
        <v>592629.0</v>
      </c>
      <c r="E18" s="237" t="str">
        <f t="shared" si="1"/>
        <v>F_103</v>
      </c>
    </row>
    <row r="19">
      <c r="A19" s="235">
        <v>26531.0</v>
      </c>
      <c r="B19" s="235" t="s">
        <v>869</v>
      </c>
      <c r="C19" s="36"/>
      <c r="D19" s="236">
        <v>26531.0</v>
      </c>
      <c r="E19" s="237" t="str">
        <f t="shared" si="1"/>
        <v>N_148</v>
      </c>
    </row>
    <row r="20">
      <c r="A20" s="235">
        <v>333812.0</v>
      </c>
      <c r="B20" s="235" t="s">
        <v>870</v>
      </c>
      <c r="C20" s="36"/>
      <c r="D20" s="236">
        <v>333812.0</v>
      </c>
      <c r="E20" s="237" t="str">
        <f t="shared" si="1"/>
        <v>L_120</v>
      </c>
    </row>
    <row r="21" ht="15.75" customHeight="1">
      <c r="A21" s="235">
        <v>261178.0</v>
      </c>
      <c r="B21" s="235" t="s">
        <v>871</v>
      </c>
      <c r="C21" s="36"/>
      <c r="D21" s="236">
        <v>261178.0</v>
      </c>
      <c r="E21" s="237" t="str">
        <f t="shared" si="1"/>
        <v>G_455</v>
      </c>
    </row>
    <row r="22" ht="15.75" customHeight="1">
      <c r="A22" s="235">
        <v>131380.0</v>
      </c>
      <c r="B22" s="235" t="s">
        <v>872</v>
      </c>
      <c r="C22" s="36"/>
      <c r="D22" s="236">
        <v>131380.0</v>
      </c>
      <c r="E22" s="237" t="str">
        <f t="shared" si="1"/>
        <v>E_195</v>
      </c>
    </row>
    <row r="23" ht="15.75" customHeight="1">
      <c r="A23" s="235">
        <v>568870.0</v>
      </c>
      <c r="B23" s="235" t="s">
        <v>873</v>
      </c>
      <c r="C23" s="36"/>
      <c r="D23" s="236">
        <v>568870.0</v>
      </c>
      <c r="E23" s="237" t="str">
        <f t="shared" si="1"/>
        <v>E_41</v>
      </c>
    </row>
    <row r="24" ht="15.75" customHeight="1">
      <c r="A24" s="235">
        <v>357335.0</v>
      </c>
      <c r="B24" s="235" t="s">
        <v>874</v>
      </c>
      <c r="C24" s="36"/>
      <c r="D24" s="236">
        <v>357335.0</v>
      </c>
      <c r="E24" s="237" t="str">
        <f t="shared" si="1"/>
        <v>O_62</v>
      </c>
    </row>
    <row r="25" ht="15.75" customHeight="1">
      <c r="A25" s="235">
        <v>692273.0</v>
      </c>
      <c r="B25" s="235" t="s">
        <v>875</v>
      </c>
      <c r="C25" s="36"/>
      <c r="D25" s="236">
        <v>692273.0</v>
      </c>
      <c r="E25" s="237" t="str">
        <f t="shared" si="1"/>
        <v>B_277</v>
      </c>
    </row>
    <row r="26" ht="15.75" customHeight="1">
      <c r="A26" s="235">
        <v>530883.0</v>
      </c>
      <c r="B26" s="235" t="s">
        <v>876</v>
      </c>
      <c r="C26" s="36"/>
      <c r="D26" s="236">
        <v>530883.0</v>
      </c>
      <c r="E26" s="237" t="str">
        <f t="shared" si="1"/>
        <v>V_318</v>
      </c>
    </row>
    <row r="27" ht="15.75" customHeight="1">
      <c r="A27" s="235">
        <v>124354.0</v>
      </c>
      <c r="B27" s="235" t="s">
        <v>877</v>
      </c>
      <c r="C27" s="36"/>
      <c r="D27" s="236">
        <v>124354.0</v>
      </c>
      <c r="E27" s="237" t="str">
        <f t="shared" si="1"/>
        <v>J_446</v>
      </c>
    </row>
    <row r="28" ht="15.75" customHeight="1">
      <c r="A28" s="235">
        <v>430230.0</v>
      </c>
      <c r="B28" s="235" t="s">
        <v>878</v>
      </c>
      <c r="C28" s="36"/>
      <c r="D28" s="236">
        <v>430230.0</v>
      </c>
      <c r="E28" s="237" t="str">
        <f t="shared" si="1"/>
        <v>P_18</v>
      </c>
    </row>
    <row r="29" ht="15.75" customHeight="1">
      <c r="A29" s="235">
        <v>474386.0</v>
      </c>
      <c r="B29" s="235" t="s">
        <v>879</v>
      </c>
      <c r="C29" s="36"/>
      <c r="D29" s="236">
        <v>474386.0</v>
      </c>
      <c r="E29" s="237" t="str">
        <f t="shared" si="1"/>
        <v>T_84</v>
      </c>
    </row>
    <row r="30" ht="15.75" customHeight="1">
      <c r="A30" s="235">
        <v>62142.0</v>
      </c>
      <c r="B30" s="235" t="s">
        <v>880</v>
      </c>
      <c r="C30" s="36"/>
      <c r="D30" s="236">
        <v>62142.0</v>
      </c>
      <c r="E30" s="237" t="str">
        <f t="shared" si="1"/>
        <v>J_264</v>
      </c>
    </row>
    <row r="31" ht="15.75" customHeight="1">
      <c r="A31" s="235">
        <v>313357.0</v>
      </c>
      <c r="B31" s="235" t="s">
        <v>881</v>
      </c>
      <c r="C31" s="36"/>
      <c r="D31" s="236">
        <v>313357.0</v>
      </c>
      <c r="E31" s="237" t="str">
        <f t="shared" si="1"/>
        <v>X_296</v>
      </c>
    </row>
    <row r="32" ht="15.75" customHeight="1">
      <c r="A32" s="235">
        <v>543456.0</v>
      </c>
      <c r="B32" s="235" t="s">
        <v>882</v>
      </c>
      <c r="C32" s="36"/>
      <c r="D32" s="236">
        <v>543456.0</v>
      </c>
      <c r="E32" s="237" t="str">
        <f t="shared" si="1"/>
        <v>X_112</v>
      </c>
    </row>
    <row r="33" ht="15.75" customHeight="1">
      <c r="A33" s="235">
        <v>74285.0</v>
      </c>
      <c r="B33" s="235" t="s">
        <v>883</v>
      </c>
      <c r="C33" s="36"/>
      <c r="D33" s="236">
        <v>74285.0</v>
      </c>
      <c r="E33" s="237" t="str">
        <f t="shared" si="1"/>
        <v>J_430</v>
      </c>
    </row>
    <row r="34" ht="15.75" customHeight="1">
      <c r="A34" s="235">
        <v>80125.0</v>
      </c>
      <c r="B34" s="235" t="s">
        <v>884</v>
      </c>
      <c r="C34" s="36"/>
      <c r="D34" s="236">
        <v>80125.0</v>
      </c>
      <c r="E34" s="237" t="str">
        <f t="shared" si="1"/>
        <v>I_159</v>
      </c>
    </row>
    <row r="35" ht="15.75" customHeight="1">
      <c r="A35" s="235">
        <v>715820.0</v>
      </c>
      <c r="B35" s="235" t="s">
        <v>885</v>
      </c>
      <c r="C35" s="36"/>
      <c r="D35" s="236">
        <v>715820.0</v>
      </c>
      <c r="E35" s="237" t="str">
        <f t="shared" si="1"/>
        <v>F_10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4:B14"/>
    <mergeCell ref="D14:E14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2.71"/>
    <col customWidth="1" min="3" max="3" width="8.0"/>
    <col customWidth="1" min="4" max="4" width="9.29"/>
    <col customWidth="1" hidden="1" min="5" max="5" width="0.29"/>
    <col customWidth="1" min="6" max="6" width="8.0"/>
    <col customWidth="1" min="7" max="7" width="11.0"/>
    <col customWidth="1" min="8" max="8" width="8.57"/>
    <col customWidth="1" min="9" max="9" width="5.86"/>
    <col customWidth="1" min="10" max="10" width="23.86"/>
    <col customWidth="1" min="11" max="11" width="4.86"/>
    <col customWidth="1" min="12" max="12" width="9.14"/>
    <col customWidth="1" min="13" max="13" width="8.0"/>
    <col customWidth="1" min="14" max="14" width="7.71"/>
    <col customWidth="1" min="15" max="27" width="8.0"/>
  </cols>
  <sheetData>
    <row r="1" ht="18.75" customHeight="1">
      <c r="A1" s="19" t="s">
        <v>886</v>
      </c>
    </row>
    <row r="4" ht="23.25" customHeight="1">
      <c r="A4" s="238" t="s">
        <v>862</v>
      </c>
      <c r="B4" s="239"/>
      <c r="C4" s="239"/>
      <c r="D4" s="239"/>
      <c r="E4" s="239"/>
      <c r="F4" s="239"/>
      <c r="G4" s="239"/>
      <c r="H4" s="239"/>
      <c r="I4" s="239"/>
    </row>
    <row r="5" ht="15.75" customHeight="1">
      <c r="I5" s="35"/>
      <c r="J5" s="35"/>
    </row>
    <row r="6">
      <c r="A6" s="37" t="s">
        <v>887</v>
      </c>
      <c r="B6" s="38" t="s">
        <v>214</v>
      </c>
      <c r="C6" s="38" t="s">
        <v>829</v>
      </c>
      <c r="D6" s="38" t="s">
        <v>446</v>
      </c>
      <c r="E6" s="38" t="s">
        <v>888</v>
      </c>
      <c r="F6" s="38" t="s">
        <v>489</v>
      </c>
      <c r="G6" s="38" t="s">
        <v>889</v>
      </c>
      <c r="H6" s="38" t="s">
        <v>890</v>
      </c>
      <c r="I6" s="7" t="s">
        <v>891</v>
      </c>
      <c r="J6" s="35"/>
      <c r="L6" s="240" t="s">
        <v>829</v>
      </c>
      <c r="M6" s="240" t="s">
        <v>889</v>
      </c>
      <c r="N6" s="240" t="s">
        <v>890</v>
      </c>
    </row>
    <row r="7">
      <c r="A7" s="6">
        <v>1.0</v>
      </c>
      <c r="B7" s="7" t="s">
        <v>892</v>
      </c>
      <c r="C7" s="7" t="s">
        <v>337</v>
      </c>
      <c r="D7" s="7" t="s">
        <v>893</v>
      </c>
      <c r="E7" s="7" t="s">
        <v>894</v>
      </c>
      <c r="F7" s="7">
        <v>15625.0</v>
      </c>
      <c r="G7" s="7">
        <f t="shared" ref="G7:G23" si="1">VLOOKUP(C7,$L$7:$N$14,2,0)</f>
        <v>100</v>
      </c>
      <c r="H7" s="7">
        <f t="shared" ref="H7:H23" si="2">VLOOKUP(C7,$L$7:$N$14,3,0)</f>
        <v>900</v>
      </c>
      <c r="I7" s="7">
        <f t="shared" ref="I7:I23" si="3">VLOOKUP(D7,$L$20:$M$23,2,0)</f>
        <v>100</v>
      </c>
      <c r="J7" s="35" t="str">
        <f>IF(F7&gt;15000,"A",IF(F7&gt;10000,"B","C"))</f>
        <v>A</v>
      </c>
      <c r="L7" s="7" t="s">
        <v>337</v>
      </c>
      <c r="M7" s="7">
        <v>100.0</v>
      </c>
      <c r="N7" s="7">
        <v>900.0</v>
      </c>
    </row>
    <row r="8">
      <c r="A8" s="6">
        <v>2.0</v>
      </c>
      <c r="B8" s="7" t="s">
        <v>895</v>
      </c>
      <c r="C8" s="7" t="s">
        <v>337</v>
      </c>
      <c r="D8" s="7" t="s">
        <v>896</v>
      </c>
      <c r="E8" s="7" t="s">
        <v>897</v>
      </c>
      <c r="F8" s="7">
        <v>12500.0</v>
      </c>
      <c r="G8" s="7">
        <f t="shared" si="1"/>
        <v>100</v>
      </c>
      <c r="H8" s="7">
        <f t="shared" si="2"/>
        <v>900</v>
      </c>
      <c r="I8" s="7">
        <f t="shared" si="3"/>
        <v>200</v>
      </c>
      <c r="J8" s="35"/>
      <c r="L8" s="7" t="s">
        <v>898</v>
      </c>
      <c r="M8" s="7">
        <v>200.0</v>
      </c>
      <c r="N8" s="7">
        <v>800.0</v>
      </c>
    </row>
    <row r="9">
      <c r="A9" s="6">
        <v>3.0</v>
      </c>
      <c r="B9" s="7" t="s">
        <v>899</v>
      </c>
      <c r="C9" s="7" t="s">
        <v>898</v>
      </c>
      <c r="D9" s="7" t="s">
        <v>893</v>
      </c>
      <c r="E9" s="7" t="s">
        <v>580</v>
      </c>
      <c r="F9" s="7">
        <v>8750.0</v>
      </c>
      <c r="G9" s="7">
        <f t="shared" si="1"/>
        <v>200</v>
      </c>
      <c r="H9" s="7">
        <f t="shared" si="2"/>
        <v>800</v>
      </c>
      <c r="I9" s="7">
        <f t="shared" si="3"/>
        <v>100</v>
      </c>
      <c r="J9" s="35"/>
      <c r="L9" s="7" t="s">
        <v>900</v>
      </c>
      <c r="M9" s="7">
        <v>300.0</v>
      </c>
      <c r="N9" s="7">
        <v>700.0</v>
      </c>
    </row>
    <row r="10">
      <c r="A10" s="6">
        <v>4.0</v>
      </c>
      <c r="B10" s="7" t="s">
        <v>901</v>
      </c>
      <c r="C10" s="7" t="s">
        <v>900</v>
      </c>
      <c r="D10" s="7" t="s">
        <v>893</v>
      </c>
      <c r="E10" s="7" t="s">
        <v>581</v>
      </c>
      <c r="F10" s="7">
        <v>15000.0</v>
      </c>
      <c r="G10" s="7">
        <f t="shared" si="1"/>
        <v>300</v>
      </c>
      <c r="H10" s="7">
        <f t="shared" si="2"/>
        <v>700</v>
      </c>
      <c r="I10" s="7">
        <f t="shared" si="3"/>
        <v>100</v>
      </c>
      <c r="J10" s="35"/>
      <c r="L10" s="7" t="s">
        <v>266</v>
      </c>
      <c r="M10" s="7">
        <v>400.0</v>
      </c>
      <c r="N10" s="7">
        <v>600.0</v>
      </c>
    </row>
    <row r="11">
      <c r="A11" s="6">
        <v>5.0</v>
      </c>
      <c r="B11" s="7" t="s">
        <v>902</v>
      </c>
      <c r="C11" s="7" t="s">
        <v>900</v>
      </c>
      <c r="D11" s="7" t="s">
        <v>893</v>
      </c>
      <c r="E11" s="7" t="s">
        <v>903</v>
      </c>
      <c r="F11" s="7">
        <v>8875.0</v>
      </c>
      <c r="G11" s="7">
        <f t="shared" si="1"/>
        <v>300</v>
      </c>
      <c r="H11" s="7">
        <f t="shared" si="2"/>
        <v>700</v>
      </c>
      <c r="I11" s="7">
        <f t="shared" si="3"/>
        <v>100</v>
      </c>
      <c r="J11" s="35"/>
      <c r="L11" s="7" t="s">
        <v>904</v>
      </c>
      <c r="M11" s="7">
        <v>500.0</v>
      </c>
      <c r="N11" s="7">
        <v>500.0</v>
      </c>
    </row>
    <row r="12">
      <c r="A12" s="6">
        <v>6.0</v>
      </c>
      <c r="B12" s="7" t="s">
        <v>905</v>
      </c>
      <c r="C12" s="7" t="s">
        <v>900</v>
      </c>
      <c r="D12" s="7" t="s">
        <v>893</v>
      </c>
      <c r="E12" s="7" t="s">
        <v>906</v>
      </c>
      <c r="F12" s="7">
        <v>8875.0</v>
      </c>
      <c r="G12" s="7">
        <f t="shared" si="1"/>
        <v>300</v>
      </c>
      <c r="H12" s="7">
        <f t="shared" si="2"/>
        <v>700</v>
      </c>
      <c r="I12" s="7">
        <f t="shared" si="3"/>
        <v>100</v>
      </c>
      <c r="J12" s="35"/>
      <c r="L12" s="7" t="s">
        <v>907</v>
      </c>
      <c r="M12" s="7">
        <v>600.0</v>
      </c>
      <c r="N12" s="7">
        <v>400.0</v>
      </c>
    </row>
    <row r="13">
      <c r="A13" s="6">
        <v>7.0</v>
      </c>
      <c r="B13" s="7" t="s">
        <v>908</v>
      </c>
      <c r="C13" s="7" t="s">
        <v>337</v>
      </c>
      <c r="D13" s="7" t="s">
        <v>893</v>
      </c>
      <c r="E13" s="7" t="s">
        <v>909</v>
      </c>
      <c r="F13" s="7">
        <v>10625.0</v>
      </c>
      <c r="G13" s="7">
        <f t="shared" si="1"/>
        <v>100</v>
      </c>
      <c r="H13" s="7">
        <f t="shared" si="2"/>
        <v>900</v>
      </c>
      <c r="I13" s="7">
        <f t="shared" si="3"/>
        <v>100</v>
      </c>
      <c r="J13" s="35"/>
      <c r="L13" s="7" t="s">
        <v>910</v>
      </c>
      <c r="M13" s="7">
        <v>700.0</v>
      </c>
      <c r="N13" s="7">
        <v>300.0</v>
      </c>
    </row>
    <row r="14">
      <c r="A14" s="6">
        <v>8.0</v>
      </c>
      <c r="B14" s="7" t="s">
        <v>911</v>
      </c>
      <c r="C14" s="7" t="s">
        <v>898</v>
      </c>
      <c r="D14" s="7" t="s">
        <v>896</v>
      </c>
      <c r="E14" s="7" t="s">
        <v>912</v>
      </c>
      <c r="F14" s="7">
        <v>11250.0</v>
      </c>
      <c r="G14" s="7">
        <f t="shared" si="1"/>
        <v>200</v>
      </c>
      <c r="H14" s="7">
        <f t="shared" si="2"/>
        <v>800</v>
      </c>
      <c r="I14" s="7">
        <f t="shared" si="3"/>
        <v>200</v>
      </c>
      <c r="J14" s="35"/>
      <c r="L14" s="7" t="s">
        <v>913</v>
      </c>
      <c r="M14" s="7">
        <v>800.0</v>
      </c>
      <c r="N14" s="7">
        <v>200.0</v>
      </c>
    </row>
    <row r="15">
      <c r="A15" s="6">
        <v>9.0</v>
      </c>
      <c r="B15" s="7" t="s">
        <v>914</v>
      </c>
      <c r="C15" s="7" t="s">
        <v>266</v>
      </c>
      <c r="D15" s="7" t="s">
        <v>915</v>
      </c>
      <c r="E15" s="7" t="s">
        <v>586</v>
      </c>
      <c r="F15" s="7">
        <v>10625.0</v>
      </c>
      <c r="G15" s="7">
        <f t="shared" si="1"/>
        <v>400</v>
      </c>
      <c r="H15" s="7">
        <f t="shared" si="2"/>
        <v>600</v>
      </c>
      <c r="I15" s="7">
        <f t="shared" si="3"/>
        <v>300</v>
      </c>
      <c r="J15" s="35"/>
    </row>
    <row r="16">
      <c r="A16" s="6">
        <v>10.0</v>
      </c>
      <c r="B16" s="7" t="s">
        <v>916</v>
      </c>
      <c r="C16" s="7" t="s">
        <v>904</v>
      </c>
      <c r="D16" s="7" t="s">
        <v>893</v>
      </c>
      <c r="E16" s="7" t="s">
        <v>917</v>
      </c>
      <c r="F16" s="7">
        <v>15000.0</v>
      </c>
      <c r="G16" s="7">
        <f t="shared" si="1"/>
        <v>500</v>
      </c>
      <c r="H16" s="7">
        <f t="shared" si="2"/>
        <v>500</v>
      </c>
      <c r="I16" s="7">
        <f t="shared" si="3"/>
        <v>100</v>
      </c>
      <c r="J16" s="35"/>
    </row>
    <row r="17">
      <c r="A17" s="6">
        <v>11.0</v>
      </c>
      <c r="B17" s="7" t="s">
        <v>918</v>
      </c>
      <c r="C17" s="7" t="s">
        <v>266</v>
      </c>
      <c r="D17" s="7" t="s">
        <v>896</v>
      </c>
      <c r="E17" s="7" t="s">
        <v>919</v>
      </c>
      <c r="F17" s="7">
        <v>13750.0</v>
      </c>
      <c r="G17" s="7">
        <f t="shared" si="1"/>
        <v>400</v>
      </c>
      <c r="H17" s="7">
        <f t="shared" si="2"/>
        <v>600</v>
      </c>
      <c r="I17" s="7">
        <f t="shared" si="3"/>
        <v>200</v>
      </c>
      <c r="J17" s="35"/>
    </row>
    <row r="18">
      <c r="A18" s="6">
        <v>12.0</v>
      </c>
      <c r="B18" s="7" t="s">
        <v>920</v>
      </c>
      <c r="C18" s="7" t="s">
        <v>907</v>
      </c>
      <c r="D18" s="7" t="s">
        <v>587</v>
      </c>
      <c r="E18" s="7" t="s">
        <v>921</v>
      </c>
      <c r="F18" s="7">
        <v>35000.0</v>
      </c>
      <c r="G18" s="7">
        <f t="shared" si="1"/>
        <v>600</v>
      </c>
      <c r="H18" s="7">
        <f t="shared" si="2"/>
        <v>400</v>
      </c>
      <c r="I18" s="7">
        <f t="shared" si="3"/>
        <v>400</v>
      </c>
      <c r="J18" s="35"/>
    </row>
    <row r="19">
      <c r="A19" s="6">
        <v>13.0</v>
      </c>
      <c r="B19" s="7" t="s">
        <v>922</v>
      </c>
      <c r="C19" s="7" t="s">
        <v>910</v>
      </c>
      <c r="D19" s="7" t="s">
        <v>893</v>
      </c>
      <c r="E19" s="7" t="s">
        <v>917</v>
      </c>
      <c r="F19" s="7">
        <v>10625.0</v>
      </c>
      <c r="G19" s="7">
        <f t="shared" si="1"/>
        <v>700</v>
      </c>
      <c r="H19" s="7">
        <f t="shared" si="2"/>
        <v>300</v>
      </c>
      <c r="I19" s="7">
        <f t="shared" si="3"/>
        <v>100</v>
      </c>
      <c r="J19" s="35"/>
      <c r="L19" s="241" t="s">
        <v>446</v>
      </c>
      <c r="M19" s="241" t="s">
        <v>891</v>
      </c>
    </row>
    <row r="20">
      <c r="A20" s="6">
        <v>14.0</v>
      </c>
      <c r="B20" s="7" t="s">
        <v>923</v>
      </c>
      <c r="C20" s="7" t="s">
        <v>910</v>
      </c>
      <c r="D20" s="7" t="s">
        <v>893</v>
      </c>
      <c r="E20" s="7" t="s">
        <v>924</v>
      </c>
      <c r="F20" s="7">
        <v>10625.0</v>
      </c>
      <c r="G20" s="7">
        <f t="shared" si="1"/>
        <v>700</v>
      </c>
      <c r="H20" s="7">
        <f t="shared" si="2"/>
        <v>300</v>
      </c>
      <c r="I20" s="7">
        <f t="shared" si="3"/>
        <v>100</v>
      </c>
      <c r="J20" s="35"/>
      <c r="L20" s="7" t="s">
        <v>893</v>
      </c>
      <c r="M20" s="7">
        <v>100.0</v>
      </c>
    </row>
    <row r="21" ht="15.75" customHeight="1">
      <c r="A21" s="6">
        <v>15.0</v>
      </c>
      <c r="B21" s="7" t="s">
        <v>925</v>
      </c>
      <c r="C21" s="7" t="s">
        <v>904</v>
      </c>
      <c r="D21" s="7" t="s">
        <v>896</v>
      </c>
      <c r="E21" s="7" t="s">
        <v>897</v>
      </c>
      <c r="F21" s="7">
        <v>11250.0</v>
      </c>
      <c r="G21" s="7">
        <f t="shared" si="1"/>
        <v>500</v>
      </c>
      <c r="H21" s="7">
        <f t="shared" si="2"/>
        <v>500</v>
      </c>
      <c r="I21" s="7">
        <f t="shared" si="3"/>
        <v>200</v>
      </c>
      <c r="J21" s="35"/>
      <c r="L21" s="7" t="s">
        <v>896</v>
      </c>
      <c r="M21" s="7">
        <v>200.0</v>
      </c>
    </row>
    <row r="22" ht="15.75" customHeight="1">
      <c r="A22" s="6">
        <v>16.0</v>
      </c>
      <c r="B22" s="7" t="s">
        <v>926</v>
      </c>
      <c r="C22" s="7" t="s">
        <v>904</v>
      </c>
      <c r="D22" s="7" t="s">
        <v>915</v>
      </c>
      <c r="E22" s="7" t="s">
        <v>927</v>
      </c>
      <c r="F22" s="7">
        <v>11250.0</v>
      </c>
      <c r="G22" s="7">
        <f t="shared" si="1"/>
        <v>500</v>
      </c>
      <c r="H22" s="7">
        <f t="shared" si="2"/>
        <v>500</v>
      </c>
      <c r="I22" s="7">
        <f t="shared" si="3"/>
        <v>300</v>
      </c>
      <c r="J22" s="35"/>
      <c r="L22" s="7" t="s">
        <v>915</v>
      </c>
      <c r="M22" s="7">
        <v>300.0</v>
      </c>
    </row>
    <row r="23" ht="15.75" customHeight="1">
      <c r="A23" s="13">
        <v>17.0</v>
      </c>
      <c r="B23" s="14" t="s">
        <v>928</v>
      </c>
      <c r="C23" s="14" t="s">
        <v>898</v>
      </c>
      <c r="D23" s="14" t="s">
        <v>893</v>
      </c>
      <c r="E23" s="14" t="s">
        <v>903</v>
      </c>
      <c r="F23" s="14">
        <v>7500.0</v>
      </c>
      <c r="G23" s="7">
        <f t="shared" si="1"/>
        <v>200</v>
      </c>
      <c r="H23" s="7">
        <f t="shared" si="2"/>
        <v>800</v>
      </c>
      <c r="I23" s="7">
        <f t="shared" si="3"/>
        <v>100</v>
      </c>
      <c r="J23" s="35"/>
      <c r="L23" s="7" t="s">
        <v>587</v>
      </c>
      <c r="M23" s="7">
        <v>400.0</v>
      </c>
    </row>
    <row r="24" ht="15.75" customHeight="1"/>
    <row r="25" ht="15.75" customHeight="1">
      <c r="A25" s="12" t="s">
        <v>929</v>
      </c>
    </row>
    <row r="26" ht="15.75" customHeight="1">
      <c r="A26" s="12" t="s">
        <v>930</v>
      </c>
    </row>
    <row r="27" ht="15.75" customHeight="1">
      <c r="A27" s="12" t="s">
        <v>931</v>
      </c>
      <c r="J27" s="12">
        <f>COUNTIF(C7:C23,"sales")</f>
        <v>3</v>
      </c>
      <c r="N27" s="17" t="s">
        <v>932</v>
      </c>
      <c r="R27" s="12">
        <f>COUNTIF(C7:C23,"sales")</f>
        <v>3</v>
      </c>
    </row>
    <row r="28" ht="15.75" customHeight="1">
      <c r="A28" s="12" t="s">
        <v>933</v>
      </c>
      <c r="J28" s="12">
        <f>SUMIF(D7:D23,"north",F7:F23)</f>
        <v>111500</v>
      </c>
    </row>
    <row r="29" ht="15.75" customHeight="1">
      <c r="A29" s="12" t="s">
        <v>934</v>
      </c>
      <c r="O29" s="17" t="s">
        <v>935</v>
      </c>
      <c r="R29" s="12">
        <f>SUMIF(D7:D23,"north",F7:F23)</f>
        <v>111500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4:I4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14"/>
    <col customWidth="1" min="3" max="3" width="8.0"/>
    <col customWidth="1" min="4" max="4" width="10.14"/>
    <col customWidth="1" min="5" max="5" width="10.71"/>
    <col customWidth="1" min="6" max="6" width="8.57"/>
    <col customWidth="1" min="7" max="7" width="6.71"/>
    <col customWidth="1" min="8" max="8" width="7.0"/>
    <col customWidth="1" min="9" max="9" width="10.43"/>
    <col customWidth="1" min="10" max="26" width="8.0"/>
  </cols>
  <sheetData>
    <row r="1" ht="18.75" customHeight="1">
      <c r="A1" s="19" t="s">
        <v>936</v>
      </c>
      <c r="K1" s="20"/>
      <c r="L1" s="20"/>
      <c r="M1" s="20"/>
    </row>
    <row r="4" ht="18.75" customHeight="1">
      <c r="A4" s="242" t="s">
        <v>862</v>
      </c>
    </row>
    <row r="5">
      <c r="A5" s="243" t="s">
        <v>937</v>
      </c>
      <c r="I5" s="244" t="s">
        <v>938</v>
      </c>
    </row>
    <row r="6">
      <c r="A6" s="243"/>
      <c r="B6" s="243"/>
      <c r="C6" s="243"/>
      <c r="D6" s="243"/>
      <c r="E6" s="243"/>
      <c r="F6" s="243"/>
    </row>
    <row r="7">
      <c r="A7" s="245" t="s">
        <v>939</v>
      </c>
      <c r="B7" s="246" t="s">
        <v>214</v>
      </c>
      <c r="C7" s="246" t="s">
        <v>829</v>
      </c>
      <c r="D7" s="247" t="s">
        <v>489</v>
      </c>
      <c r="E7" s="248" t="s">
        <v>940</v>
      </c>
      <c r="F7" s="249" t="s">
        <v>90</v>
      </c>
      <c r="H7" s="246" t="s">
        <v>941</v>
      </c>
      <c r="I7" s="246" t="s">
        <v>942</v>
      </c>
      <c r="J7" s="250" t="s">
        <v>943</v>
      </c>
    </row>
    <row r="8">
      <c r="A8" s="251">
        <v>1.0</v>
      </c>
      <c r="B8" s="252" t="s">
        <v>892</v>
      </c>
      <c r="C8" s="252" t="s">
        <v>337</v>
      </c>
      <c r="D8" s="253">
        <v>15625.0</v>
      </c>
      <c r="E8" s="254">
        <f>VLOOKUP(D8,$H$7:$J$15,2,1)</f>
        <v>0.2</v>
      </c>
      <c r="F8" s="168" t="str">
        <f t="shared" ref="F8:F14" si="1">VLOOKUP(D8,$H$4:$J$12,3,1)</f>
        <v>D</v>
      </c>
      <c r="H8" s="7">
        <v>1.0</v>
      </c>
      <c r="I8" s="255">
        <v>0.05</v>
      </c>
      <c r="J8" s="9" t="s">
        <v>558</v>
      </c>
    </row>
    <row r="9">
      <c r="A9" s="251">
        <v>2.0</v>
      </c>
      <c r="B9" s="252" t="s">
        <v>895</v>
      </c>
      <c r="C9" s="252" t="s">
        <v>337</v>
      </c>
      <c r="D9" s="253">
        <v>12500.0</v>
      </c>
      <c r="E9" s="256">
        <f>VLOOKUP(D9,H7:J15,2,1)</f>
        <v>0.15</v>
      </c>
      <c r="F9" s="168" t="str">
        <f t="shared" si="1"/>
        <v>C</v>
      </c>
      <c r="H9" s="7">
        <v>5001.0</v>
      </c>
      <c r="I9" s="255">
        <v>0.1</v>
      </c>
      <c r="J9" s="9" t="s">
        <v>565</v>
      </c>
    </row>
    <row r="10">
      <c r="A10" s="251">
        <v>3.0</v>
      </c>
      <c r="B10" s="252" t="s">
        <v>899</v>
      </c>
      <c r="C10" s="252" t="s">
        <v>898</v>
      </c>
      <c r="D10" s="253">
        <v>8750.0</v>
      </c>
      <c r="E10" s="256" t="s">
        <v>326</v>
      </c>
      <c r="F10" s="168" t="str">
        <f t="shared" si="1"/>
        <v>B</v>
      </c>
      <c r="H10" s="7">
        <v>10001.0</v>
      </c>
      <c r="I10" s="255">
        <v>0.15</v>
      </c>
      <c r="J10" s="9" t="s">
        <v>567</v>
      </c>
    </row>
    <row r="11">
      <c r="A11" s="251">
        <v>4.0</v>
      </c>
      <c r="B11" s="252" t="s">
        <v>901</v>
      </c>
      <c r="C11" s="252" t="s">
        <v>900</v>
      </c>
      <c r="D11" s="253">
        <v>15000.0</v>
      </c>
      <c r="E11" s="256" t="s">
        <v>326</v>
      </c>
      <c r="F11" s="168" t="str">
        <f t="shared" si="1"/>
        <v>C</v>
      </c>
      <c r="H11" s="7">
        <v>15001.0</v>
      </c>
      <c r="I11" s="255">
        <v>0.2</v>
      </c>
      <c r="J11" s="9" t="s">
        <v>560</v>
      </c>
    </row>
    <row r="12">
      <c r="A12" s="251">
        <v>5.0</v>
      </c>
      <c r="B12" s="252" t="s">
        <v>902</v>
      </c>
      <c r="C12" s="252" t="s">
        <v>900</v>
      </c>
      <c r="D12" s="253">
        <v>8875.0</v>
      </c>
      <c r="E12" s="256" t="s">
        <v>326</v>
      </c>
      <c r="F12" s="168" t="str">
        <f t="shared" si="1"/>
        <v>B</v>
      </c>
      <c r="H12" s="7">
        <v>20001.0</v>
      </c>
      <c r="I12" s="255">
        <v>0.25</v>
      </c>
      <c r="J12" s="9" t="s">
        <v>563</v>
      </c>
    </row>
    <row r="13">
      <c r="A13" s="251">
        <v>6.0</v>
      </c>
      <c r="B13" s="252" t="s">
        <v>905</v>
      </c>
      <c r="C13" s="252" t="s">
        <v>900</v>
      </c>
      <c r="D13" s="253">
        <v>8875.0</v>
      </c>
      <c r="E13" s="256" t="s">
        <v>326</v>
      </c>
      <c r="F13" s="168" t="str">
        <f t="shared" si="1"/>
        <v>B</v>
      </c>
      <c r="H13" s="7">
        <v>25001.0</v>
      </c>
      <c r="I13" s="255">
        <v>0.3</v>
      </c>
      <c r="J13" s="9" t="s">
        <v>570</v>
      </c>
    </row>
    <row r="14">
      <c r="A14" s="251">
        <v>7.0</v>
      </c>
      <c r="B14" s="252" t="s">
        <v>908</v>
      </c>
      <c r="C14" s="252" t="s">
        <v>337</v>
      </c>
      <c r="D14" s="253">
        <v>10625.0</v>
      </c>
      <c r="E14" s="256" t="s">
        <v>326</v>
      </c>
      <c r="F14" s="168" t="str">
        <f t="shared" si="1"/>
        <v>C</v>
      </c>
      <c r="H14" s="7">
        <v>30001.0</v>
      </c>
      <c r="I14" s="255">
        <v>0.35</v>
      </c>
      <c r="J14" s="9" t="s">
        <v>944</v>
      </c>
    </row>
    <row r="15">
      <c r="A15" s="251">
        <v>8.0</v>
      </c>
      <c r="B15" s="252" t="s">
        <v>911</v>
      </c>
      <c r="C15" s="252" t="s">
        <v>898</v>
      </c>
      <c r="D15" s="253">
        <v>11250.0</v>
      </c>
      <c r="E15" s="256" t="s">
        <v>326</v>
      </c>
      <c r="F15" s="257" t="s">
        <v>326</v>
      </c>
      <c r="H15" s="7">
        <v>35001.0</v>
      </c>
      <c r="I15" s="255">
        <v>0.4</v>
      </c>
      <c r="J15" s="9" t="s">
        <v>945</v>
      </c>
    </row>
    <row r="16">
      <c r="A16" s="251">
        <v>9.0</v>
      </c>
      <c r="B16" s="252" t="s">
        <v>914</v>
      </c>
      <c r="C16" s="252" t="s">
        <v>266</v>
      </c>
      <c r="D16" s="253">
        <v>10625.0</v>
      </c>
      <c r="E16" s="256" t="s">
        <v>326</v>
      </c>
      <c r="F16" s="257" t="s">
        <v>326</v>
      </c>
    </row>
    <row r="17">
      <c r="A17" s="251">
        <v>10.0</v>
      </c>
      <c r="B17" s="252" t="s">
        <v>916</v>
      </c>
      <c r="C17" s="252" t="s">
        <v>904</v>
      </c>
      <c r="D17" s="258">
        <v>15000.0</v>
      </c>
      <c r="E17" s="256" t="s">
        <v>326</v>
      </c>
      <c r="F17" s="257" t="s">
        <v>326</v>
      </c>
    </row>
    <row r="18">
      <c r="A18" s="251">
        <v>11.0</v>
      </c>
      <c r="B18" s="252" t="s">
        <v>918</v>
      </c>
      <c r="C18" s="252" t="s">
        <v>266</v>
      </c>
      <c r="D18" s="253">
        <v>13750.0</v>
      </c>
      <c r="E18" s="256" t="s">
        <v>326</v>
      </c>
      <c r="F18" s="257" t="s">
        <v>326</v>
      </c>
    </row>
    <row r="19">
      <c r="A19" s="251">
        <v>12.0</v>
      </c>
      <c r="B19" s="252" t="s">
        <v>920</v>
      </c>
      <c r="C19" s="252" t="s">
        <v>907</v>
      </c>
      <c r="D19" s="253">
        <v>35000.0</v>
      </c>
      <c r="E19" s="256" t="s">
        <v>326</v>
      </c>
      <c r="F19" s="257" t="s">
        <v>326</v>
      </c>
    </row>
    <row r="20">
      <c r="A20" s="251">
        <v>13.0</v>
      </c>
      <c r="B20" s="252" t="s">
        <v>922</v>
      </c>
      <c r="C20" s="252" t="s">
        <v>910</v>
      </c>
      <c r="D20" s="253">
        <v>10625.0</v>
      </c>
      <c r="E20" s="256" t="s">
        <v>326</v>
      </c>
      <c r="F20" s="257" t="s">
        <v>326</v>
      </c>
    </row>
    <row r="21" ht="15.75" customHeight="1">
      <c r="A21" s="251">
        <v>14.0</v>
      </c>
      <c r="B21" s="252" t="s">
        <v>923</v>
      </c>
      <c r="C21" s="252" t="s">
        <v>910</v>
      </c>
      <c r="D21" s="253">
        <v>10625.0</v>
      </c>
      <c r="E21" s="256" t="s">
        <v>326</v>
      </c>
      <c r="F21" s="257" t="s">
        <v>326</v>
      </c>
    </row>
    <row r="22" ht="15.75" customHeight="1">
      <c r="A22" s="251">
        <v>15.0</v>
      </c>
      <c r="B22" s="252" t="s">
        <v>925</v>
      </c>
      <c r="C22" s="252" t="s">
        <v>904</v>
      </c>
      <c r="D22" s="253">
        <v>11250.0</v>
      </c>
      <c r="E22" s="256" t="s">
        <v>326</v>
      </c>
      <c r="F22" s="257" t="s">
        <v>326</v>
      </c>
    </row>
    <row r="23" ht="15.75" customHeight="1">
      <c r="A23" s="251">
        <v>16.0</v>
      </c>
      <c r="B23" s="252" t="s">
        <v>926</v>
      </c>
      <c r="C23" s="252" t="s">
        <v>904</v>
      </c>
      <c r="D23" s="253">
        <v>11250.0</v>
      </c>
      <c r="E23" s="256" t="s">
        <v>326</v>
      </c>
      <c r="F23" s="257" t="s">
        <v>326</v>
      </c>
    </row>
    <row r="24" ht="15.75" customHeight="1">
      <c r="A24" s="251">
        <v>17.0</v>
      </c>
      <c r="B24" s="252" t="s">
        <v>928</v>
      </c>
      <c r="C24" s="252" t="s">
        <v>898</v>
      </c>
      <c r="D24" s="253">
        <v>7500.0</v>
      </c>
      <c r="E24" s="256" t="s">
        <v>326</v>
      </c>
      <c r="F24" s="257" t="s">
        <v>326</v>
      </c>
    </row>
    <row r="25" ht="15.75" customHeight="1">
      <c r="A25" s="251">
        <v>18.0</v>
      </c>
      <c r="B25" s="252" t="s">
        <v>946</v>
      </c>
      <c r="C25" s="252" t="s">
        <v>898</v>
      </c>
      <c r="D25" s="253">
        <v>4250.0</v>
      </c>
      <c r="E25" s="256" t="s">
        <v>326</v>
      </c>
      <c r="F25" s="257" t="s">
        <v>326</v>
      </c>
    </row>
    <row r="26" ht="15.75" customHeight="1">
      <c r="A26" s="251">
        <v>19.0</v>
      </c>
      <c r="B26" s="252" t="s">
        <v>947</v>
      </c>
      <c r="C26" s="252" t="s">
        <v>898</v>
      </c>
      <c r="D26" s="253">
        <v>5625.0</v>
      </c>
      <c r="E26" s="256" t="s">
        <v>326</v>
      </c>
      <c r="F26" s="257" t="s">
        <v>326</v>
      </c>
    </row>
    <row r="27" ht="15.75" customHeight="1">
      <c r="A27" s="251">
        <v>20.0</v>
      </c>
      <c r="B27" s="252" t="s">
        <v>948</v>
      </c>
      <c r="C27" s="252" t="s">
        <v>898</v>
      </c>
      <c r="D27" s="253">
        <v>5625.0</v>
      </c>
      <c r="E27" s="256" t="s">
        <v>326</v>
      </c>
      <c r="F27" s="257" t="s">
        <v>326</v>
      </c>
    </row>
    <row r="28" ht="15.75" customHeight="1">
      <c r="A28" s="251">
        <v>21.0</v>
      </c>
      <c r="B28" s="252" t="s">
        <v>949</v>
      </c>
      <c r="C28" s="252" t="s">
        <v>898</v>
      </c>
      <c r="D28" s="253">
        <v>5625.0</v>
      </c>
      <c r="E28" s="256" t="s">
        <v>326</v>
      </c>
      <c r="F28" s="257" t="s">
        <v>326</v>
      </c>
    </row>
    <row r="29" ht="15.75" customHeight="1">
      <c r="A29" s="251">
        <v>22.0</v>
      </c>
      <c r="B29" s="252" t="s">
        <v>950</v>
      </c>
      <c r="C29" s="252" t="s">
        <v>337</v>
      </c>
      <c r="D29" s="253">
        <v>10625.0</v>
      </c>
      <c r="E29" s="256" t="s">
        <v>326</v>
      </c>
      <c r="F29" s="257" t="s">
        <v>326</v>
      </c>
    </row>
    <row r="30" ht="15.75" customHeight="1">
      <c r="A30" s="251">
        <v>23.0</v>
      </c>
      <c r="B30" s="252" t="s">
        <v>951</v>
      </c>
      <c r="C30" s="252" t="s">
        <v>900</v>
      </c>
      <c r="D30" s="253">
        <v>5625.0</v>
      </c>
      <c r="E30" s="256" t="s">
        <v>326</v>
      </c>
      <c r="F30" s="257" t="s">
        <v>326</v>
      </c>
    </row>
    <row r="31" ht="15.75" customHeight="1">
      <c r="A31" s="251">
        <v>24.0</v>
      </c>
      <c r="B31" s="252" t="s">
        <v>952</v>
      </c>
      <c r="C31" s="252" t="s">
        <v>337</v>
      </c>
      <c r="D31" s="253">
        <v>13750.0</v>
      </c>
      <c r="E31" s="256" t="s">
        <v>326</v>
      </c>
      <c r="F31" s="257" t="s">
        <v>326</v>
      </c>
    </row>
    <row r="32" ht="15.75" customHeight="1">
      <c r="A32" s="251">
        <v>25.0</v>
      </c>
      <c r="B32" s="252" t="s">
        <v>953</v>
      </c>
      <c r="C32" s="252" t="s">
        <v>337</v>
      </c>
      <c r="D32" s="253">
        <v>9375.0</v>
      </c>
      <c r="E32" s="256" t="s">
        <v>326</v>
      </c>
      <c r="F32" s="257" t="s">
        <v>326</v>
      </c>
    </row>
    <row r="33" ht="15.75" customHeight="1">
      <c r="A33" s="251">
        <v>26.0</v>
      </c>
      <c r="B33" s="252" t="s">
        <v>954</v>
      </c>
      <c r="C33" s="252" t="s">
        <v>900</v>
      </c>
      <c r="D33" s="253">
        <v>7500.0</v>
      </c>
      <c r="E33" s="256" t="s">
        <v>326</v>
      </c>
      <c r="F33" s="257" t="s">
        <v>326</v>
      </c>
    </row>
    <row r="34" ht="15.75" customHeight="1">
      <c r="A34" s="251">
        <v>27.0</v>
      </c>
      <c r="B34" s="252" t="s">
        <v>955</v>
      </c>
      <c r="C34" s="252" t="s">
        <v>904</v>
      </c>
      <c r="D34" s="253">
        <v>6875.0</v>
      </c>
      <c r="E34" s="256" t="s">
        <v>326</v>
      </c>
      <c r="F34" s="257" t="s">
        <v>326</v>
      </c>
    </row>
    <row r="35" ht="15.75" customHeight="1">
      <c r="A35" s="251">
        <v>28.0</v>
      </c>
      <c r="B35" s="252" t="s">
        <v>956</v>
      </c>
      <c r="C35" s="252" t="s">
        <v>910</v>
      </c>
      <c r="D35" s="253">
        <v>10125.0</v>
      </c>
      <c r="E35" s="256" t="s">
        <v>326</v>
      </c>
      <c r="F35" s="257" t="s">
        <v>326</v>
      </c>
    </row>
    <row r="36" ht="15.75" customHeight="1">
      <c r="A36" s="251">
        <v>29.0</v>
      </c>
      <c r="B36" s="252" t="s">
        <v>957</v>
      </c>
      <c r="C36" s="252" t="s">
        <v>900</v>
      </c>
      <c r="D36" s="253">
        <v>11250.0</v>
      </c>
      <c r="E36" s="256" t="s">
        <v>326</v>
      </c>
      <c r="F36" s="257" t="s">
        <v>326</v>
      </c>
    </row>
    <row r="37" ht="15.75" customHeight="1">
      <c r="A37" s="251">
        <v>30.0</v>
      </c>
      <c r="B37" s="252" t="s">
        <v>958</v>
      </c>
      <c r="C37" s="252" t="s">
        <v>913</v>
      </c>
      <c r="D37" s="253">
        <v>11250.0</v>
      </c>
      <c r="E37" s="256" t="s">
        <v>326</v>
      </c>
      <c r="F37" s="257" t="s">
        <v>326</v>
      </c>
    </row>
    <row r="38" ht="15.75" customHeight="1">
      <c r="A38" s="251">
        <v>31.0</v>
      </c>
      <c r="B38" s="252" t="s">
        <v>959</v>
      </c>
      <c r="C38" s="252" t="s">
        <v>913</v>
      </c>
      <c r="D38" s="253">
        <v>5000.0</v>
      </c>
      <c r="E38" s="256" t="s">
        <v>326</v>
      </c>
      <c r="F38" s="257" t="s">
        <v>326</v>
      </c>
    </row>
    <row r="39" ht="15.75" customHeight="1">
      <c r="A39" s="251">
        <v>32.0</v>
      </c>
      <c r="B39" s="252" t="s">
        <v>960</v>
      </c>
      <c r="C39" s="252" t="s">
        <v>913</v>
      </c>
      <c r="D39" s="253">
        <v>6250.0</v>
      </c>
      <c r="E39" s="256" t="s">
        <v>326</v>
      </c>
      <c r="F39" s="257" t="s">
        <v>326</v>
      </c>
    </row>
    <row r="40" ht="15.75" customHeight="1">
      <c r="A40" s="251">
        <v>33.0</v>
      </c>
      <c r="B40" s="252" t="s">
        <v>961</v>
      </c>
      <c r="C40" s="252" t="s">
        <v>898</v>
      </c>
      <c r="D40" s="253">
        <v>6625.0</v>
      </c>
      <c r="E40" s="256" t="s">
        <v>326</v>
      </c>
      <c r="F40" s="257" t="s">
        <v>326</v>
      </c>
    </row>
    <row r="41" ht="15.75" customHeight="1">
      <c r="A41" s="251">
        <v>34.0</v>
      </c>
      <c r="B41" s="252" t="s">
        <v>950</v>
      </c>
      <c r="C41" s="252" t="s">
        <v>910</v>
      </c>
      <c r="D41" s="253">
        <v>8375.0</v>
      </c>
      <c r="E41" s="256" t="s">
        <v>326</v>
      </c>
      <c r="F41" s="257" t="s">
        <v>326</v>
      </c>
    </row>
    <row r="42" ht="15.75" customHeight="1">
      <c r="A42" s="251">
        <v>35.0</v>
      </c>
      <c r="B42" s="252" t="s">
        <v>916</v>
      </c>
      <c r="C42" s="252" t="s">
        <v>266</v>
      </c>
      <c r="D42" s="253">
        <v>17500.0</v>
      </c>
      <c r="E42" s="256" t="s">
        <v>326</v>
      </c>
      <c r="F42" s="257" t="s">
        <v>326</v>
      </c>
    </row>
    <row r="43" ht="15.75" customHeight="1">
      <c r="A43" s="251">
        <v>36.0</v>
      </c>
      <c r="B43" s="252" t="s">
        <v>962</v>
      </c>
      <c r="C43" s="252" t="s">
        <v>266</v>
      </c>
      <c r="D43" s="253">
        <v>17500.0</v>
      </c>
      <c r="E43" s="256" t="s">
        <v>326</v>
      </c>
      <c r="F43" s="257" t="s">
        <v>326</v>
      </c>
    </row>
    <row r="44" ht="15.75" customHeight="1">
      <c r="A44" s="251">
        <v>37.0</v>
      </c>
      <c r="B44" s="252" t="s">
        <v>920</v>
      </c>
      <c r="C44" s="252" t="s">
        <v>266</v>
      </c>
      <c r="D44" s="253">
        <v>17500.0</v>
      </c>
      <c r="E44" s="256" t="s">
        <v>326</v>
      </c>
      <c r="F44" s="257" t="s">
        <v>326</v>
      </c>
    </row>
    <row r="45" ht="15.75" customHeight="1">
      <c r="A45" s="251">
        <v>38.0</v>
      </c>
      <c r="B45" s="252" t="s">
        <v>564</v>
      </c>
      <c r="C45" s="252" t="s">
        <v>337</v>
      </c>
      <c r="D45" s="253">
        <v>7500.0</v>
      </c>
      <c r="E45" s="256" t="s">
        <v>326</v>
      </c>
      <c r="F45" s="257" t="s">
        <v>326</v>
      </c>
    </row>
    <row r="46" ht="15.75" customHeight="1">
      <c r="A46" s="251">
        <v>39.0</v>
      </c>
      <c r="B46" s="252" t="s">
        <v>963</v>
      </c>
      <c r="C46" s="252" t="s">
        <v>904</v>
      </c>
      <c r="D46" s="253">
        <v>5625.0</v>
      </c>
      <c r="E46" s="256" t="s">
        <v>326</v>
      </c>
      <c r="F46" s="257" t="s">
        <v>326</v>
      </c>
    </row>
    <row r="47" ht="15.75" customHeight="1">
      <c r="A47" s="251">
        <v>40.0</v>
      </c>
      <c r="B47" s="252" t="s">
        <v>950</v>
      </c>
      <c r="C47" s="252" t="s">
        <v>900</v>
      </c>
      <c r="D47" s="253">
        <v>9500.0</v>
      </c>
      <c r="E47" s="256" t="s">
        <v>326</v>
      </c>
      <c r="F47" s="257" t="s">
        <v>326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4:F4"/>
    <mergeCell ref="A5:F5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71"/>
    <col customWidth="1" min="3" max="3" width="11.71"/>
    <col customWidth="1" min="4" max="26" width="8.0"/>
  </cols>
  <sheetData>
    <row r="1" ht="18.75" customHeight="1">
      <c r="A1" s="19" t="s">
        <v>964</v>
      </c>
      <c r="I1" s="20"/>
      <c r="J1" s="20"/>
    </row>
    <row r="2">
      <c r="A2" s="21" t="s">
        <v>965</v>
      </c>
    </row>
    <row r="4">
      <c r="A4" s="122" t="s">
        <v>966</v>
      </c>
      <c r="B4" s="122" t="s">
        <v>967</v>
      </c>
      <c r="C4" s="122" t="s">
        <v>968</v>
      </c>
      <c r="D4" s="122" t="s">
        <v>969</v>
      </c>
    </row>
    <row r="5">
      <c r="A5" s="259">
        <v>21916.0</v>
      </c>
      <c r="B5" s="259">
        <v>25698.0</v>
      </c>
      <c r="C5" s="122" t="s">
        <v>970</v>
      </c>
      <c r="D5" s="77">
        <f>DATEDIF(A5,B5,"d")</f>
        <v>3782</v>
      </c>
      <c r="E5" s="260" t="s">
        <v>971</v>
      </c>
    </row>
    <row r="6">
      <c r="A6" s="259">
        <v>21916.0</v>
      </c>
      <c r="B6" s="259">
        <v>25698.0</v>
      </c>
      <c r="C6" s="122" t="s">
        <v>972</v>
      </c>
      <c r="D6" s="77">
        <f>DATEDIF(A6,B6,"m")</f>
        <v>124</v>
      </c>
      <c r="E6" s="260" t="s">
        <v>973</v>
      </c>
    </row>
    <row r="7">
      <c r="A7" s="259">
        <v>21916.0</v>
      </c>
      <c r="B7" s="259">
        <v>25698.0</v>
      </c>
      <c r="C7" s="122" t="s">
        <v>974</v>
      </c>
      <c r="D7" s="77">
        <f>DATEDIF(A7,B7,"y")</f>
        <v>10</v>
      </c>
      <c r="E7" s="260" t="s">
        <v>975</v>
      </c>
    </row>
    <row r="8">
      <c r="A8" s="259">
        <v>21916.0</v>
      </c>
      <c r="B8" s="259">
        <v>25698.0</v>
      </c>
      <c r="C8" s="122" t="s">
        <v>976</v>
      </c>
      <c r="D8" s="77">
        <f>DATEDIF(A8,B8,"yd")</f>
        <v>130</v>
      </c>
      <c r="E8" s="260" t="s">
        <v>977</v>
      </c>
    </row>
    <row r="9">
      <c r="A9" s="259">
        <v>21916.0</v>
      </c>
      <c r="B9" s="259">
        <v>25698.0</v>
      </c>
      <c r="C9" s="122" t="s">
        <v>978</v>
      </c>
      <c r="D9" s="77">
        <f>DATEDIF(A9,B9,"ym")</f>
        <v>4</v>
      </c>
      <c r="E9" s="260" t="s">
        <v>979</v>
      </c>
    </row>
    <row r="10">
      <c r="A10" s="259">
        <v>21916.0</v>
      </c>
      <c r="B10" s="259">
        <v>25698.0</v>
      </c>
      <c r="C10" s="122" t="s">
        <v>980</v>
      </c>
      <c r="D10" s="77">
        <f>DATEDIF(A10,B10,"md")</f>
        <v>9</v>
      </c>
      <c r="E10" s="260" t="s">
        <v>981</v>
      </c>
    </row>
    <row r="12" ht="15.75" customHeight="1">
      <c r="A12" s="261" t="s">
        <v>982</v>
      </c>
      <c r="B12" s="262"/>
      <c r="C12" s="262"/>
      <c r="D12" s="262"/>
      <c r="E12" s="262"/>
      <c r="F12" s="262"/>
      <c r="G12" s="262"/>
    </row>
    <row r="13">
      <c r="A13" s="89" t="s">
        <v>983</v>
      </c>
    </row>
    <row r="14">
      <c r="A14" s="89" t="s">
        <v>984</v>
      </c>
    </row>
    <row r="16" ht="15.75" customHeight="1">
      <c r="A16" s="261" t="s">
        <v>985</v>
      </c>
      <c r="B16" s="262"/>
      <c r="C16" s="262"/>
      <c r="D16" s="262"/>
      <c r="E16" s="262"/>
      <c r="F16" s="262"/>
      <c r="G16" s="262"/>
    </row>
    <row r="17">
      <c r="A17" s="12" t="s">
        <v>986</v>
      </c>
    </row>
    <row r="18">
      <c r="A18" s="89" t="s">
        <v>987</v>
      </c>
    </row>
    <row r="19">
      <c r="A19" s="12" t="s">
        <v>988</v>
      </c>
    </row>
    <row r="20">
      <c r="A20" s="12" t="s">
        <v>989</v>
      </c>
    </row>
    <row r="21" ht="15.75" customHeight="1">
      <c r="A21" s="12" t="s">
        <v>990</v>
      </c>
    </row>
    <row r="22" ht="15.75" customHeight="1">
      <c r="A22" s="107" t="s">
        <v>991</v>
      </c>
      <c r="B22" s="12" t="s">
        <v>992</v>
      </c>
    </row>
    <row r="23" ht="15.75" customHeight="1">
      <c r="A23" s="107" t="s">
        <v>993</v>
      </c>
      <c r="B23" s="12" t="s">
        <v>994</v>
      </c>
    </row>
    <row r="24" ht="15.75" customHeight="1">
      <c r="A24" s="107" t="s">
        <v>995</v>
      </c>
      <c r="B24" s="12" t="s">
        <v>996</v>
      </c>
    </row>
    <row r="25" ht="15.75" customHeight="1">
      <c r="A25" s="107" t="s">
        <v>997</v>
      </c>
      <c r="B25" s="12" t="s">
        <v>998</v>
      </c>
    </row>
    <row r="26" ht="15.75" customHeight="1">
      <c r="A26" s="107" t="s">
        <v>999</v>
      </c>
      <c r="B26" s="12" t="s">
        <v>1000</v>
      </c>
    </row>
    <row r="27" ht="15.75" customHeight="1">
      <c r="A27" s="107" t="s">
        <v>1001</v>
      </c>
      <c r="B27" s="12" t="s">
        <v>1002</v>
      </c>
    </row>
    <row r="28" ht="15.75" customHeight="1"/>
    <row r="29" ht="15.75" customHeight="1">
      <c r="A29" s="261" t="s">
        <v>1003</v>
      </c>
      <c r="B29" s="262"/>
      <c r="C29" s="262"/>
      <c r="D29" s="262"/>
      <c r="E29" s="262"/>
      <c r="F29" s="262"/>
      <c r="G29" s="262"/>
    </row>
    <row r="30" ht="15.75" customHeight="1">
      <c r="A30" s="36" t="s">
        <v>1004</v>
      </c>
      <c r="B30" s="36"/>
      <c r="C30" s="36"/>
      <c r="D30" s="36"/>
      <c r="E30" s="36"/>
      <c r="F30" s="36"/>
      <c r="G30" s="36"/>
    </row>
    <row r="31" ht="15.75" customHeight="1"/>
    <row r="32" ht="15.75" customHeight="1"/>
    <row r="33" ht="15.75" customHeight="1"/>
    <row r="34" ht="15.75" customHeight="1"/>
    <row r="35" ht="15.75" customHeight="1">
      <c r="B35" s="263" t="s">
        <v>1005</v>
      </c>
      <c r="C35" s="264">
        <v>21916.0</v>
      </c>
    </row>
    <row r="36" ht="15.75" customHeight="1"/>
    <row r="37" ht="15.75" customHeight="1">
      <c r="B37" s="263" t="s">
        <v>1006</v>
      </c>
      <c r="C37" s="265">
        <f>DATEDIF(C35,TODAY(),"y")</f>
        <v>64</v>
      </c>
      <c r="D37" s="260" t="s">
        <v>1007</v>
      </c>
    </row>
    <row r="38" ht="15.75" customHeight="1">
      <c r="B38" s="263" t="s">
        <v>1008</v>
      </c>
      <c r="C38" s="265">
        <f>DATEDIF(C35,TODAY(),"ym")</f>
        <v>8</v>
      </c>
      <c r="D38" s="260" t="s">
        <v>1009</v>
      </c>
    </row>
    <row r="39" ht="15.75" customHeight="1">
      <c r="B39" s="263" t="s">
        <v>1010</v>
      </c>
      <c r="C39" s="265">
        <f>DATEDIF(C35,TODAY(),"md")</f>
        <v>4</v>
      </c>
      <c r="D39" s="260" t="s">
        <v>1011</v>
      </c>
    </row>
    <row r="40" ht="15.75" customHeight="1"/>
    <row r="41" ht="15.75" customHeight="1">
      <c r="B41" s="12" t="s">
        <v>1012</v>
      </c>
    </row>
    <row r="42" ht="15.75" customHeight="1">
      <c r="B42" s="260" t="str">
        <f>"Age is "&amp;DATEDIF(C35,TODAY(),"y")&amp;" Years, "&amp;DATEDIF(C35,TODAY(),"ym")&amp;" Months and "&amp;DATEDIF(C35,TODAY(),"md")&amp;" Days"</f>
        <v>Age is 64 Years, 8 Months and 4 Days</v>
      </c>
      <c r="C42" s="266"/>
    </row>
    <row r="43" ht="15.75" customHeight="1">
      <c r="A43" s="267" t="s">
        <v>1013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1014</v>
      </c>
    </row>
    <row r="2">
      <c r="A2" s="21" t="s">
        <v>1015</v>
      </c>
    </row>
    <row r="4" ht="15.75" customHeight="1">
      <c r="H4" s="268"/>
    </row>
    <row r="5" ht="27.0" customHeight="1">
      <c r="A5" s="269" t="s">
        <v>58</v>
      </c>
      <c r="B5" s="270" t="s">
        <v>1016</v>
      </c>
      <c r="C5" s="270" t="s">
        <v>1017</v>
      </c>
      <c r="D5" s="270" t="s">
        <v>432</v>
      </c>
      <c r="E5" s="270" t="s">
        <v>1018</v>
      </c>
      <c r="F5" s="270" t="s">
        <v>1019</v>
      </c>
      <c r="G5" s="270" t="s">
        <v>1020</v>
      </c>
      <c r="H5" s="271" t="s">
        <v>1021</v>
      </c>
    </row>
    <row r="6">
      <c r="A6" s="272" t="s">
        <v>855</v>
      </c>
      <c r="B6" s="122">
        <v>200.0</v>
      </c>
      <c r="C6" s="122">
        <v>3000.0</v>
      </c>
      <c r="D6" s="122" t="s">
        <v>1022</v>
      </c>
      <c r="E6" s="273">
        <v>4.5</v>
      </c>
      <c r="F6" s="122">
        <v>4.0</v>
      </c>
      <c r="G6" s="122">
        <v>3.0</v>
      </c>
      <c r="H6" s="274">
        <f t="shared" ref="H6:H21" si="1">E6*F6*G6</f>
        <v>54</v>
      </c>
    </row>
    <row r="7">
      <c r="A7" s="272" t="s">
        <v>1023</v>
      </c>
      <c r="B7" s="122">
        <v>100.0</v>
      </c>
      <c r="C7" s="122">
        <v>2000.0</v>
      </c>
      <c r="D7" s="122" t="s">
        <v>1022</v>
      </c>
      <c r="E7" s="273">
        <v>2.0</v>
      </c>
      <c r="F7" s="122">
        <v>15.0</v>
      </c>
      <c r="G7" s="122">
        <v>2.0</v>
      </c>
      <c r="H7" s="274">
        <f t="shared" si="1"/>
        <v>60</v>
      </c>
    </row>
    <row r="8">
      <c r="A8" s="272" t="s">
        <v>1024</v>
      </c>
      <c r="B8" s="122">
        <v>60.0</v>
      </c>
      <c r="C8" s="122"/>
      <c r="D8" s="122"/>
      <c r="E8" s="273"/>
      <c r="F8" s="122"/>
      <c r="G8" s="122"/>
      <c r="H8" s="274">
        <f t="shared" si="1"/>
        <v>0</v>
      </c>
    </row>
    <row r="9">
      <c r="A9" s="272" t="s">
        <v>1025</v>
      </c>
      <c r="B9" s="122">
        <v>10.0</v>
      </c>
      <c r="C9" s="122">
        <v>8000.0</v>
      </c>
      <c r="D9" s="122" t="s">
        <v>1026</v>
      </c>
      <c r="E9" s="273">
        <v>0.8</v>
      </c>
      <c r="F9" s="122">
        <v>25.0</v>
      </c>
      <c r="G9" s="122">
        <v>6.0</v>
      </c>
      <c r="H9" s="274">
        <f t="shared" si="1"/>
        <v>120</v>
      </c>
    </row>
    <row r="10">
      <c r="A10" s="272" t="s">
        <v>855</v>
      </c>
      <c r="B10" s="122">
        <v>80.0</v>
      </c>
      <c r="C10" s="122">
        <v>1000.0</v>
      </c>
      <c r="D10" s="122" t="s">
        <v>1022</v>
      </c>
      <c r="E10" s="273">
        <v>0.2</v>
      </c>
      <c r="F10" s="122">
        <v>40.0</v>
      </c>
      <c r="G10" s="122">
        <v>3.0</v>
      </c>
      <c r="H10" s="274">
        <f t="shared" si="1"/>
        <v>24</v>
      </c>
    </row>
    <row r="11">
      <c r="A11" s="272" t="s">
        <v>1024</v>
      </c>
      <c r="B11" s="122">
        <v>100.0</v>
      </c>
      <c r="C11" s="122" t="s">
        <v>1027</v>
      </c>
      <c r="D11" s="122" t="s">
        <v>1022</v>
      </c>
      <c r="E11" s="273">
        <v>1.25</v>
      </c>
      <c r="F11" s="122">
        <v>10.0</v>
      </c>
      <c r="G11" s="122">
        <v>4.0</v>
      </c>
      <c r="H11" s="274">
        <f t="shared" si="1"/>
        <v>50</v>
      </c>
    </row>
    <row r="12">
      <c r="A12" s="272" t="s">
        <v>1024</v>
      </c>
      <c r="B12" s="122">
        <v>200.0</v>
      </c>
      <c r="C12" s="122">
        <v>3000.0</v>
      </c>
      <c r="D12" s="122" t="s">
        <v>1022</v>
      </c>
      <c r="E12" s="273">
        <v>2.5</v>
      </c>
      <c r="F12" s="122">
        <v>15.0</v>
      </c>
      <c r="G12" s="122">
        <v>0.0</v>
      </c>
      <c r="H12" s="274">
        <f t="shared" si="1"/>
        <v>0</v>
      </c>
    </row>
    <row r="13">
      <c r="A13" s="272" t="s">
        <v>1025</v>
      </c>
      <c r="B13" s="122">
        <v>25.0</v>
      </c>
      <c r="C13" s="122" t="s">
        <v>1027</v>
      </c>
      <c r="D13" s="122" t="s">
        <v>1026</v>
      </c>
      <c r="E13" s="273">
        <v>0.5</v>
      </c>
      <c r="F13" s="122">
        <v>10.0</v>
      </c>
      <c r="G13" s="122">
        <v>3.0</v>
      </c>
      <c r="H13" s="274">
        <f t="shared" si="1"/>
        <v>15</v>
      </c>
    </row>
    <row r="14">
      <c r="A14" s="272" t="s">
        <v>855</v>
      </c>
      <c r="B14" s="122">
        <v>200.0</v>
      </c>
      <c r="C14" s="122">
        <v>3000.0</v>
      </c>
      <c r="D14" s="122" t="s">
        <v>1026</v>
      </c>
      <c r="E14" s="273">
        <v>5.0</v>
      </c>
      <c r="F14" s="122">
        <v>3.0</v>
      </c>
      <c r="G14" s="122">
        <v>2.0</v>
      </c>
      <c r="H14" s="274">
        <f t="shared" si="1"/>
        <v>30</v>
      </c>
    </row>
    <row r="15">
      <c r="A15" s="272" t="s">
        <v>1023</v>
      </c>
      <c r="B15" s="122">
        <v>100.0</v>
      </c>
      <c r="C15" s="122">
        <v>2000.0</v>
      </c>
      <c r="D15" s="122" t="s">
        <v>1026</v>
      </c>
      <c r="E15" s="273">
        <v>1.8</v>
      </c>
      <c r="F15" s="122">
        <v>20.0</v>
      </c>
      <c r="G15" s="122">
        <v>5.0</v>
      </c>
      <c r="H15" s="274">
        <f t="shared" si="1"/>
        <v>180</v>
      </c>
    </row>
    <row r="16">
      <c r="A16" s="272" t="s">
        <v>855</v>
      </c>
      <c r="B16" s="122">
        <v>100.0</v>
      </c>
      <c r="C16" s="122" t="s">
        <v>1027</v>
      </c>
      <c r="D16" s="122" t="s">
        <v>1026</v>
      </c>
      <c r="E16" s="273">
        <v>0.25</v>
      </c>
      <c r="F16" s="122">
        <v>10.0</v>
      </c>
      <c r="G16" s="122">
        <v>5.0</v>
      </c>
      <c r="H16" s="274">
        <f t="shared" si="1"/>
        <v>12.5</v>
      </c>
    </row>
    <row r="17">
      <c r="A17" s="272" t="s">
        <v>855</v>
      </c>
      <c r="B17" s="122">
        <v>10.0</v>
      </c>
      <c r="C17" s="122">
        <v>800.0</v>
      </c>
      <c r="D17" s="122" t="s">
        <v>1022</v>
      </c>
      <c r="E17" s="273">
        <v>0.2</v>
      </c>
      <c r="F17" s="122">
        <v>25.0</v>
      </c>
      <c r="G17" s="122">
        <v>2.0</v>
      </c>
      <c r="H17" s="274">
        <f t="shared" si="1"/>
        <v>10</v>
      </c>
    </row>
    <row r="18">
      <c r="A18" s="272" t="s">
        <v>855</v>
      </c>
      <c r="B18" s="122">
        <v>60.0</v>
      </c>
      <c r="C18" s="122">
        <v>1000.0</v>
      </c>
      <c r="D18" s="122" t="s">
        <v>1026</v>
      </c>
      <c r="E18" s="273">
        <v>0.15</v>
      </c>
      <c r="F18" s="122">
        <v>25.0</v>
      </c>
      <c r="G18" s="122">
        <v>0.0</v>
      </c>
      <c r="H18" s="274">
        <f t="shared" si="1"/>
        <v>0</v>
      </c>
    </row>
    <row r="19">
      <c r="A19" s="272" t="s">
        <v>855</v>
      </c>
      <c r="B19" s="122">
        <v>80.0</v>
      </c>
      <c r="C19" s="122">
        <v>1000.0</v>
      </c>
      <c r="D19" s="122" t="s">
        <v>1026</v>
      </c>
      <c r="E19" s="273">
        <v>0.2</v>
      </c>
      <c r="F19" s="122">
        <v>30.0</v>
      </c>
      <c r="G19" s="122">
        <v>2.0</v>
      </c>
      <c r="H19" s="274">
        <f t="shared" si="1"/>
        <v>12</v>
      </c>
    </row>
    <row r="20">
      <c r="A20" s="272" t="s">
        <v>855</v>
      </c>
      <c r="B20" s="122">
        <v>100.0</v>
      </c>
      <c r="C20" s="122">
        <v>2000.0</v>
      </c>
      <c r="D20" s="122" t="s">
        <v>1022</v>
      </c>
      <c r="E20" s="273">
        <v>0.8</v>
      </c>
      <c r="F20" s="122">
        <v>10.0</v>
      </c>
      <c r="G20" s="122">
        <v>5.0</v>
      </c>
      <c r="H20" s="274">
        <f t="shared" si="1"/>
        <v>40</v>
      </c>
    </row>
    <row r="21" ht="15.75" customHeight="1">
      <c r="A21" s="275" t="s">
        <v>855</v>
      </c>
      <c r="B21" s="276">
        <v>40.0</v>
      </c>
      <c r="C21" s="276">
        <v>1000.0</v>
      </c>
      <c r="D21" s="276" t="s">
        <v>1022</v>
      </c>
      <c r="E21" s="277">
        <v>0.1</v>
      </c>
      <c r="F21" s="276">
        <v>20.0</v>
      </c>
      <c r="G21" s="276">
        <v>5.0</v>
      </c>
      <c r="H21" s="274">
        <f t="shared" si="1"/>
        <v>10</v>
      </c>
    </row>
    <row r="22" ht="15.75" customHeight="1"/>
    <row r="23" ht="15.75" customHeight="1">
      <c r="A23" s="12" t="s">
        <v>1028</v>
      </c>
    </row>
    <row r="24" ht="15.75" customHeight="1"/>
    <row r="25" ht="15.75" customHeight="1">
      <c r="D25" s="278" t="s">
        <v>432</v>
      </c>
      <c r="E25" s="279" t="s">
        <v>1029</v>
      </c>
    </row>
    <row r="26" ht="15.75" customHeight="1">
      <c r="C26" s="280" t="s">
        <v>1030</v>
      </c>
      <c r="D26" s="281" t="s">
        <v>1031</v>
      </c>
    </row>
    <row r="27" ht="15.75" customHeight="1"/>
    <row r="28" ht="15.75" customHeight="1">
      <c r="A28" s="36"/>
      <c r="B28" s="36"/>
      <c r="C28" s="280" t="str">
        <f>"The Average cost of "&amp;D26&amp;" is : "</f>
        <v>The Average cost of sunbeam is : </v>
      </c>
      <c r="D28" s="282">
        <f>DAVERAGE(A5:H21,E5,D25:D26)</f>
        <v>1.242857143</v>
      </c>
      <c r="E28" s="260" t="s">
        <v>1032</v>
      </c>
    </row>
    <row r="29" ht="15.75" customHeight="1"/>
    <row r="30" ht="15.75" customHeight="1">
      <c r="A30" s="261" t="s">
        <v>1033</v>
      </c>
      <c r="B30" s="261"/>
      <c r="C30" s="261"/>
      <c r="D30" s="261"/>
      <c r="E30" s="261"/>
      <c r="F30" s="261"/>
      <c r="G30" s="261"/>
      <c r="H30" s="261"/>
      <c r="I30" s="261"/>
    </row>
    <row r="31" ht="15.75" customHeight="1"/>
    <row r="32" ht="15.75" customHeight="1">
      <c r="A32" s="283" t="s">
        <v>1034</v>
      </c>
    </row>
    <row r="33" ht="15.75" customHeight="1"/>
    <row r="34" ht="15.75" customHeight="1">
      <c r="D34" s="284" t="s">
        <v>58</v>
      </c>
      <c r="E34" s="285" t="s">
        <v>432</v>
      </c>
    </row>
    <row r="35" ht="15.75" customHeight="1">
      <c r="D35" s="286" t="s">
        <v>855</v>
      </c>
      <c r="E35" s="287" t="s">
        <v>1022</v>
      </c>
    </row>
    <row r="36" ht="15.75" customHeight="1"/>
    <row r="37" ht="15.75" customHeight="1">
      <c r="C37" s="280" t="str">
        <f>"The average of "&amp;E35&amp;" "&amp;D35&amp;" is : "</f>
        <v>The average of Horizon Bulb is : </v>
      </c>
      <c r="D37" s="282">
        <f>DAVERAGE(A5:H21,E5,D34:E35)</f>
        <v>1.16</v>
      </c>
      <c r="E37" s="260" t="s">
        <v>1035</v>
      </c>
    </row>
    <row r="38" ht="15.75" customHeight="1"/>
    <row r="39" ht="15.75" customHeight="1">
      <c r="A39" s="12" t="s">
        <v>1036</v>
      </c>
    </row>
    <row r="40" ht="15.75" customHeight="1"/>
    <row r="41" ht="15.75" customHeight="1">
      <c r="D41" s="282">
        <f>DAVERAGE(A5:H21,"Unit Cost",D34:E35)</f>
        <v>1.16</v>
      </c>
      <c r="E41" s="260" t="s">
        <v>1037</v>
      </c>
    </row>
    <row r="42" ht="15.75" customHeight="1"/>
    <row r="43" ht="15.75" customHeight="1">
      <c r="A43" s="288" t="s">
        <v>1038</v>
      </c>
      <c r="B43" s="289"/>
      <c r="C43" s="289"/>
      <c r="D43" s="289"/>
      <c r="E43" s="289"/>
      <c r="F43" s="289"/>
      <c r="G43" s="289"/>
      <c r="H43" s="289"/>
      <c r="I43" s="289"/>
    </row>
    <row r="44" ht="15.75" customHeight="1"/>
    <row r="45" ht="15.75" customHeight="1">
      <c r="D45" s="284" t="s">
        <v>58</v>
      </c>
      <c r="E45" s="285" t="s">
        <v>1016</v>
      </c>
    </row>
    <row r="46" ht="15.75" customHeight="1">
      <c r="D46" s="286" t="s">
        <v>855</v>
      </c>
      <c r="E46" s="287">
        <v>100.0</v>
      </c>
    </row>
    <row r="47" ht="15.75" customHeight="1"/>
    <row r="48" ht="15.75" customHeight="1">
      <c r="C48" s="280" t="str">
        <f>"Average of "&amp;D46&amp;" "&amp;E46&amp;" is : "</f>
        <v>Average of Bulb 100 is : </v>
      </c>
      <c r="D48" s="282">
        <f>DAVERAGE(A5:H21,"Unit Cost",D45:E46)</f>
        <v>0.525</v>
      </c>
      <c r="E48" s="12" t="s">
        <v>1039</v>
      </c>
    </row>
    <row r="49" ht="15.75" customHeight="1"/>
    <row r="50" ht="15.75" customHeight="1">
      <c r="A50" s="288" t="s">
        <v>1040</v>
      </c>
      <c r="B50" s="289"/>
      <c r="C50" s="289"/>
      <c r="D50" s="289"/>
      <c r="E50" s="289"/>
      <c r="F50" s="289"/>
      <c r="G50" s="289"/>
      <c r="H50" s="289"/>
      <c r="I50" s="289"/>
    </row>
    <row r="51" ht="15.75" customHeight="1"/>
    <row r="52" ht="15.75" customHeight="1">
      <c r="D52" s="284" t="s">
        <v>58</v>
      </c>
      <c r="E52" s="285" t="s">
        <v>1016</v>
      </c>
    </row>
    <row r="53" ht="15.75" customHeight="1">
      <c r="D53" s="290" t="s">
        <v>855</v>
      </c>
      <c r="E53" s="291" t="s">
        <v>1041</v>
      </c>
    </row>
    <row r="54" ht="15.75" customHeight="1"/>
    <row r="55" ht="15.75" customHeight="1">
      <c r="C55" s="280" t="str">
        <f>"Average of "&amp;D53&amp;" "&amp;E53&amp;" is : "</f>
        <v>Average of Bulb &lt;100 is : </v>
      </c>
      <c r="D55" s="292">
        <f>DAVERAGE(A5:H21,"Unit Cost",D52:E53)</f>
        <v>0.17</v>
      </c>
      <c r="E55" s="260" t="s">
        <v>1042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1043</v>
      </c>
    </row>
    <row r="2">
      <c r="A2" s="21" t="s">
        <v>1044</v>
      </c>
    </row>
    <row r="3" ht="15.75" customHeight="1"/>
    <row r="4" ht="27.0" customHeight="1">
      <c r="A4" s="269" t="s">
        <v>58</v>
      </c>
      <c r="B4" s="270" t="s">
        <v>1016</v>
      </c>
      <c r="C4" s="270" t="s">
        <v>1017</v>
      </c>
      <c r="D4" s="270" t="s">
        <v>432</v>
      </c>
      <c r="E4" s="270" t="s">
        <v>1018</v>
      </c>
      <c r="F4" s="270" t="s">
        <v>1019</v>
      </c>
      <c r="G4" s="270" t="s">
        <v>1020</v>
      </c>
      <c r="H4" s="271" t="s">
        <v>1021</v>
      </c>
    </row>
    <row r="5">
      <c r="A5" s="272" t="s">
        <v>855</v>
      </c>
      <c r="B5" s="122">
        <v>200.0</v>
      </c>
      <c r="C5" s="122">
        <v>3000.0</v>
      </c>
      <c r="D5" s="122" t="s">
        <v>1022</v>
      </c>
      <c r="E5" s="273">
        <v>4.5</v>
      </c>
      <c r="F5" s="122">
        <v>4.0</v>
      </c>
      <c r="G5" s="122">
        <v>3.0</v>
      </c>
      <c r="H5" s="274">
        <f t="shared" ref="H5:H20" si="1">E5*F5*G5</f>
        <v>54</v>
      </c>
    </row>
    <row r="6">
      <c r="A6" s="272" t="s">
        <v>1023</v>
      </c>
      <c r="B6" s="122">
        <v>100.0</v>
      </c>
      <c r="C6" s="122">
        <v>2000.0</v>
      </c>
      <c r="D6" s="122" t="s">
        <v>1022</v>
      </c>
      <c r="E6" s="273">
        <v>2.0</v>
      </c>
      <c r="F6" s="122">
        <v>15.0</v>
      </c>
      <c r="G6" s="122">
        <v>2.0</v>
      </c>
      <c r="H6" s="274">
        <f t="shared" si="1"/>
        <v>60</v>
      </c>
    </row>
    <row r="7">
      <c r="A7" s="272" t="s">
        <v>1024</v>
      </c>
      <c r="B7" s="122">
        <v>60.0</v>
      </c>
      <c r="C7" s="122"/>
      <c r="D7" s="122"/>
      <c r="E7" s="273"/>
      <c r="F7" s="122"/>
      <c r="G7" s="122"/>
      <c r="H7" s="274">
        <f t="shared" si="1"/>
        <v>0</v>
      </c>
    </row>
    <row r="8">
      <c r="A8" s="272" t="s">
        <v>1025</v>
      </c>
      <c r="B8" s="122">
        <v>10.0</v>
      </c>
      <c r="C8" s="122">
        <v>8000.0</v>
      </c>
      <c r="D8" s="122" t="s">
        <v>1026</v>
      </c>
      <c r="E8" s="273">
        <v>0.8</v>
      </c>
      <c r="F8" s="122">
        <v>25.0</v>
      </c>
      <c r="G8" s="122">
        <v>6.0</v>
      </c>
      <c r="H8" s="274">
        <f t="shared" si="1"/>
        <v>120</v>
      </c>
    </row>
    <row r="9">
      <c r="A9" s="272" t="s">
        <v>855</v>
      </c>
      <c r="B9" s="122">
        <v>80.0</v>
      </c>
      <c r="C9" s="122">
        <v>1000.0</v>
      </c>
      <c r="D9" s="122" t="s">
        <v>1022</v>
      </c>
      <c r="E9" s="273">
        <v>0.2</v>
      </c>
      <c r="F9" s="122">
        <v>40.0</v>
      </c>
      <c r="G9" s="122">
        <v>3.0</v>
      </c>
      <c r="H9" s="274">
        <f t="shared" si="1"/>
        <v>24</v>
      </c>
    </row>
    <row r="10">
      <c r="A10" s="272" t="s">
        <v>1024</v>
      </c>
      <c r="B10" s="122">
        <v>100.0</v>
      </c>
      <c r="C10" s="122" t="s">
        <v>1027</v>
      </c>
      <c r="D10" s="122" t="s">
        <v>1022</v>
      </c>
      <c r="E10" s="273">
        <v>1.25</v>
      </c>
      <c r="F10" s="122">
        <v>10.0</v>
      </c>
      <c r="G10" s="122">
        <v>4.0</v>
      </c>
      <c r="H10" s="274">
        <f t="shared" si="1"/>
        <v>50</v>
      </c>
    </row>
    <row r="11">
      <c r="A11" s="272" t="s">
        <v>1024</v>
      </c>
      <c r="B11" s="122">
        <v>200.0</v>
      </c>
      <c r="C11" s="122">
        <v>3000.0</v>
      </c>
      <c r="D11" s="122" t="s">
        <v>1022</v>
      </c>
      <c r="E11" s="273">
        <v>2.5</v>
      </c>
      <c r="F11" s="122">
        <v>15.0</v>
      </c>
      <c r="G11" s="122">
        <v>1.0</v>
      </c>
      <c r="H11" s="274">
        <f t="shared" si="1"/>
        <v>37.5</v>
      </c>
    </row>
    <row r="12">
      <c r="A12" s="272" t="s">
        <v>1025</v>
      </c>
      <c r="B12" s="122">
        <v>25.0</v>
      </c>
      <c r="C12" s="122" t="s">
        <v>1027</v>
      </c>
      <c r="D12" s="122" t="s">
        <v>1026</v>
      </c>
      <c r="E12" s="273">
        <v>0.5</v>
      </c>
      <c r="F12" s="122">
        <v>10.0</v>
      </c>
      <c r="G12" s="122">
        <v>3.0</v>
      </c>
      <c r="H12" s="274">
        <f t="shared" si="1"/>
        <v>15</v>
      </c>
    </row>
    <row r="13">
      <c r="A13" s="272" t="s">
        <v>855</v>
      </c>
      <c r="B13" s="122">
        <v>200.0</v>
      </c>
      <c r="C13" s="122">
        <v>3000.0</v>
      </c>
      <c r="D13" s="122" t="s">
        <v>1026</v>
      </c>
      <c r="E13" s="273">
        <v>5.0</v>
      </c>
      <c r="F13" s="122">
        <v>3.0</v>
      </c>
      <c r="G13" s="122">
        <v>2.0</v>
      </c>
      <c r="H13" s="274">
        <f t="shared" si="1"/>
        <v>30</v>
      </c>
    </row>
    <row r="14">
      <c r="A14" s="272" t="s">
        <v>1023</v>
      </c>
      <c r="B14" s="122">
        <v>100.0</v>
      </c>
      <c r="C14" s="122">
        <v>2000.0</v>
      </c>
      <c r="D14" s="122" t="s">
        <v>1026</v>
      </c>
      <c r="E14" s="273">
        <v>1.8</v>
      </c>
      <c r="F14" s="122">
        <v>20.0</v>
      </c>
      <c r="G14" s="122">
        <v>5.0</v>
      </c>
      <c r="H14" s="274">
        <f t="shared" si="1"/>
        <v>180</v>
      </c>
    </row>
    <row r="15">
      <c r="A15" s="272" t="s">
        <v>855</v>
      </c>
      <c r="B15" s="122">
        <v>100.0</v>
      </c>
      <c r="C15" s="122" t="s">
        <v>1027</v>
      </c>
      <c r="D15" s="122" t="s">
        <v>1026</v>
      </c>
      <c r="E15" s="273">
        <v>0.25</v>
      </c>
      <c r="F15" s="122">
        <v>10.0</v>
      </c>
      <c r="G15" s="122">
        <v>5.0</v>
      </c>
      <c r="H15" s="274">
        <f t="shared" si="1"/>
        <v>12.5</v>
      </c>
    </row>
    <row r="16">
      <c r="A16" s="272" t="s">
        <v>855</v>
      </c>
      <c r="B16" s="122">
        <v>10.0</v>
      </c>
      <c r="C16" s="122">
        <v>800.0</v>
      </c>
      <c r="D16" s="122" t="s">
        <v>1022</v>
      </c>
      <c r="E16" s="273">
        <v>0.2</v>
      </c>
      <c r="F16" s="122">
        <v>25.0</v>
      </c>
      <c r="G16" s="122">
        <v>2.0</v>
      </c>
      <c r="H16" s="274">
        <f t="shared" si="1"/>
        <v>10</v>
      </c>
    </row>
    <row r="17">
      <c r="A17" s="272" t="s">
        <v>855</v>
      </c>
      <c r="B17" s="122">
        <v>60.0</v>
      </c>
      <c r="C17" s="122">
        <v>1000.0</v>
      </c>
      <c r="D17" s="122" t="s">
        <v>1026</v>
      </c>
      <c r="E17" s="273">
        <v>0.15</v>
      </c>
      <c r="F17" s="122">
        <v>25.0</v>
      </c>
      <c r="G17" s="122">
        <v>1.0</v>
      </c>
      <c r="H17" s="274">
        <f t="shared" si="1"/>
        <v>3.75</v>
      </c>
    </row>
    <row r="18">
      <c r="A18" s="272" t="s">
        <v>855</v>
      </c>
      <c r="B18" s="122">
        <v>80.0</v>
      </c>
      <c r="C18" s="122">
        <v>1000.0</v>
      </c>
      <c r="D18" s="122" t="s">
        <v>1026</v>
      </c>
      <c r="E18" s="273">
        <v>0.2</v>
      </c>
      <c r="F18" s="122">
        <v>30.0</v>
      </c>
      <c r="G18" s="122">
        <v>2.0</v>
      </c>
      <c r="H18" s="274">
        <f t="shared" si="1"/>
        <v>12</v>
      </c>
    </row>
    <row r="19">
      <c r="A19" s="272" t="s">
        <v>855</v>
      </c>
      <c r="B19" s="122">
        <v>100.0</v>
      </c>
      <c r="C19" s="122">
        <v>2000.0</v>
      </c>
      <c r="D19" s="122" t="s">
        <v>1022</v>
      </c>
      <c r="E19" s="273">
        <v>0.8</v>
      </c>
      <c r="F19" s="122">
        <v>10.0</v>
      </c>
      <c r="G19" s="122">
        <v>5.0</v>
      </c>
      <c r="H19" s="274">
        <f t="shared" si="1"/>
        <v>40</v>
      </c>
    </row>
    <row r="20" ht="15.75" customHeight="1">
      <c r="A20" s="275" t="s">
        <v>855</v>
      </c>
      <c r="B20" s="276">
        <v>40.0</v>
      </c>
      <c r="C20" s="276">
        <v>1000.0</v>
      </c>
      <c r="D20" s="276" t="s">
        <v>1022</v>
      </c>
      <c r="E20" s="277">
        <v>0.1</v>
      </c>
      <c r="F20" s="276">
        <v>20.0</v>
      </c>
      <c r="G20" s="276">
        <v>5.0</v>
      </c>
      <c r="H20" s="274">
        <f t="shared" si="1"/>
        <v>10</v>
      </c>
    </row>
    <row r="21" ht="15.75" customHeight="1"/>
    <row r="22" ht="15.75" customHeight="1">
      <c r="A22" s="12" t="s">
        <v>1045</v>
      </c>
    </row>
    <row r="23" ht="15.75" customHeight="1"/>
    <row r="24" ht="15.75" customHeight="1">
      <c r="D24" s="278" t="s">
        <v>432</v>
      </c>
      <c r="E24" s="279" t="s">
        <v>1046</v>
      </c>
    </row>
    <row r="25" ht="15.75" customHeight="1">
      <c r="C25" s="280" t="s">
        <v>1030</v>
      </c>
      <c r="D25" s="281" t="s">
        <v>1022</v>
      </c>
    </row>
    <row r="26" ht="15.75" customHeight="1"/>
    <row r="27" ht="15.75" customHeight="1">
      <c r="A27" s="36"/>
      <c r="B27" s="36"/>
      <c r="C27" s="280" t="str">
        <f>"The COUNT value of "&amp;D25&amp;" is : "</f>
        <v>The COUNT value of Horizon is : </v>
      </c>
      <c r="D27" s="77">
        <f>DCOUNT(A4:H20,C4,D24:D25)</f>
        <v>7</v>
      </c>
      <c r="E27" s="260" t="s">
        <v>1047</v>
      </c>
    </row>
    <row r="28" ht="15.75" customHeight="1"/>
    <row r="29" ht="15.75" customHeight="1">
      <c r="A29" s="261" t="s">
        <v>1048</v>
      </c>
      <c r="B29" s="261"/>
      <c r="C29" s="261"/>
      <c r="D29" s="261"/>
      <c r="E29" s="261"/>
      <c r="F29" s="261"/>
      <c r="G29" s="261"/>
      <c r="H29" s="261"/>
      <c r="I29" s="261"/>
    </row>
    <row r="30" ht="15.75" customHeight="1">
      <c r="A30" s="12" t="s">
        <v>1049</v>
      </c>
    </row>
    <row r="31" ht="15.75" customHeight="1">
      <c r="A31" s="12" t="s">
        <v>1050</v>
      </c>
    </row>
    <row r="32" ht="15.75" customHeight="1"/>
    <row r="33" ht="15.75" customHeight="1">
      <c r="A33" s="261" t="s">
        <v>985</v>
      </c>
      <c r="B33" s="261"/>
      <c r="C33" s="261"/>
      <c r="D33" s="261"/>
      <c r="E33" s="261"/>
      <c r="F33" s="261"/>
      <c r="G33" s="261"/>
      <c r="H33" s="261"/>
      <c r="I33" s="261"/>
    </row>
    <row r="34" ht="15.75" customHeight="1">
      <c r="A34" s="293" t="s">
        <v>1051</v>
      </c>
    </row>
    <row r="35" ht="15.75" customHeight="1">
      <c r="A35" s="261" t="s">
        <v>1033</v>
      </c>
      <c r="B35" s="261"/>
      <c r="C35" s="261"/>
      <c r="D35" s="261"/>
      <c r="E35" s="261"/>
      <c r="F35" s="261"/>
      <c r="G35" s="261"/>
      <c r="H35" s="261"/>
      <c r="I35" s="261"/>
    </row>
    <row r="36" ht="15.75" customHeight="1"/>
    <row r="37" ht="15.75" customHeight="1">
      <c r="A37" s="283" t="s">
        <v>1052</v>
      </c>
    </row>
    <row r="38" ht="15.75" customHeight="1"/>
    <row r="39" ht="27.0" customHeight="1">
      <c r="D39" s="284" t="s">
        <v>58</v>
      </c>
      <c r="E39" s="294" t="s">
        <v>1020</v>
      </c>
    </row>
    <row r="40" ht="15.75" customHeight="1">
      <c r="D40" s="286" t="s">
        <v>855</v>
      </c>
      <c r="E40" s="287">
        <v>5.0</v>
      </c>
    </row>
    <row r="41" ht="15.75" customHeight="1"/>
    <row r="42" ht="15.75" customHeight="1">
      <c r="C42" s="280" t="s">
        <v>1053</v>
      </c>
      <c r="D42" s="77">
        <f>DCOUNT(A4:H20,G4,D39:E40)</f>
        <v>3</v>
      </c>
      <c r="E42" s="260" t="s">
        <v>1054</v>
      </c>
    </row>
    <row r="43" ht="15.75" customHeight="1"/>
    <row r="44" ht="15.75" customHeight="1">
      <c r="A44" s="12" t="s">
        <v>1055</v>
      </c>
    </row>
    <row r="45" ht="15.75" customHeight="1"/>
    <row r="46" ht="15.75" customHeight="1">
      <c r="D46" s="77">
        <f>DCOUNT(A4:H20,"Boxes In Stock",D39:E40)</f>
        <v>3</v>
      </c>
      <c r="E46" s="260" t="s">
        <v>1056</v>
      </c>
    </row>
    <row r="47" ht="15.75" customHeight="1"/>
    <row r="48" ht="15.75" customHeight="1">
      <c r="A48" s="288" t="s">
        <v>1057</v>
      </c>
      <c r="B48" s="289"/>
      <c r="C48" s="289"/>
      <c r="D48" s="289"/>
      <c r="E48" s="289"/>
      <c r="F48" s="289"/>
      <c r="G48" s="289"/>
      <c r="H48" s="289"/>
      <c r="I48" s="289"/>
    </row>
    <row r="49" ht="15.75" customHeight="1"/>
    <row r="50" ht="15.75" customHeight="1">
      <c r="D50" s="284" t="s">
        <v>58</v>
      </c>
      <c r="E50" s="285" t="s">
        <v>1016</v>
      </c>
    </row>
    <row r="51" ht="15.75" customHeight="1">
      <c r="D51" s="286" t="s">
        <v>855</v>
      </c>
      <c r="E51" s="287">
        <v>100.0</v>
      </c>
    </row>
    <row r="52" ht="15.75" customHeight="1"/>
    <row r="53" ht="15.75" customHeight="1">
      <c r="C53" s="280" t="s">
        <v>1058</v>
      </c>
      <c r="D53" s="77">
        <f>DCOUNT(A4:H20,"Boxes In Stock",D50:E51)</f>
        <v>2</v>
      </c>
      <c r="E53" s="260" t="s">
        <v>1059</v>
      </c>
    </row>
    <row r="54" ht="15.75" customHeight="1"/>
    <row r="55" ht="15.75" customHeight="1">
      <c r="A55" s="288" t="s">
        <v>1060</v>
      </c>
      <c r="B55" s="289"/>
      <c r="C55" s="289"/>
      <c r="D55" s="289"/>
      <c r="E55" s="289"/>
      <c r="F55" s="289"/>
      <c r="G55" s="289"/>
      <c r="H55" s="289"/>
      <c r="I55" s="289"/>
    </row>
    <row r="56" ht="15.75" customHeight="1"/>
    <row r="57" ht="15.75" customHeight="1">
      <c r="D57" s="284" t="s">
        <v>58</v>
      </c>
      <c r="E57" s="295" t="s">
        <v>1016</v>
      </c>
      <c r="F57" s="285" t="s">
        <v>1016</v>
      </c>
    </row>
    <row r="58" ht="15.75" customHeight="1">
      <c r="D58" s="286" t="s">
        <v>855</v>
      </c>
      <c r="E58" s="296" t="s">
        <v>1061</v>
      </c>
      <c r="F58" s="287" t="s">
        <v>1062</v>
      </c>
    </row>
    <row r="59" ht="15.75" customHeight="1"/>
    <row r="60" ht="15.75" customHeight="1">
      <c r="C60" s="280" t="s">
        <v>1058</v>
      </c>
      <c r="D60" s="77">
        <f>DCOUNT(A4:H20,"Boxes In Stock",D57:F58)</f>
        <v>4</v>
      </c>
      <c r="E60" s="260" t="s">
        <v>1063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1064</v>
      </c>
    </row>
    <row r="2">
      <c r="A2" s="21" t="s">
        <v>1065</v>
      </c>
    </row>
    <row r="3" ht="15.75" customHeight="1"/>
    <row r="4" ht="27.0" customHeight="1">
      <c r="A4" s="297" t="s">
        <v>58</v>
      </c>
      <c r="B4" s="298" t="s">
        <v>1016</v>
      </c>
      <c r="C4" s="298" t="s">
        <v>1017</v>
      </c>
      <c r="D4" s="298" t="s">
        <v>432</v>
      </c>
      <c r="E4" s="298" t="s">
        <v>1018</v>
      </c>
      <c r="F4" s="298" t="s">
        <v>1019</v>
      </c>
      <c r="G4" s="298" t="s">
        <v>1020</v>
      </c>
      <c r="H4" s="299" t="s">
        <v>1021</v>
      </c>
    </row>
    <row r="5">
      <c r="A5" s="272" t="s">
        <v>855</v>
      </c>
      <c r="B5" s="122">
        <v>200.0</v>
      </c>
      <c r="C5" s="122">
        <v>3000.0</v>
      </c>
      <c r="D5" s="122" t="s">
        <v>1022</v>
      </c>
      <c r="E5" s="273">
        <v>4.5</v>
      </c>
      <c r="F5" s="122">
        <v>4.0</v>
      </c>
      <c r="G5" s="122">
        <v>3.0</v>
      </c>
      <c r="H5" s="274">
        <f t="shared" ref="H5:H20" si="1">E5*F5*G5</f>
        <v>54</v>
      </c>
    </row>
    <row r="6">
      <c r="A6" s="272" t="s">
        <v>1023</v>
      </c>
      <c r="B6" s="122">
        <v>100.0</v>
      </c>
      <c r="C6" s="122">
        <v>2000.0</v>
      </c>
      <c r="D6" s="122" t="s">
        <v>1022</v>
      </c>
      <c r="E6" s="273">
        <v>2.0</v>
      </c>
      <c r="F6" s="122">
        <v>15.0</v>
      </c>
      <c r="G6" s="122">
        <v>2.0</v>
      </c>
      <c r="H6" s="274">
        <f t="shared" si="1"/>
        <v>60</v>
      </c>
    </row>
    <row r="7">
      <c r="A7" s="272" t="s">
        <v>1024</v>
      </c>
      <c r="B7" s="122">
        <v>60.0</v>
      </c>
      <c r="C7" s="122"/>
      <c r="D7" s="122"/>
      <c r="E7" s="273"/>
      <c r="F7" s="122"/>
      <c r="G7" s="122"/>
      <c r="H7" s="274">
        <f t="shared" si="1"/>
        <v>0</v>
      </c>
    </row>
    <row r="8">
      <c r="A8" s="272" t="s">
        <v>1025</v>
      </c>
      <c r="B8" s="122">
        <v>10.0</v>
      </c>
      <c r="C8" s="122">
        <v>8000.0</v>
      </c>
      <c r="D8" s="122" t="s">
        <v>1026</v>
      </c>
      <c r="E8" s="273">
        <v>0.8</v>
      </c>
      <c r="F8" s="122">
        <v>25.0</v>
      </c>
      <c r="G8" s="122">
        <v>6.0</v>
      </c>
      <c r="H8" s="274">
        <f t="shared" si="1"/>
        <v>120</v>
      </c>
    </row>
    <row r="9">
      <c r="A9" s="272" t="s">
        <v>855</v>
      </c>
      <c r="B9" s="122">
        <v>80.0</v>
      </c>
      <c r="C9" s="122">
        <v>1000.0</v>
      </c>
      <c r="D9" s="122" t="s">
        <v>1022</v>
      </c>
      <c r="E9" s="273">
        <v>0.2</v>
      </c>
      <c r="F9" s="122">
        <v>40.0</v>
      </c>
      <c r="G9" s="122">
        <v>3.0</v>
      </c>
      <c r="H9" s="274">
        <f t="shared" si="1"/>
        <v>24</v>
      </c>
    </row>
    <row r="10">
      <c r="A10" s="272" t="s">
        <v>1024</v>
      </c>
      <c r="B10" s="122">
        <v>100.0</v>
      </c>
      <c r="C10" s="122" t="s">
        <v>1027</v>
      </c>
      <c r="D10" s="122" t="s">
        <v>1022</v>
      </c>
      <c r="E10" s="273">
        <v>1.25</v>
      </c>
      <c r="F10" s="122">
        <v>10.0</v>
      </c>
      <c r="G10" s="122">
        <v>4.0</v>
      </c>
      <c r="H10" s="274">
        <f t="shared" si="1"/>
        <v>50</v>
      </c>
    </row>
    <row r="11">
      <c r="A11" s="272" t="s">
        <v>1024</v>
      </c>
      <c r="B11" s="122">
        <v>200.0</v>
      </c>
      <c r="C11" s="122">
        <v>3000.0</v>
      </c>
      <c r="D11" s="122" t="s">
        <v>1022</v>
      </c>
      <c r="E11" s="273">
        <v>2.5</v>
      </c>
      <c r="F11" s="122">
        <v>15.0</v>
      </c>
      <c r="G11" s="122">
        <v>1.0</v>
      </c>
      <c r="H11" s="274">
        <f t="shared" si="1"/>
        <v>37.5</v>
      </c>
    </row>
    <row r="12">
      <c r="A12" s="272" t="s">
        <v>1025</v>
      </c>
      <c r="B12" s="122">
        <v>25.0</v>
      </c>
      <c r="C12" s="122" t="s">
        <v>1027</v>
      </c>
      <c r="D12" s="122" t="s">
        <v>1026</v>
      </c>
      <c r="E12" s="273">
        <v>0.5</v>
      </c>
      <c r="F12" s="122">
        <v>10.0</v>
      </c>
      <c r="G12" s="122">
        <v>3.0</v>
      </c>
      <c r="H12" s="274">
        <f t="shared" si="1"/>
        <v>15</v>
      </c>
    </row>
    <row r="13">
      <c r="A13" s="272" t="s">
        <v>855</v>
      </c>
      <c r="B13" s="122">
        <v>200.0</v>
      </c>
      <c r="C13" s="122">
        <v>3000.0</v>
      </c>
      <c r="D13" s="122" t="s">
        <v>1026</v>
      </c>
      <c r="E13" s="273">
        <v>5.0</v>
      </c>
      <c r="F13" s="122">
        <v>3.0</v>
      </c>
      <c r="G13" s="122">
        <v>2.0</v>
      </c>
      <c r="H13" s="274">
        <f t="shared" si="1"/>
        <v>30</v>
      </c>
    </row>
    <row r="14">
      <c r="A14" s="272" t="s">
        <v>1023</v>
      </c>
      <c r="B14" s="122">
        <v>100.0</v>
      </c>
      <c r="C14" s="122">
        <v>2000.0</v>
      </c>
      <c r="D14" s="122" t="s">
        <v>1026</v>
      </c>
      <c r="E14" s="273">
        <v>1.8</v>
      </c>
      <c r="F14" s="122">
        <v>20.0</v>
      </c>
      <c r="G14" s="122">
        <v>5.0</v>
      </c>
      <c r="H14" s="274">
        <f t="shared" si="1"/>
        <v>180</v>
      </c>
    </row>
    <row r="15">
      <c r="A15" s="272" t="s">
        <v>855</v>
      </c>
      <c r="B15" s="122">
        <v>100.0</v>
      </c>
      <c r="C15" s="122" t="s">
        <v>1027</v>
      </c>
      <c r="D15" s="122" t="s">
        <v>1026</v>
      </c>
      <c r="E15" s="273">
        <v>0.25</v>
      </c>
      <c r="F15" s="122">
        <v>10.0</v>
      </c>
      <c r="G15" s="122">
        <v>5.0</v>
      </c>
      <c r="H15" s="274">
        <f t="shared" si="1"/>
        <v>12.5</v>
      </c>
    </row>
    <row r="16">
      <c r="A16" s="272" t="s">
        <v>855</v>
      </c>
      <c r="B16" s="122">
        <v>10.0</v>
      </c>
      <c r="C16" s="122">
        <v>800.0</v>
      </c>
      <c r="D16" s="122" t="s">
        <v>1022</v>
      </c>
      <c r="E16" s="273">
        <v>0.2</v>
      </c>
      <c r="F16" s="122">
        <v>25.0</v>
      </c>
      <c r="G16" s="122">
        <v>2.0</v>
      </c>
      <c r="H16" s="274">
        <f t="shared" si="1"/>
        <v>10</v>
      </c>
    </row>
    <row r="17">
      <c r="A17" s="272" t="s">
        <v>855</v>
      </c>
      <c r="B17" s="122">
        <v>60.0</v>
      </c>
      <c r="C17" s="122">
        <v>1000.0</v>
      </c>
      <c r="D17" s="122" t="s">
        <v>1026</v>
      </c>
      <c r="E17" s="273">
        <v>0.15</v>
      </c>
      <c r="F17" s="122">
        <v>25.0</v>
      </c>
      <c r="G17" s="122">
        <v>1.0</v>
      </c>
      <c r="H17" s="274">
        <f t="shared" si="1"/>
        <v>3.75</v>
      </c>
    </row>
    <row r="18">
      <c r="A18" s="272" t="s">
        <v>855</v>
      </c>
      <c r="B18" s="122">
        <v>80.0</v>
      </c>
      <c r="C18" s="122">
        <v>1000.0</v>
      </c>
      <c r="D18" s="122" t="s">
        <v>1026</v>
      </c>
      <c r="E18" s="273">
        <v>0.2</v>
      </c>
      <c r="F18" s="122">
        <v>30.0</v>
      </c>
      <c r="G18" s="122">
        <v>2.0</v>
      </c>
      <c r="H18" s="274">
        <f t="shared" si="1"/>
        <v>12</v>
      </c>
    </row>
    <row r="19">
      <c r="A19" s="272" t="s">
        <v>855</v>
      </c>
      <c r="B19" s="122">
        <v>100.0</v>
      </c>
      <c r="C19" s="122">
        <v>2000.0</v>
      </c>
      <c r="D19" s="122" t="s">
        <v>1022</v>
      </c>
      <c r="E19" s="273">
        <v>0.8</v>
      </c>
      <c r="F19" s="122">
        <v>10.0</v>
      </c>
      <c r="G19" s="122">
        <v>5.0</v>
      </c>
      <c r="H19" s="274">
        <f t="shared" si="1"/>
        <v>40</v>
      </c>
    </row>
    <row r="20" ht="15.75" customHeight="1">
      <c r="A20" s="275" t="s">
        <v>855</v>
      </c>
      <c r="B20" s="276">
        <v>40.0</v>
      </c>
      <c r="C20" s="276">
        <v>1000.0</v>
      </c>
      <c r="D20" s="276" t="s">
        <v>1022</v>
      </c>
      <c r="E20" s="277">
        <v>0.1</v>
      </c>
      <c r="F20" s="276">
        <v>20.0</v>
      </c>
      <c r="G20" s="276">
        <v>5.0</v>
      </c>
      <c r="H20" s="274">
        <f t="shared" si="1"/>
        <v>10</v>
      </c>
    </row>
    <row r="21" ht="15.75" customHeight="1"/>
    <row r="22" ht="15.75" customHeight="1">
      <c r="A22" s="12" t="s">
        <v>1066</v>
      </c>
    </row>
    <row r="23" ht="15.75" customHeight="1"/>
    <row r="24" ht="15.75" customHeight="1">
      <c r="D24" s="278" t="s">
        <v>432</v>
      </c>
      <c r="E24" s="279" t="s">
        <v>1067</v>
      </c>
    </row>
    <row r="25" ht="15.75" customHeight="1">
      <c r="C25" s="280" t="s">
        <v>1030</v>
      </c>
      <c r="D25" s="281" t="s">
        <v>1022</v>
      </c>
    </row>
    <row r="26" ht="15.75" customHeight="1"/>
    <row r="27" ht="15.75" customHeight="1">
      <c r="A27" s="36"/>
      <c r="B27" s="36"/>
      <c r="C27" s="280" t="str">
        <f>"The COUNT value of "&amp;D25&amp;" is : "</f>
        <v>The COUNT value of Horizon is : </v>
      </c>
      <c r="D27" s="77">
        <f>DCOUNTA(A4:H20,D4,D24:D25)</f>
        <v>8</v>
      </c>
      <c r="E27" s="260" t="s">
        <v>1068</v>
      </c>
    </row>
    <row r="28" ht="15.75" customHeight="1"/>
    <row r="29" ht="15.75" customHeight="1">
      <c r="A29" s="261" t="s">
        <v>1048</v>
      </c>
      <c r="B29" s="261"/>
      <c r="C29" s="261"/>
      <c r="D29" s="261"/>
      <c r="E29" s="261"/>
      <c r="F29" s="261"/>
      <c r="G29" s="261"/>
      <c r="H29" s="261"/>
      <c r="I29" s="261"/>
    </row>
    <row r="30" ht="15.75" customHeight="1">
      <c r="A30" s="12" t="s">
        <v>1069</v>
      </c>
    </row>
    <row r="31" ht="15.75" customHeight="1">
      <c r="A31" s="12" t="s">
        <v>1070</v>
      </c>
    </row>
    <row r="32" ht="15.75" customHeight="1"/>
    <row r="33" ht="15.75" customHeight="1">
      <c r="A33" s="261" t="s">
        <v>985</v>
      </c>
      <c r="B33" s="261"/>
      <c r="C33" s="261"/>
      <c r="D33" s="261"/>
      <c r="E33" s="261"/>
      <c r="F33" s="261"/>
      <c r="G33" s="261"/>
      <c r="H33" s="261"/>
      <c r="I33" s="261"/>
    </row>
    <row r="34" ht="15.75" customHeight="1">
      <c r="A34" s="293" t="s">
        <v>1071</v>
      </c>
    </row>
    <row r="35" ht="15.75" customHeight="1">
      <c r="A35" s="261" t="s">
        <v>1033</v>
      </c>
      <c r="B35" s="261"/>
      <c r="C35" s="261"/>
      <c r="D35" s="261"/>
      <c r="E35" s="261"/>
      <c r="F35" s="261"/>
      <c r="G35" s="261"/>
      <c r="H35" s="261"/>
      <c r="I35" s="261"/>
    </row>
    <row r="36" ht="15.75" customHeight="1"/>
    <row r="37" ht="15.75" customHeight="1">
      <c r="A37" s="283" t="s">
        <v>1072</v>
      </c>
    </row>
    <row r="38" ht="15.75" customHeight="1"/>
    <row r="39" ht="27.0" customHeight="1">
      <c r="D39" s="284" t="s">
        <v>58</v>
      </c>
      <c r="E39" s="294" t="s">
        <v>1017</v>
      </c>
    </row>
    <row r="40" ht="15.75" customHeight="1">
      <c r="D40" s="286" t="s">
        <v>855</v>
      </c>
      <c r="E40" s="287" t="s">
        <v>1027</v>
      </c>
    </row>
    <row r="41" ht="15.75" customHeight="1"/>
    <row r="42" ht="15.75" customHeight="1">
      <c r="C42" s="280" t="s">
        <v>1053</v>
      </c>
      <c r="D42" s="77">
        <f>DCOUNTA(A4:H20,C4,D39:E40)</f>
        <v>1</v>
      </c>
      <c r="E42" s="260" t="s">
        <v>1073</v>
      </c>
    </row>
    <row r="43" ht="15.75" customHeight="1"/>
    <row r="44" ht="15.75" customHeight="1">
      <c r="A44" s="12" t="s">
        <v>1074</v>
      </c>
    </row>
    <row r="45" ht="15.75" customHeight="1"/>
    <row r="46" ht="15.75" customHeight="1">
      <c r="D46" s="77">
        <f>DCOUNTA(A4:H20,"Life Hours",D39:E40)</f>
        <v>1</v>
      </c>
      <c r="E46" s="260" t="s">
        <v>1075</v>
      </c>
    </row>
    <row r="47" ht="15.75" customHeight="1"/>
    <row r="48" ht="15.75" customHeight="1">
      <c r="A48" s="288" t="s">
        <v>1076</v>
      </c>
      <c r="B48" s="289"/>
      <c r="C48" s="289"/>
      <c r="D48" s="289"/>
      <c r="E48" s="289"/>
      <c r="F48" s="289"/>
      <c r="G48" s="289"/>
      <c r="H48" s="289"/>
      <c r="I48" s="289"/>
    </row>
    <row r="49" ht="15.75" customHeight="1"/>
    <row r="50" ht="15.75" customHeight="1">
      <c r="D50" s="284" t="s">
        <v>58</v>
      </c>
      <c r="E50" s="285" t="s">
        <v>432</v>
      </c>
    </row>
    <row r="51" ht="15.75" customHeight="1">
      <c r="D51" s="286" t="s">
        <v>855</v>
      </c>
      <c r="E51" s="287" t="s">
        <v>1022</v>
      </c>
    </row>
    <row r="52" ht="15.75" customHeight="1"/>
    <row r="53" ht="15.75" customHeight="1">
      <c r="C53" s="280" t="s">
        <v>1058</v>
      </c>
      <c r="D53" s="77">
        <f>DCOUNTA(A4:H20,"Product",D50:E51)</f>
        <v>5</v>
      </c>
      <c r="E53" s="260" t="s">
        <v>1077</v>
      </c>
    </row>
    <row r="54" ht="15.75" customHeight="1"/>
    <row r="55" ht="15.75" customHeight="1">
      <c r="A55" s="288" t="s">
        <v>1078</v>
      </c>
      <c r="B55" s="289"/>
      <c r="C55" s="289"/>
      <c r="D55" s="289"/>
      <c r="E55" s="289"/>
      <c r="F55" s="289"/>
      <c r="G55" s="289"/>
      <c r="H55" s="289"/>
      <c r="I55" s="289"/>
    </row>
    <row r="56" ht="15.75" customHeight="1"/>
    <row r="57" ht="15.75" customHeight="1">
      <c r="D57" s="284" t="s">
        <v>58</v>
      </c>
      <c r="E57" s="285" t="s">
        <v>432</v>
      </c>
    </row>
    <row r="58" ht="15.75" customHeight="1">
      <c r="D58" s="300" t="s">
        <v>1024</v>
      </c>
      <c r="E58" s="301" t="s">
        <v>1022</v>
      </c>
    </row>
    <row r="59" ht="15.75" customHeight="1">
      <c r="D59" s="286" t="s">
        <v>1023</v>
      </c>
      <c r="E59" s="287" t="s">
        <v>1026</v>
      </c>
    </row>
    <row r="60" ht="15.75" customHeight="1"/>
    <row r="61" ht="15.75" customHeight="1">
      <c r="C61" s="280" t="s">
        <v>1058</v>
      </c>
      <c r="D61" s="77">
        <f>DCOUNTA(A4:H20,"Product",D57:E59)</f>
        <v>3</v>
      </c>
      <c r="E61" s="260" t="s">
        <v>1079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1080</v>
      </c>
    </row>
    <row r="2" ht="15.75" customHeight="1">
      <c r="A2" s="21" t="s">
        <v>1081</v>
      </c>
    </row>
    <row r="3" ht="27.0" customHeight="1">
      <c r="A3" s="297" t="s">
        <v>58</v>
      </c>
      <c r="B3" s="298" t="s">
        <v>1016</v>
      </c>
      <c r="C3" s="298" t="s">
        <v>1017</v>
      </c>
      <c r="D3" s="298" t="s">
        <v>432</v>
      </c>
      <c r="E3" s="298" t="s">
        <v>1018</v>
      </c>
      <c r="F3" s="298" t="s">
        <v>1019</v>
      </c>
      <c r="G3" s="298" t="s">
        <v>1020</v>
      </c>
      <c r="H3" s="299" t="s">
        <v>1021</v>
      </c>
    </row>
    <row r="4">
      <c r="A4" s="272" t="s">
        <v>855</v>
      </c>
      <c r="B4" s="122">
        <v>200.0</v>
      </c>
      <c r="C4" s="122">
        <v>3000.0</v>
      </c>
      <c r="D4" s="122" t="s">
        <v>1022</v>
      </c>
      <c r="E4" s="273">
        <v>4.5</v>
      </c>
      <c r="F4" s="122">
        <v>4.0</v>
      </c>
      <c r="G4" s="122">
        <v>3.0</v>
      </c>
      <c r="H4" s="274">
        <f t="shared" ref="H4:H19" si="1">E4*F4*G4</f>
        <v>54</v>
      </c>
    </row>
    <row r="5">
      <c r="A5" s="272" t="s">
        <v>1023</v>
      </c>
      <c r="B5" s="122">
        <v>100.0</v>
      </c>
      <c r="C5" s="122">
        <v>2000.0</v>
      </c>
      <c r="D5" s="122" t="s">
        <v>1022</v>
      </c>
      <c r="E5" s="273">
        <v>2.0</v>
      </c>
      <c r="F5" s="122">
        <v>15.0</v>
      </c>
      <c r="G5" s="122">
        <v>2.0</v>
      </c>
      <c r="H5" s="274">
        <f t="shared" si="1"/>
        <v>60</v>
      </c>
    </row>
    <row r="6">
      <c r="A6" s="272" t="s">
        <v>1024</v>
      </c>
      <c r="B6" s="122">
        <v>60.0</v>
      </c>
      <c r="C6" s="122"/>
      <c r="D6" s="122"/>
      <c r="E6" s="273"/>
      <c r="F6" s="122"/>
      <c r="G6" s="122"/>
      <c r="H6" s="274">
        <f t="shared" si="1"/>
        <v>0</v>
      </c>
    </row>
    <row r="7">
      <c r="A7" s="272" t="s">
        <v>1025</v>
      </c>
      <c r="B7" s="122">
        <v>10.0</v>
      </c>
      <c r="C7" s="122">
        <v>8000.0</v>
      </c>
      <c r="D7" s="122" t="s">
        <v>1026</v>
      </c>
      <c r="E7" s="273">
        <v>0.8</v>
      </c>
      <c r="F7" s="122">
        <v>25.0</v>
      </c>
      <c r="G7" s="122">
        <v>6.0</v>
      </c>
      <c r="H7" s="274">
        <f t="shared" si="1"/>
        <v>120</v>
      </c>
    </row>
    <row r="8">
      <c r="A8" s="272" t="s">
        <v>855</v>
      </c>
      <c r="B8" s="122">
        <v>80.0</v>
      </c>
      <c r="C8" s="122">
        <v>1000.0</v>
      </c>
      <c r="D8" s="122" t="s">
        <v>1022</v>
      </c>
      <c r="E8" s="273">
        <v>0.2</v>
      </c>
      <c r="F8" s="122">
        <v>40.0</v>
      </c>
      <c r="G8" s="122">
        <v>3.0</v>
      </c>
      <c r="H8" s="274">
        <f t="shared" si="1"/>
        <v>24</v>
      </c>
    </row>
    <row r="9">
      <c r="A9" s="272" t="s">
        <v>1024</v>
      </c>
      <c r="B9" s="122">
        <v>100.0</v>
      </c>
      <c r="C9" s="122" t="s">
        <v>1027</v>
      </c>
      <c r="D9" s="122" t="s">
        <v>1022</v>
      </c>
      <c r="E9" s="273">
        <v>1.25</v>
      </c>
      <c r="F9" s="122">
        <v>10.0</v>
      </c>
      <c r="G9" s="122">
        <v>4.0</v>
      </c>
      <c r="H9" s="274">
        <f t="shared" si="1"/>
        <v>50</v>
      </c>
    </row>
    <row r="10">
      <c r="A10" s="272" t="s">
        <v>1024</v>
      </c>
      <c r="B10" s="122">
        <v>200.0</v>
      </c>
      <c r="C10" s="122">
        <v>3000.0</v>
      </c>
      <c r="D10" s="122" t="s">
        <v>1022</v>
      </c>
      <c r="E10" s="273">
        <v>2.5</v>
      </c>
      <c r="F10" s="122">
        <v>15.0</v>
      </c>
      <c r="G10" s="122">
        <v>0.0</v>
      </c>
      <c r="H10" s="274">
        <f t="shared" si="1"/>
        <v>0</v>
      </c>
    </row>
    <row r="11">
      <c r="A11" s="272" t="s">
        <v>1025</v>
      </c>
      <c r="B11" s="122">
        <v>25.0</v>
      </c>
      <c r="C11" s="122" t="s">
        <v>1027</v>
      </c>
      <c r="D11" s="122" t="s">
        <v>1026</v>
      </c>
      <c r="E11" s="273">
        <v>0.5</v>
      </c>
      <c r="F11" s="122">
        <v>10.0</v>
      </c>
      <c r="G11" s="122">
        <v>3.0</v>
      </c>
      <c r="H11" s="274">
        <f t="shared" si="1"/>
        <v>15</v>
      </c>
    </row>
    <row r="12">
      <c r="A12" s="272" t="s">
        <v>855</v>
      </c>
      <c r="B12" s="122">
        <v>200.0</v>
      </c>
      <c r="C12" s="122">
        <v>3000.0</v>
      </c>
      <c r="D12" s="122" t="s">
        <v>1026</v>
      </c>
      <c r="E12" s="273">
        <v>5.0</v>
      </c>
      <c r="F12" s="122">
        <v>3.0</v>
      </c>
      <c r="G12" s="122">
        <v>2.0</v>
      </c>
      <c r="H12" s="274">
        <f t="shared" si="1"/>
        <v>30</v>
      </c>
    </row>
    <row r="13">
      <c r="A13" s="272" t="s">
        <v>1023</v>
      </c>
      <c r="B13" s="122">
        <v>100.0</v>
      </c>
      <c r="C13" s="122">
        <v>2000.0</v>
      </c>
      <c r="D13" s="122" t="s">
        <v>1026</v>
      </c>
      <c r="E13" s="273">
        <v>1.8</v>
      </c>
      <c r="F13" s="122">
        <v>20.0</v>
      </c>
      <c r="G13" s="122">
        <v>5.0</v>
      </c>
      <c r="H13" s="274">
        <f t="shared" si="1"/>
        <v>180</v>
      </c>
    </row>
    <row r="14">
      <c r="A14" s="272" t="s">
        <v>855</v>
      </c>
      <c r="B14" s="122">
        <v>100.0</v>
      </c>
      <c r="C14" s="122" t="s">
        <v>1027</v>
      </c>
      <c r="D14" s="122" t="s">
        <v>1026</v>
      </c>
      <c r="E14" s="273">
        <v>0.25</v>
      </c>
      <c r="F14" s="122">
        <v>10.0</v>
      </c>
      <c r="G14" s="122">
        <v>5.0</v>
      </c>
      <c r="H14" s="274">
        <f t="shared" si="1"/>
        <v>12.5</v>
      </c>
    </row>
    <row r="15">
      <c r="A15" s="272" t="s">
        <v>855</v>
      </c>
      <c r="B15" s="122">
        <v>10.0</v>
      </c>
      <c r="C15" s="122">
        <v>800.0</v>
      </c>
      <c r="D15" s="122" t="s">
        <v>1022</v>
      </c>
      <c r="E15" s="273">
        <v>0.2</v>
      </c>
      <c r="F15" s="122">
        <v>25.0</v>
      </c>
      <c r="G15" s="122">
        <v>2.0</v>
      </c>
      <c r="H15" s="274">
        <f t="shared" si="1"/>
        <v>10</v>
      </c>
    </row>
    <row r="16">
      <c r="A16" s="272" t="s">
        <v>855</v>
      </c>
      <c r="B16" s="122">
        <v>60.0</v>
      </c>
      <c r="C16" s="122">
        <v>1000.0</v>
      </c>
      <c r="D16" s="122" t="s">
        <v>1026</v>
      </c>
      <c r="E16" s="273">
        <v>0.15</v>
      </c>
      <c r="F16" s="122">
        <v>25.0</v>
      </c>
      <c r="G16" s="122">
        <v>0.0</v>
      </c>
      <c r="H16" s="274">
        <f t="shared" si="1"/>
        <v>0</v>
      </c>
    </row>
    <row r="17">
      <c r="A17" s="272" t="s">
        <v>855</v>
      </c>
      <c r="B17" s="122">
        <v>80.0</v>
      </c>
      <c r="C17" s="122">
        <v>1000.0</v>
      </c>
      <c r="D17" s="122" t="s">
        <v>1026</v>
      </c>
      <c r="E17" s="273">
        <v>0.2</v>
      </c>
      <c r="F17" s="122">
        <v>30.0</v>
      </c>
      <c r="G17" s="122">
        <v>2.0</v>
      </c>
      <c r="H17" s="274">
        <f t="shared" si="1"/>
        <v>12</v>
      </c>
    </row>
    <row r="18">
      <c r="A18" s="272" t="s">
        <v>855</v>
      </c>
      <c r="B18" s="122">
        <v>100.0</v>
      </c>
      <c r="C18" s="122">
        <v>2000.0</v>
      </c>
      <c r="D18" s="122" t="s">
        <v>1022</v>
      </c>
      <c r="E18" s="273">
        <v>0.8</v>
      </c>
      <c r="F18" s="122">
        <v>10.0</v>
      </c>
      <c r="G18" s="122">
        <v>5.0</v>
      </c>
      <c r="H18" s="274">
        <f t="shared" si="1"/>
        <v>40</v>
      </c>
    </row>
    <row r="19" ht="15.75" customHeight="1">
      <c r="A19" s="275" t="s">
        <v>855</v>
      </c>
      <c r="B19" s="276">
        <v>40.0</v>
      </c>
      <c r="C19" s="276">
        <v>1000.0</v>
      </c>
      <c r="D19" s="276" t="s">
        <v>1022</v>
      </c>
      <c r="E19" s="277">
        <v>0.1</v>
      </c>
      <c r="F19" s="276">
        <v>20.0</v>
      </c>
      <c r="G19" s="276">
        <v>5.0</v>
      </c>
      <c r="H19" s="274">
        <f t="shared" si="1"/>
        <v>10</v>
      </c>
    </row>
    <row r="20" ht="15.75" customHeight="1"/>
    <row r="21" ht="15.75" customHeight="1">
      <c r="A21" s="12" t="s">
        <v>1082</v>
      </c>
    </row>
    <row r="22" ht="15.75" customHeight="1"/>
    <row r="23" ht="15.75" customHeight="1">
      <c r="D23" s="278" t="s">
        <v>432</v>
      </c>
      <c r="E23" s="279" t="s">
        <v>1083</v>
      </c>
    </row>
    <row r="24" ht="15.75" customHeight="1">
      <c r="C24" s="280" t="s">
        <v>1030</v>
      </c>
      <c r="D24" s="281" t="s">
        <v>1022</v>
      </c>
    </row>
    <row r="25" ht="15.75" customHeight="1"/>
    <row r="26" ht="15.75" customHeight="1">
      <c r="A26" s="36"/>
      <c r="B26" s="36"/>
      <c r="C26" s="280" t="str">
        <f>"The MAX value of "&amp;D24&amp;" is : "</f>
        <v>The MAX value of Horizon is : </v>
      </c>
      <c r="D26" s="282">
        <f>DMAX(A3:H19,H3,D23:D24)</f>
        <v>60</v>
      </c>
      <c r="E26" s="260" t="s">
        <v>1084</v>
      </c>
    </row>
    <row r="27" ht="15.75" customHeight="1"/>
    <row r="28" ht="15.75" customHeight="1">
      <c r="A28" s="261" t="s">
        <v>1048</v>
      </c>
      <c r="B28" s="261"/>
      <c r="C28" s="261"/>
      <c r="D28" s="261"/>
      <c r="E28" s="261"/>
      <c r="F28" s="261"/>
      <c r="G28" s="261"/>
      <c r="H28" s="261"/>
      <c r="I28" s="261"/>
    </row>
    <row r="29" ht="15.75" customHeight="1">
      <c r="A29" s="12" t="s">
        <v>1085</v>
      </c>
    </row>
    <row r="30" ht="15.75" customHeight="1"/>
    <row r="31" ht="15.75" customHeight="1">
      <c r="A31" s="261" t="s">
        <v>985</v>
      </c>
      <c r="B31" s="261"/>
      <c r="C31" s="261"/>
      <c r="D31" s="261"/>
      <c r="E31" s="261"/>
      <c r="F31" s="261"/>
      <c r="G31" s="261"/>
      <c r="H31" s="261"/>
      <c r="I31" s="261"/>
    </row>
    <row r="32" ht="15.75" customHeight="1">
      <c r="A32" s="293" t="s">
        <v>1086</v>
      </c>
    </row>
    <row r="33" ht="15.75" customHeight="1"/>
    <row r="34" ht="15.75" customHeight="1">
      <c r="A34" s="261" t="s">
        <v>1033</v>
      </c>
      <c r="B34" s="261"/>
      <c r="C34" s="261"/>
      <c r="D34" s="261"/>
      <c r="E34" s="261"/>
      <c r="F34" s="261"/>
      <c r="G34" s="261"/>
      <c r="H34" s="261"/>
      <c r="I34" s="261"/>
    </row>
    <row r="35" ht="15.75" customHeight="1"/>
    <row r="36" ht="15.75" customHeight="1">
      <c r="A36" s="283" t="s">
        <v>1087</v>
      </c>
    </row>
    <row r="37" ht="15.75" customHeight="1"/>
    <row r="38" ht="15.75" customHeight="1">
      <c r="D38" s="284" t="s">
        <v>58</v>
      </c>
      <c r="E38" s="285" t="s">
        <v>432</v>
      </c>
    </row>
    <row r="39" ht="15.75" customHeight="1">
      <c r="D39" s="286" t="s">
        <v>855</v>
      </c>
      <c r="E39" s="287" t="s">
        <v>1031</v>
      </c>
    </row>
    <row r="40" ht="15.75" customHeight="1"/>
    <row r="41" ht="15.75" customHeight="1">
      <c r="C41" s="280" t="s">
        <v>1088</v>
      </c>
      <c r="D41" s="282">
        <f>DMAX(A3:H19,H3,D38:E39)</f>
        <v>30</v>
      </c>
      <c r="E41" s="260" t="s">
        <v>1089</v>
      </c>
    </row>
    <row r="42" ht="15.75" customHeight="1">
      <c r="D42" s="12">
        <f>+917417511352</f>
        <v>917417511352</v>
      </c>
    </row>
    <row r="43" ht="15.75" customHeight="1">
      <c r="A43" s="12" t="s">
        <v>1090</v>
      </c>
    </row>
    <row r="44" ht="15.75" customHeight="1"/>
    <row r="45" ht="15.75" customHeight="1">
      <c r="D45" s="282">
        <f>DMAX(A3:H19,"Value Of Stock",D38:E39)</f>
        <v>30</v>
      </c>
      <c r="E45" s="260" t="s">
        <v>1091</v>
      </c>
    </row>
    <row r="46" ht="15.75" customHeight="1"/>
    <row r="47" ht="15.75" customHeight="1">
      <c r="A47" s="288" t="s">
        <v>1092</v>
      </c>
      <c r="B47" s="289"/>
      <c r="C47" s="289"/>
      <c r="D47" s="289"/>
      <c r="E47" s="289"/>
      <c r="F47" s="289"/>
      <c r="G47" s="289"/>
      <c r="H47" s="289"/>
      <c r="I47" s="289"/>
    </row>
    <row r="48" ht="15.75" customHeight="1"/>
    <row r="49" ht="15.75" customHeight="1">
      <c r="D49" s="284" t="s">
        <v>58</v>
      </c>
      <c r="E49" s="285" t="s">
        <v>1016</v>
      </c>
    </row>
    <row r="50" ht="15.75" customHeight="1">
      <c r="D50" s="286" t="s">
        <v>855</v>
      </c>
      <c r="E50" s="287">
        <v>100.0</v>
      </c>
    </row>
    <row r="51" ht="15.75" customHeight="1"/>
    <row r="52" ht="15.75" customHeight="1">
      <c r="C52" s="280" t="s">
        <v>1093</v>
      </c>
      <c r="D52" s="282">
        <f>DMAX(A3:H19,"Value Of Stock",D49:E50)</f>
        <v>40</v>
      </c>
      <c r="E52" s="260" t="s">
        <v>1094</v>
      </c>
    </row>
    <row r="53" ht="15.75" customHeight="1"/>
    <row r="54" ht="15.75" customHeight="1">
      <c r="A54" s="288" t="s">
        <v>1095</v>
      </c>
      <c r="B54" s="289"/>
      <c r="C54" s="289"/>
      <c r="D54" s="289"/>
      <c r="E54" s="289"/>
      <c r="F54" s="289"/>
      <c r="G54" s="289"/>
      <c r="H54" s="289"/>
      <c r="I54" s="289"/>
    </row>
    <row r="55" ht="15.75" customHeight="1"/>
    <row r="56" ht="15.75" customHeight="1">
      <c r="D56" s="284" t="s">
        <v>58</v>
      </c>
      <c r="E56" s="285" t="s">
        <v>1016</v>
      </c>
    </row>
    <row r="57" ht="15.75" customHeight="1">
      <c r="D57" s="286" t="s">
        <v>855</v>
      </c>
      <c r="E57" s="287" t="s">
        <v>1041</v>
      </c>
    </row>
    <row r="58" ht="15.75" customHeight="1"/>
    <row r="59" ht="15.75" customHeight="1">
      <c r="C59" s="280" t="s">
        <v>1093</v>
      </c>
      <c r="D59" s="282">
        <f>DMAX(A3:H19,"Value Of Stock",D56:E57)</f>
        <v>24</v>
      </c>
      <c r="E59" s="260" t="s">
        <v>1096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8.75" customHeight="1">
      <c r="A1" s="19" t="s">
        <v>1097</v>
      </c>
    </row>
    <row r="2">
      <c r="A2" s="21" t="s">
        <v>1098</v>
      </c>
    </row>
    <row r="3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ht="27.0" customHeight="1">
      <c r="A4" s="297" t="s">
        <v>58</v>
      </c>
      <c r="B4" s="298" t="s">
        <v>1016</v>
      </c>
      <c r="C4" s="298" t="s">
        <v>1017</v>
      </c>
      <c r="D4" s="298" t="s">
        <v>432</v>
      </c>
      <c r="E4" s="298" t="s">
        <v>1018</v>
      </c>
      <c r="F4" s="298" t="s">
        <v>1019</v>
      </c>
      <c r="G4" s="298" t="s">
        <v>1020</v>
      </c>
      <c r="H4" s="299" t="s">
        <v>1021</v>
      </c>
    </row>
    <row r="5">
      <c r="A5" s="272" t="s">
        <v>855</v>
      </c>
      <c r="B5" s="122">
        <v>200.0</v>
      </c>
      <c r="C5" s="122">
        <v>3000.0</v>
      </c>
      <c r="D5" s="122" t="s">
        <v>1022</v>
      </c>
      <c r="E5" s="273">
        <v>4.5</v>
      </c>
      <c r="F5" s="122">
        <v>4.0</v>
      </c>
      <c r="G5" s="122">
        <v>3.0</v>
      </c>
      <c r="H5" s="274">
        <f t="shared" ref="H5:H20" si="1">E5*F5*G5</f>
        <v>54</v>
      </c>
    </row>
    <row r="6">
      <c r="A6" s="272" t="s">
        <v>1023</v>
      </c>
      <c r="B6" s="122">
        <v>100.0</v>
      </c>
      <c r="C6" s="122">
        <v>2000.0</v>
      </c>
      <c r="D6" s="122" t="s">
        <v>1022</v>
      </c>
      <c r="E6" s="273">
        <v>2.0</v>
      </c>
      <c r="F6" s="122">
        <v>15.0</v>
      </c>
      <c r="G6" s="122">
        <v>2.0</v>
      </c>
      <c r="H6" s="274">
        <f t="shared" si="1"/>
        <v>60</v>
      </c>
    </row>
    <row r="7">
      <c r="A7" s="272" t="s">
        <v>1024</v>
      </c>
      <c r="B7" s="122">
        <v>60.0</v>
      </c>
      <c r="C7" s="122"/>
      <c r="D7" s="122"/>
      <c r="E7" s="273"/>
      <c r="F7" s="122"/>
      <c r="G7" s="122"/>
      <c r="H7" s="274">
        <f t="shared" si="1"/>
        <v>0</v>
      </c>
    </row>
    <row r="8">
      <c r="A8" s="272" t="s">
        <v>1025</v>
      </c>
      <c r="B8" s="122">
        <v>10.0</v>
      </c>
      <c r="C8" s="122">
        <v>8000.0</v>
      </c>
      <c r="D8" s="122" t="s">
        <v>1026</v>
      </c>
      <c r="E8" s="273">
        <v>0.8</v>
      </c>
      <c r="F8" s="122">
        <v>25.0</v>
      </c>
      <c r="G8" s="122">
        <v>6.0</v>
      </c>
      <c r="H8" s="274">
        <f t="shared" si="1"/>
        <v>120</v>
      </c>
    </row>
    <row r="9">
      <c r="A9" s="272" t="s">
        <v>855</v>
      </c>
      <c r="B9" s="122">
        <v>80.0</v>
      </c>
      <c r="C9" s="122">
        <v>1000.0</v>
      </c>
      <c r="D9" s="122" t="s">
        <v>1022</v>
      </c>
      <c r="E9" s="273">
        <v>0.2</v>
      </c>
      <c r="F9" s="122">
        <v>40.0</v>
      </c>
      <c r="G9" s="122">
        <v>3.0</v>
      </c>
      <c r="H9" s="274">
        <f t="shared" si="1"/>
        <v>24</v>
      </c>
    </row>
    <row r="10">
      <c r="A10" s="272" t="s">
        <v>1024</v>
      </c>
      <c r="B10" s="122">
        <v>100.0</v>
      </c>
      <c r="C10" s="122" t="s">
        <v>1027</v>
      </c>
      <c r="D10" s="122" t="s">
        <v>1022</v>
      </c>
      <c r="E10" s="273">
        <v>1.25</v>
      </c>
      <c r="F10" s="122">
        <v>10.0</v>
      </c>
      <c r="G10" s="122">
        <v>4.0</v>
      </c>
      <c r="H10" s="274">
        <f t="shared" si="1"/>
        <v>50</v>
      </c>
    </row>
    <row r="11">
      <c r="A11" s="272" t="s">
        <v>1024</v>
      </c>
      <c r="B11" s="122">
        <v>200.0</v>
      </c>
      <c r="C11" s="122">
        <v>3000.0</v>
      </c>
      <c r="D11" s="122" t="s">
        <v>1022</v>
      </c>
      <c r="E11" s="273">
        <v>2.5</v>
      </c>
      <c r="F11" s="122">
        <v>15.0</v>
      </c>
      <c r="G11" s="122">
        <v>0.0</v>
      </c>
      <c r="H11" s="274">
        <f t="shared" si="1"/>
        <v>0</v>
      </c>
    </row>
    <row r="12">
      <c r="A12" s="272" t="s">
        <v>1025</v>
      </c>
      <c r="B12" s="122">
        <v>25.0</v>
      </c>
      <c r="C12" s="122" t="s">
        <v>1027</v>
      </c>
      <c r="D12" s="122" t="s">
        <v>1026</v>
      </c>
      <c r="E12" s="273">
        <v>0.5</v>
      </c>
      <c r="F12" s="122">
        <v>10.0</v>
      </c>
      <c r="G12" s="122">
        <v>3.0</v>
      </c>
      <c r="H12" s="274">
        <f t="shared" si="1"/>
        <v>15</v>
      </c>
    </row>
    <row r="13">
      <c r="A13" s="272" t="s">
        <v>855</v>
      </c>
      <c r="B13" s="122">
        <v>200.0</v>
      </c>
      <c r="C13" s="122">
        <v>3000.0</v>
      </c>
      <c r="D13" s="122" t="s">
        <v>1026</v>
      </c>
      <c r="E13" s="273">
        <v>5.0</v>
      </c>
      <c r="F13" s="122">
        <v>3.0</v>
      </c>
      <c r="G13" s="122">
        <v>2.0</v>
      </c>
      <c r="H13" s="274">
        <f t="shared" si="1"/>
        <v>30</v>
      </c>
    </row>
    <row r="14">
      <c r="A14" s="272" t="s">
        <v>1023</v>
      </c>
      <c r="B14" s="122">
        <v>100.0</v>
      </c>
      <c r="C14" s="122">
        <v>2000.0</v>
      </c>
      <c r="D14" s="122" t="s">
        <v>1026</v>
      </c>
      <c r="E14" s="273">
        <v>1.8</v>
      </c>
      <c r="F14" s="122">
        <v>20.0</v>
      </c>
      <c r="G14" s="122">
        <v>5.0</v>
      </c>
      <c r="H14" s="274">
        <f t="shared" si="1"/>
        <v>180</v>
      </c>
    </row>
    <row r="15">
      <c r="A15" s="272" t="s">
        <v>855</v>
      </c>
      <c r="B15" s="122">
        <v>100.0</v>
      </c>
      <c r="C15" s="122" t="s">
        <v>1027</v>
      </c>
      <c r="D15" s="122" t="s">
        <v>1026</v>
      </c>
      <c r="E15" s="273">
        <v>0.25</v>
      </c>
      <c r="F15" s="122">
        <v>10.0</v>
      </c>
      <c r="G15" s="122">
        <v>5.0</v>
      </c>
      <c r="H15" s="274">
        <f t="shared" si="1"/>
        <v>12.5</v>
      </c>
    </row>
    <row r="16">
      <c r="A16" s="272" t="s">
        <v>855</v>
      </c>
      <c r="B16" s="122">
        <v>10.0</v>
      </c>
      <c r="C16" s="122">
        <v>800.0</v>
      </c>
      <c r="D16" s="122" t="s">
        <v>1022</v>
      </c>
      <c r="E16" s="273">
        <v>0.2</v>
      </c>
      <c r="F16" s="122">
        <v>25.0</v>
      </c>
      <c r="G16" s="122">
        <v>2.0</v>
      </c>
      <c r="H16" s="274">
        <f t="shared" si="1"/>
        <v>10</v>
      </c>
    </row>
    <row r="17">
      <c r="A17" s="272" t="s">
        <v>855</v>
      </c>
      <c r="B17" s="122">
        <v>60.0</v>
      </c>
      <c r="C17" s="122">
        <v>1000.0</v>
      </c>
      <c r="D17" s="122" t="s">
        <v>1026</v>
      </c>
      <c r="E17" s="273">
        <v>0.15</v>
      </c>
      <c r="F17" s="122">
        <v>25.0</v>
      </c>
      <c r="G17" s="122">
        <v>0.0</v>
      </c>
      <c r="H17" s="274">
        <f t="shared" si="1"/>
        <v>0</v>
      </c>
    </row>
    <row r="18">
      <c r="A18" s="272" t="s">
        <v>855</v>
      </c>
      <c r="B18" s="122">
        <v>80.0</v>
      </c>
      <c r="C18" s="122">
        <v>1000.0</v>
      </c>
      <c r="D18" s="122" t="s">
        <v>1026</v>
      </c>
      <c r="E18" s="273">
        <v>0.2</v>
      </c>
      <c r="F18" s="122">
        <v>30.0</v>
      </c>
      <c r="G18" s="122">
        <v>2.0</v>
      </c>
      <c r="H18" s="274">
        <f t="shared" si="1"/>
        <v>12</v>
      </c>
    </row>
    <row r="19">
      <c r="A19" s="272" t="s">
        <v>855</v>
      </c>
      <c r="B19" s="122">
        <v>100.0</v>
      </c>
      <c r="C19" s="122">
        <v>2000.0</v>
      </c>
      <c r="D19" s="122" t="s">
        <v>1022</v>
      </c>
      <c r="E19" s="273">
        <v>0.8</v>
      </c>
      <c r="F19" s="122">
        <v>10.0</v>
      </c>
      <c r="G19" s="122">
        <v>5.0</v>
      </c>
      <c r="H19" s="274">
        <f t="shared" si="1"/>
        <v>40</v>
      </c>
    </row>
    <row r="20" ht="15.75" customHeight="1">
      <c r="A20" s="275" t="s">
        <v>855</v>
      </c>
      <c r="B20" s="276">
        <v>40.0</v>
      </c>
      <c r="C20" s="276">
        <v>1000.0</v>
      </c>
      <c r="D20" s="276" t="s">
        <v>1022</v>
      </c>
      <c r="E20" s="277">
        <v>0.1</v>
      </c>
      <c r="F20" s="276">
        <v>20.0</v>
      </c>
      <c r="G20" s="276">
        <v>5.0</v>
      </c>
      <c r="H20" s="274">
        <f t="shared" si="1"/>
        <v>10</v>
      </c>
    </row>
    <row r="21" ht="15.75" customHeight="1"/>
    <row r="22" ht="15.75" customHeight="1">
      <c r="A22" s="12" t="s">
        <v>1099</v>
      </c>
    </row>
    <row r="23" ht="15.75" customHeight="1"/>
    <row r="24" ht="15.75" customHeight="1">
      <c r="D24" s="278" t="s">
        <v>432</v>
      </c>
      <c r="E24" s="279" t="s">
        <v>1100</v>
      </c>
    </row>
    <row r="25" ht="15.75" customHeight="1">
      <c r="C25" s="280" t="s">
        <v>1030</v>
      </c>
      <c r="D25" s="281" t="s">
        <v>1022</v>
      </c>
    </row>
    <row r="26" ht="15.75" customHeight="1"/>
    <row r="27" ht="15.75" customHeight="1">
      <c r="A27" s="36"/>
      <c r="B27" s="36"/>
      <c r="C27" s="280" t="str">
        <f>"The stock value of "&amp;D25&amp;" is : "</f>
        <v>The stock value of Horizon is : </v>
      </c>
      <c r="D27" s="282">
        <f>DSUM(A4:H20,H4,D24:D25)</f>
        <v>248</v>
      </c>
      <c r="E27" s="260" t="s">
        <v>1101</v>
      </c>
    </row>
    <row r="28" ht="15.75" customHeight="1"/>
    <row r="29" ht="15.75" customHeight="1">
      <c r="A29" s="261" t="s">
        <v>985</v>
      </c>
      <c r="B29" s="261"/>
      <c r="C29" s="261"/>
      <c r="D29" s="261"/>
      <c r="E29" s="261"/>
      <c r="F29" s="261"/>
      <c r="G29" s="261"/>
      <c r="H29" s="261"/>
      <c r="I29" s="261"/>
    </row>
    <row r="30" ht="15.75" customHeight="1">
      <c r="A30" s="293" t="s">
        <v>1102</v>
      </c>
    </row>
    <row r="31" ht="15.75" customHeight="1">
      <c r="A31" s="261" t="s">
        <v>1033</v>
      </c>
      <c r="B31" s="261"/>
      <c r="C31" s="261"/>
      <c r="D31" s="261"/>
      <c r="E31" s="261"/>
      <c r="F31" s="261"/>
      <c r="G31" s="261"/>
      <c r="H31" s="261"/>
      <c r="I31" s="261"/>
    </row>
    <row r="32" ht="15.75" customHeight="1"/>
    <row r="33" ht="15.75" customHeight="1">
      <c r="A33" s="283" t="s">
        <v>1103</v>
      </c>
    </row>
    <row r="34" ht="15.75" customHeight="1"/>
    <row r="35" ht="15.75" customHeight="1">
      <c r="D35" s="284" t="s">
        <v>58</v>
      </c>
      <c r="E35" s="285" t="s">
        <v>432</v>
      </c>
    </row>
    <row r="36" ht="15.75" customHeight="1">
      <c r="D36" s="286" t="s">
        <v>855</v>
      </c>
      <c r="E36" s="287" t="s">
        <v>1031</v>
      </c>
    </row>
    <row r="37" ht="15.75" customHeight="1"/>
    <row r="38" ht="15.75" customHeight="1">
      <c r="C38" s="280" t="s">
        <v>1104</v>
      </c>
      <c r="D38" s="282">
        <f>DSUM(A4:H20,H4,D35:E36)</f>
        <v>54.5</v>
      </c>
      <c r="E38" s="260" t="s">
        <v>1105</v>
      </c>
    </row>
    <row r="39" ht="15.75" customHeight="1"/>
    <row r="40" ht="15.75" customHeight="1">
      <c r="A40" s="12" t="s">
        <v>1090</v>
      </c>
    </row>
    <row r="41" ht="15.75" customHeight="1"/>
    <row r="42" ht="15.75" customHeight="1">
      <c r="D42" s="282">
        <f>DSUM(A4:H20,"Value Of Stock",D35:E36)</f>
        <v>54.5</v>
      </c>
      <c r="E42" s="260" t="s">
        <v>1106</v>
      </c>
    </row>
    <row r="43" ht="15.75" customHeight="1"/>
    <row r="44" ht="15.75" customHeight="1">
      <c r="A44" s="288" t="s">
        <v>1107</v>
      </c>
      <c r="B44" s="289"/>
      <c r="C44" s="289"/>
      <c r="D44" s="289"/>
      <c r="E44" s="289"/>
      <c r="F44" s="289"/>
      <c r="G44" s="289"/>
      <c r="H44" s="289"/>
      <c r="I44" s="289"/>
    </row>
    <row r="45" ht="15.75" customHeight="1"/>
    <row r="46" ht="15.75" customHeight="1">
      <c r="D46" s="284" t="s">
        <v>58</v>
      </c>
      <c r="E46" s="285" t="s">
        <v>1016</v>
      </c>
    </row>
    <row r="47" ht="15.75" customHeight="1">
      <c r="D47" s="286" t="s">
        <v>855</v>
      </c>
      <c r="E47" s="287">
        <v>100.0</v>
      </c>
    </row>
    <row r="48" ht="15.75" customHeight="1"/>
    <row r="49" ht="15.75" customHeight="1">
      <c r="C49" s="280" t="s">
        <v>1108</v>
      </c>
      <c r="D49" s="282">
        <f>DSUM(A4:H20,"Value Of Stock",D46:E47)</f>
        <v>52.5</v>
      </c>
      <c r="E49" s="260" t="s">
        <v>1109</v>
      </c>
    </row>
    <row r="50" ht="15.75" customHeight="1"/>
    <row r="51" ht="15.75" customHeight="1">
      <c r="A51" s="288" t="s">
        <v>1110</v>
      </c>
      <c r="B51" s="289"/>
      <c r="C51" s="289"/>
      <c r="D51" s="289"/>
      <c r="E51" s="289"/>
      <c r="F51" s="289"/>
      <c r="G51" s="289"/>
      <c r="H51" s="289"/>
      <c r="I51" s="289"/>
    </row>
    <row r="52" ht="15.75" customHeight="1"/>
    <row r="53" ht="15.75" customHeight="1">
      <c r="D53" s="284" t="s">
        <v>58</v>
      </c>
      <c r="E53" s="285" t="s">
        <v>1016</v>
      </c>
    </row>
    <row r="54" ht="15.75" customHeight="1">
      <c r="D54" s="286" t="s">
        <v>855</v>
      </c>
      <c r="E54" s="287" t="s">
        <v>1041</v>
      </c>
    </row>
    <row r="55" ht="15.75" customHeight="1"/>
    <row r="56" ht="15.75" customHeight="1">
      <c r="C56" s="280" t="s">
        <v>1108</v>
      </c>
      <c r="D56" s="282">
        <f>DSUM(A4:H20,"Value Of Stock",D53:E54)</f>
        <v>56</v>
      </c>
      <c r="E56" s="260" t="s">
        <v>1111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0000"/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3" width="15.57"/>
    <col customWidth="1" min="4" max="4" width="14.86"/>
    <col customWidth="1" min="5" max="26" width="8.0"/>
  </cols>
  <sheetData>
    <row r="1" ht="18.75" customHeight="1">
      <c r="A1" s="19" t="s">
        <v>1112</v>
      </c>
      <c r="H1" s="20"/>
      <c r="I1" s="20"/>
      <c r="J1" s="20"/>
    </row>
    <row r="2">
      <c r="A2" s="21" t="s">
        <v>1113</v>
      </c>
      <c r="H2" s="15"/>
      <c r="I2" s="15"/>
      <c r="J2" s="15"/>
    </row>
    <row r="4">
      <c r="A4" s="122" t="s">
        <v>1114</v>
      </c>
      <c r="B4" s="122" t="s">
        <v>1115</v>
      </c>
      <c r="C4" s="122" t="s">
        <v>1116</v>
      </c>
    </row>
    <row r="5">
      <c r="A5" s="76" t="s">
        <v>1117</v>
      </c>
      <c r="B5" s="76" t="s">
        <v>1118</v>
      </c>
      <c r="C5" s="77">
        <f t="shared" ref="C5:C8" si="1">FIND(B5,A5)</f>
        <v>2</v>
      </c>
      <c r="D5" s="302" t="s">
        <v>1119</v>
      </c>
      <c r="G5" s="12" t="str">
        <f>FIND(A5,"E")</f>
        <v>#VALUE!</v>
      </c>
    </row>
    <row r="6">
      <c r="A6" s="76" t="s">
        <v>1117</v>
      </c>
      <c r="B6" s="76" t="s">
        <v>945</v>
      </c>
      <c r="C6" s="77">
        <f t="shared" si="1"/>
        <v>1</v>
      </c>
      <c r="D6" s="302" t="s">
        <v>1120</v>
      </c>
    </row>
    <row r="7">
      <c r="A7" s="76" t="s">
        <v>1117</v>
      </c>
      <c r="B7" s="76" t="s">
        <v>1121</v>
      </c>
      <c r="C7" s="77">
        <f t="shared" si="1"/>
        <v>5</v>
      </c>
      <c r="D7" s="302" t="s">
        <v>1122</v>
      </c>
    </row>
    <row r="8">
      <c r="A8" s="76" t="s">
        <v>1123</v>
      </c>
      <c r="B8" s="76" t="s">
        <v>1124</v>
      </c>
      <c r="C8" s="77">
        <f t="shared" si="1"/>
        <v>3</v>
      </c>
      <c r="D8" s="302" t="s">
        <v>1125</v>
      </c>
    </row>
    <row r="9">
      <c r="A9" s="76" t="s">
        <v>1123</v>
      </c>
      <c r="B9" s="76" t="s">
        <v>1124</v>
      </c>
      <c r="C9" s="77">
        <f>FIND(B9,A9,6)</f>
        <v>11</v>
      </c>
      <c r="D9" s="302" t="s">
        <v>1126</v>
      </c>
    </row>
    <row r="10">
      <c r="A10" s="76" t="s">
        <v>1123</v>
      </c>
      <c r="B10" s="76" t="s">
        <v>1127</v>
      </c>
      <c r="C10" s="77" t="str">
        <f>FIND(B10,A10)</f>
        <v>#VALUE!</v>
      </c>
      <c r="D10" s="302" t="s">
        <v>1128</v>
      </c>
    </row>
    <row r="13">
      <c r="A13" s="122" t="s">
        <v>1129</v>
      </c>
      <c r="C13" s="303" t="s">
        <v>1130</v>
      </c>
      <c r="D13" s="77">
        <f>LARGE(A14:A18,1)</f>
        <v>800</v>
      </c>
      <c r="E13" s="260" t="s">
        <v>1131</v>
      </c>
    </row>
    <row r="14">
      <c r="A14" s="76">
        <v>120.0</v>
      </c>
      <c r="C14" s="303" t="s">
        <v>1132</v>
      </c>
      <c r="D14" s="77">
        <f>LARGE(A14:A18,2)</f>
        <v>250</v>
      </c>
      <c r="E14" s="260" t="s">
        <v>1133</v>
      </c>
    </row>
    <row r="15">
      <c r="A15" s="76">
        <v>800.0</v>
      </c>
      <c r="C15" s="303" t="s">
        <v>1134</v>
      </c>
      <c r="D15" s="77">
        <f>LARGE(A14:A18,3)</f>
        <v>120</v>
      </c>
      <c r="E15" s="260" t="s">
        <v>1135</v>
      </c>
    </row>
    <row r="16">
      <c r="A16" s="76">
        <v>100.0</v>
      </c>
      <c r="C16" s="303" t="s">
        <v>1136</v>
      </c>
      <c r="D16" s="77">
        <f>LARGE(A14:A18,4)</f>
        <v>120</v>
      </c>
      <c r="E16" s="260" t="s">
        <v>1137</v>
      </c>
    </row>
    <row r="17">
      <c r="A17" s="76">
        <v>120.0</v>
      </c>
      <c r="C17" s="303" t="s">
        <v>1138</v>
      </c>
      <c r="D17" s="77">
        <f>LARGE(A14:A18,5)</f>
        <v>100</v>
      </c>
      <c r="E17" s="260" t="s">
        <v>1139</v>
      </c>
    </row>
    <row r="18">
      <c r="A18" s="76">
        <v>250.0</v>
      </c>
    </row>
    <row r="20" ht="15.75" customHeight="1">
      <c r="A20" s="261" t="s">
        <v>1048</v>
      </c>
      <c r="B20" s="261"/>
      <c r="C20" s="261"/>
      <c r="D20" s="261"/>
      <c r="E20" s="261"/>
      <c r="F20" s="261"/>
      <c r="G20" s="261"/>
      <c r="H20" s="261"/>
    </row>
    <row r="21" ht="15.75" customHeight="1">
      <c r="A21" s="12" t="s">
        <v>1140</v>
      </c>
    </row>
    <row r="22" ht="15.75" customHeight="1">
      <c r="A22" s="12" t="s">
        <v>1141</v>
      </c>
    </row>
    <row r="23" ht="15.75" customHeight="1"/>
    <row r="24" ht="15.75" customHeight="1">
      <c r="A24" s="261" t="s">
        <v>985</v>
      </c>
      <c r="B24" s="261"/>
      <c r="C24" s="261"/>
      <c r="D24" s="261"/>
      <c r="E24" s="261"/>
      <c r="F24" s="261"/>
      <c r="G24" s="261"/>
      <c r="H24" s="261"/>
    </row>
    <row r="25" ht="15.75" customHeight="1">
      <c r="A25" s="293" t="s">
        <v>1142</v>
      </c>
    </row>
    <row r="26" ht="15.75" customHeight="1"/>
    <row r="27" ht="15.75" customHeight="1">
      <c r="A27" s="261" t="s">
        <v>1003</v>
      </c>
      <c r="B27" s="261"/>
      <c r="C27" s="261"/>
      <c r="D27" s="261"/>
      <c r="E27" s="261"/>
      <c r="F27" s="261"/>
      <c r="G27" s="261"/>
      <c r="H27" s="261"/>
    </row>
    <row r="28" ht="15.75" customHeight="1">
      <c r="A28" s="12" t="s">
        <v>1004</v>
      </c>
    </row>
    <row r="29" ht="15.75" customHeight="1"/>
    <row r="30" ht="15.75" customHeight="1">
      <c r="A30" s="261" t="s">
        <v>1143</v>
      </c>
      <c r="B30" s="261"/>
      <c r="C30" s="261"/>
      <c r="D30" s="261"/>
      <c r="E30" s="261"/>
      <c r="F30" s="261"/>
      <c r="G30" s="261"/>
      <c r="H30" s="261"/>
    </row>
    <row r="31" ht="15.75" customHeight="1">
      <c r="A31" s="12" t="s">
        <v>1144</v>
      </c>
    </row>
    <row r="32" ht="15.75" customHeight="1"/>
    <row r="33" ht="15.75" customHeight="1">
      <c r="B33" s="122" t="s">
        <v>337</v>
      </c>
      <c r="C33" s="122" t="s">
        <v>314</v>
      </c>
      <c r="D33" s="122" t="s">
        <v>447</v>
      </c>
      <c r="E33" s="122" t="s">
        <v>316</v>
      </c>
    </row>
    <row r="34" ht="15.75" customHeight="1">
      <c r="B34" s="122" t="s">
        <v>448</v>
      </c>
      <c r="C34" s="304">
        <v>5000.0</v>
      </c>
      <c r="D34" s="304">
        <v>6000.0</v>
      </c>
      <c r="E34" s="304">
        <v>4500.0</v>
      </c>
    </row>
    <row r="35" ht="15.75" customHeight="1">
      <c r="B35" s="122" t="s">
        <v>449</v>
      </c>
      <c r="C35" s="304">
        <v>5800.0</v>
      </c>
      <c r="D35" s="304">
        <v>7000.0</v>
      </c>
      <c r="E35" s="304">
        <v>3000.0</v>
      </c>
    </row>
    <row r="36" ht="15.75" customHeight="1">
      <c r="B36" s="122" t="s">
        <v>450</v>
      </c>
      <c r="C36" s="304">
        <v>3500.0</v>
      </c>
      <c r="D36" s="304">
        <v>2000.0</v>
      </c>
      <c r="E36" s="304">
        <v>10000.0</v>
      </c>
    </row>
    <row r="37" ht="15.75" customHeight="1">
      <c r="B37" s="122" t="s">
        <v>451</v>
      </c>
      <c r="C37" s="304">
        <v>12000.0</v>
      </c>
      <c r="D37" s="304">
        <v>4000.0</v>
      </c>
      <c r="E37" s="304">
        <v>6000.0</v>
      </c>
    </row>
    <row r="38" ht="15.75" customHeight="1"/>
    <row r="39" ht="15.75" customHeight="1">
      <c r="B39" s="305"/>
      <c r="C39" s="306" t="s">
        <v>1130</v>
      </c>
      <c r="D39" s="307">
        <f>LARGE(C34:E37,1)</f>
        <v>12000</v>
      </c>
      <c r="E39" s="260" t="s">
        <v>1145</v>
      </c>
    </row>
    <row r="40" ht="15.75" customHeight="1">
      <c r="B40" s="305"/>
      <c r="C40" s="306" t="s">
        <v>1132</v>
      </c>
      <c r="D40" s="307">
        <f>LARGE(C34:E37,2)</f>
        <v>10000</v>
      </c>
      <c r="E40" s="260" t="s">
        <v>1146</v>
      </c>
    </row>
    <row r="41" ht="15.75" customHeight="1">
      <c r="B41" s="305"/>
      <c r="C41" s="306" t="s">
        <v>1134</v>
      </c>
      <c r="D41" s="307">
        <f>LARGE(C34:E37,3)</f>
        <v>7000</v>
      </c>
      <c r="E41" s="260" t="s">
        <v>1147</v>
      </c>
    </row>
    <row r="42" ht="15.75" customHeight="1"/>
    <row r="43" ht="15.75" customHeight="1">
      <c r="A43" s="261" t="s">
        <v>1148</v>
      </c>
      <c r="B43" s="261"/>
      <c r="C43" s="261"/>
      <c r="D43" s="261"/>
      <c r="E43" s="261"/>
      <c r="F43" s="261"/>
      <c r="G43" s="261"/>
      <c r="H43" s="261"/>
    </row>
    <row r="44" ht="15.75" customHeight="1">
      <c r="A44" s="12" t="s">
        <v>1149</v>
      </c>
    </row>
    <row r="45" ht="15.75" customHeight="1">
      <c r="A45" s="12" t="s">
        <v>1150</v>
      </c>
    </row>
    <row r="46" ht="15.75" customHeight="1"/>
    <row r="47" ht="15.75" customHeight="1">
      <c r="C47" s="122" t="s">
        <v>1151</v>
      </c>
      <c r="D47" s="307">
        <f>MAX(C34:E37)</f>
        <v>12000</v>
      </c>
      <c r="E47" s="260" t="s">
        <v>1152</v>
      </c>
    </row>
    <row r="48" ht="15.75" customHeight="1">
      <c r="C48" s="122" t="s">
        <v>1153</v>
      </c>
      <c r="D48" s="307">
        <f>MIN(C34:E37)</f>
        <v>2000</v>
      </c>
      <c r="E48" s="260" t="s">
        <v>1154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1.0"/>
    <col customWidth="1" min="3" max="3" width="25.29"/>
    <col customWidth="1" min="4" max="26" width="8.0"/>
  </cols>
  <sheetData>
    <row r="1" ht="18.75" customHeight="1">
      <c r="A1" s="19" t="s">
        <v>1155</v>
      </c>
      <c r="G1" s="20"/>
    </row>
    <row r="2">
      <c r="A2" s="21" t="s">
        <v>1156</v>
      </c>
    </row>
    <row r="3">
      <c r="B3" s="85" t="s">
        <v>1157</v>
      </c>
    </row>
    <row r="4" ht="26.25" customHeight="1">
      <c r="A4" s="122" t="s">
        <v>1114</v>
      </c>
      <c r="B4" s="308" t="s">
        <v>1158</v>
      </c>
      <c r="C4" s="122" t="s">
        <v>1159</v>
      </c>
    </row>
    <row r="5">
      <c r="A5" s="76" t="s">
        <v>1160</v>
      </c>
      <c r="B5" s="76">
        <v>1.0</v>
      </c>
      <c r="C5" s="77" t="str">
        <f t="shared" ref="C5:C9" si="1">LEFT(A5,B5)</f>
        <v>A</v>
      </c>
      <c r="D5" s="260" t="s">
        <v>1161</v>
      </c>
    </row>
    <row r="6">
      <c r="A6" s="76" t="s">
        <v>1160</v>
      </c>
      <c r="B6" s="76">
        <v>2.0</v>
      </c>
      <c r="C6" s="77" t="str">
        <f t="shared" si="1"/>
        <v>Al</v>
      </c>
      <c r="D6" s="260"/>
    </row>
    <row r="7">
      <c r="A7" s="76" t="s">
        <v>1160</v>
      </c>
      <c r="B7" s="76">
        <v>3.0</v>
      </c>
      <c r="C7" s="77" t="str">
        <f t="shared" si="1"/>
        <v>Ala</v>
      </c>
      <c r="D7" s="260"/>
    </row>
    <row r="8">
      <c r="A8" s="76" t="s">
        <v>1162</v>
      </c>
      <c r="B8" s="76">
        <v>6.0</v>
      </c>
      <c r="C8" s="77" t="str">
        <f t="shared" si="1"/>
        <v>Cardif</v>
      </c>
      <c r="D8" s="260"/>
    </row>
    <row r="9">
      <c r="A9" s="76" t="s">
        <v>1163</v>
      </c>
      <c r="B9" s="76">
        <v>4.0</v>
      </c>
      <c r="C9" s="77" t="str">
        <f t="shared" si="1"/>
        <v>ABC1</v>
      </c>
      <c r="D9" s="260"/>
    </row>
    <row r="10">
      <c r="A10" s="309"/>
      <c r="B10" s="309"/>
      <c r="C10" s="310"/>
      <c r="D10" s="260"/>
    </row>
    <row r="11">
      <c r="B11" s="85" t="s">
        <v>1164</v>
      </c>
    </row>
    <row r="12">
      <c r="A12" s="122" t="s">
        <v>245</v>
      </c>
      <c r="B12" s="122" t="s">
        <v>214</v>
      </c>
    </row>
    <row r="13">
      <c r="A13" s="76" t="s">
        <v>1160</v>
      </c>
      <c r="B13" s="77" t="str">
        <f t="shared" ref="B13:B15" si="2">LEFT(A13,FIND(" ",A13)-1)</f>
        <v>Alan</v>
      </c>
      <c r="C13" s="260" t="s">
        <v>1165</v>
      </c>
    </row>
    <row r="14">
      <c r="A14" s="76" t="s">
        <v>1166</v>
      </c>
      <c r="B14" s="77" t="str">
        <f t="shared" si="2"/>
        <v>Bob</v>
      </c>
      <c r="C14" s="260"/>
    </row>
    <row r="15">
      <c r="A15" s="76" t="s">
        <v>1167</v>
      </c>
      <c r="B15" s="77" t="str">
        <f t="shared" si="2"/>
        <v>Carol</v>
      </c>
      <c r="C15" s="260"/>
    </row>
    <row r="17">
      <c r="B17" s="85" t="s">
        <v>1168</v>
      </c>
    </row>
    <row r="18">
      <c r="A18" s="122" t="s">
        <v>1114</v>
      </c>
      <c r="B18" s="122" t="s">
        <v>1169</v>
      </c>
    </row>
    <row r="19">
      <c r="A19" s="76" t="s">
        <v>1160</v>
      </c>
      <c r="B19" s="77">
        <f>LEN(A19)</f>
        <v>10</v>
      </c>
      <c r="C19" s="260" t="s">
        <v>1170</v>
      </c>
    </row>
    <row r="20">
      <c r="A20" s="76" t="s">
        <v>1166</v>
      </c>
      <c r="B20" s="77" t="s">
        <v>326</v>
      </c>
      <c r="C20" s="260"/>
    </row>
    <row r="21" ht="15.75" customHeight="1">
      <c r="A21" s="76" t="s">
        <v>1167</v>
      </c>
      <c r="B21" s="77" t="s">
        <v>326</v>
      </c>
      <c r="C21" s="260"/>
    </row>
    <row r="22" ht="15.75" customHeight="1">
      <c r="A22" s="76" t="s">
        <v>1162</v>
      </c>
      <c r="B22" s="77" t="s">
        <v>326</v>
      </c>
      <c r="C22" s="260"/>
    </row>
    <row r="23" ht="15.75" customHeight="1">
      <c r="A23" s="76" t="s">
        <v>1163</v>
      </c>
      <c r="B23" s="77" t="s">
        <v>326</v>
      </c>
      <c r="C23" s="260"/>
    </row>
    <row r="24" ht="15.75" customHeight="1"/>
    <row r="25" ht="15.75" customHeight="1">
      <c r="B25" s="311" t="s">
        <v>1171</v>
      </c>
    </row>
    <row r="26" ht="15.75" customHeight="1">
      <c r="A26" s="122" t="s">
        <v>1172</v>
      </c>
      <c r="B26" s="122" t="s">
        <v>1173</v>
      </c>
    </row>
    <row r="27" ht="15.75" customHeight="1">
      <c r="A27" s="76" t="s">
        <v>1174</v>
      </c>
      <c r="B27" s="77" t="str">
        <f>LOWER(A27)</f>
        <v>alan jones</v>
      </c>
      <c r="C27" s="260" t="s">
        <v>1175</v>
      </c>
    </row>
    <row r="28" ht="15.75" customHeight="1">
      <c r="A28" s="76" t="s">
        <v>1176</v>
      </c>
      <c r="B28" s="77" t="s">
        <v>326</v>
      </c>
      <c r="C28" s="260"/>
    </row>
    <row r="29" ht="15.75" customHeight="1">
      <c r="A29" s="76" t="s">
        <v>1177</v>
      </c>
      <c r="B29" s="77" t="s">
        <v>326</v>
      </c>
      <c r="C29" s="260"/>
    </row>
    <row r="30" ht="15.75" customHeight="1">
      <c r="A30" s="76" t="s">
        <v>1178</v>
      </c>
      <c r="B30" s="77" t="s">
        <v>326</v>
      </c>
      <c r="C30" s="260"/>
    </row>
    <row r="31" ht="15.75" customHeight="1">
      <c r="A31" s="76" t="s">
        <v>1163</v>
      </c>
      <c r="B31" s="77" t="s">
        <v>326</v>
      </c>
      <c r="C31" s="260"/>
    </row>
    <row r="32" ht="15.75" customHeight="1"/>
    <row r="33" ht="15.75" customHeight="1">
      <c r="B33" s="311" t="s">
        <v>1179</v>
      </c>
    </row>
    <row r="34" ht="15.75" customHeight="1"/>
    <row r="35" ht="15.75" customHeight="1">
      <c r="A35" s="122" t="s">
        <v>248</v>
      </c>
      <c r="B35" s="122" t="s">
        <v>1180</v>
      </c>
      <c r="C35" s="122" t="s">
        <v>1181</v>
      </c>
    </row>
    <row r="36" ht="15.75" customHeight="1">
      <c r="A36" s="259">
        <v>35855.0</v>
      </c>
      <c r="B36" s="259">
        <v>35861.0</v>
      </c>
      <c r="C36" s="77">
        <f t="shared" ref="C36:C38" si="3">NETWORKDAYS(A36,B36)</f>
        <v>5</v>
      </c>
      <c r="D36" s="302" t="s">
        <v>1182</v>
      </c>
    </row>
    <row r="37" ht="15.75" customHeight="1">
      <c r="A37" s="259">
        <v>35910.0</v>
      </c>
      <c r="B37" s="259">
        <v>36006.0</v>
      </c>
      <c r="C37" s="77">
        <f t="shared" si="3"/>
        <v>69</v>
      </c>
      <c r="D37" s="302"/>
    </row>
    <row r="38" ht="15.75" customHeight="1">
      <c r="A38" s="259">
        <v>36153.0</v>
      </c>
      <c r="B38" s="259">
        <v>36165.0</v>
      </c>
      <c r="C38" s="77">
        <f t="shared" si="3"/>
        <v>9</v>
      </c>
      <c r="D38" s="30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14"/>
    <col customWidth="1" min="3" max="26" width="8.0"/>
  </cols>
  <sheetData>
    <row r="1" ht="18.75" customHeight="1">
      <c r="A1" s="19" t="s">
        <v>1183</v>
      </c>
      <c r="G1" s="20"/>
    </row>
    <row r="2">
      <c r="A2" s="21" t="s">
        <v>1184</v>
      </c>
    </row>
    <row r="3">
      <c r="A3" s="21"/>
      <c r="B3" s="21"/>
      <c r="C3" s="21"/>
      <c r="D3" s="21"/>
      <c r="E3" s="21"/>
      <c r="F3" s="21"/>
      <c r="G3" s="21"/>
    </row>
    <row r="4">
      <c r="B4" s="85" t="s">
        <v>1185</v>
      </c>
    </row>
    <row r="5">
      <c r="A5" s="122" t="s">
        <v>1186</v>
      </c>
      <c r="B5" s="122" t="s">
        <v>1187</v>
      </c>
      <c r="C5" s="122" t="s">
        <v>184</v>
      </c>
    </row>
    <row r="6">
      <c r="A6" s="76">
        <v>3.0</v>
      </c>
      <c r="B6" s="76">
        <v>2.0</v>
      </c>
      <c r="C6" s="77">
        <f>POWER(A6,B6)</f>
        <v>9</v>
      </c>
      <c r="D6" s="260" t="s">
        <v>1188</v>
      </c>
    </row>
    <row r="7">
      <c r="A7" s="76">
        <v>3.0</v>
      </c>
      <c r="B7" s="76">
        <v>4.0</v>
      </c>
      <c r="C7" s="77" t="s">
        <v>326</v>
      </c>
      <c r="D7" s="260"/>
    </row>
    <row r="8">
      <c r="A8" s="76">
        <v>5.0</v>
      </c>
      <c r="B8" s="76">
        <v>2.0</v>
      </c>
      <c r="C8" s="77" t="s">
        <v>326</v>
      </c>
      <c r="D8" s="260"/>
    </row>
    <row r="9">
      <c r="A9" s="76">
        <v>5.0</v>
      </c>
      <c r="B9" s="76">
        <v>4.0</v>
      </c>
      <c r="C9" s="77" t="s">
        <v>326</v>
      </c>
      <c r="D9" s="260"/>
    </row>
    <row r="11">
      <c r="B11" s="85" t="s">
        <v>1189</v>
      </c>
    </row>
    <row r="12">
      <c r="A12" s="312" t="s">
        <v>1190</v>
      </c>
      <c r="B12" s="71"/>
      <c r="C12" s="122" t="s">
        <v>58</v>
      </c>
    </row>
    <row r="13">
      <c r="A13" s="76">
        <v>2.0</v>
      </c>
      <c r="B13" s="76">
        <v>3.0</v>
      </c>
      <c r="C13" s="77">
        <f>PRODUCT(A13,B13)</f>
        <v>6</v>
      </c>
      <c r="D13" s="260" t="s">
        <v>1191</v>
      </c>
    </row>
    <row r="14">
      <c r="A14" s="76">
        <v>5.0</v>
      </c>
      <c r="B14" s="76">
        <v>10.0</v>
      </c>
      <c r="C14" s="77" t="s">
        <v>326</v>
      </c>
      <c r="D14" s="260"/>
    </row>
    <row r="15">
      <c r="A15" s="76">
        <v>3.0</v>
      </c>
      <c r="B15" s="76">
        <v>7.0</v>
      </c>
      <c r="C15" s="77" t="s">
        <v>326</v>
      </c>
      <c r="D15" s="260"/>
    </row>
    <row r="16">
      <c r="C16" s="77">
        <f>PRODUCT(A13:B15)</f>
        <v>6300</v>
      </c>
      <c r="D16" s="260"/>
    </row>
    <row r="18">
      <c r="B18" s="85" t="s">
        <v>1192</v>
      </c>
    </row>
    <row r="19">
      <c r="A19" s="122" t="s">
        <v>1193</v>
      </c>
      <c r="B19" s="122" t="s">
        <v>1194</v>
      </c>
    </row>
    <row r="20">
      <c r="A20" s="76" t="s">
        <v>1195</v>
      </c>
      <c r="B20" s="77" t="str">
        <f>PROPER(A20)</f>
        <v>Alan Jones</v>
      </c>
      <c r="C20" s="260" t="s">
        <v>1196</v>
      </c>
    </row>
    <row r="21" ht="15.75" customHeight="1">
      <c r="A21" s="76" t="s">
        <v>1197</v>
      </c>
      <c r="B21" s="77" t="s">
        <v>326</v>
      </c>
      <c r="C21" s="260"/>
    </row>
    <row r="22" ht="15.75" customHeight="1">
      <c r="A22" s="76" t="s">
        <v>1198</v>
      </c>
      <c r="B22" s="77" t="s">
        <v>326</v>
      </c>
      <c r="C22" s="260"/>
    </row>
    <row r="23" ht="15.75" customHeight="1">
      <c r="A23" s="76" t="s">
        <v>1199</v>
      </c>
      <c r="B23" s="77" t="s">
        <v>326</v>
      </c>
      <c r="C23" s="260"/>
    </row>
    <row r="24" ht="15.75" customHeight="1">
      <c r="A24" s="76" t="s">
        <v>1163</v>
      </c>
      <c r="B24" s="77" t="s">
        <v>326</v>
      </c>
      <c r="C24" s="260"/>
    </row>
    <row r="25" ht="15.75" customHeight="1"/>
    <row r="26" ht="15.75" customHeight="1">
      <c r="B26" s="85" t="s">
        <v>1200</v>
      </c>
    </row>
    <row r="27" ht="26.25" customHeight="1">
      <c r="A27" s="308" t="s">
        <v>1201</v>
      </c>
      <c r="B27" s="308" t="s">
        <v>1202</v>
      </c>
      <c r="C27" s="308" t="s">
        <v>1203</v>
      </c>
    </row>
    <row r="28" ht="15.75" customHeight="1">
      <c r="A28" s="76" t="s">
        <v>558</v>
      </c>
      <c r="B28" s="76">
        <v>3.0</v>
      </c>
      <c r="C28" s="77" t="str">
        <f>REPT(A28,B28)</f>
        <v>AAA</v>
      </c>
      <c r="D28" s="260" t="s">
        <v>1204</v>
      </c>
    </row>
    <row r="29" ht="15.75" customHeight="1">
      <c r="A29" s="76" t="s">
        <v>1205</v>
      </c>
      <c r="B29" s="76">
        <v>3.0</v>
      </c>
      <c r="C29" s="77" t="s">
        <v>326</v>
      </c>
      <c r="D29" s="260"/>
    </row>
    <row r="30" ht="15.75" customHeight="1">
      <c r="A30" s="76" t="s">
        <v>1206</v>
      </c>
      <c r="B30" s="76">
        <v>10.0</v>
      </c>
      <c r="C30" s="77" t="s">
        <v>326</v>
      </c>
      <c r="D30" s="260"/>
    </row>
    <row r="31" ht="15.75" customHeight="1">
      <c r="A31" s="76" t="s">
        <v>1207</v>
      </c>
      <c r="B31" s="76">
        <v>10.0</v>
      </c>
      <c r="C31" s="77" t="s">
        <v>326</v>
      </c>
      <c r="D31" s="26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G2"/>
    <mergeCell ref="A12:B12"/>
  </mergeCells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6" width="8.0"/>
  </cols>
  <sheetData>
    <row r="1" ht="18.75" customHeight="1">
      <c r="A1" s="19" t="s">
        <v>1208</v>
      </c>
      <c r="G1" s="20"/>
    </row>
    <row r="2">
      <c r="A2" s="21" t="s">
        <v>1209</v>
      </c>
    </row>
    <row r="4" ht="64.5" customHeight="1">
      <c r="A4" s="308" t="s">
        <v>1210</v>
      </c>
      <c r="B4" s="308" t="s">
        <v>1158</v>
      </c>
      <c r="C4" s="308" t="s">
        <v>1211</v>
      </c>
    </row>
    <row r="5">
      <c r="A5" s="76" t="s">
        <v>1160</v>
      </c>
      <c r="B5" s="76">
        <v>1.0</v>
      </c>
      <c r="C5" s="77" t="str">
        <f>RIGHT(A5,B5)</f>
        <v>s</v>
      </c>
      <c r="D5" s="260" t="s">
        <v>1212</v>
      </c>
    </row>
    <row r="6">
      <c r="A6" s="76" t="s">
        <v>1160</v>
      </c>
      <c r="B6" s="76">
        <v>2.0</v>
      </c>
      <c r="C6" s="77" t="s">
        <v>326</v>
      </c>
      <c r="D6" s="260"/>
    </row>
    <row r="7">
      <c r="A7" s="76" t="s">
        <v>1160</v>
      </c>
      <c r="B7" s="76">
        <v>3.0</v>
      </c>
      <c r="C7" s="77" t="s">
        <v>326</v>
      </c>
      <c r="D7" s="260"/>
    </row>
    <row r="8">
      <c r="A8" s="76" t="s">
        <v>1162</v>
      </c>
      <c r="B8" s="76">
        <v>6.0</v>
      </c>
      <c r="C8" s="77" t="s">
        <v>326</v>
      </c>
      <c r="D8" s="260"/>
    </row>
    <row r="9">
      <c r="A9" s="76" t="s">
        <v>1163</v>
      </c>
      <c r="B9" s="76">
        <v>4.0</v>
      </c>
      <c r="C9" s="77" t="s">
        <v>326</v>
      </c>
      <c r="D9" s="260"/>
    </row>
    <row r="11">
      <c r="D11" s="85" t="s">
        <v>1213</v>
      </c>
    </row>
    <row r="12">
      <c r="A12" s="122" t="s">
        <v>1186</v>
      </c>
      <c r="B12" s="122" t="s">
        <v>1214</v>
      </c>
    </row>
    <row r="13">
      <c r="A13" s="313">
        <v>1.0</v>
      </c>
      <c r="B13" s="77" t="str">
        <f>ROMAN(A13)</f>
        <v>I</v>
      </c>
      <c r="C13" s="260" t="s">
        <v>1215</v>
      </c>
    </row>
    <row r="14">
      <c r="A14" s="313">
        <v>2.0</v>
      </c>
      <c r="B14" s="77" t="s">
        <v>326</v>
      </c>
      <c r="C14" s="260"/>
    </row>
    <row r="15">
      <c r="A15" s="313">
        <v>3.0</v>
      </c>
      <c r="B15" s="77" t="s">
        <v>326</v>
      </c>
      <c r="C15" s="260"/>
    </row>
    <row r="16">
      <c r="A16" s="313">
        <v>5.0</v>
      </c>
      <c r="B16" s="77" t="s">
        <v>326</v>
      </c>
      <c r="C16" s="260"/>
    </row>
    <row r="17">
      <c r="A17" s="313">
        <v>10.0</v>
      </c>
      <c r="B17" s="77" t="s">
        <v>326</v>
      </c>
      <c r="C17" s="260"/>
    </row>
    <row r="18">
      <c r="A18" s="313">
        <v>1998.0</v>
      </c>
      <c r="B18" s="77" t="s">
        <v>326</v>
      </c>
      <c r="C18" s="260"/>
    </row>
    <row r="19">
      <c r="A19" s="313">
        <v>1998.0</v>
      </c>
      <c r="B19" s="77" t="s">
        <v>326</v>
      </c>
      <c r="C19" s="260"/>
    </row>
    <row r="20">
      <c r="A20" s="313">
        <v>1998.0</v>
      </c>
      <c r="B20" s="77" t="s">
        <v>326</v>
      </c>
      <c r="C20" s="260"/>
    </row>
    <row r="21" ht="15.75" customHeight="1">
      <c r="A21" s="313">
        <v>1998.0</v>
      </c>
      <c r="B21" s="77" t="s">
        <v>326</v>
      </c>
      <c r="C21" s="260"/>
    </row>
    <row r="22" ht="15.75" customHeight="1">
      <c r="A22" s="313">
        <v>1998.0</v>
      </c>
      <c r="B22" s="77" t="s">
        <v>326</v>
      </c>
      <c r="C22" s="260"/>
    </row>
    <row r="23" ht="15.75" customHeight="1">
      <c r="A23" s="313">
        <v>1998.0</v>
      </c>
      <c r="B23" s="77" t="s">
        <v>326</v>
      </c>
      <c r="C23" s="260"/>
    </row>
    <row r="24" ht="15.75" customHeight="1">
      <c r="A24" s="313">
        <v>1998.0</v>
      </c>
      <c r="B24" s="77" t="s">
        <v>326</v>
      </c>
      <c r="C24" s="260"/>
    </row>
    <row r="25" ht="15.75" customHeight="1">
      <c r="A25" s="313">
        <v>1998.0</v>
      </c>
      <c r="B25" s="77" t="s">
        <v>326</v>
      </c>
      <c r="C25" s="260"/>
    </row>
    <row r="26" ht="15.75" customHeight="1"/>
    <row r="27" ht="15.75" customHeight="1">
      <c r="D27" s="85" t="s">
        <v>1216</v>
      </c>
    </row>
    <row r="28" ht="15.75" customHeight="1">
      <c r="A28" s="122" t="s">
        <v>337</v>
      </c>
      <c r="B28" s="122" t="s">
        <v>314</v>
      </c>
      <c r="C28" s="122" t="s">
        <v>447</v>
      </c>
      <c r="D28" s="122" t="s">
        <v>316</v>
      </c>
    </row>
    <row r="29" ht="15.75" customHeight="1">
      <c r="A29" s="122" t="s">
        <v>448</v>
      </c>
      <c r="B29" s="304">
        <v>5000.0</v>
      </c>
      <c r="C29" s="304">
        <v>6000.0</v>
      </c>
      <c r="D29" s="304">
        <v>4500.0</v>
      </c>
    </row>
    <row r="30" ht="15.75" customHeight="1">
      <c r="A30" s="122" t="s">
        <v>449</v>
      </c>
      <c r="B30" s="304">
        <v>5800.0</v>
      </c>
      <c r="C30" s="304">
        <v>7000.0</v>
      </c>
      <c r="D30" s="304">
        <v>3000.0</v>
      </c>
    </row>
    <row r="31" ht="15.75" customHeight="1">
      <c r="A31" s="122" t="s">
        <v>450</v>
      </c>
      <c r="B31" s="304">
        <v>3500.0</v>
      </c>
      <c r="C31" s="304">
        <v>2000.0</v>
      </c>
      <c r="D31" s="304">
        <v>10000.0</v>
      </c>
    </row>
    <row r="32" ht="15.75" customHeight="1">
      <c r="A32" s="122" t="s">
        <v>451</v>
      </c>
      <c r="B32" s="304">
        <v>12000.0</v>
      </c>
      <c r="C32" s="304">
        <v>4000.0</v>
      </c>
      <c r="D32" s="304">
        <v>6000.0</v>
      </c>
    </row>
    <row r="33" ht="15.75" customHeight="1"/>
    <row r="34" ht="15.75" customHeight="1">
      <c r="A34" s="305"/>
      <c r="B34" s="306" t="s">
        <v>1217</v>
      </c>
      <c r="C34" s="307">
        <f>SMALL(B29:D32,1)</f>
        <v>2000</v>
      </c>
      <c r="D34" s="260" t="s">
        <v>1218</v>
      </c>
    </row>
    <row r="35" ht="15.75" customHeight="1">
      <c r="A35" s="305"/>
      <c r="B35" s="306" t="s">
        <v>1219</v>
      </c>
      <c r="C35" s="307">
        <f>SMALL(B29:D32,2)</f>
        <v>3000</v>
      </c>
      <c r="D35" s="260" t="s">
        <v>1220</v>
      </c>
    </row>
    <row r="36" ht="15.75" customHeight="1">
      <c r="A36" s="305"/>
      <c r="B36" s="306" t="s">
        <v>1221</v>
      </c>
      <c r="C36" s="307">
        <f>SMALL(B29:D32,3)</f>
        <v>3500</v>
      </c>
      <c r="D36" s="260" t="s">
        <v>1222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3" width="5.0"/>
    <col customWidth="1" min="4" max="4" width="5.29"/>
    <col customWidth="1" min="5" max="5" width="5.0"/>
    <col customWidth="1" min="6" max="6" width="5.29"/>
    <col customWidth="1" min="7" max="7" width="5.57"/>
    <col customWidth="1" min="8" max="8" width="6.14"/>
    <col customWidth="1" min="9" max="9" width="8.0"/>
    <col customWidth="1" min="10" max="10" width="13.29"/>
    <col customWidth="1" min="11" max="11" width="11.14"/>
    <col customWidth="1" min="12" max="26" width="8.0"/>
  </cols>
  <sheetData>
    <row r="1" ht="18.75" customHeight="1">
      <c r="A1" s="19" t="s">
        <v>1223</v>
      </c>
    </row>
    <row r="2">
      <c r="A2" s="21"/>
    </row>
    <row r="4">
      <c r="A4" s="128" t="s">
        <v>124</v>
      </c>
      <c r="B4" s="128" t="s">
        <v>125</v>
      </c>
      <c r="C4" s="128" t="s">
        <v>126</v>
      </c>
      <c r="D4" s="128" t="s">
        <v>127</v>
      </c>
      <c r="E4" s="128" t="s">
        <v>128</v>
      </c>
      <c r="F4" s="128" t="s">
        <v>129</v>
      </c>
      <c r="G4" s="128" t="s">
        <v>130</v>
      </c>
      <c r="H4" s="128" t="s">
        <v>131</v>
      </c>
      <c r="I4" s="128" t="s">
        <v>132</v>
      </c>
      <c r="J4" s="128" t="s">
        <v>860</v>
      </c>
      <c r="K4" s="128" t="s">
        <v>1224</v>
      </c>
    </row>
    <row r="5">
      <c r="A5" s="7" t="s">
        <v>134</v>
      </c>
      <c r="B5" s="7">
        <v>2000.0</v>
      </c>
      <c r="C5" s="7">
        <v>1500.0</v>
      </c>
      <c r="D5" s="7">
        <v>300.0</v>
      </c>
      <c r="E5" s="7">
        <v>1400.0</v>
      </c>
      <c r="F5" s="7">
        <v>1000.0</v>
      </c>
      <c r="G5" s="7">
        <v>1400.0</v>
      </c>
      <c r="H5" s="7">
        <f t="shared" ref="H5:H15" si="1">SUM(B5:G5)</f>
        <v>7600</v>
      </c>
      <c r="I5" s="7">
        <v>10000.0</v>
      </c>
      <c r="J5" s="7" t="str">
        <f t="shared" ref="J5:J15" si="2">IF(H5&gt;I5,"ACHIEVED","NOT ACHIVED")</f>
        <v>NOT ACHIVED</v>
      </c>
      <c r="K5" s="7">
        <f t="shared" ref="K5:K15" si="3">IF(H5&gt;=I5,H5*10%,H5*5%)</f>
        <v>380</v>
      </c>
      <c r="L5" s="12" t="str">
        <f>IF(H5&gt;I5,"10%","5%")</f>
        <v>5%</v>
      </c>
    </row>
    <row r="6">
      <c r="A6" s="7" t="s">
        <v>112</v>
      </c>
      <c r="B6" s="7">
        <v>5000.0</v>
      </c>
      <c r="C6" s="7">
        <v>1200.0</v>
      </c>
      <c r="D6" s="7">
        <v>500.0</v>
      </c>
      <c r="E6" s="7">
        <v>1200.0</v>
      </c>
      <c r="F6" s="7">
        <v>1200.0</v>
      </c>
      <c r="G6" s="7">
        <v>2800.0</v>
      </c>
      <c r="H6" s="7">
        <f t="shared" si="1"/>
        <v>11900</v>
      </c>
      <c r="I6" s="7">
        <v>12000.0</v>
      </c>
      <c r="J6" s="7" t="str">
        <f t="shared" si="2"/>
        <v>NOT ACHIVED</v>
      </c>
      <c r="K6" s="7">
        <f t="shared" si="3"/>
        <v>595</v>
      </c>
    </row>
    <row r="7">
      <c r="A7" s="7" t="s">
        <v>110</v>
      </c>
      <c r="B7" s="7">
        <v>3000.0</v>
      </c>
      <c r="C7" s="7">
        <v>800.0</v>
      </c>
      <c r="D7" s="7">
        <v>1200.0</v>
      </c>
      <c r="E7" s="7">
        <v>3000.0</v>
      </c>
      <c r="F7" s="7">
        <v>1500.0</v>
      </c>
      <c r="G7" s="7">
        <v>3500.0</v>
      </c>
      <c r="H7" s="7">
        <f t="shared" si="1"/>
        <v>13000</v>
      </c>
      <c r="I7" s="7">
        <v>18000.0</v>
      </c>
      <c r="J7" s="7" t="str">
        <f t="shared" si="2"/>
        <v>NOT ACHIVED</v>
      </c>
      <c r="K7" s="7">
        <f t="shared" si="3"/>
        <v>650</v>
      </c>
    </row>
    <row r="8">
      <c r="A8" s="7" t="s">
        <v>17</v>
      </c>
      <c r="B8" s="7">
        <v>1000.0</v>
      </c>
      <c r="C8" s="7">
        <v>900.0</v>
      </c>
      <c r="D8" s="7">
        <v>1800.0</v>
      </c>
      <c r="E8" s="7">
        <v>5000.0</v>
      </c>
      <c r="F8" s="7">
        <v>1400.0</v>
      </c>
      <c r="G8" s="7">
        <v>1200.0</v>
      </c>
      <c r="H8" s="7">
        <f t="shared" si="1"/>
        <v>11300</v>
      </c>
      <c r="I8" s="7">
        <v>10000.0</v>
      </c>
      <c r="J8" s="7" t="str">
        <f t="shared" si="2"/>
        <v>ACHIEVED</v>
      </c>
      <c r="K8" s="7">
        <f t="shared" si="3"/>
        <v>1130</v>
      </c>
    </row>
    <row r="9">
      <c r="A9" s="7" t="s">
        <v>14</v>
      </c>
      <c r="B9" s="7">
        <v>500.0</v>
      </c>
      <c r="C9" s="7">
        <v>1000.0</v>
      </c>
      <c r="D9" s="7">
        <v>2300.0</v>
      </c>
      <c r="E9" s="7">
        <v>8000.0</v>
      </c>
      <c r="F9" s="7">
        <v>1700.0</v>
      </c>
      <c r="G9" s="7">
        <v>1400.0</v>
      </c>
      <c r="H9" s="7">
        <f t="shared" si="1"/>
        <v>14900</v>
      </c>
      <c r="I9" s="7">
        <v>12000.0</v>
      </c>
      <c r="J9" s="7" t="str">
        <f t="shared" si="2"/>
        <v>ACHIEVED</v>
      </c>
      <c r="K9" s="7">
        <f t="shared" si="3"/>
        <v>1490</v>
      </c>
    </row>
    <row r="10">
      <c r="A10" s="7" t="s">
        <v>13</v>
      </c>
      <c r="B10" s="7">
        <v>800.0</v>
      </c>
      <c r="C10" s="7">
        <v>500.0</v>
      </c>
      <c r="D10" s="7">
        <v>2400.0</v>
      </c>
      <c r="E10" s="7">
        <v>1900.0</v>
      </c>
      <c r="F10" s="7">
        <v>1800.0</v>
      </c>
      <c r="G10" s="7">
        <v>1800.0</v>
      </c>
      <c r="H10" s="7">
        <f t="shared" si="1"/>
        <v>9200</v>
      </c>
      <c r="I10" s="7">
        <v>10000.0</v>
      </c>
      <c r="J10" s="7" t="str">
        <f t="shared" si="2"/>
        <v>NOT ACHIVED</v>
      </c>
      <c r="K10" s="7">
        <f t="shared" si="3"/>
        <v>460</v>
      </c>
    </row>
    <row r="11">
      <c r="A11" s="7" t="s">
        <v>135</v>
      </c>
      <c r="B11" s="7">
        <v>1200.0</v>
      </c>
      <c r="C11" s="7">
        <v>1400.0</v>
      </c>
      <c r="D11" s="7">
        <v>1500.0</v>
      </c>
      <c r="E11" s="7">
        <v>700.0</v>
      </c>
      <c r="F11" s="7">
        <v>2500.0</v>
      </c>
      <c r="G11" s="7">
        <v>7000.0</v>
      </c>
      <c r="H11" s="7">
        <f t="shared" si="1"/>
        <v>14300</v>
      </c>
      <c r="I11" s="7">
        <v>12000.0</v>
      </c>
      <c r="J11" s="7" t="str">
        <f t="shared" si="2"/>
        <v>ACHIEVED</v>
      </c>
      <c r="K11" s="7">
        <f t="shared" si="3"/>
        <v>1430</v>
      </c>
    </row>
    <row r="12">
      <c r="A12" s="7" t="s">
        <v>136</v>
      </c>
      <c r="B12" s="7">
        <v>1500.0</v>
      </c>
      <c r="C12" s="7">
        <v>1800.0</v>
      </c>
      <c r="D12" s="7">
        <v>1800.0</v>
      </c>
      <c r="E12" s="7">
        <v>1800.0</v>
      </c>
      <c r="F12" s="7">
        <v>300.0</v>
      </c>
      <c r="G12" s="7">
        <v>1500.0</v>
      </c>
      <c r="H12" s="7">
        <f t="shared" si="1"/>
        <v>8700</v>
      </c>
      <c r="I12" s="7">
        <v>10000.0</v>
      </c>
      <c r="J12" s="7" t="str">
        <f t="shared" si="2"/>
        <v>NOT ACHIVED</v>
      </c>
      <c r="K12" s="7">
        <f t="shared" si="3"/>
        <v>435</v>
      </c>
    </row>
    <row r="13">
      <c r="A13" s="7" t="s">
        <v>137</v>
      </c>
      <c r="B13" s="7">
        <v>1800.0</v>
      </c>
      <c r="C13" s="7">
        <v>2500.0</v>
      </c>
      <c r="D13" s="7">
        <v>1700.0</v>
      </c>
      <c r="E13" s="7">
        <v>1500.0</v>
      </c>
      <c r="F13" s="7">
        <v>2800.0</v>
      </c>
      <c r="G13" s="7">
        <v>1800.0</v>
      </c>
      <c r="H13" s="7">
        <f t="shared" si="1"/>
        <v>12100</v>
      </c>
      <c r="I13" s="7">
        <v>12000.0</v>
      </c>
      <c r="J13" s="7" t="str">
        <f t="shared" si="2"/>
        <v>ACHIEVED</v>
      </c>
      <c r="K13" s="7">
        <f t="shared" si="3"/>
        <v>1210</v>
      </c>
    </row>
    <row r="14">
      <c r="A14" s="7" t="s">
        <v>138</v>
      </c>
      <c r="B14" s="7">
        <v>200.0</v>
      </c>
      <c r="C14" s="7">
        <v>3000.0</v>
      </c>
      <c r="D14" s="7">
        <v>1900.0</v>
      </c>
      <c r="E14" s="7">
        <v>1200.0</v>
      </c>
      <c r="F14" s="7">
        <v>1500.0</v>
      </c>
      <c r="G14" s="7">
        <v>3000.0</v>
      </c>
      <c r="H14" s="7">
        <f t="shared" si="1"/>
        <v>10800</v>
      </c>
      <c r="I14" s="7">
        <v>10000.0</v>
      </c>
      <c r="J14" s="7" t="str">
        <f t="shared" si="2"/>
        <v>ACHIEVED</v>
      </c>
      <c r="K14" s="7">
        <f t="shared" si="3"/>
        <v>1080</v>
      </c>
    </row>
    <row r="15">
      <c r="A15" s="7" t="s">
        <v>139</v>
      </c>
      <c r="B15" s="7">
        <v>1600.0</v>
      </c>
      <c r="C15" s="7">
        <v>1200.0</v>
      </c>
      <c r="D15" s="7">
        <v>2000.0</v>
      </c>
      <c r="E15" s="7">
        <v>800.0</v>
      </c>
      <c r="F15" s="7">
        <v>1700.0</v>
      </c>
      <c r="G15" s="7">
        <v>800.0</v>
      </c>
      <c r="H15" s="7">
        <f t="shared" si="1"/>
        <v>8100</v>
      </c>
      <c r="I15" s="7">
        <v>10000.0</v>
      </c>
      <c r="J15" s="7" t="str">
        <f t="shared" si="2"/>
        <v>NOT ACHIVED</v>
      </c>
      <c r="K15" s="7">
        <f t="shared" si="3"/>
        <v>405</v>
      </c>
    </row>
    <row r="16">
      <c r="N16" s="17" t="s">
        <v>1225</v>
      </c>
      <c r="O16" s="17" t="s">
        <v>184</v>
      </c>
    </row>
    <row r="17">
      <c r="A17" s="12" t="s">
        <v>140</v>
      </c>
      <c r="J17" s="12" t="s">
        <v>1226</v>
      </c>
      <c r="M17" s="17" t="s">
        <v>1227</v>
      </c>
      <c r="N17" s="12">
        <f>VLOOKUP(M17,$A$4:$K$15,9,0)</f>
        <v>12000</v>
      </c>
    </row>
    <row r="18">
      <c r="A18" s="12" t="s">
        <v>144</v>
      </c>
      <c r="J18" s="12" t="s">
        <v>862</v>
      </c>
    </row>
    <row r="19">
      <c r="A19" s="12" t="s">
        <v>145</v>
      </c>
      <c r="J19" s="12" t="s">
        <v>1228</v>
      </c>
    </row>
    <row r="20">
      <c r="A20" s="12" t="s">
        <v>146</v>
      </c>
      <c r="J20" s="12" t="s">
        <v>1229</v>
      </c>
    </row>
    <row r="21" ht="15.75" customHeight="1">
      <c r="A21" s="12" t="s">
        <v>1230</v>
      </c>
      <c r="K21" s="12" t="s">
        <v>1231</v>
      </c>
    </row>
    <row r="22" ht="15.75" customHeight="1">
      <c r="A22" s="12" t="s">
        <v>1232</v>
      </c>
      <c r="K22" s="12" t="s">
        <v>1233</v>
      </c>
    </row>
    <row r="23" ht="15.75" customHeight="1">
      <c r="A23" s="12" t="s">
        <v>1234</v>
      </c>
      <c r="K23" s="12" t="s">
        <v>1235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A2:L2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14"/>
    <col customWidth="1" min="2" max="8" width="8.0"/>
    <col customWidth="1" min="9" max="9" width="10.0"/>
    <col customWidth="1" min="10" max="10" width="13.29"/>
    <col customWidth="1" min="11" max="26" width="8.0"/>
  </cols>
  <sheetData>
    <row r="1" ht="18.75" customHeight="1">
      <c r="A1" s="19" t="s">
        <v>1236</v>
      </c>
      <c r="K1" s="20"/>
      <c r="L1" s="20"/>
    </row>
    <row r="3">
      <c r="L3" s="17" t="s">
        <v>1237</v>
      </c>
    </row>
    <row r="4">
      <c r="A4" s="3" t="s">
        <v>124</v>
      </c>
      <c r="B4" s="4" t="s">
        <v>125</v>
      </c>
      <c r="C4" s="4" t="s">
        <v>126</v>
      </c>
      <c r="D4" s="4" t="s">
        <v>127</v>
      </c>
      <c r="E4" s="4" t="s">
        <v>128</v>
      </c>
      <c r="F4" s="4" t="s">
        <v>129</v>
      </c>
      <c r="G4" s="4" t="s">
        <v>130</v>
      </c>
      <c r="H4" s="4" t="s">
        <v>131</v>
      </c>
      <c r="I4" s="4" t="s">
        <v>132</v>
      </c>
      <c r="J4" s="5" t="s">
        <v>860</v>
      </c>
      <c r="L4" s="12">
        <f>rank(E5,$E$5:$E$15,0)</f>
        <v>7</v>
      </c>
      <c r="N4" s="12" t="str">
        <f>large(F5:F15)</f>
        <v>#N/A</v>
      </c>
    </row>
    <row r="5">
      <c r="A5" s="6" t="s">
        <v>134</v>
      </c>
      <c r="B5" s="7">
        <v>2000.0</v>
      </c>
      <c r="C5" s="7">
        <v>1500.0</v>
      </c>
      <c r="D5" s="7">
        <v>300.0</v>
      </c>
      <c r="E5" s="7">
        <v>1400.0</v>
      </c>
      <c r="F5" s="7">
        <v>1000.0</v>
      </c>
      <c r="G5" s="7">
        <v>1400.0</v>
      </c>
      <c r="H5" s="7">
        <f t="shared" ref="H5:H15" si="1">SUM(B5:G5)</f>
        <v>7600</v>
      </c>
      <c r="I5" s="7">
        <v>10000.0</v>
      </c>
      <c r="J5" s="41" t="str">
        <f t="shared" ref="J5:J15" si="2">IF(H5&gt;I5,"ACHIEVED","NOT ACHIVED")</f>
        <v>NOT ACHIVED</v>
      </c>
      <c r="L5" s="12">
        <v>7.0</v>
      </c>
    </row>
    <row r="6">
      <c r="A6" s="6" t="s">
        <v>112</v>
      </c>
      <c r="B6" s="7">
        <v>5000.0</v>
      </c>
      <c r="C6" s="7">
        <v>1200.0</v>
      </c>
      <c r="D6" s="7">
        <v>500.0</v>
      </c>
      <c r="E6" s="7">
        <v>1200.0</v>
      </c>
      <c r="F6" s="7">
        <v>1200.0</v>
      </c>
      <c r="G6" s="7">
        <v>2800.0</v>
      </c>
      <c r="H6" s="7">
        <f t="shared" si="1"/>
        <v>11900</v>
      </c>
      <c r="I6" s="7">
        <v>12000.0</v>
      </c>
      <c r="J6" s="41" t="str">
        <f t="shared" si="2"/>
        <v>NOT ACHIVED</v>
      </c>
      <c r="L6" s="12">
        <v>8.0</v>
      </c>
    </row>
    <row r="7">
      <c r="A7" s="6" t="s">
        <v>110</v>
      </c>
      <c r="B7" s="7">
        <v>3000.0</v>
      </c>
      <c r="C7" s="7">
        <v>800.0</v>
      </c>
      <c r="D7" s="7">
        <v>1200.0</v>
      </c>
      <c r="E7" s="7">
        <v>3000.0</v>
      </c>
      <c r="F7" s="7">
        <v>1500.0</v>
      </c>
      <c r="G7" s="7">
        <v>3500.0</v>
      </c>
      <c r="H7" s="7">
        <f t="shared" si="1"/>
        <v>13000</v>
      </c>
      <c r="I7" s="7">
        <v>18000.0</v>
      </c>
      <c r="J7" s="41" t="str">
        <f t="shared" si="2"/>
        <v>NOT ACHIVED</v>
      </c>
      <c r="L7" s="12">
        <v>3.0</v>
      </c>
      <c r="N7" s="12">
        <f>large(F5:F15,2)</f>
        <v>2500</v>
      </c>
    </row>
    <row r="8">
      <c r="A8" s="6" t="s">
        <v>17</v>
      </c>
      <c r="B8" s="7">
        <v>1000.0</v>
      </c>
      <c r="C8" s="7">
        <v>900.0</v>
      </c>
      <c r="D8" s="7">
        <v>1800.0</v>
      </c>
      <c r="E8" s="7">
        <v>5000.0</v>
      </c>
      <c r="F8" s="7">
        <v>1400.0</v>
      </c>
      <c r="G8" s="7">
        <v>1200.0</v>
      </c>
      <c r="H8" s="7">
        <f t="shared" si="1"/>
        <v>11300</v>
      </c>
      <c r="I8" s="7">
        <v>10000.0</v>
      </c>
      <c r="J8" s="41" t="str">
        <f t="shared" si="2"/>
        <v>ACHIEVED</v>
      </c>
      <c r="L8" s="12">
        <v>2.0</v>
      </c>
    </row>
    <row r="9">
      <c r="A9" s="6" t="s">
        <v>14</v>
      </c>
      <c r="B9" s="7">
        <v>500.0</v>
      </c>
      <c r="C9" s="7">
        <v>1000.0</v>
      </c>
      <c r="D9" s="7">
        <v>2300.0</v>
      </c>
      <c r="E9" s="7">
        <v>8000.0</v>
      </c>
      <c r="F9" s="7">
        <v>1700.0</v>
      </c>
      <c r="G9" s="7">
        <v>1400.0</v>
      </c>
      <c r="H9" s="7">
        <f t="shared" si="1"/>
        <v>14900</v>
      </c>
      <c r="I9" s="7">
        <v>12000.0</v>
      </c>
      <c r="J9" s="41" t="str">
        <f t="shared" si="2"/>
        <v>ACHIEVED</v>
      </c>
      <c r="L9" s="12">
        <v>1.0</v>
      </c>
    </row>
    <row r="10">
      <c r="A10" s="6" t="s">
        <v>13</v>
      </c>
      <c r="B10" s="7">
        <v>800.0</v>
      </c>
      <c r="C10" s="7">
        <v>500.0</v>
      </c>
      <c r="D10" s="7">
        <v>2400.0</v>
      </c>
      <c r="E10" s="7">
        <v>1900.0</v>
      </c>
      <c r="F10" s="7">
        <v>1800.0</v>
      </c>
      <c r="G10" s="7">
        <v>1800.0</v>
      </c>
      <c r="H10" s="7">
        <f t="shared" si="1"/>
        <v>9200</v>
      </c>
      <c r="I10" s="7">
        <v>10000.0</v>
      </c>
      <c r="J10" s="41" t="str">
        <f t="shared" si="2"/>
        <v>NOT ACHIVED</v>
      </c>
      <c r="L10" s="12">
        <v>4.0</v>
      </c>
    </row>
    <row r="11">
      <c r="A11" s="6" t="s">
        <v>135</v>
      </c>
      <c r="B11" s="7">
        <v>1200.0</v>
      </c>
      <c r="C11" s="7">
        <v>1400.0</v>
      </c>
      <c r="D11" s="7">
        <v>1500.0</v>
      </c>
      <c r="E11" s="7">
        <v>700.0</v>
      </c>
      <c r="F11" s="7">
        <v>2500.0</v>
      </c>
      <c r="G11" s="7">
        <v>7000.0</v>
      </c>
      <c r="H11" s="7">
        <f t="shared" si="1"/>
        <v>14300</v>
      </c>
      <c r="I11" s="7">
        <v>12000.0</v>
      </c>
      <c r="J11" s="41" t="str">
        <f t="shared" si="2"/>
        <v>ACHIEVED</v>
      </c>
      <c r="L11" s="12">
        <v>11.0</v>
      </c>
    </row>
    <row r="12">
      <c r="A12" s="6" t="s">
        <v>136</v>
      </c>
      <c r="B12" s="7">
        <v>1500.0</v>
      </c>
      <c r="C12" s="7">
        <v>1800.0</v>
      </c>
      <c r="D12" s="7">
        <v>1800.0</v>
      </c>
      <c r="E12" s="7">
        <v>1800.0</v>
      </c>
      <c r="F12" s="7">
        <v>300.0</v>
      </c>
      <c r="G12" s="7">
        <v>1500.0</v>
      </c>
      <c r="H12" s="7">
        <f t="shared" si="1"/>
        <v>8700</v>
      </c>
      <c r="I12" s="7">
        <v>10000.0</v>
      </c>
      <c r="J12" s="41" t="str">
        <f t="shared" si="2"/>
        <v>NOT ACHIVED</v>
      </c>
      <c r="L12" s="12">
        <v>5.0</v>
      </c>
    </row>
    <row r="13">
      <c r="A13" s="6" t="s">
        <v>137</v>
      </c>
      <c r="B13" s="7">
        <v>1800.0</v>
      </c>
      <c r="C13" s="7">
        <v>2500.0</v>
      </c>
      <c r="D13" s="7">
        <v>1700.0</v>
      </c>
      <c r="E13" s="7">
        <v>1500.0</v>
      </c>
      <c r="F13" s="7">
        <v>2800.0</v>
      </c>
      <c r="G13" s="7">
        <v>1800.0</v>
      </c>
      <c r="H13" s="7">
        <f t="shared" si="1"/>
        <v>12100</v>
      </c>
      <c r="I13" s="7">
        <v>12000.0</v>
      </c>
      <c r="J13" s="41" t="str">
        <f t="shared" si="2"/>
        <v>ACHIEVED</v>
      </c>
      <c r="L13" s="12">
        <v>6.0</v>
      </c>
    </row>
    <row r="14">
      <c r="A14" s="6" t="s">
        <v>138</v>
      </c>
      <c r="B14" s="7">
        <v>200.0</v>
      </c>
      <c r="C14" s="7">
        <v>3000.0</v>
      </c>
      <c r="D14" s="7">
        <v>1900.0</v>
      </c>
      <c r="E14" s="7">
        <v>1200.0</v>
      </c>
      <c r="F14" s="7">
        <v>1500.0</v>
      </c>
      <c r="G14" s="7">
        <v>3000.0</v>
      </c>
      <c r="H14" s="7">
        <f t="shared" si="1"/>
        <v>10800</v>
      </c>
      <c r="I14" s="7">
        <v>10000.0</v>
      </c>
      <c r="J14" s="41" t="str">
        <f t="shared" si="2"/>
        <v>ACHIEVED</v>
      </c>
      <c r="L14" s="12">
        <v>8.0</v>
      </c>
    </row>
    <row r="15">
      <c r="A15" s="13" t="s">
        <v>139</v>
      </c>
      <c r="B15" s="14">
        <v>1600.0</v>
      </c>
      <c r="C15" s="14">
        <v>1200.0</v>
      </c>
      <c r="D15" s="14">
        <v>2000.0</v>
      </c>
      <c r="E15" s="14">
        <v>800.0</v>
      </c>
      <c r="F15" s="14">
        <v>1700.0</v>
      </c>
      <c r="G15" s="14">
        <v>800.0</v>
      </c>
      <c r="H15" s="14">
        <f t="shared" si="1"/>
        <v>8100</v>
      </c>
      <c r="I15" s="14">
        <v>10000.0</v>
      </c>
      <c r="J15" s="127" t="str">
        <f t="shared" si="2"/>
        <v>NOT ACHIVED</v>
      </c>
      <c r="L15" s="12">
        <v>10.0</v>
      </c>
    </row>
    <row r="16">
      <c r="L16" s="12" t="str">
        <f t="shared" ref="L16:L17" si="3">rank(E17,$E$5:$E$15,0)</f>
        <v>#N/A</v>
      </c>
    </row>
    <row r="17">
      <c r="A17" s="12" t="s">
        <v>140</v>
      </c>
      <c r="H17" s="56" t="s">
        <v>1226</v>
      </c>
      <c r="I17" s="56"/>
      <c r="L17" s="12" t="str">
        <f t="shared" si="3"/>
        <v>#N/A</v>
      </c>
    </row>
    <row r="18">
      <c r="A18" s="12" t="s">
        <v>144</v>
      </c>
      <c r="H18" s="56" t="s">
        <v>862</v>
      </c>
      <c r="I18" s="56"/>
    </row>
    <row r="19">
      <c r="A19" s="12" t="s">
        <v>145</v>
      </c>
      <c r="H19" s="56" t="s">
        <v>1228</v>
      </c>
      <c r="I19" s="56"/>
    </row>
    <row r="20">
      <c r="A20" s="12" t="s">
        <v>146</v>
      </c>
      <c r="H20" s="56" t="s">
        <v>1229</v>
      </c>
      <c r="I20" s="56"/>
    </row>
    <row r="21" ht="15.75" customHeight="1">
      <c r="A21" s="12" t="s">
        <v>1230</v>
      </c>
      <c r="H21" s="56" t="s">
        <v>1228</v>
      </c>
      <c r="I21" s="56"/>
    </row>
    <row r="22" ht="15.75" customHeight="1">
      <c r="A22" s="12" t="s">
        <v>1232</v>
      </c>
      <c r="H22" s="56" t="s">
        <v>1238</v>
      </c>
      <c r="I22" s="5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14"/>
    <col customWidth="1" min="3" max="26" width="8.0"/>
  </cols>
  <sheetData>
    <row r="1" ht="18.75" customHeight="1">
      <c r="A1" s="19" t="s">
        <v>1239</v>
      </c>
      <c r="G1" s="20"/>
    </row>
    <row r="2">
      <c r="A2" s="21" t="s">
        <v>1240</v>
      </c>
    </row>
    <row r="4">
      <c r="A4" s="7" t="s">
        <v>96</v>
      </c>
      <c r="B4" s="7" t="s">
        <v>150</v>
      </c>
      <c r="C4" s="7" t="s">
        <v>151</v>
      </c>
      <c r="D4" s="7" t="s">
        <v>152</v>
      </c>
      <c r="E4" s="7" t="s">
        <v>153</v>
      </c>
    </row>
    <row r="5">
      <c r="A5" s="7" t="s">
        <v>134</v>
      </c>
      <c r="B5" s="53">
        <v>29356.0</v>
      </c>
      <c r="C5" s="7">
        <f>DATEDIF(B5,TODAY(),"md")</f>
        <v>21</v>
      </c>
      <c r="D5" s="7">
        <f>DATEDIF(C5,TODAY(),"ym")</f>
        <v>7</v>
      </c>
      <c r="E5" s="7">
        <f>DATEDIF(B5,TODAY(),"y")</f>
        <v>44</v>
      </c>
    </row>
    <row r="6">
      <c r="A6" s="7" t="s">
        <v>112</v>
      </c>
      <c r="B6" s="53">
        <v>29818.0</v>
      </c>
      <c r="C6" s="9" t="s">
        <v>326</v>
      </c>
      <c r="D6" s="9" t="s">
        <v>326</v>
      </c>
      <c r="E6" s="9" t="s">
        <v>326</v>
      </c>
    </row>
    <row r="7">
      <c r="A7" s="7" t="s">
        <v>110</v>
      </c>
      <c r="B7" s="53">
        <v>37909.0</v>
      </c>
      <c r="C7" s="9" t="s">
        <v>326</v>
      </c>
      <c r="D7" s="9" t="s">
        <v>326</v>
      </c>
      <c r="E7" s="9" t="s">
        <v>326</v>
      </c>
    </row>
    <row r="8">
      <c r="A8" s="7" t="s">
        <v>17</v>
      </c>
      <c r="B8" s="53">
        <v>33018.0</v>
      </c>
      <c r="C8" s="9" t="s">
        <v>326</v>
      </c>
      <c r="D8" s="9" t="s">
        <v>326</v>
      </c>
      <c r="E8" s="9" t="s">
        <v>326</v>
      </c>
    </row>
    <row r="9">
      <c r="A9" s="7" t="s">
        <v>14</v>
      </c>
      <c r="B9" s="53">
        <v>33840.0</v>
      </c>
      <c r="C9" s="9" t="s">
        <v>326</v>
      </c>
      <c r="D9" s="9" t="s">
        <v>326</v>
      </c>
      <c r="E9" s="9" t="s">
        <v>326</v>
      </c>
    </row>
    <row r="10">
      <c r="A10" s="7" t="s">
        <v>13</v>
      </c>
      <c r="B10" s="53">
        <v>36030.0</v>
      </c>
      <c r="C10" s="9" t="s">
        <v>326</v>
      </c>
      <c r="D10" s="9" t="s">
        <v>326</v>
      </c>
      <c r="E10" s="9" t="s">
        <v>326</v>
      </c>
    </row>
    <row r="11">
      <c r="A11" s="7" t="s">
        <v>135</v>
      </c>
      <c r="B11" s="53">
        <v>29353.0</v>
      </c>
      <c r="C11" s="9" t="s">
        <v>326</v>
      </c>
      <c r="D11" s="9" t="s">
        <v>326</v>
      </c>
      <c r="E11" s="9" t="s">
        <v>326</v>
      </c>
    </row>
    <row r="12">
      <c r="A12" s="7" t="s">
        <v>136</v>
      </c>
      <c r="B12" s="53">
        <v>38429.0</v>
      </c>
      <c r="C12" s="9" t="s">
        <v>326</v>
      </c>
      <c r="D12" s="9" t="s">
        <v>326</v>
      </c>
      <c r="E12" s="9" t="s">
        <v>326</v>
      </c>
    </row>
    <row r="13">
      <c r="A13" s="7" t="s">
        <v>137</v>
      </c>
      <c r="B13" s="53">
        <v>39309.0</v>
      </c>
      <c r="C13" s="9" t="s">
        <v>326</v>
      </c>
      <c r="D13" s="9" t="s">
        <v>326</v>
      </c>
      <c r="E13" s="9" t="s">
        <v>326</v>
      </c>
    </row>
    <row r="14">
      <c r="A14" s="7" t="s">
        <v>138</v>
      </c>
      <c r="B14" s="53">
        <v>40323.0</v>
      </c>
      <c r="C14" s="9" t="s">
        <v>326</v>
      </c>
      <c r="D14" s="9" t="s">
        <v>326</v>
      </c>
      <c r="E14" s="9" t="s">
        <v>326</v>
      </c>
    </row>
    <row r="15">
      <c r="A15" s="7" t="s">
        <v>139</v>
      </c>
      <c r="B15" s="53">
        <v>34206.0</v>
      </c>
      <c r="C15" s="9" t="s">
        <v>326</v>
      </c>
      <c r="D15" s="9" t="s">
        <v>326</v>
      </c>
      <c r="E15" s="9" t="s">
        <v>326</v>
      </c>
    </row>
    <row r="17">
      <c r="A17" s="12" t="s">
        <v>154</v>
      </c>
    </row>
    <row r="18">
      <c r="A18" s="12" t="s">
        <v>155</v>
      </c>
    </row>
    <row r="19">
      <c r="A19" s="12" t="s">
        <v>156</v>
      </c>
    </row>
    <row r="20">
      <c r="A20" s="12" t="s">
        <v>157</v>
      </c>
    </row>
    <row r="21" ht="15.75" customHeight="1">
      <c r="A21" s="12" t="s">
        <v>158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2021-04-20T11:47:33Z</dcterms:created>
  <dc:creator>rajesh</dc:creator>
</cp:coreProperties>
</file>