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20" windowHeight="12090"/>
  </bookViews>
  <sheets>
    <sheet name="ASIC(s)" sheetId="6" r:id="rId1"/>
    <sheet name="pll_calc" sheetId="5" r:id="rId2"/>
    <sheet name="ASIC(t)" sheetId="4" r:id="rId3"/>
  </sheets>
  <definedNames>
    <definedName name="_xlnm._FilterDatabase" localSheetId="0" hidden="1">'ASIC(s)'!$F$1:$T$64</definedName>
    <definedName name="_xlnm._FilterDatabase" localSheetId="2" hidden="1">'ASIC(t)'!$C$1:$K$53</definedName>
    <definedName name="RangeTable" localSheetId="0">'ASIC(s)'!$L$1:$N$9</definedName>
    <definedName name="RangeTable" localSheetId="2">'ASIC(t)'!$N$43:$P$51</definedName>
    <definedName name="RangeTableMax" localSheetId="0">'ASIC(s)'!$M$1:$N$9</definedName>
    <definedName name="RangeTableMax" localSheetId="2">'ASIC(t)'!$O$43:$P$51</definedName>
    <definedName name="Xusb">'ASIC(s)'!$X$9</definedName>
  </definedNames>
  <calcPr calcId="125725"/>
</workbook>
</file>

<file path=xl/calcChain.xml><?xml version="1.0" encoding="utf-8"?>
<calcChain xmlns="http://schemas.openxmlformats.org/spreadsheetml/2006/main">
  <c r="AB41" i="6"/>
  <c r="X41"/>
  <c r="W41"/>
  <c r="Y41" s="1"/>
  <c r="M41"/>
  <c r="S41"/>
  <c r="L41"/>
  <c r="R41"/>
  <c r="T41" s="1"/>
  <c r="U41" s="1"/>
  <c r="K41"/>
  <c r="Q41"/>
  <c r="G41"/>
  <c r="P41"/>
  <c r="AA41"/>
  <c r="AA20"/>
  <c r="P20"/>
  <c r="Q20" s="1"/>
  <c r="M49"/>
  <c r="L49"/>
  <c r="K49"/>
  <c r="G49"/>
  <c r="AA19"/>
  <c r="P19"/>
  <c r="Q19" s="1"/>
  <c r="M31"/>
  <c r="L31"/>
  <c r="K31"/>
  <c r="G31"/>
  <c r="AA18"/>
  <c r="P18"/>
  <c r="Q18" s="1"/>
  <c r="M14"/>
  <c r="L14"/>
  <c r="K14"/>
  <c r="G14"/>
  <c r="AA29"/>
  <c r="P29"/>
  <c r="Q29" s="1"/>
  <c r="M52"/>
  <c r="L52"/>
  <c r="K52"/>
  <c r="G52"/>
  <c r="AA28"/>
  <c r="P28"/>
  <c r="Q28" s="1"/>
  <c r="M34"/>
  <c r="L34"/>
  <c r="K34"/>
  <c r="G34"/>
  <c r="AA27"/>
  <c r="P27"/>
  <c r="Q27" s="1"/>
  <c r="M17"/>
  <c r="L17"/>
  <c r="K17"/>
  <c r="G17"/>
  <c r="AA38"/>
  <c r="P63"/>
  <c r="Q63" s="1"/>
  <c r="M37"/>
  <c r="L37"/>
  <c r="K37"/>
  <c r="G37"/>
  <c r="AA37"/>
  <c r="P48"/>
  <c r="Q48" s="1"/>
  <c r="M55"/>
  <c r="L55"/>
  <c r="K55"/>
  <c r="G55"/>
  <c r="AA36"/>
  <c r="P32"/>
  <c r="Q32" s="1"/>
  <c r="M20"/>
  <c r="L20"/>
  <c r="K20"/>
  <c r="G20"/>
  <c r="G12"/>
  <c r="K12"/>
  <c r="L12"/>
  <c r="M12"/>
  <c r="N12"/>
  <c r="G29"/>
  <c r="K29"/>
  <c r="L29"/>
  <c r="M29"/>
  <c r="G47"/>
  <c r="K47"/>
  <c r="L47"/>
  <c r="M47"/>
  <c r="G13"/>
  <c r="K13"/>
  <c r="L13"/>
  <c r="M13"/>
  <c r="N13"/>
  <c r="G30"/>
  <c r="K30"/>
  <c r="L30"/>
  <c r="M30"/>
  <c r="G48"/>
  <c r="K48"/>
  <c r="L48"/>
  <c r="M48"/>
  <c r="G15"/>
  <c r="K15"/>
  <c r="L15"/>
  <c r="M15"/>
  <c r="N15"/>
  <c r="G32"/>
  <c r="K32"/>
  <c r="L32"/>
  <c r="M32"/>
  <c r="G50"/>
  <c r="K50"/>
  <c r="L50"/>
  <c r="M50"/>
  <c r="G16"/>
  <c r="K16"/>
  <c r="L16"/>
  <c r="M16"/>
  <c r="N16"/>
  <c r="G33"/>
  <c r="K33"/>
  <c r="L33"/>
  <c r="M33"/>
  <c r="G51"/>
  <c r="K51"/>
  <c r="L51"/>
  <c r="M51"/>
  <c r="G18"/>
  <c r="K18"/>
  <c r="L18"/>
  <c r="M18"/>
  <c r="N18"/>
  <c r="G35"/>
  <c r="K35"/>
  <c r="L35"/>
  <c r="M35"/>
  <c r="G53"/>
  <c r="K53"/>
  <c r="L53"/>
  <c r="M53"/>
  <c r="G19"/>
  <c r="K19"/>
  <c r="L19"/>
  <c r="M19"/>
  <c r="N19"/>
  <c r="G36"/>
  <c r="K36"/>
  <c r="L36"/>
  <c r="M36"/>
  <c r="G54"/>
  <c r="K54"/>
  <c r="L54"/>
  <c r="M54"/>
  <c r="G21"/>
  <c r="K21"/>
  <c r="L21"/>
  <c r="M21"/>
  <c r="N21"/>
  <c r="G38"/>
  <c r="K38"/>
  <c r="L38"/>
  <c r="M38"/>
  <c r="G56"/>
  <c r="K56"/>
  <c r="L56"/>
  <c r="M56"/>
  <c r="G22"/>
  <c r="K22"/>
  <c r="L22"/>
  <c r="M22"/>
  <c r="N22"/>
  <c r="G39"/>
  <c r="K39"/>
  <c r="L39"/>
  <c r="M39"/>
  <c r="G57"/>
  <c r="K57"/>
  <c r="L57"/>
  <c r="M57"/>
  <c r="G23"/>
  <c r="K23"/>
  <c r="L23"/>
  <c r="M23"/>
  <c r="N23"/>
  <c r="G40"/>
  <c r="K40"/>
  <c r="L40"/>
  <c r="M40"/>
  <c r="G58"/>
  <c r="K58"/>
  <c r="L58"/>
  <c r="M58"/>
  <c r="G24"/>
  <c r="K24"/>
  <c r="L24"/>
  <c r="M24"/>
  <c r="N24"/>
  <c r="G42"/>
  <c r="K42"/>
  <c r="L42"/>
  <c r="M42"/>
  <c r="G59"/>
  <c r="K59"/>
  <c r="L59"/>
  <c r="M59"/>
  <c r="G25"/>
  <c r="K25"/>
  <c r="L25"/>
  <c r="M25"/>
  <c r="N25"/>
  <c r="G43"/>
  <c r="K43"/>
  <c r="L43"/>
  <c r="M43"/>
  <c r="G60"/>
  <c r="K60"/>
  <c r="L60"/>
  <c r="M60"/>
  <c r="G26"/>
  <c r="K26"/>
  <c r="L26"/>
  <c r="M26"/>
  <c r="N26"/>
  <c r="G44"/>
  <c r="K44"/>
  <c r="L44"/>
  <c r="M44"/>
  <c r="G61"/>
  <c r="K61"/>
  <c r="L61"/>
  <c r="M61"/>
  <c r="G27"/>
  <c r="R18" s="1"/>
  <c r="K27"/>
  <c r="L27"/>
  <c r="M27"/>
  <c r="N27"/>
  <c r="G45"/>
  <c r="K45"/>
  <c r="L45"/>
  <c r="M45"/>
  <c r="G62"/>
  <c r="K62"/>
  <c r="L62"/>
  <c r="M62"/>
  <c r="G28"/>
  <c r="K28"/>
  <c r="L28"/>
  <c r="M28"/>
  <c r="N28"/>
  <c r="G46"/>
  <c r="K46"/>
  <c r="L46"/>
  <c r="M46"/>
  <c r="G63"/>
  <c r="K63"/>
  <c r="L63"/>
  <c r="M63"/>
  <c r="AA14"/>
  <c r="P14"/>
  <c r="Q14" s="1"/>
  <c r="S14" s="1"/>
  <c r="AA13"/>
  <c r="P13"/>
  <c r="Q13" s="1"/>
  <c r="S13" s="1"/>
  <c r="AA12"/>
  <c r="P12"/>
  <c r="Q12" s="1"/>
  <c r="S12"/>
  <c r="AA17"/>
  <c r="P17"/>
  <c r="Q17" s="1"/>
  <c r="AA16"/>
  <c r="P16"/>
  <c r="Q16" s="1"/>
  <c r="S16" s="1"/>
  <c r="AA15"/>
  <c r="P15"/>
  <c r="Q15" s="1"/>
  <c r="S15"/>
  <c r="AA26"/>
  <c r="P26"/>
  <c r="Q26" s="1"/>
  <c r="AA25"/>
  <c r="P25"/>
  <c r="Q25" s="1"/>
  <c r="AA24"/>
  <c r="P24"/>
  <c r="Q24" s="1"/>
  <c r="AA54"/>
  <c r="P37"/>
  <c r="Q37" s="1"/>
  <c r="AA53"/>
  <c r="P36"/>
  <c r="Q36" s="1"/>
  <c r="AA52"/>
  <c r="P35"/>
  <c r="Q35" s="1"/>
  <c r="AA45"/>
  <c r="P58"/>
  <c r="Q58" s="1"/>
  <c r="AA44"/>
  <c r="P55"/>
  <c r="Q55" s="1"/>
  <c r="AA43"/>
  <c r="P52"/>
  <c r="Q52" s="1"/>
  <c r="AA48"/>
  <c r="P40"/>
  <c r="Q40" s="1"/>
  <c r="AA47"/>
  <c r="P34"/>
  <c r="Q34" s="1"/>
  <c r="AA46"/>
  <c r="P61"/>
  <c r="Q61" s="1"/>
  <c r="AA22"/>
  <c r="AA23"/>
  <c r="AA30"/>
  <c r="AA31"/>
  <c r="AA32"/>
  <c r="AA33"/>
  <c r="AA34"/>
  <c r="AA35"/>
  <c r="AA39"/>
  <c r="AA40"/>
  <c r="AA42"/>
  <c r="AA49"/>
  <c r="AA50"/>
  <c r="AA51"/>
  <c r="AA55"/>
  <c r="AA56"/>
  <c r="AA57"/>
  <c r="AA58"/>
  <c r="AA59"/>
  <c r="AA60"/>
  <c r="AA61"/>
  <c r="AA62"/>
  <c r="AA63"/>
  <c r="AA21"/>
  <c r="T27" l="1"/>
  <c r="U27" s="1"/>
  <c r="S18"/>
  <c r="S19"/>
  <c r="S20"/>
  <c r="T18"/>
  <c r="U18" s="1"/>
  <c r="R19"/>
  <c r="T19"/>
  <c r="U19" s="1"/>
  <c r="R20"/>
  <c r="T20"/>
  <c r="U20" s="1"/>
  <c r="N14"/>
  <c r="Y27"/>
  <c r="W27"/>
  <c r="X27" s="1"/>
  <c r="AB27" s="1"/>
  <c r="N17"/>
  <c r="S27"/>
  <c r="S28"/>
  <c r="T28" s="1"/>
  <c r="U28" s="1"/>
  <c r="S29"/>
  <c r="R27"/>
  <c r="R28"/>
  <c r="R29"/>
  <c r="S32"/>
  <c r="T32" s="1"/>
  <c r="U32" s="1"/>
  <c r="S48"/>
  <c r="S63"/>
  <c r="R32"/>
  <c r="R48"/>
  <c r="R63"/>
  <c r="N20"/>
  <c r="S17"/>
  <c r="R12"/>
  <c r="T12"/>
  <c r="U12" s="1"/>
  <c r="R13"/>
  <c r="T13"/>
  <c r="U13" s="1"/>
  <c r="R14"/>
  <c r="T14"/>
  <c r="U14" s="1"/>
  <c r="R15"/>
  <c r="T15"/>
  <c r="U15" s="1"/>
  <c r="R16"/>
  <c r="T16"/>
  <c r="U16" s="1"/>
  <c r="R17"/>
  <c r="T17"/>
  <c r="U17" s="1"/>
  <c r="R36"/>
  <c r="R37"/>
  <c r="R25"/>
  <c r="S26"/>
  <c r="T26" s="1"/>
  <c r="U26" s="1"/>
  <c r="R6"/>
  <c r="S6" s="1"/>
  <c r="R5"/>
  <c r="S5" s="1"/>
  <c r="Q6"/>
  <c r="Q5"/>
  <c r="P39"/>
  <c r="Q39" s="1"/>
  <c r="P57"/>
  <c r="Q57" s="1"/>
  <c r="P31"/>
  <c r="Q31" s="1"/>
  <c r="P44"/>
  <c r="Q44" s="1"/>
  <c r="P49"/>
  <c r="Q49" s="1"/>
  <c r="N49" s="1"/>
  <c r="P23"/>
  <c r="Q23" s="1"/>
  <c r="P45"/>
  <c r="Q45" s="1"/>
  <c r="P42"/>
  <c r="Q42" s="1"/>
  <c r="P38"/>
  <c r="Q38" s="1"/>
  <c r="P62"/>
  <c r="Q62" s="1"/>
  <c r="P59"/>
  <c r="Q59" s="1"/>
  <c r="P56"/>
  <c r="Q56" s="1"/>
  <c r="P53"/>
  <c r="Q53" s="1"/>
  <c r="P50"/>
  <c r="Q50" s="1"/>
  <c r="P30"/>
  <c r="Q30" s="1"/>
  <c r="P21"/>
  <c r="Q21" s="1"/>
  <c r="H9" i="5"/>
  <c r="I9" s="1"/>
  <c r="B9"/>
  <c r="G9" s="1"/>
  <c r="H8"/>
  <c r="I8" s="1"/>
  <c r="B8"/>
  <c r="G8" s="1"/>
  <c r="H7"/>
  <c r="I7" s="1"/>
  <c r="B7"/>
  <c r="G7" s="1"/>
  <c r="H6"/>
  <c r="I6" s="1"/>
  <c r="B6"/>
  <c r="G6" s="1"/>
  <c r="H5"/>
  <c r="I5" s="1"/>
  <c r="B5"/>
  <c r="G5" s="1"/>
  <c r="M41" i="4"/>
  <c r="I41"/>
  <c r="J41" s="1"/>
  <c r="K41" s="1"/>
  <c r="G41"/>
  <c r="M40"/>
  <c r="I40"/>
  <c r="J40" s="1"/>
  <c r="K40" s="1"/>
  <c r="G40"/>
  <c r="M39"/>
  <c r="K39"/>
  <c r="I39"/>
  <c r="J39" s="1"/>
  <c r="G39"/>
  <c r="M36"/>
  <c r="I36"/>
  <c r="J36" s="1"/>
  <c r="K36" s="1"/>
  <c r="G36"/>
  <c r="M35"/>
  <c r="I35"/>
  <c r="J35" s="1"/>
  <c r="K35" s="1"/>
  <c r="G35"/>
  <c r="M34"/>
  <c r="K34"/>
  <c r="I34"/>
  <c r="J34" s="1"/>
  <c r="G34"/>
  <c r="M31"/>
  <c r="I31"/>
  <c r="J31" s="1"/>
  <c r="K31" s="1"/>
  <c r="G31"/>
  <c r="M30"/>
  <c r="I30"/>
  <c r="J30" s="1"/>
  <c r="K30" s="1"/>
  <c r="G30"/>
  <c r="M29"/>
  <c r="K29"/>
  <c r="I29"/>
  <c r="J29" s="1"/>
  <c r="G29"/>
  <c r="M26"/>
  <c r="I26"/>
  <c r="J26" s="1"/>
  <c r="K26" s="1"/>
  <c r="G26"/>
  <c r="M25"/>
  <c r="I25"/>
  <c r="J25" s="1"/>
  <c r="K25" s="1"/>
  <c r="G25"/>
  <c r="M24"/>
  <c r="K24"/>
  <c r="I24"/>
  <c r="J24" s="1"/>
  <c r="G24"/>
  <c r="M21"/>
  <c r="J21"/>
  <c r="K21" s="1"/>
  <c r="I21"/>
  <c r="G21"/>
  <c r="M20"/>
  <c r="I20"/>
  <c r="J20" s="1"/>
  <c r="K20" s="1"/>
  <c r="G20"/>
  <c r="M19"/>
  <c r="K19"/>
  <c r="I19"/>
  <c r="J19" s="1"/>
  <c r="G19"/>
  <c r="M16"/>
  <c r="J16"/>
  <c r="K16" s="1"/>
  <c r="I16"/>
  <c r="G16"/>
  <c r="M15"/>
  <c r="I15"/>
  <c r="J15" s="1"/>
  <c r="K15" s="1"/>
  <c r="G15"/>
  <c r="M14"/>
  <c r="I14"/>
  <c r="J14" s="1"/>
  <c r="K14" s="1"/>
  <c r="G14"/>
  <c r="M11"/>
  <c r="J11"/>
  <c r="K11" s="1"/>
  <c r="I11"/>
  <c r="G11"/>
  <c r="M10"/>
  <c r="K10"/>
  <c r="I10"/>
  <c r="J10" s="1"/>
  <c r="G10"/>
  <c r="M9"/>
  <c r="K9"/>
  <c r="J9"/>
  <c r="I9"/>
  <c r="G9"/>
  <c r="M6"/>
  <c r="J6"/>
  <c r="K6" s="1"/>
  <c r="I6"/>
  <c r="G6"/>
  <c r="M5"/>
  <c r="K5"/>
  <c r="I5"/>
  <c r="J5" s="1"/>
  <c r="G5"/>
  <c r="M4"/>
  <c r="K4"/>
  <c r="J4"/>
  <c r="I4"/>
  <c r="G4"/>
  <c r="T63" i="6" l="1"/>
  <c r="U63" s="1"/>
  <c r="W20"/>
  <c r="Y20" s="1"/>
  <c r="W19"/>
  <c r="Y19" s="1"/>
  <c r="Y18"/>
  <c r="W18"/>
  <c r="X18" s="1"/>
  <c r="AB18" s="1"/>
  <c r="T29"/>
  <c r="U29" s="1"/>
  <c r="W29" s="1"/>
  <c r="Y29" s="1"/>
  <c r="W28"/>
  <c r="Y28" s="1"/>
  <c r="T48"/>
  <c r="U48" s="1"/>
  <c r="N37"/>
  <c r="N30"/>
  <c r="Y12"/>
  <c r="W12"/>
  <c r="X12" s="1"/>
  <c r="Y15"/>
  <c r="W15"/>
  <c r="X15" s="1"/>
  <c r="AB15" s="1"/>
  <c r="R40"/>
  <c r="R26"/>
  <c r="S25"/>
  <c r="T25" s="1"/>
  <c r="U25" s="1"/>
  <c r="S24"/>
  <c r="T24" s="1"/>
  <c r="U24" s="1"/>
  <c r="R24"/>
  <c r="R58"/>
  <c r="S37"/>
  <c r="S36"/>
  <c r="T37"/>
  <c r="U37" s="1"/>
  <c r="W37" s="1"/>
  <c r="Y37" s="1"/>
  <c r="T36"/>
  <c r="U36" s="1"/>
  <c r="W36" s="1"/>
  <c r="X36" s="1"/>
  <c r="S35"/>
  <c r="R35"/>
  <c r="R55"/>
  <c r="R34"/>
  <c r="S58"/>
  <c r="S55"/>
  <c r="S52"/>
  <c r="T52" s="1"/>
  <c r="U52" s="1"/>
  <c r="W26" s="1"/>
  <c r="Y26" s="1"/>
  <c r="R52"/>
  <c r="S40"/>
  <c r="T40" s="1"/>
  <c r="U40" s="1"/>
  <c r="S34"/>
  <c r="S61"/>
  <c r="R61"/>
  <c r="S21"/>
  <c r="S39"/>
  <c r="S57"/>
  <c r="S31"/>
  <c r="S44"/>
  <c r="S23"/>
  <c r="S45"/>
  <c r="S38"/>
  <c r="S62"/>
  <c r="S56"/>
  <c r="S53"/>
  <c r="R30"/>
  <c r="R56"/>
  <c r="T56" s="1"/>
  <c r="U56" s="1"/>
  <c r="R23"/>
  <c r="T23" s="1"/>
  <c r="U23" s="1"/>
  <c r="S30"/>
  <c r="T30" s="1"/>
  <c r="S49"/>
  <c r="S59"/>
  <c r="S50"/>
  <c r="T21"/>
  <c r="U21" s="1"/>
  <c r="S42"/>
  <c r="R50"/>
  <c r="R53"/>
  <c r="R59"/>
  <c r="R38"/>
  <c r="R42"/>
  <c r="R49"/>
  <c r="R44"/>
  <c r="T44" s="1"/>
  <c r="U44" s="1"/>
  <c r="R31"/>
  <c r="R57"/>
  <c r="T57" s="1"/>
  <c r="U57" s="1"/>
  <c r="R39"/>
  <c r="T39" s="1"/>
  <c r="U39" s="1"/>
  <c r="T53"/>
  <c r="U53" s="1"/>
  <c r="T38"/>
  <c r="U38" s="1"/>
  <c r="W38" s="1"/>
  <c r="Y38" s="1"/>
  <c r="T31"/>
  <c r="U31" s="1"/>
  <c r="R45"/>
  <c r="R62"/>
  <c r="T62" s="1"/>
  <c r="U62" s="1"/>
  <c r="R21"/>
  <c r="F5" i="5"/>
  <c r="F6"/>
  <c r="F7"/>
  <c r="F8"/>
  <c r="F9"/>
  <c r="AB12" i="6" l="1"/>
  <c r="T45"/>
  <c r="U45" s="1"/>
  <c r="X28"/>
  <c r="AB28" s="1"/>
  <c r="X19"/>
  <c r="AB19" s="1"/>
  <c r="X20"/>
  <c r="AB20"/>
  <c r="X29"/>
  <c r="T42"/>
  <c r="U42" s="1"/>
  <c r="T55"/>
  <c r="U55" s="1"/>
  <c r="Y36"/>
  <c r="X38"/>
  <c r="X37"/>
  <c r="W53"/>
  <c r="X53" s="1"/>
  <c r="W25"/>
  <c r="Y25" s="1"/>
  <c r="T50"/>
  <c r="U50" s="1"/>
  <c r="W17" s="1"/>
  <c r="Y17" s="1"/>
  <c r="T58"/>
  <c r="U58" s="1"/>
  <c r="W45" s="1"/>
  <c r="Y45" s="1"/>
  <c r="X17"/>
  <c r="T34"/>
  <c r="U34" s="1"/>
  <c r="W16" s="1"/>
  <c r="Y16" s="1"/>
  <c r="W24"/>
  <c r="X24" s="1"/>
  <c r="Y24"/>
  <c r="T59"/>
  <c r="U59" s="1"/>
  <c r="X25"/>
  <c r="X26"/>
  <c r="T35"/>
  <c r="U35" s="1"/>
  <c r="W52" s="1"/>
  <c r="X52" s="1"/>
  <c r="Y53"/>
  <c r="W44"/>
  <c r="Y44" s="1"/>
  <c r="X45"/>
  <c r="Y21"/>
  <c r="T49"/>
  <c r="U49" s="1"/>
  <c r="W14" s="1"/>
  <c r="Y14" s="1"/>
  <c r="T61"/>
  <c r="U61" s="1"/>
  <c r="W48" s="1"/>
  <c r="W39"/>
  <c r="X39" s="1"/>
  <c r="W61"/>
  <c r="X61" s="1"/>
  <c r="W58"/>
  <c r="X58" s="1"/>
  <c r="W55"/>
  <c r="X55" s="1"/>
  <c r="W49"/>
  <c r="X49" s="1"/>
  <c r="W21"/>
  <c r="W32"/>
  <c r="Y32" s="1"/>
  <c r="W42"/>
  <c r="W31"/>
  <c r="Y31" s="1"/>
  <c r="U30"/>
  <c r="P54"/>
  <c r="Q54" s="1"/>
  <c r="P47"/>
  <c r="Q47" s="1"/>
  <c r="N48" s="1"/>
  <c r="P51"/>
  <c r="Q51" s="1"/>
  <c r="P22"/>
  <c r="Q22" s="1"/>
  <c r="R22"/>
  <c r="N53" l="1"/>
  <c r="N51"/>
  <c r="AB24"/>
  <c r="AB17"/>
  <c r="R51"/>
  <c r="N55"/>
  <c r="N56"/>
  <c r="X14"/>
  <c r="X16"/>
  <c r="AB16" s="1"/>
  <c r="R54"/>
  <c r="N32"/>
  <c r="N36"/>
  <c r="N54"/>
  <c r="N38"/>
  <c r="S47"/>
  <c r="R47"/>
  <c r="Y39"/>
  <c r="X44"/>
  <c r="Y52"/>
  <c r="W30"/>
  <c r="X30" s="1"/>
  <c r="X48"/>
  <c r="Y48"/>
  <c r="Y58"/>
  <c r="Y61"/>
  <c r="X31"/>
  <c r="X32"/>
  <c r="AB32" s="1"/>
  <c r="Y49"/>
  <c r="AB49" s="1"/>
  <c r="Y55"/>
  <c r="Y42"/>
  <c r="X42"/>
  <c r="X21"/>
  <c r="AB21" s="1"/>
  <c r="S22"/>
  <c r="T22" s="1"/>
  <c r="U22" s="1"/>
  <c r="W22" s="1"/>
  <c r="Y22" s="1"/>
  <c r="S51"/>
  <c r="T51" s="1"/>
  <c r="U51" s="1"/>
  <c r="W23" s="1"/>
  <c r="Y23" s="1"/>
  <c r="S54"/>
  <c r="T54" s="1"/>
  <c r="U54" s="1"/>
  <c r="W35" s="1"/>
  <c r="Y35" s="1"/>
  <c r="P33"/>
  <c r="Q33" s="1"/>
  <c r="N35" s="1"/>
  <c r="P60"/>
  <c r="Q60" s="1"/>
  <c r="W56"/>
  <c r="P46"/>
  <c r="Q46" s="1"/>
  <c r="N63" l="1"/>
  <c r="N31"/>
  <c r="AB31" s="1"/>
  <c r="N60"/>
  <c r="N52"/>
  <c r="AB52" s="1"/>
  <c r="Y30"/>
  <c r="N29"/>
  <c r="N39"/>
  <c r="AB29" s="1"/>
  <c r="N50"/>
  <c r="W51"/>
  <c r="W54"/>
  <c r="X54" s="1"/>
  <c r="X23"/>
  <c r="AB23" s="1"/>
  <c r="X35"/>
  <c r="T47"/>
  <c r="U47" s="1"/>
  <c r="N44"/>
  <c r="AB39" s="1"/>
  <c r="N58"/>
  <c r="N47"/>
  <c r="R60"/>
  <c r="N33"/>
  <c r="N57"/>
  <c r="AB44" s="1"/>
  <c r="N46"/>
  <c r="AB36" s="1"/>
  <c r="R46"/>
  <c r="R33"/>
  <c r="S33"/>
  <c r="T33" s="1"/>
  <c r="U33" s="1"/>
  <c r="W40"/>
  <c r="Y40" s="1"/>
  <c r="W34"/>
  <c r="X34" s="1"/>
  <c r="X22"/>
  <c r="Y56"/>
  <c r="X56"/>
  <c r="Y51"/>
  <c r="X51"/>
  <c r="S60"/>
  <c r="S46"/>
  <c r="T46" s="1"/>
  <c r="U46" s="1"/>
  <c r="W63"/>
  <c r="P43"/>
  <c r="Q43" s="1"/>
  <c r="AB58" l="1"/>
  <c r="N34"/>
  <c r="S43"/>
  <c r="AB26"/>
  <c r="AB25"/>
  <c r="AB14"/>
  <c r="AB22"/>
  <c r="N59"/>
  <c r="AB55" s="1"/>
  <c r="N43"/>
  <c r="Y54"/>
  <c r="AB54" s="1"/>
  <c r="T60"/>
  <c r="U60" s="1"/>
  <c r="N40"/>
  <c r="N42"/>
  <c r="AB42" s="1"/>
  <c r="W33"/>
  <c r="Y33" s="1"/>
  <c r="W46"/>
  <c r="X46" s="1"/>
  <c r="W13"/>
  <c r="X13" s="1"/>
  <c r="AB13" s="1"/>
  <c r="Y13"/>
  <c r="N62"/>
  <c r="Y34"/>
  <c r="AB34" s="1"/>
  <c r="N45"/>
  <c r="AB35" s="1"/>
  <c r="N61"/>
  <c r="AB56" s="1"/>
  <c r="R43"/>
  <c r="T43" s="1"/>
  <c r="U43" s="1"/>
  <c r="X40"/>
  <c r="AB40" s="1"/>
  <c r="W47"/>
  <c r="Y47" s="1"/>
  <c r="X60"/>
  <c r="Y63"/>
  <c r="X63"/>
  <c r="W62"/>
  <c r="X62" s="1"/>
  <c r="AB63" l="1"/>
  <c r="AB45"/>
  <c r="AB61"/>
  <c r="AB48"/>
  <c r="AB30"/>
  <c r="AB51"/>
  <c r="AB37"/>
  <c r="AB53"/>
  <c r="AB38"/>
  <c r="Y46"/>
  <c r="AB46" s="1"/>
  <c r="W57"/>
  <c r="W60"/>
  <c r="Y60" s="1"/>
  <c r="AB60" s="1"/>
  <c r="X33"/>
  <c r="AB33" s="1"/>
  <c r="W43"/>
  <c r="X43" s="1"/>
  <c r="W59"/>
  <c r="W50"/>
  <c r="X50" s="1"/>
  <c r="X47"/>
  <c r="AB47" s="1"/>
  <c r="Y62"/>
  <c r="AB62" s="1"/>
  <c r="Y57" l="1"/>
  <c r="X57"/>
  <c r="AB57" s="1"/>
  <c r="Y43"/>
  <c r="AB43" s="1"/>
  <c r="Y59"/>
  <c r="X59"/>
  <c r="Y50"/>
  <c r="AB50" s="1"/>
  <c r="AB59" l="1"/>
</calcChain>
</file>

<file path=xl/sharedStrings.xml><?xml version="1.0" encoding="utf-8"?>
<sst xmlns="http://schemas.openxmlformats.org/spreadsheetml/2006/main" count="279" uniqueCount="68">
  <si>
    <t>GMII_125MHz</t>
  </si>
  <si>
    <t>bpEn</t>
  </si>
  <si>
    <t>fbEn</t>
  </si>
  <si>
    <t>inDiv</t>
  </si>
  <si>
    <t>fbDiv</t>
  </si>
  <si>
    <t>outDiv</t>
  </si>
  <si>
    <t>rng</t>
  </si>
  <si>
    <t>refClk</t>
  </si>
  <si>
    <t>chipX FREF</t>
  </si>
  <si>
    <t>fb'</t>
  </si>
  <si>
    <t>Fout</t>
  </si>
  <si>
    <t>clm</t>
  </si>
  <si>
    <t>ctm</t>
  </si>
  <si>
    <t>crm</t>
  </si>
  <si>
    <t>MII_25MHz</t>
  </si>
  <si>
    <t>TBI_125MHz</t>
  </si>
  <si>
    <t>CLEI_75MHz</t>
  </si>
  <si>
    <t>Serial_60MHz</t>
  </si>
  <si>
    <t>Fdeskew</t>
  </si>
  <si>
    <t>Comment</t>
  </si>
  <si>
    <t>Serial_80MHz</t>
  </si>
  <si>
    <t>Serial_120MHz</t>
  </si>
  <si>
    <t>Serial_180MHz</t>
  </si>
  <si>
    <t>Min (MHz)</t>
  </si>
  <si>
    <t>Max (MHz)</t>
  </si>
  <si>
    <t>Rng</t>
  </si>
  <si>
    <t>In deskew mode</t>
  </si>
  <si>
    <t>refclk (mhz)</t>
  </si>
  <si>
    <t>refclk (ps)</t>
  </si>
  <si>
    <t>in_div (m-1)</t>
  </si>
  <si>
    <t>fb_div (n-1)</t>
  </si>
  <si>
    <t>out_div (o-1)</t>
  </si>
  <si>
    <t>less than 2000 ps</t>
  </si>
  <si>
    <t>less than 100000 ps</t>
  </si>
  <si>
    <t>z</t>
  </si>
  <si>
    <t>fout</t>
  </si>
  <si>
    <t>min</t>
  </si>
  <si>
    <t>max</t>
  </si>
  <si>
    <t>RefClk</t>
  </si>
  <si>
    <t>(MHz)</t>
  </si>
  <si>
    <t>(ps)</t>
  </si>
  <si>
    <t>indiv (m)</t>
  </si>
  <si>
    <t>dec</t>
  </si>
  <si>
    <t>hex</t>
  </si>
  <si>
    <t>fbDiv (n)</t>
  </si>
  <si>
    <t xml:space="preserve">dec </t>
  </si>
  <si>
    <t>OutDiv (o)</t>
  </si>
  <si>
    <t>Mode</t>
  </si>
  <si>
    <t>PLL</t>
  </si>
  <si>
    <t>Link Mode</t>
  </si>
  <si>
    <t>rate (ps)</t>
  </si>
  <si>
    <t>deskew (ps)</t>
  </si>
  <si>
    <t>VCOout</t>
  </si>
  <si>
    <t xml:space="preserve">VCOout </t>
  </si>
  <si>
    <t>expCxm</t>
  </si>
  <si>
    <t>expXusb</t>
  </si>
  <si>
    <t>Fout/Xusb</t>
  </si>
  <si>
    <t>Xusb</t>
  </si>
  <si>
    <t>CLEI_125MHz</t>
  </si>
  <si>
    <t>CLEI_100MHz</t>
  </si>
  <si>
    <t>Serial_75MHz</t>
  </si>
  <si>
    <t>TBI_100MHz</t>
  </si>
  <si>
    <t>TBI_75MHz</t>
  </si>
  <si>
    <t>TBI_60MHz</t>
  </si>
  <si>
    <t>CLEI_30MHz</t>
  </si>
  <si>
    <t>TBI_125MHz_sp</t>
  </si>
  <si>
    <t>TBI_87MHz</t>
  </si>
  <si>
    <t>TBI_125MHz_r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</si>
</sst>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2"/>
    <xf numFmtId="0" fontId="3" fillId="0" borderId="0" xfId="2" applyAlignment="1">
      <alignment horizontal="center"/>
    </xf>
    <xf numFmtId="0" fontId="3" fillId="2" borderId="0" xfId="2" applyFill="1" applyAlignment="1" applyProtection="1">
      <alignment horizontal="center"/>
      <protection locked="0"/>
    </xf>
    <xf numFmtId="1" fontId="3" fillId="0" borderId="0" xfId="2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165" fontId="0" fillId="0" borderId="0" xfId="1" applyNumberFormat="1" applyFont="1" applyFill="1" applyAlignment="1">
      <alignment horizont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  <xf numFmtId="166" fontId="0" fillId="0" borderId="1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43" fontId="0" fillId="0" borderId="0" xfId="0" applyNumberFormat="1" applyFill="1" applyBorder="1"/>
    <xf numFmtId="1" fontId="0" fillId="0" borderId="0" xfId="0" applyNumberFormat="1" applyFill="1" applyBorder="1"/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4">
    <dxf>
      <font>
        <color rgb="FFFF0000"/>
      </font>
      <fill>
        <patternFill>
          <bgColor theme="5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A500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B64"/>
  <sheetViews>
    <sheetView tabSelected="1" topLeftCell="A19" zoomScale="85" zoomScaleNormal="85" workbookViewId="0">
      <selection activeCell="AB41" sqref="AB41"/>
    </sheetView>
  </sheetViews>
  <sheetFormatPr defaultRowHeight="15"/>
  <cols>
    <col min="1" max="1" width="3.28515625" customWidth="1"/>
    <col min="2" max="2" width="14.140625" bestFit="1" customWidth="1"/>
    <col min="3" max="3" width="4.28515625" bestFit="1" customWidth="1"/>
    <col min="4" max="4" width="7" style="1" bestFit="1" customWidth="1"/>
    <col min="5" max="5" width="5.42578125" style="21" bestFit="1" customWidth="1"/>
    <col min="6" max="6" width="5" bestFit="1" customWidth="1"/>
    <col min="7" max="7" width="7.85546875" bestFit="1" customWidth="1"/>
    <col min="8" max="8" width="9" style="1" bestFit="1" customWidth="1"/>
    <col min="9" max="9" width="8.7109375" bestFit="1" customWidth="1"/>
    <col min="10" max="10" width="10.140625" style="1" bestFit="1" customWidth="1"/>
    <col min="11" max="11" width="9" style="1" bestFit="1" customWidth="1"/>
    <col min="12" max="12" width="8.7109375" bestFit="1" customWidth="1"/>
    <col min="13" max="13" width="10.140625" style="1" bestFit="1" customWidth="1"/>
    <col min="14" max="14" width="5.85546875" style="1" bestFit="1" customWidth="1"/>
    <col min="15" max="15" width="1.28515625" style="32" customWidth="1"/>
    <col min="16" max="16" width="9.5703125" style="1" bestFit="1" customWidth="1"/>
    <col min="17" max="17" width="10.42578125" style="1" bestFit="1" customWidth="1"/>
    <col min="18" max="18" width="8.5703125" style="1" bestFit="1" customWidth="1"/>
    <col min="19" max="19" width="11.7109375" style="1" bestFit="1" customWidth="1"/>
    <col min="20" max="20" width="11.5703125" style="1" bestFit="1" customWidth="1"/>
    <col min="21" max="21" width="10.42578125" style="1" bestFit="1" customWidth="1"/>
    <col min="22" max="22" width="1.5703125" customWidth="1"/>
    <col min="23" max="23" width="10.7109375" bestFit="1" customWidth="1"/>
    <col min="24" max="24" width="9.85546875" customWidth="1"/>
    <col min="26" max="26" width="1.42578125" customWidth="1"/>
    <col min="28" max="28" width="56.140625" bestFit="1" customWidth="1"/>
  </cols>
  <sheetData>
    <row r="1" spans="2:28" s="11" customFormat="1">
      <c r="E1" s="22"/>
      <c r="H1" s="12"/>
      <c r="I1" s="12"/>
      <c r="L1" s="5" t="s">
        <v>23</v>
      </c>
      <c r="M1" s="5" t="s">
        <v>24</v>
      </c>
      <c r="N1" s="5" t="s">
        <v>25</v>
      </c>
      <c r="O1" s="31"/>
      <c r="P1" s="12" t="s">
        <v>39</v>
      </c>
      <c r="Q1" s="12" t="s">
        <v>39</v>
      </c>
      <c r="R1" s="12" t="s">
        <v>39</v>
      </c>
      <c r="S1" s="12"/>
      <c r="T1" s="23"/>
      <c r="U1" s="13"/>
      <c r="X1" s="12"/>
      <c r="Z1" s="12"/>
    </row>
    <row r="2" spans="2:28" s="11" customFormat="1">
      <c r="E2" s="22"/>
      <c r="H2" s="12"/>
      <c r="I2" s="12"/>
      <c r="L2">
        <v>0</v>
      </c>
      <c r="M2">
        <v>0</v>
      </c>
      <c r="N2">
        <v>0</v>
      </c>
      <c r="O2" s="31"/>
      <c r="P2" s="12" t="s">
        <v>36</v>
      </c>
      <c r="Q2" s="12">
        <v>10</v>
      </c>
      <c r="R2" s="14">
        <v>500</v>
      </c>
      <c r="S2" s="12"/>
      <c r="T2" s="23"/>
      <c r="U2" s="13"/>
      <c r="X2" s="12"/>
      <c r="Z2" s="12"/>
    </row>
    <row r="3" spans="2:28" s="11" customFormat="1">
      <c r="E3" s="22"/>
      <c r="H3" s="12"/>
      <c r="I3" s="12"/>
      <c r="L3">
        <v>5</v>
      </c>
      <c r="M3">
        <v>10</v>
      </c>
      <c r="N3">
        <v>1</v>
      </c>
      <c r="O3" s="31"/>
      <c r="P3" s="12" t="s">
        <v>37</v>
      </c>
      <c r="Q3" s="12">
        <v>200</v>
      </c>
      <c r="R3" s="14">
        <v>1000</v>
      </c>
      <c r="S3" s="12"/>
      <c r="T3" s="23"/>
      <c r="U3" s="13"/>
      <c r="X3" s="12"/>
      <c r="Z3" s="12"/>
    </row>
    <row r="4" spans="2:28" s="11" customFormat="1">
      <c r="E4" s="22"/>
      <c r="H4" s="12"/>
      <c r="I4" s="12"/>
      <c r="L4">
        <v>8</v>
      </c>
      <c r="M4">
        <v>16</v>
      </c>
      <c r="N4">
        <v>2</v>
      </c>
      <c r="O4" s="31"/>
      <c r="P4" s="12" t="s">
        <v>40</v>
      </c>
      <c r="Q4" s="12" t="s">
        <v>40</v>
      </c>
      <c r="R4" s="12" t="s">
        <v>40</v>
      </c>
      <c r="T4" s="23"/>
      <c r="U4" s="13"/>
      <c r="X4" s="12"/>
      <c r="Z4" s="12"/>
    </row>
    <row r="5" spans="2:28" s="11" customFormat="1">
      <c r="E5" s="22"/>
      <c r="H5" s="12"/>
      <c r="I5" s="12"/>
      <c r="L5">
        <v>13</v>
      </c>
      <c r="M5">
        <v>26</v>
      </c>
      <c r="N5">
        <v>3</v>
      </c>
      <c r="O5" s="31"/>
      <c r="P5" s="12" t="s">
        <v>37</v>
      </c>
      <c r="Q5" s="14">
        <f>1/Q2*1000000</f>
        <v>100000</v>
      </c>
      <c r="R5" s="14">
        <f>1/R2*1000000</f>
        <v>2000</v>
      </c>
      <c r="S5" s="14">
        <f>R5</f>
        <v>2000</v>
      </c>
      <c r="T5" s="23"/>
      <c r="U5" s="13"/>
      <c r="X5" s="12"/>
      <c r="Z5" s="12"/>
    </row>
    <row r="6" spans="2:28" s="11" customFormat="1">
      <c r="E6" s="22"/>
      <c r="H6" s="12"/>
      <c r="I6" s="12"/>
      <c r="L6">
        <v>21</v>
      </c>
      <c r="M6">
        <v>42</v>
      </c>
      <c r="N6">
        <v>4</v>
      </c>
      <c r="O6" s="31"/>
      <c r="P6" s="19" t="s">
        <v>36</v>
      </c>
      <c r="Q6" s="14">
        <f>1/Q3*1000000</f>
        <v>5000</v>
      </c>
      <c r="R6" s="14">
        <f>1/R3*1000000</f>
        <v>1000</v>
      </c>
      <c r="S6" s="14">
        <f>R6</f>
        <v>1000</v>
      </c>
      <c r="T6" s="23"/>
      <c r="U6" s="13"/>
      <c r="X6" s="12"/>
      <c r="Z6" s="12"/>
    </row>
    <row r="7" spans="2:28" s="11" customFormat="1">
      <c r="E7" s="22"/>
      <c r="H7" s="12"/>
      <c r="I7" s="12"/>
      <c r="L7">
        <v>34</v>
      </c>
      <c r="M7">
        <v>68</v>
      </c>
      <c r="N7">
        <v>5</v>
      </c>
      <c r="O7" s="31"/>
      <c r="P7" s="19"/>
      <c r="Q7" s="14"/>
      <c r="R7" s="14"/>
      <c r="S7" s="14"/>
      <c r="T7" s="23"/>
      <c r="U7" s="13"/>
      <c r="X7" s="12"/>
      <c r="Z7" s="12"/>
    </row>
    <row r="8" spans="2:28" s="11" customFormat="1">
      <c r="E8" s="22"/>
      <c r="H8" s="12"/>
      <c r="I8" s="12"/>
      <c r="L8">
        <v>54</v>
      </c>
      <c r="M8">
        <v>108</v>
      </c>
      <c r="N8">
        <v>6</v>
      </c>
      <c r="O8" s="31"/>
      <c r="P8" s="19"/>
      <c r="Q8" s="14"/>
      <c r="R8" s="14"/>
      <c r="S8" s="14"/>
      <c r="T8" s="23"/>
      <c r="U8" s="13"/>
      <c r="X8" s="12"/>
      <c r="Z8" s="12"/>
    </row>
    <row r="9" spans="2:28" s="11" customFormat="1">
      <c r="E9" s="22"/>
      <c r="H9" s="12"/>
      <c r="I9" s="12"/>
      <c r="L9">
        <v>88</v>
      </c>
      <c r="M9">
        <v>200</v>
      </c>
      <c r="N9">
        <v>7</v>
      </c>
      <c r="O9" s="31"/>
      <c r="P9" s="19"/>
      <c r="Q9" s="14"/>
      <c r="R9" s="14"/>
      <c r="S9" s="14"/>
      <c r="T9" s="23"/>
      <c r="U9" s="13"/>
      <c r="W9" s="16" t="s">
        <v>57</v>
      </c>
      <c r="X9" s="26">
        <v>60</v>
      </c>
      <c r="Y9" s="31"/>
      <c r="Z9" s="26"/>
    </row>
    <row r="10" spans="2:28" s="11" customFormat="1">
      <c r="B10" s="36" t="s">
        <v>49</v>
      </c>
      <c r="C10" s="36" t="s">
        <v>48</v>
      </c>
      <c r="D10" s="35" t="s">
        <v>38</v>
      </c>
      <c r="E10" s="37" t="s">
        <v>1</v>
      </c>
      <c r="F10" s="37" t="s">
        <v>2</v>
      </c>
      <c r="G10" s="37" t="s">
        <v>47</v>
      </c>
      <c r="H10" s="29" t="s">
        <v>41</v>
      </c>
      <c r="I10" s="29" t="s">
        <v>44</v>
      </c>
      <c r="J10" s="29" t="s">
        <v>46</v>
      </c>
      <c r="K10" s="29" t="s">
        <v>41</v>
      </c>
      <c r="L10" s="29" t="s">
        <v>44</v>
      </c>
      <c r="M10" s="29" t="s">
        <v>46</v>
      </c>
      <c r="N10" s="37" t="s">
        <v>6</v>
      </c>
      <c r="O10" s="20"/>
      <c r="P10" s="18" t="s">
        <v>38</v>
      </c>
      <c r="Q10" s="10" t="s">
        <v>8</v>
      </c>
      <c r="R10" s="10" t="s">
        <v>52</v>
      </c>
      <c r="S10" s="10" t="s">
        <v>53</v>
      </c>
      <c r="T10" s="38" t="s">
        <v>10</v>
      </c>
      <c r="U10" s="38"/>
      <c r="W10" s="31"/>
      <c r="X10" s="31"/>
      <c r="Y10" s="31"/>
      <c r="Z10" s="26"/>
    </row>
    <row r="11" spans="2:28" s="11" customFormat="1">
      <c r="B11" s="36"/>
      <c r="C11" s="36"/>
      <c r="D11" s="27" t="s">
        <v>39</v>
      </c>
      <c r="E11" s="37"/>
      <c r="F11" s="37"/>
      <c r="G11" s="37"/>
      <c r="H11" s="27" t="s">
        <v>42</v>
      </c>
      <c r="I11" s="27" t="s">
        <v>45</v>
      </c>
      <c r="J11" s="27" t="s">
        <v>42</v>
      </c>
      <c r="K11" s="27" t="s">
        <v>43</v>
      </c>
      <c r="L11" s="27" t="s">
        <v>43</v>
      </c>
      <c r="M11" s="27" t="s">
        <v>43</v>
      </c>
      <c r="N11" s="37"/>
      <c r="O11" s="20"/>
      <c r="P11" s="27" t="s">
        <v>40</v>
      </c>
      <c r="Q11" s="27" t="s">
        <v>40</v>
      </c>
      <c r="R11" s="27" t="s">
        <v>50</v>
      </c>
      <c r="S11" s="27" t="s">
        <v>51</v>
      </c>
      <c r="T11" s="27" t="s">
        <v>40</v>
      </c>
      <c r="U11" s="27" t="s">
        <v>39</v>
      </c>
      <c r="W11" s="26" t="s">
        <v>56</v>
      </c>
      <c r="X11" s="25" t="s">
        <v>54</v>
      </c>
      <c r="Y11" s="26" t="s">
        <v>55</v>
      </c>
      <c r="Z11" s="31"/>
    </row>
    <row r="12" spans="2:28" s="11" customFormat="1">
      <c r="B12" s="29" t="s">
        <v>63</v>
      </c>
      <c r="C12" s="17" t="s">
        <v>11</v>
      </c>
      <c r="D12" s="24">
        <v>24</v>
      </c>
      <c r="E12" s="28">
        <v>1</v>
      </c>
      <c r="F12" s="15">
        <v>1</v>
      </c>
      <c r="G12" s="15" t="str">
        <f t="shared" ref="G12:G44" si="0">IF(E12,"bypass",IF(F12,"rate","deskew"))</f>
        <v>bypass</v>
      </c>
      <c r="H12" s="15">
        <v>0</v>
      </c>
      <c r="I12" s="15">
        <v>0</v>
      </c>
      <c r="J12" s="15">
        <v>0</v>
      </c>
      <c r="K12" s="15" t="str">
        <f t="shared" ref="K12:K44" si="1">"0x"&amp;T(DEC2HEX(H12,2))</f>
        <v>0x00</v>
      </c>
      <c r="L12" s="15" t="str">
        <f t="shared" ref="L12:L44" si="2">"0x"&amp;T(DEC2HEX(I12,2))</f>
        <v>0x00</v>
      </c>
      <c r="M12" s="15" t="str">
        <f t="shared" ref="M12:M44" si="3">"0x"&amp;T(DEC2HEX(J12,2))</f>
        <v>0x00</v>
      </c>
      <c r="N12" s="15">
        <f t="shared" ref="N12:N44" si="4">IF($G12="bypass",0,VLOOKUP(1000000/Q12,RangeTable,3,TRUE))</f>
        <v>0</v>
      </c>
      <c r="O12" s="26"/>
      <c r="P12" s="24">
        <f t="shared" ref="P12:P63" si="5">1/D12*1000000</f>
        <v>41666.666666666664</v>
      </c>
      <c r="Q12" s="24">
        <f t="shared" ref="Q12:Q63" si="6">P12*($H12+1)</f>
        <v>41666.666666666664</v>
      </c>
      <c r="R12" s="24" t="str">
        <f t="shared" ref="R12:R63" si="7">IF($G12 = "rate",$Q12/($I12+1),"")</f>
        <v/>
      </c>
      <c r="S12" s="24" t="str">
        <f t="shared" ref="S12:S63" si="8">IF($G12 = "deskew",$Q12/(($I12+1)*($J12+1)),"")</f>
        <v/>
      </c>
      <c r="T12" s="30">
        <f t="shared" ref="T12:T63" si="9">IF($G12 = "bypass",P12,IF($G12 = "rate",R12*($J12+1),S12*($J12 + 1)))</f>
        <v>41666.666666666664</v>
      </c>
      <c r="U12" s="30">
        <f t="shared" ref="U12:U63" si="10">1/T12*1000000</f>
        <v>24</v>
      </c>
      <c r="W12" s="33">
        <f t="shared" ref="W12:W14" si="11">IF($U12&lt;Xusb,$U12/Xusb,Xusb/$U12)</f>
        <v>0.4</v>
      </c>
      <c r="X12" s="34">
        <f t="shared" ref="X12:X14" si="12">ROUND(IF($U12&gt;Xusb,255,$W12*255),0)</f>
        <v>102</v>
      </c>
      <c r="Y12" s="34">
        <f t="shared" ref="Y12:Y14" si="13">ROUND(IF($U12&lt;=Xusb,255,$W12*255),0)</f>
        <v>255</v>
      </c>
      <c r="Z12" s="26"/>
      <c r="AA12" s="11" t="str">
        <f t="shared" ref="AA12:AA14" si="14">C12</f>
        <v>clm</v>
      </c>
      <c r="AB12" s="11" t="str">
        <f>"{ePllCfg"&amp;B12&amp;", "&amp;E12&amp;", "&amp;F12&amp;", "&amp;K12&amp;", "&amp;L12&amp;", "&amp;M12&amp;", "&amp;N12&amp;", "&amp;X12&amp;", "&amp;Y12&amp;" }, // "&amp;AA12&amp;" in " &amp; G12 &amp; " mode"</f>
        <v>{ePllCfgTBI_60MHz, 1, 1, 0x00, 0x00, 0x00, 0, 102, 255 }, // clm in bypass mode</v>
      </c>
    </row>
    <row r="13" spans="2:28" s="11" customFormat="1">
      <c r="B13" s="29" t="s">
        <v>62</v>
      </c>
      <c r="C13" s="17" t="s">
        <v>11</v>
      </c>
      <c r="D13" s="24">
        <v>24</v>
      </c>
      <c r="E13" s="28">
        <v>1</v>
      </c>
      <c r="F13" s="15">
        <v>1</v>
      </c>
      <c r="G13" s="15" t="str">
        <f t="shared" si="0"/>
        <v>bypass</v>
      </c>
      <c r="H13" s="15">
        <v>0</v>
      </c>
      <c r="I13" s="15">
        <v>0</v>
      </c>
      <c r="J13" s="15">
        <v>0</v>
      </c>
      <c r="K13" s="15" t="str">
        <f t="shared" si="1"/>
        <v>0x00</v>
      </c>
      <c r="L13" s="15" t="str">
        <f t="shared" si="2"/>
        <v>0x00</v>
      </c>
      <c r="M13" s="15" t="str">
        <f t="shared" si="3"/>
        <v>0x00</v>
      </c>
      <c r="N13" s="15">
        <f t="shared" si="4"/>
        <v>0</v>
      </c>
      <c r="O13" s="26"/>
      <c r="P13" s="24">
        <f t="shared" si="5"/>
        <v>41666.666666666664</v>
      </c>
      <c r="Q13" s="24">
        <f t="shared" si="6"/>
        <v>41666.666666666664</v>
      </c>
      <c r="R13" s="24" t="str">
        <f t="shared" si="7"/>
        <v/>
      </c>
      <c r="S13" s="24" t="str">
        <f t="shared" si="8"/>
        <v/>
      </c>
      <c r="T13" s="30">
        <f t="shared" si="9"/>
        <v>41666.666666666664</v>
      </c>
      <c r="U13" s="30">
        <f t="shared" si="10"/>
        <v>24</v>
      </c>
      <c r="W13" s="33">
        <f t="shared" si="11"/>
        <v>0.4</v>
      </c>
      <c r="X13" s="34">
        <f t="shared" si="12"/>
        <v>102</v>
      </c>
      <c r="Y13" s="34">
        <f t="shared" si="13"/>
        <v>255</v>
      </c>
      <c r="Z13" s="26"/>
      <c r="AA13" s="11" t="str">
        <f t="shared" si="14"/>
        <v>clm</v>
      </c>
      <c r="AB13" s="11" t="str">
        <f t="shared" ref="AB13:AB63" si="15">"{ePllCfg"&amp;B13&amp;", "&amp;E13&amp;", "&amp;F13&amp;", "&amp;K13&amp;", "&amp;L13&amp;", "&amp;M13&amp;", "&amp;N13&amp;", "&amp;X13&amp;", "&amp;Y13&amp;" }, // "&amp;AA13&amp;" in " &amp; G13 &amp; " mode"</f>
        <v>{ePllCfgTBI_75MHz, 1, 1, 0x00, 0x00, 0x00, 0, 102, 255 }, // clm in bypass mode</v>
      </c>
    </row>
    <row r="14" spans="2:28" s="11" customFormat="1">
      <c r="B14" s="29" t="s">
        <v>66</v>
      </c>
      <c r="C14" s="17" t="s">
        <v>11</v>
      </c>
      <c r="D14" s="24">
        <v>24</v>
      </c>
      <c r="E14" s="28">
        <v>1</v>
      </c>
      <c r="F14" s="15">
        <v>1</v>
      </c>
      <c r="G14" s="15" t="str">
        <f t="shared" si="0"/>
        <v>bypass</v>
      </c>
      <c r="H14" s="15">
        <v>0</v>
      </c>
      <c r="I14" s="15">
        <v>0</v>
      </c>
      <c r="J14" s="15">
        <v>0</v>
      </c>
      <c r="K14" s="15" t="str">
        <f t="shared" si="1"/>
        <v>0x00</v>
      </c>
      <c r="L14" s="15" t="str">
        <f t="shared" si="2"/>
        <v>0x00</v>
      </c>
      <c r="M14" s="15" t="str">
        <f t="shared" si="3"/>
        <v>0x00</v>
      </c>
      <c r="N14" s="15">
        <f t="shared" si="4"/>
        <v>0</v>
      </c>
      <c r="O14" s="26"/>
      <c r="P14" s="24">
        <f t="shared" si="5"/>
        <v>41666.666666666664</v>
      </c>
      <c r="Q14" s="24">
        <f t="shared" si="6"/>
        <v>41666.666666666664</v>
      </c>
      <c r="R14" s="24" t="str">
        <f t="shared" si="7"/>
        <v/>
      </c>
      <c r="S14" s="24" t="str">
        <f t="shared" si="8"/>
        <v/>
      </c>
      <c r="T14" s="30">
        <f t="shared" si="9"/>
        <v>41666.666666666664</v>
      </c>
      <c r="U14" s="30">
        <f t="shared" si="10"/>
        <v>24</v>
      </c>
      <c r="W14" s="33">
        <f t="shared" si="11"/>
        <v>0.4</v>
      </c>
      <c r="X14" s="34">
        <f t="shared" si="12"/>
        <v>102</v>
      </c>
      <c r="Y14" s="34">
        <f t="shared" si="13"/>
        <v>255</v>
      </c>
      <c r="Z14" s="26"/>
      <c r="AA14" s="11" t="str">
        <f t="shared" si="14"/>
        <v>clm</v>
      </c>
      <c r="AB14" s="11" t="str">
        <f t="shared" si="15"/>
        <v>{ePllCfgTBI_87MHz, 1, 1, 0x00, 0x00, 0x00, 0, 102, 255 }, // clm in bypass mode</v>
      </c>
    </row>
    <row r="15" spans="2:28" s="11" customFormat="1">
      <c r="B15" s="29" t="s">
        <v>61</v>
      </c>
      <c r="C15" s="17" t="s">
        <v>11</v>
      </c>
      <c r="D15" s="24">
        <v>24</v>
      </c>
      <c r="E15" s="28">
        <v>1</v>
      </c>
      <c r="F15" s="15">
        <v>1</v>
      </c>
      <c r="G15" s="15" t="str">
        <f t="shared" si="0"/>
        <v>bypass</v>
      </c>
      <c r="H15" s="15">
        <v>0</v>
      </c>
      <c r="I15" s="15">
        <v>0</v>
      </c>
      <c r="J15" s="15">
        <v>0</v>
      </c>
      <c r="K15" s="15" t="str">
        <f t="shared" si="1"/>
        <v>0x00</v>
      </c>
      <c r="L15" s="15" t="str">
        <f t="shared" si="2"/>
        <v>0x00</v>
      </c>
      <c r="M15" s="15" t="str">
        <f t="shared" si="3"/>
        <v>0x00</v>
      </c>
      <c r="N15" s="15">
        <f t="shared" si="4"/>
        <v>0</v>
      </c>
      <c r="O15" s="26"/>
      <c r="P15" s="24">
        <f t="shared" si="5"/>
        <v>41666.666666666664</v>
      </c>
      <c r="Q15" s="24">
        <f t="shared" si="6"/>
        <v>41666.666666666664</v>
      </c>
      <c r="R15" s="24" t="str">
        <f t="shared" si="7"/>
        <v/>
      </c>
      <c r="S15" s="24" t="str">
        <f t="shared" si="8"/>
        <v/>
      </c>
      <c r="T15" s="30">
        <f t="shared" si="9"/>
        <v>41666.666666666664</v>
      </c>
      <c r="U15" s="30">
        <f t="shared" si="10"/>
        <v>24</v>
      </c>
      <c r="W15" s="33">
        <f t="shared" ref="W15:W20" si="16">IF($U15&lt;Xusb,$U15/Xusb,Xusb/$U15)</f>
        <v>0.4</v>
      </c>
      <c r="X15" s="34">
        <f t="shared" ref="X15:X20" si="17">ROUND(IF($U15&gt;Xusb,255,$W15*255),0)</f>
        <v>102</v>
      </c>
      <c r="Y15" s="34">
        <f t="shared" ref="Y15:Y20" si="18">ROUND(IF($U15&lt;=Xusb,255,$W15*255),0)</f>
        <v>255</v>
      </c>
      <c r="Z15" s="26"/>
      <c r="AA15" s="11" t="str">
        <f t="shared" ref="AA15:AA17" si="19">C15</f>
        <v>clm</v>
      </c>
      <c r="AB15" s="11" t="str">
        <f t="shared" si="15"/>
        <v>{ePllCfgTBI_100MHz, 1, 1, 0x00, 0x00, 0x00, 0, 102, 255 }, // clm in bypass mode</v>
      </c>
    </row>
    <row r="16" spans="2:28" s="11" customFormat="1">
      <c r="B16" s="29" t="s">
        <v>15</v>
      </c>
      <c r="C16" s="17" t="s">
        <v>11</v>
      </c>
      <c r="D16" s="24">
        <v>24</v>
      </c>
      <c r="E16" s="28">
        <v>1</v>
      </c>
      <c r="F16" s="15">
        <v>1</v>
      </c>
      <c r="G16" s="15" t="str">
        <f t="shared" si="0"/>
        <v>bypass</v>
      </c>
      <c r="H16" s="15">
        <v>0</v>
      </c>
      <c r="I16" s="15">
        <v>0</v>
      </c>
      <c r="J16" s="15">
        <v>0</v>
      </c>
      <c r="K16" s="15" t="str">
        <f t="shared" si="1"/>
        <v>0x00</v>
      </c>
      <c r="L16" s="15" t="str">
        <f t="shared" si="2"/>
        <v>0x00</v>
      </c>
      <c r="M16" s="15" t="str">
        <f t="shared" si="3"/>
        <v>0x00</v>
      </c>
      <c r="N16" s="15">
        <f t="shared" si="4"/>
        <v>0</v>
      </c>
      <c r="O16" s="26"/>
      <c r="P16" s="24">
        <f t="shared" si="5"/>
        <v>41666.666666666664</v>
      </c>
      <c r="Q16" s="24">
        <f t="shared" si="6"/>
        <v>41666.666666666664</v>
      </c>
      <c r="R16" s="24" t="str">
        <f t="shared" si="7"/>
        <v/>
      </c>
      <c r="S16" s="24" t="str">
        <f t="shared" si="8"/>
        <v/>
      </c>
      <c r="T16" s="30">
        <f t="shared" si="9"/>
        <v>41666.666666666664</v>
      </c>
      <c r="U16" s="30">
        <f t="shared" si="10"/>
        <v>24</v>
      </c>
      <c r="W16" s="33">
        <f t="shared" si="16"/>
        <v>0.4</v>
      </c>
      <c r="X16" s="34">
        <f t="shared" si="17"/>
        <v>102</v>
      </c>
      <c r="Y16" s="34">
        <f t="shared" si="18"/>
        <v>255</v>
      </c>
      <c r="Z16" s="26"/>
      <c r="AA16" s="11" t="str">
        <f t="shared" si="19"/>
        <v>clm</v>
      </c>
      <c r="AB16" s="11" t="str">
        <f t="shared" si="15"/>
        <v>{ePllCfgTBI_125MHz, 1, 1, 0x00, 0x00, 0x00, 0, 102, 255 }, // clm in bypass mode</v>
      </c>
    </row>
    <row r="17" spans="2:28" s="11" customFormat="1">
      <c r="B17" s="29" t="s">
        <v>65</v>
      </c>
      <c r="C17" s="17" t="s">
        <v>11</v>
      </c>
      <c r="D17" s="24">
        <v>24</v>
      </c>
      <c r="E17" s="28">
        <v>1</v>
      </c>
      <c r="F17" s="15">
        <v>1</v>
      </c>
      <c r="G17" s="15" t="str">
        <f t="shared" si="0"/>
        <v>bypass</v>
      </c>
      <c r="H17" s="15">
        <v>0</v>
      </c>
      <c r="I17" s="15">
        <v>0</v>
      </c>
      <c r="J17" s="15">
        <v>0</v>
      </c>
      <c r="K17" s="15" t="str">
        <f t="shared" si="1"/>
        <v>0x00</v>
      </c>
      <c r="L17" s="15" t="str">
        <f t="shared" si="2"/>
        <v>0x00</v>
      </c>
      <c r="M17" s="15" t="str">
        <f t="shared" si="3"/>
        <v>0x00</v>
      </c>
      <c r="N17" s="15">
        <f t="shared" si="4"/>
        <v>0</v>
      </c>
      <c r="O17" s="26"/>
      <c r="P17" s="24">
        <f t="shared" si="5"/>
        <v>41666.666666666664</v>
      </c>
      <c r="Q17" s="24">
        <f t="shared" si="6"/>
        <v>41666.666666666664</v>
      </c>
      <c r="R17" s="24" t="str">
        <f t="shared" si="7"/>
        <v/>
      </c>
      <c r="S17" s="24" t="str">
        <f t="shared" si="8"/>
        <v/>
      </c>
      <c r="T17" s="30">
        <f t="shared" si="9"/>
        <v>41666.666666666664</v>
      </c>
      <c r="U17" s="30">
        <f t="shared" si="10"/>
        <v>24</v>
      </c>
      <c r="W17" s="33">
        <f t="shared" si="16"/>
        <v>0.4</v>
      </c>
      <c r="X17" s="34">
        <f t="shared" si="17"/>
        <v>102</v>
      </c>
      <c r="Y17" s="34">
        <f t="shared" si="18"/>
        <v>255</v>
      </c>
      <c r="Z17" s="26"/>
      <c r="AA17" s="11" t="str">
        <f t="shared" si="19"/>
        <v>clm</v>
      </c>
      <c r="AB17" s="11" t="str">
        <f t="shared" si="15"/>
        <v>{ePllCfgTBI_125MHz_sp, 1, 1, 0x00, 0x00, 0x00, 0, 102, 255 }, // clm in bypass mode</v>
      </c>
    </row>
    <row r="18" spans="2:28" s="11" customFormat="1">
      <c r="B18" s="29" t="s">
        <v>0</v>
      </c>
      <c r="C18" s="17" t="s">
        <v>11</v>
      </c>
      <c r="D18" s="24">
        <v>24</v>
      </c>
      <c r="E18" s="28">
        <v>1</v>
      </c>
      <c r="F18" s="15">
        <v>0</v>
      </c>
      <c r="G18" s="15" t="str">
        <f t="shared" si="0"/>
        <v>bypass</v>
      </c>
      <c r="H18" s="15">
        <v>0</v>
      </c>
      <c r="I18" s="15">
        <v>0</v>
      </c>
      <c r="J18" s="15">
        <v>0</v>
      </c>
      <c r="K18" s="15" t="str">
        <f t="shared" si="1"/>
        <v>0x00</v>
      </c>
      <c r="L18" s="15" t="str">
        <f t="shared" si="2"/>
        <v>0x00</v>
      </c>
      <c r="M18" s="15" t="str">
        <f t="shared" si="3"/>
        <v>0x00</v>
      </c>
      <c r="N18" s="15">
        <f t="shared" si="4"/>
        <v>0</v>
      </c>
      <c r="O18" s="26"/>
      <c r="P18" s="24">
        <f t="shared" ref="P18:P20" si="20">1/D18*1000000</f>
        <v>41666.666666666664</v>
      </c>
      <c r="Q18" s="24">
        <f t="shared" si="6"/>
        <v>41666.666666666664</v>
      </c>
      <c r="R18" s="24" t="str">
        <f t="shared" si="7"/>
        <v/>
      </c>
      <c r="S18" s="24" t="str">
        <f t="shared" si="8"/>
        <v/>
      </c>
      <c r="T18" s="30">
        <f t="shared" ref="T18:T20" si="21">IF($G18 = "bypass",P18,IF($G18 = "rate",R18*($J18+1),S18*($J18 + 1)))</f>
        <v>41666.666666666664</v>
      </c>
      <c r="U18" s="30">
        <f t="shared" si="10"/>
        <v>24</v>
      </c>
      <c r="W18" s="33">
        <f t="shared" si="16"/>
        <v>0.4</v>
      </c>
      <c r="X18" s="34">
        <f t="shared" si="17"/>
        <v>102</v>
      </c>
      <c r="Y18" s="34">
        <f t="shared" si="18"/>
        <v>255</v>
      </c>
      <c r="Z18" s="26"/>
      <c r="AA18" s="11" t="str">
        <f t="shared" ref="AA18:AA20" si="22">C18</f>
        <v>clm</v>
      </c>
      <c r="AB18" s="11" t="str">
        <f t="shared" ref="AB18:AB20" si="23">"{ePllCfg"&amp;B18&amp;", "&amp;E18&amp;", "&amp;F18&amp;", "&amp;K18&amp;", "&amp;L18&amp;", "&amp;M18&amp;", "&amp;N18&amp;", "&amp;X18&amp;", "&amp;Y18&amp;" }, // "&amp;AA18&amp;" in " &amp; G18 &amp; " mode"</f>
        <v>{ePllCfgGMII_125MHz, 1, 0, 0x00, 0x00, 0x00, 0, 102, 255 }, // clm in bypass mode</v>
      </c>
    </row>
    <row r="19" spans="2:28" s="11" customFormat="1">
      <c r="B19" s="29" t="s">
        <v>14</v>
      </c>
      <c r="C19" s="17" t="s">
        <v>11</v>
      </c>
      <c r="D19" s="24">
        <v>24</v>
      </c>
      <c r="E19" s="28">
        <v>1</v>
      </c>
      <c r="F19" s="15">
        <v>0</v>
      </c>
      <c r="G19" s="15" t="str">
        <f t="shared" si="0"/>
        <v>bypass</v>
      </c>
      <c r="H19" s="15">
        <v>0</v>
      </c>
      <c r="I19" s="15">
        <v>0</v>
      </c>
      <c r="J19" s="15">
        <v>0</v>
      </c>
      <c r="K19" s="15" t="str">
        <f t="shared" si="1"/>
        <v>0x00</v>
      </c>
      <c r="L19" s="15" t="str">
        <f t="shared" si="2"/>
        <v>0x00</v>
      </c>
      <c r="M19" s="15" t="str">
        <f t="shared" si="3"/>
        <v>0x00</v>
      </c>
      <c r="N19" s="15">
        <f t="shared" si="4"/>
        <v>0</v>
      </c>
      <c r="O19" s="26"/>
      <c r="P19" s="24">
        <f t="shared" si="20"/>
        <v>41666.666666666664</v>
      </c>
      <c r="Q19" s="24">
        <f t="shared" si="6"/>
        <v>41666.666666666664</v>
      </c>
      <c r="R19" s="24" t="str">
        <f t="shared" si="7"/>
        <v/>
      </c>
      <c r="S19" s="24" t="str">
        <f t="shared" si="8"/>
        <v/>
      </c>
      <c r="T19" s="30">
        <f t="shared" si="21"/>
        <v>41666.666666666664</v>
      </c>
      <c r="U19" s="30">
        <f t="shared" si="10"/>
        <v>24</v>
      </c>
      <c r="W19" s="33">
        <f t="shared" si="16"/>
        <v>0.4</v>
      </c>
      <c r="X19" s="34">
        <f t="shared" si="17"/>
        <v>102</v>
      </c>
      <c r="Y19" s="34">
        <f t="shared" si="18"/>
        <v>255</v>
      </c>
      <c r="Z19" s="26"/>
      <c r="AA19" s="11" t="str">
        <f t="shared" si="22"/>
        <v>clm</v>
      </c>
      <c r="AB19" s="11" t="str">
        <f t="shared" si="23"/>
        <v>{ePllCfgMII_25MHz, 1, 0, 0x00, 0x00, 0x00, 0, 102, 255 }, // clm in bypass mode</v>
      </c>
    </row>
    <row r="20" spans="2:28" s="11" customFormat="1">
      <c r="B20" s="29" t="s">
        <v>64</v>
      </c>
      <c r="C20" s="17" t="s">
        <v>11</v>
      </c>
      <c r="D20" s="24">
        <v>24</v>
      </c>
      <c r="E20" s="28">
        <v>1</v>
      </c>
      <c r="F20" s="15">
        <v>1</v>
      </c>
      <c r="G20" s="15" t="str">
        <f t="shared" si="0"/>
        <v>bypass</v>
      </c>
      <c r="H20" s="15">
        <v>0</v>
      </c>
      <c r="I20" s="15">
        <v>0</v>
      </c>
      <c r="J20" s="15">
        <v>0</v>
      </c>
      <c r="K20" s="15" t="str">
        <f t="shared" si="1"/>
        <v>0x00</v>
      </c>
      <c r="L20" s="15" t="str">
        <f t="shared" si="2"/>
        <v>0x00</v>
      </c>
      <c r="M20" s="15" t="str">
        <f t="shared" si="3"/>
        <v>0x00</v>
      </c>
      <c r="N20" s="15">
        <f t="shared" si="4"/>
        <v>0</v>
      </c>
      <c r="O20" s="26"/>
      <c r="P20" s="24">
        <f t="shared" si="20"/>
        <v>41666.666666666664</v>
      </c>
      <c r="Q20" s="24">
        <f t="shared" si="6"/>
        <v>41666.666666666664</v>
      </c>
      <c r="R20" s="24" t="str">
        <f t="shared" si="7"/>
        <v/>
      </c>
      <c r="S20" s="24" t="str">
        <f t="shared" si="8"/>
        <v/>
      </c>
      <c r="T20" s="30">
        <f t="shared" si="21"/>
        <v>41666.666666666664</v>
      </c>
      <c r="U20" s="30">
        <f t="shared" si="10"/>
        <v>24</v>
      </c>
      <c r="W20" s="33">
        <f t="shared" si="16"/>
        <v>0.4</v>
      </c>
      <c r="X20" s="34">
        <f t="shared" si="17"/>
        <v>102</v>
      </c>
      <c r="Y20" s="34">
        <f t="shared" si="18"/>
        <v>255</v>
      </c>
      <c r="Z20" s="26"/>
      <c r="AA20" s="11" t="str">
        <f t="shared" si="22"/>
        <v>clm</v>
      </c>
      <c r="AB20" s="11" t="str">
        <f t="shared" si="23"/>
        <v>{ePllCfgCLEI_30MHz, 1, 1, 0x00, 0x00, 0x00, 0, 102, 255 }, // clm in bypass mode</v>
      </c>
    </row>
    <row r="21" spans="2:28" s="11" customFormat="1">
      <c r="B21" s="29" t="s">
        <v>16</v>
      </c>
      <c r="C21" s="17" t="s">
        <v>11</v>
      </c>
      <c r="D21" s="24">
        <v>24</v>
      </c>
      <c r="E21" s="28">
        <v>1</v>
      </c>
      <c r="F21" s="15">
        <v>1</v>
      </c>
      <c r="G21" s="15" t="str">
        <f t="shared" si="0"/>
        <v>bypass</v>
      </c>
      <c r="H21" s="15">
        <v>0</v>
      </c>
      <c r="I21" s="15">
        <v>0</v>
      </c>
      <c r="J21" s="15">
        <v>0</v>
      </c>
      <c r="K21" s="15" t="str">
        <f t="shared" si="1"/>
        <v>0x00</v>
      </c>
      <c r="L21" s="15" t="str">
        <f t="shared" si="2"/>
        <v>0x00</v>
      </c>
      <c r="M21" s="15" t="str">
        <f t="shared" si="3"/>
        <v>0x00</v>
      </c>
      <c r="N21" s="15">
        <f t="shared" si="4"/>
        <v>0</v>
      </c>
      <c r="O21" s="26"/>
      <c r="P21" s="24">
        <f t="shared" si="5"/>
        <v>41666.666666666664</v>
      </c>
      <c r="Q21" s="24">
        <f t="shared" si="6"/>
        <v>41666.666666666664</v>
      </c>
      <c r="R21" s="24" t="str">
        <f t="shared" si="7"/>
        <v/>
      </c>
      <c r="S21" s="24" t="str">
        <f t="shared" si="8"/>
        <v/>
      </c>
      <c r="T21" s="30">
        <f t="shared" si="9"/>
        <v>41666.666666666664</v>
      </c>
      <c r="U21" s="30">
        <f t="shared" si="10"/>
        <v>24</v>
      </c>
      <c r="W21" s="33">
        <f t="shared" ref="W21:W63" si="24">IF($U21&lt;Xusb,$U21/Xusb,Xusb/$U21)</f>
        <v>0.4</v>
      </c>
      <c r="X21" s="34">
        <f t="shared" ref="X21:X63" si="25">ROUND(IF($U21&gt;Xusb,255,$W21*255),0)</f>
        <v>102</v>
      </c>
      <c r="Y21" s="34">
        <f t="shared" ref="Y21:Y63" si="26">ROUND(IF($U21&lt;=Xusb,255,$W21*255),0)</f>
        <v>255</v>
      </c>
      <c r="Z21" s="26"/>
      <c r="AA21" s="11" t="str">
        <f t="shared" ref="AA21:AA63" si="27">C21</f>
        <v>clm</v>
      </c>
      <c r="AB21" s="11" t="str">
        <f t="shared" si="15"/>
        <v>{ePllCfgCLEI_75MHz, 1, 1, 0x00, 0x00, 0x00, 0, 102, 255 }, // clm in bypass mode</v>
      </c>
    </row>
    <row r="22" spans="2:28" s="11" customFormat="1">
      <c r="B22" s="29" t="s">
        <v>59</v>
      </c>
      <c r="C22" s="17" t="s">
        <v>11</v>
      </c>
      <c r="D22" s="24">
        <v>24</v>
      </c>
      <c r="E22" s="28">
        <v>1</v>
      </c>
      <c r="F22" s="15">
        <v>1</v>
      </c>
      <c r="G22" s="15" t="str">
        <f t="shared" si="0"/>
        <v>bypass</v>
      </c>
      <c r="H22" s="15">
        <v>0</v>
      </c>
      <c r="I22" s="15">
        <v>0</v>
      </c>
      <c r="J22" s="15">
        <v>0</v>
      </c>
      <c r="K22" s="15" t="str">
        <f t="shared" si="1"/>
        <v>0x00</v>
      </c>
      <c r="L22" s="15" t="str">
        <f t="shared" si="2"/>
        <v>0x00</v>
      </c>
      <c r="M22" s="15" t="str">
        <f t="shared" si="3"/>
        <v>0x00</v>
      </c>
      <c r="N22" s="15">
        <f t="shared" si="4"/>
        <v>0</v>
      </c>
      <c r="O22" s="26"/>
      <c r="P22" s="24">
        <f t="shared" si="5"/>
        <v>41666.666666666664</v>
      </c>
      <c r="Q22" s="24">
        <f t="shared" si="6"/>
        <v>41666.666666666664</v>
      </c>
      <c r="R22" s="24" t="str">
        <f t="shared" si="7"/>
        <v/>
      </c>
      <c r="S22" s="24" t="str">
        <f t="shared" si="8"/>
        <v/>
      </c>
      <c r="T22" s="30">
        <f t="shared" si="9"/>
        <v>41666.666666666664</v>
      </c>
      <c r="U22" s="30">
        <f t="shared" si="10"/>
        <v>24</v>
      </c>
      <c r="W22" s="33">
        <f t="shared" si="24"/>
        <v>0.4</v>
      </c>
      <c r="X22" s="34">
        <f t="shared" si="25"/>
        <v>102</v>
      </c>
      <c r="Y22" s="34">
        <f t="shared" si="26"/>
        <v>255</v>
      </c>
      <c r="Z22" s="26"/>
      <c r="AA22" s="11" t="str">
        <f t="shared" si="27"/>
        <v>clm</v>
      </c>
      <c r="AB22" s="11" t="str">
        <f t="shared" si="15"/>
        <v>{ePllCfgCLEI_100MHz, 1, 1, 0x00, 0x00, 0x00, 0, 102, 255 }, // clm in bypass mode</v>
      </c>
    </row>
    <row r="23" spans="2:28" s="11" customFormat="1">
      <c r="B23" s="29" t="s">
        <v>58</v>
      </c>
      <c r="C23" s="17" t="s">
        <v>11</v>
      </c>
      <c r="D23" s="24">
        <v>24</v>
      </c>
      <c r="E23" s="28">
        <v>1</v>
      </c>
      <c r="F23" s="15">
        <v>1</v>
      </c>
      <c r="G23" s="15" t="str">
        <f t="shared" si="0"/>
        <v>bypass</v>
      </c>
      <c r="H23" s="15">
        <v>0</v>
      </c>
      <c r="I23" s="15">
        <v>0</v>
      </c>
      <c r="J23" s="15">
        <v>0</v>
      </c>
      <c r="K23" s="15" t="str">
        <f t="shared" si="1"/>
        <v>0x00</v>
      </c>
      <c r="L23" s="15" t="str">
        <f t="shared" si="2"/>
        <v>0x00</v>
      </c>
      <c r="M23" s="15" t="str">
        <f t="shared" si="3"/>
        <v>0x00</v>
      </c>
      <c r="N23" s="15">
        <f t="shared" si="4"/>
        <v>0</v>
      </c>
      <c r="O23" s="26"/>
      <c r="P23" s="24">
        <f t="shared" si="5"/>
        <v>41666.666666666664</v>
      </c>
      <c r="Q23" s="24">
        <f t="shared" si="6"/>
        <v>41666.666666666664</v>
      </c>
      <c r="R23" s="24" t="str">
        <f t="shared" si="7"/>
        <v/>
      </c>
      <c r="S23" s="24" t="str">
        <f t="shared" si="8"/>
        <v/>
      </c>
      <c r="T23" s="30">
        <f t="shared" si="9"/>
        <v>41666.666666666664</v>
      </c>
      <c r="U23" s="30">
        <f t="shared" si="10"/>
        <v>24</v>
      </c>
      <c r="W23" s="33">
        <f t="shared" si="24"/>
        <v>0.4</v>
      </c>
      <c r="X23" s="34">
        <f t="shared" si="25"/>
        <v>102</v>
      </c>
      <c r="Y23" s="34">
        <f t="shared" si="26"/>
        <v>255</v>
      </c>
      <c r="Z23" s="26"/>
      <c r="AA23" s="11" t="str">
        <f t="shared" si="27"/>
        <v>clm</v>
      </c>
      <c r="AB23" s="11" t="str">
        <f t="shared" si="15"/>
        <v>{ePllCfgCLEI_125MHz, 1, 1, 0x00, 0x00, 0x00, 0, 102, 255 }, // clm in bypass mode</v>
      </c>
    </row>
    <row r="24" spans="2:28" s="11" customFormat="1">
      <c r="B24" s="29" t="s">
        <v>17</v>
      </c>
      <c r="C24" s="17" t="s">
        <v>11</v>
      </c>
      <c r="D24" s="24">
        <v>24</v>
      </c>
      <c r="E24" s="28">
        <v>1</v>
      </c>
      <c r="F24" s="15">
        <v>1</v>
      </c>
      <c r="G24" s="15" t="str">
        <f t="shared" si="0"/>
        <v>bypass</v>
      </c>
      <c r="H24" s="15">
        <v>0</v>
      </c>
      <c r="I24" s="15">
        <v>0</v>
      </c>
      <c r="J24" s="15">
        <v>0</v>
      </c>
      <c r="K24" s="15" t="str">
        <f t="shared" si="1"/>
        <v>0x00</v>
      </c>
      <c r="L24" s="15" t="str">
        <f t="shared" si="2"/>
        <v>0x00</v>
      </c>
      <c r="M24" s="15" t="str">
        <f t="shared" si="3"/>
        <v>0x00</v>
      </c>
      <c r="N24" s="15">
        <f t="shared" si="4"/>
        <v>0</v>
      </c>
      <c r="O24" s="26"/>
      <c r="P24" s="24">
        <f t="shared" si="5"/>
        <v>41666.666666666664</v>
      </c>
      <c r="Q24" s="24">
        <f t="shared" si="6"/>
        <v>41666.666666666664</v>
      </c>
      <c r="R24" s="24" t="str">
        <f t="shared" si="7"/>
        <v/>
      </c>
      <c r="S24" s="24" t="str">
        <f t="shared" si="8"/>
        <v/>
      </c>
      <c r="T24" s="30">
        <f t="shared" si="9"/>
        <v>41666.666666666664</v>
      </c>
      <c r="U24" s="30">
        <f t="shared" si="10"/>
        <v>24</v>
      </c>
      <c r="W24" s="33">
        <f t="shared" si="24"/>
        <v>0.4</v>
      </c>
      <c r="X24" s="34">
        <f t="shared" si="25"/>
        <v>102</v>
      </c>
      <c r="Y24" s="34">
        <f t="shared" si="26"/>
        <v>255</v>
      </c>
      <c r="Z24" s="26"/>
      <c r="AA24" s="11" t="str">
        <f t="shared" si="27"/>
        <v>clm</v>
      </c>
      <c r="AB24" s="11" t="str">
        <f t="shared" si="15"/>
        <v>{ePllCfgSerial_60MHz, 1, 1, 0x00, 0x00, 0x00, 0, 102, 255 }, // clm in bypass mode</v>
      </c>
    </row>
    <row r="25" spans="2:28" s="11" customFormat="1">
      <c r="B25" s="29" t="s">
        <v>60</v>
      </c>
      <c r="C25" s="17" t="s">
        <v>11</v>
      </c>
      <c r="D25" s="24">
        <v>24</v>
      </c>
      <c r="E25" s="28">
        <v>1</v>
      </c>
      <c r="F25" s="15">
        <v>1</v>
      </c>
      <c r="G25" s="15" t="str">
        <f t="shared" si="0"/>
        <v>bypass</v>
      </c>
      <c r="H25" s="15">
        <v>0</v>
      </c>
      <c r="I25" s="15">
        <v>0</v>
      </c>
      <c r="J25" s="15">
        <v>0</v>
      </c>
      <c r="K25" s="15" t="str">
        <f t="shared" si="1"/>
        <v>0x00</v>
      </c>
      <c r="L25" s="15" t="str">
        <f t="shared" si="2"/>
        <v>0x00</v>
      </c>
      <c r="M25" s="15" t="str">
        <f t="shared" si="3"/>
        <v>0x00</v>
      </c>
      <c r="N25" s="15">
        <f t="shared" si="4"/>
        <v>0</v>
      </c>
      <c r="O25" s="26"/>
      <c r="P25" s="24">
        <f t="shared" si="5"/>
        <v>41666.666666666664</v>
      </c>
      <c r="Q25" s="24">
        <f t="shared" si="6"/>
        <v>41666.666666666664</v>
      </c>
      <c r="R25" s="24" t="str">
        <f t="shared" si="7"/>
        <v/>
      </c>
      <c r="S25" s="24" t="str">
        <f t="shared" si="8"/>
        <v/>
      </c>
      <c r="T25" s="30">
        <f t="shared" si="9"/>
        <v>41666.666666666664</v>
      </c>
      <c r="U25" s="30">
        <f t="shared" si="10"/>
        <v>24</v>
      </c>
      <c r="W25" s="33">
        <f t="shared" si="24"/>
        <v>0.4</v>
      </c>
      <c r="X25" s="34">
        <f t="shared" si="25"/>
        <v>102</v>
      </c>
      <c r="Y25" s="34">
        <f t="shared" si="26"/>
        <v>255</v>
      </c>
      <c r="Z25" s="26"/>
      <c r="AA25" s="11" t="str">
        <f t="shared" si="27"/>
        <v>clm</v>
      </c>
      <c r="AB25" s="11" t="str">
        <f t="shared" si="15"/>
        <v>{ePllCfgSerial_75MHz, 1, 1, 0x00, 0x00, 0x00, 0, 102, 255 }, // clm in bypass mode</v>
      </c>
    </row>
    <row r="26" spans="2:28" s="11" customFormat="1">
      <c r="B26" s="29" t="s">
        <v>20</v>
      </c>
      <c r="C26" s="17" t="s">
        <v>11</v>
      </c>
      <c r="D26" s="24">
        <v>24</v>
      </c>
      <c r="E26" s="28">
        <v>1</v>
      </c>
      <c r="F26" s="15">
        <v>1</v>
      </c>
      <c r="G26" s="15" t="str">
        <f t="shared" si="0"/>
        <v>bypass</v>
      </c>
      <c r="H26" s="15">
        <v>0</v>
      </c>
      <c r="I26" s="15">
        <v>0</v>
      </c>
      <c r="J26" s="15">
        <v>0</v>
      </c>
      <c r="K26" s="15" t="str">
        <f t="shared" si="1"/>
        <v>0x00</v>
      </c>
      <c r="L26" s="15" t="str">
        <f t="shared" si="2"/>
        <v>0x00</v>
      </c>
      <c r="M26" s="15" t="str">
        <f t="shared" si="3"/>
        <v>0x00</v>
      </c>
      <c r="N26" s="15">
        <f t="shared" si="4"/>
        <v>0</v>
      </c>
      <c r="O26" s="26"/>
      <c r="P26" s="24">
        <f t="shared" si="5"/>
        <v>41666.666666666664</v>
      </c>
      <c r="Q26" s="24">
        <f t="shared" si="6"/>
        <v>41666.666666666664</v>
      </c>
      <c r="R26" s="24" t="str">
        <f t="shared" si="7"/>
        <v/>
      </c>
      <c r="S26" s="24" t="str">
        <f t="shared" si="8"/>
        <v/>
      </c>
      <c r="T26" s="30">
        <f t="shared" si="9"/>
        <v>41666.666666666664</v>
      </c>
      <c r="U26" s="30">
        <f t="shared" si="10"/>
        <v>24</v>
      </c>
      <c r="W26" s="33">
        <f t="shared" si="24"/>
        <v>0.4</v>
      </c>
      <c r="X26" s="34">
        <f t="shared" si="25"/>
        <v>102</v>
      </c>
      <c r="Y26" s="34">
        <f t="shared" si="26"/>
        <v>255</v>
      </c>
      <c r="Z26" s="26"/>
      <c r="AA26" s="11" t="str">
        <f t="shared" si="27"/>
        <v>clm</v>
      </c>
      <c r="AB26" s="11" t="str">
        <f t="shared" si="15"/>
        <v>{ePllCfgSerial_80MHz, 1, 1, 0x00, 0x00, 0x00, 0, 102, 255 }, // clm in bypass mode</v>
      </c>
    </row>
    <row r="27" spans="2:28" s="11" customFormat="1">
      <c r="B27" s="29" t="s">
        <v>21</v>
      </c>
      <c r="C27" s="17" t="s">
        <v>11</v>
      </c>
      <c r="D27" s="24">
        <v>24</v>
      </c>
      <c r="E27" s="28">
        <v>1</v>
      </c>
      <c r="F27" s="15">
        <v>1</v>
      </c>
      <c r="G27" s="15" t="str">
        <f t="shared" si="0"/>
        <v>bypass</v>
      </c>
      <c r="H27" s="15">
        <v>0</v>
      </c>
      <c r="I27" s="15">
        <v>0</v>
      </c>
      <c r="J27" s="15">
        <v>0</v>
      </c>
      <c r="K27" s="15" t="str">
        <f t="shared" si="1"/>
        <v>0x00</v>
      </c>
      <c r="L27" s="15" t="str">
        <f t="shared" si="2"/>
        <v>0x00</v>
      </c>
      <c r="M27" s="15" t="str">
        <f t="shared" si="3"/>
        <v>0x00</v>
      </c>
      <c r="N27" s="15">
        <f t="shared" si="4"/>
        <v>0</v>
      </c>
      <c r="O27" s="26"/>
      <c r="P27" s="24">
        <f t="shared" ref="P27:P29" si="28">1/D27*1000000</f>
        <v>41666.666666666664</v>
      </c>
      <c r="Q27" s="24">
        <f t="shared" si="6"/>
        <v>41666.666666666664</v>
      </c>
      <c r="R27" s="24" t="str">
        <f t="shared" si="7"/>
        <v/>
      </c>
      <c r="S27" s="24" t="str">
        <f t="shared" si="8"/>
        <v/>
      </c>
      <c r="T27" s="30">
        <f t="shared" ref="T27:T29" si="29">IF($G27 = "bypass",P27,IF($G27 = "rate",R27*($J27+1),S27*($J27 + 1)))</f>
        <v>41666.666666666664</v>
      </c>
      <c r="U27" s="30">
        <f t="shared" si="10"/>
        <v>24</v>
      </c>
      <c r="W27" s="33">
        <f t="shared" si="24"/>
        <v>0.4</v>
      </c>
      <c r="X27" s="34">
        <f t="shared" si="25"/>
        <v>102</v>
      </c>
      <c r="Y27" s="34">
        <f t="shared" si="26"/>
        <v>255</v>
      </c>
      <c r="Z27" s="26"/>
      <c r="AA27" s="11" t="str">
        <f t="shared" ref="AA27:AA29" si="30">C27</f>
        <v>clm</v>
      </c>
      <c r="AB27" s="11" t="str">
        <f t="shared" ref="AB27:AB29" si="31">"{ePllCfg"&amp;B27&amp;", "&amp;E27&amp;", "&amp;F27&amp;", "&amp;K27&amp;", "&amp;L27&amp;", "&amp;M27&amp;", "&amp;N27&amp;", "&amp;X27&amp;", "&amp;Y27&amp;" }, // "&amp;AA27&amp;" in " &amp; G27 &amp; " mode"</f>
        <v>{ePllCfgSerial_120MHz, 1, 1, 0x00, 0x00, 0x00, 0, 102, 255 }, // clm in bypass mode</v>
      </c>
    </row>
    <row r="28" spans="2:28" s="11" customFormat="1">
      <c r="B28" s="29" t="s">
        <v>22</v>
      </c>
      <c r="C28" s="17" t="s">
        <v>11</v>
      </c>
      <c r="D28" s="24">
        <v>24</v>
      </c>
      <c r="E28" s="28">
        <v>1</v>
      </c>
      <c r="F28" s="15">
        <v>1</v>
      </c>
      <c r="G28" s="15" t="str">
        <f t="shared" si="0"/>
        <v>bypass</v>
      </c>
      <c r="H28" s="15">
        <v>0</v>
      </c>
      <c r="I28" s="15">
        <v>0</v>
      </c>
      <c r="J28" s="15">
        <v>0</v>
      </c>
      <c r="K28" s="15" t="str">
        <f t="shared" si="1"/>
        <v>0x00</v>
      </c>
      <c r="L28" s="15" t="str">
        <f t="shared" si="2"/>
        <v>0x00</v>
      </c>
      <c r="M28" s="15" t="str">
        <f t="shared" si="3"/>
        <v>0x00</v>
      </c>
      <c r="N28" s="15">
        <f t="shared" si="4"/>
        <v>0</v>
      </c>
      <c r="O28" s="26"/>
      <c r="P28" s="24">
        <f t="shared" si="28"/>
        <v>41666.666666666664</v>
      </c>
      <c r="Q28" s="24">
        <f t="shared" si="6"/>
        <v>41666.666666666664</v>
      </c>
      <c r="R28" s="24" t="str">
        <f t="shared" si="7"/>
        <v/>
      </c>
      <c r="S28" s="24" t="str">
        <f t="shared" si="8"/>
        <v/>
      </c>
      <c r="T28" s="30">
        <f t="shared" si="29"/>
        <v>41666.666666666664</v>
      </c>
      <c r="U28" s="30">
        <f t="shared" si="10"/>
        <v>24</v>
      </c>
      <c r="W28" s="33">
        <f t="shared" si="24"/>
        <v>0.4</v>
      </c>
      <c r="X28" s="34">
        <f t="shared" si="25"/>
        <v>102</v>
      </c>
      <c r="Y28" s="34">
        <f t="shared" si="26"/>
        <v>255</v>
      </c>
      <c r="Z28" s="26"/>
      <c r="AA28" s="11" t="str">
        <f t="shared" si="30"/>
        <v>clm</v>
      </c>
      <c r="AB28" s="11" t="str">
        <f t="shared" si="31"/>
        <v>{ePllCfgSerial_180MHz, 1, 1, 0x00, 0x00, 0x00, 0, 102, 255 }, // clm in bypass mode</v>
      </c>
    </row>
    <row r="29" spans="2:28" s="11" customFormat="1">
      <c r="B29" s="29" t="s">
        <v>63</v>
      </c>
      <c r="C29" s="17" t="s">
        <v>12</v>
      </c>
      <c r="D29" s="24">
        <v>60</v>
      </c>
      <c r="E29" s="28">
        <v>0</v>
      </c>
      <c r="F29" s="15">
        <v>0</v>
      </c>
      <c r="G29" s="15" t="str">
        <f t="shared" si="0"/>
        <v>deskew</v>
      </c>
      <c r="H29" s="15">
        <v>4</v>
      </c>
      <c r="I29" s="15">
        <v>4</v>
      </c>
      <c r="J29" s="15">
        <v>8</v>
      </c>
      <c r="K29" s="15" t="str">
        <f t="shared" si="1"/>
        <v>0x04</v>
      </c>
      <c r="L29" s="15" t="str">
        <f t="shared" si="2"/>
        <v>0x04</v>
      </c>
      <c r="M29" s="15" t="str">
        <f t="shared" si="3"/>
        <v>0x08</v>
      </c>
      <c r="N29" s="15">
        <f t="shared" si="4"/>
        <v>2</v>
      </c>
      <c r="O29" s="26"/>
      <c r="P29" s="24">
        <f t="shared" si="28"/>
        <v>16666.666666666668</v>
      </c>
      <c r="Q29" s="24">
        <f t="shared" si="6"/>
        <v>83333.333333333343</v>
      </c>
      <c r="R29" s="24" t="str">
        <f t="shared" si="7"/>
        <v/>
      </c>
      <c r="S29" s="24">
        <f t="shared" si="8"/>
        <v>1851.851851851852</v>
      </c>
      <c r="T29" s="30">
        <f t="shared" si="29"/>
        <v>16666.666666666668</v>
      </c>
      <c r="U29" s="30">
        <f t="shared" si="10"/>
        <v>59.999999999999993</v>
      </c>
      <c r="W29" s="33">
        <f t="shared" si="24"/>
        <v>1.0000000000000002</v>
      </c>
      <c r="X29" s="34">
        <f t="shared" si="25"/>
        <v>255</v>
      </c>
      <c r="Y29" s="34">
        <f t="shared" si="26"/>
        <v>255</v>
      </c>
      <c r="Z29" s="26"/>
      <c r="AA29" s="11" t="str">
        <f t="shared" si="30"/>
        <v>ctm</v>
      </c>
      <c r="AB29" s="11" t="str">
        <f t="shared" si="31"/>
        <v>{ePllCfgTBI_60MHz, 0, 0, 0x04, 0x04, 0x08, 2, 255, 255 }, // ctm in deskew mode</v>
      </c>
    </row>
    <row r="30" spans="2:28" s="11" customFormat="1">
      <c r="B30" s="29" t="s">
        <v>62</v>
      </c>
      <c r="C30" s="17" t="s">
        <v>12</v>
      </c>
      <c r="D30" s="24">
        <v>75</v>
      </c>
      <c r="E30" s="28">
        <v>0</v>
      </c>
      <c r="F30" s="15">
        <v>0</v>
      </c>
      <c r="G30" s="15" t="str">
        <f t="shared" si="0"/>
        <v>deskew</v>
      </c>
      <c r="H30" s="15">
        <v>6</v>
      </c>
      <c r="I30" s="15">
        <v>6</v>
      </c>
      <c r="J30" s="15">
        <v>6</v>
      </c>
      <c r="K30" s="15" t="str">
        <f t="shared" si="1"/>
        <v>0x06</v>
      </c>
      <c r="L30" s="15" t="str">
        <f t="shared" si="2"/>
        <v>0x06</v>
      </c>
      <c r="M30" s="15" t="str">
        <f t="shared" si="3"/>
        <v>0x06</v>
      </c>
      <c r="N30" s="15">
        <f t="shared" si="4"/>
        <v>2</v>
      </c>
      <c r="O30" s="26"/>
      <c r="P30" s="24">
        <f t="shared" si="5"/>
        <v>13333.333333333334</v>
      </c>
      <c r="Q30" s="24">
        <f t="shared" si="6"/>
        <v>93333.333333333343</v>
      </c>
      <c r="R30" s="24" t="str">
        <f t="shared" si="7"/>
        <v/>
      </c>
      <c r="S30" s="24">
        <f t="shared" si="8"/>
        <v>1904.761904761905</v>
      </c>
      <c r="T30" s="30">
        <f t="shared" si="9"/>
        <v>13333.333333333336</v>
      </c>
      <c r="U30" s="30">
        <f t="shared" si="10"/>
        <v>74.999999999999986</v>
      </c>
      <c r="W30" s="33">
        <f t="shared" si="24"/>
        <v>0.80000000000000016</v>
      </c>
      <c r="X30" s="34">
        <f t="shared" si="25"/>
        <v>255</v>
      </c>
      <c r="Y30" s="34">
        <f t="shared" si="26"/>
        <v>204</v>
      </c>
      <c r="Z30" s="26"/>
      <c r="AA30" s="11" t="str">
        <f t="shared" si="27"/>
        <v>ctm</v>
      </c>
      <c r="AB30" s="11" t="str">
        <f t="shared" si="15"/>
        <v>{ePllCfgTBI_75MHz, 0, 0, 0x06, 0x06, 0x06, 2, 255, 204 }, // ctm in deskew mode</v>
      </c>
    </row>
    <row r="31" spans="2:28" s="11" customFormat="1">
      <c r="B31" s="29" t="s">
        <v>66</v>
      </c>
      <c r="C31" s="17" t="s">
        <v>12</v>
      </c>
      <c r="D31" s="24">
        <v>87.5</v>
      </c>
      <c r="E31" s="28">
        <v>0</v>
      </c>
      <c r="F31" s="15">
        <v>0</v>
      </c>
      <c r="G31" s="15" t="str">
        <f t="shared" si="0"/>
        <v>deskew</v>
      </c>
      <c r="H31" s="15">
        <v>6</v>
      </c>
      <c r="I31" s="15">
        <v>6</v>
      </c>
      <c r="J31" s="15">
        <v>6</v>
      </c>
      <c r="K31" s="15" t="str">
        <f t="shared" si="1"/>
        <v>0x06</v>
      </c>
      <c r="L31" s="15" t="str">
        <f t="shared" si="2"/>
        <v>0x06</v>
      </c>
      <c r="M31" s="15" t="str">
        <f t="shared" si="3"/>
        <v>0x06</v>
      </c>
      <c r="N31" s="15">
        <f t="shared" si="4"/>
        <v>2</v>
      </c>
      <c r="O31" s="26"/>
      <c r="P31" s="24">
        <f t="shared" si="5"/>
        <v>11428.571428571429</v>
      </c>
      <c r="Q31" s="24">
        <f t="shared" si="6"/>
        <v>80000</v>
      </c>
      <c r="R31" s="24" t="str">
        <f t="shared" si="7"/>
        <v/>
      </c>
      <c r="S31" s="24">
        <f t="shared" si="8"/>
        <v>1632.6530612244899</v>
      </c>
      <c r="T31" s="30">
        <f t="shared" si="9"/>
        <v>11428.571428571429</v>
      </c>
      <c r="U31" s="30">
        <f t="shared" si="10"/>
        <v>87.5</v>
      </c>
      <c r="W31" s="33">
        <f t="shared" si="24"/>
        <v>0.68571428571428572</v>
      </c>
      <c r="X31" s="34">
        <f t="shared" si="25"/>
        <v>255</v>
      </c>
      <c r="Y31" s="34">
        <f t="shared" si="26"/>
        <v>175</v>
      </c>
      <c r="Z31" s="31"/>
      <c r="AA31" s="11" t="str">
        <f t="shared" si="27"/>
        <v>ctm</v>
      </c>
      <c r="AB31" s="11" t="str">
        <f t="shared" si="15"/>
        <v>{ePllCfgTBI_87MHz, 0, 0, 0x06, 0x06, 0x06, 2, 255, 175 }, // ctm in deskew mode</v>
      </c>
    </row>
    <row r="32" spans="2:28" s="11" customFormat="1">
      <c r="B32" s="29" t="s">
        <v>61</v>
      </c>
      <c r="C32" s="17" t="s">
        <v>12</v>
      </c>
      <c r="D32" s="24">
        <v>100</v>
      </c>
      <c r="E32" s="28">
        <v>0</v>
      </c>
      <c r="F32" s="15">
        <v>0</v>
      </c>
      <c r="G32" s="15" t="str">
        <f t="shared" si="0"/>
        <v>deskew</v>
      </c>
      <c r="H32" s="15">
        <v>6</v>
      </c>
      <c r="I32" s="15">
        <v>6</v>
      </c>
      <c r="J32" s="15">
        <v>4</v>
      </c>
      <c r="K32" s="15" t="str">
        <f t="shared" si="1"/>
        <v>0x06</v>
      </c>
      <c r="L32" s="15" t="str">
        <f t="shared" si="2"/>
        <v>0x06</v>
      </c>
      <c r="M32" s="15" t="str">
        <f t="shared" si="3"/>
        <v>0x04</v>
      </c>
      <c r="N32" s="15">
        <f t="shared" si="4"/>
        <v>3</v>
      </c>
      <c r="O32" s="26"/>
      <c r="P32" s="24">
        <f t="shared" si="5"/>
        <v>10000</v>
      </c>
      <c r="Q32" s="24">
        <f t="shared" si="6"/>
        <v>70000</v>
      </c>
      <c r="R32" s="24" t="str">
        <f t="shared" si="7"/>
        <v/>
      </c>
      <c r="S32" s="24">
        <f t="shared" si="8"/>
        <v>2000</v>
      </c>
      <c r="T32" s="30">
        <f t="shared" si="9"/>
        <v>10000</v>
      </c>
      <c r="U32" s="30">
        <f t="shared" si="10"/>
        <v>100</v>
      </c>
      <c r="W32" s="33">
        <f t="shared" si="24"/>
        <v>0.6</v>
      </c>
      <c r="X32" s="34">
        <f t="shared" si="25"/>
        <v>255</v>
      </c>
      <c r="Y32" s="34">
        <f t="shared" si="26"/>
        <v>153</v>
      </c>
      <c r="Z32" s="31"/>
      <c r="AA32" s="11" t="str">
        <f t="shared" si="27"/>
        <v>ctm</v>
      </c>
      <c r="AB32" s="11" t="str">
        <f t="shared" si="15"/>
        <v>{ePllCfgTBI_100MHz, 0, 0, 0x06, 0x06, 0x04, 3, 255, 153 }, // ctm in deskew mode</v>
      </c>
    </row>
    <row r="33" spans="2:28" s="11" customFormat="1">
      <c r="B33" s="29" t="s">
        <v>15</v>
      </c>
      <c r="C33" s="17" t="s">
        <v>12</v>
      </c>
      <c r="D33" s="24">
        <v>125</v>
      </c>
      <c r="E33" s="28">
        <v>0</v>
      </c>
      <c r="F33" s="15">
        <v>0</v>
      </c>
      <c r="G33" s="15" t="str">
        <f t="shared" si="0"/>
        <v>deskew</v>
      </c>
      <c r="H33" s="15">
        <v>6</v>
      </c>
      <c r="I33" s="15">
        <v>6</v>
      </c>
      <c r="J33" s="15">
        <v>4</v>
      </c>
      <c r="K33" s="15" t="str">
        <f t="shared" si="1"/>
        <v>0x06</v>
      </c>
      <c r="L33" s="15" t="str">
        <f t="shared" si="2"/>
        <v>0x06</v>
      </c>
      <c r="M33" s="15" t="str">
        <f t="shared" si="3"/>
        <v>0x04</v>
      </c>
      <c r="N33" s="15">
        <f t="shared" si="4"/>
        <v>3</v>
      </c>
      <c r="O33" s="26"/>
      <c r="P33" s="24">
        <f t="shared" si="5"/>
        <v>8000</v>
      </c>
      <c r="Q33" s="24">
        <f t="shared" si="6"/>
        <v>56000</v>
      </c>
      <c r="R33" s="24" t="str">
        <f t="shared" si="7"/>
        <v/>
      </c>
      <c r="S33" s="24">
        <f t="shared" si="8"/>
        <v>1600</v>
      </c>
      <c r="T33" s="30">
        <f t="shared" si="9"/>
        <v>8000</v>
      </c>
      <c r="U33" s="30">
        <f t="shared" si="10"/>
        <v>125</v>
      </c>
      <c r="W33" s="33">
        <f t="shared" si="24"/>
        <v>0.48</v>
      </c>
      <c r="X33" s="34">
        <f t="shared" si="25"/>
        <v>255</v>
      </c>
      <c r="Y33" s="34">
        <f t="shared" si="26"/>
        <v>122</v>
      </c>
      <c r="Z33" s="26"/>
      <c r="AA33" s="11" t="str">
        <f t="shared" si="27"/>
        <v>ctm</v>
      </c>
      <c r="AB33" s="11" t="str">
        <f t="shared" si="15"/>
        <v>{ePllCfgTBI_125MHz, 0, 0, 0x06, 0x06, 0x04, 3, 255, 122 }, // ctm in deskew mode</v>
      </c>
    </row>
    <row r="34" spans="2:28" s="11" customFormat="1">
      <c r="B34" s="29" t="s">
        <v>65</v>
      </c>
      <c r="C34" s="17" t="s">
        <v>12</v>
      </c>
      <c r="D34" s="24">
        <v>125</v>
      </c>
      <c r="E34" s="28">
        <v>0</v>
      </c>
      <c r="F34" s="15">
        <v>0</v>
      </c>
      <c r="G34" s="15" t="str">
        <f t="shared" si="0"/>
        <v>deskew</v>
      </c>
      <c r="H34" s="15">
        <v>6</v>
      </c>
      <c r="I34" s="15">
        <v>6</v>
      </c>
      <c r="J34" s="15">
        <v>4</v>
      </c>
      <c r="K34" s="15" t="str">
        <f t="shared" si="1"/>
        <v>0x06</v>
      </c>
      <c r="L34" s="15" t="str">
        <f t="shared" si="2"/>
        <v>0x06</v>
      </c>
      <c r="M34" s="15" t="str">
        <f t="shared" si="3"/>
        <v>0x04</v>
      </c>
      <c r="N34" s="15">
        <f t="shared" si="4"/>
        <v>3</v>
      </c>
      <c r="O34" s="26"/>
      <c r="P34" s="24">
        <f t="shared" si="5"/>
        <v>8000</v>
      </c>
      <c r="Q34" s="24">
        <f t="shared" si="6"/>
        <v>56000</v>
      </c>
      <c r="R34" s="24" t="str">
        <f t="shared" si="7"/>
        <v/>
      </c>
      <c r="S34" s="24">
        <f t="shared" si="8"/>
        <v>1600</v>
      </c>
      <c r="T34" s="30">
        <f t="shared" si="9"/>
        <v>8000</v>
      </c>
      <c r="U34" s="30">
        <f t="shared" si="10"/>
        <v>125</v>
      </c>
      <c r="W34" s="33">
        <f t="shared" si="24"/>
        <v>0.48</v>
      </c>
      <c r="X34" s="34">
        <f t="shared" si="25"/>
        <v>255</v>
      </c>
      <c r="Y34" s="34">
        <f t="shared" si="26"/>
        <v>122</v>
      </c>
      <c r="Z34" s="26"/>
      <c r="AA34" s="11" t="str">
        <f t="shared" si="27"/>
        <v>ctm</v>
      </c>
      <c r="AB34" s="11" t="str">
        <f t="shared" si="15"/>
        <v>{ePllCfgTBI_125MHz_sp, 0, 0, 0x06, 0x06, 0x04, 3, 255, 122 }, // ctm in deskew mode</v>
      </c>
    </row>
    <row r="35" spans="2:28" s="11" customFormat="1">
      <c r="B35" s="29" t="s">
        <v>0</v>
      </c>
      <c r="C35" s="17" t="s">
        <v>12</v>
      </c>
      <c r="D35" s="24">
        <v>125</v>
      </c>
      <c r="E35" s="28">
        <v>0</v>
      </c>
      <c r="F35" s="15">
        <v>0</v>
      </c>
      <c r="G35" s="15" t="str">
        <f t="shared" si="0"/>
        <v>deskew</v>
      </c>
      <c r="H35" s="15">
        <v>6</v>
      </c>
      <c r="I35" s="15">
        <v>6</v>
      </c>
      <c r="J35" s="15">
        <v>4</v>
      </c>
      <c r="K35" s="15" t="str">
        <f t="shared" si="1"/>
        <v>0x06</v>
      </c>
      <c r="L35" s="15" t="str">
        <f t="shared" si="2"/>
        <v>0x06</v>
      </c>
      <c r="M35" s="15" t="str">
        <f t="shared" si="3"/>
        <v>0x04</v>
      </c>
      <c r="N35" s="15">
        <f t="shared" si="4"/>
        <v>3</v>
      </c>
      <c r="O35" s="26"/>
      <c r="P35" s="24">
        <f t="shared" si="5"/>
        <v>8000</v>
      </c>
      <c r="Q35" s="24">
        <f t="shared" si="6"/>
        <v>56000</v>
      </c>
      <c r="R35" s="24" t="str">
        <f t="shared" si="7"/>
        <v/>
      </c>
      <c r="S35" s="24">
        <f t="shared" si="8"/>
        <v>1600</v>
      </c>
      <c r="T35" s="30">
        <f t="shared" si="9"/>
        <v>8000</v>
      </c>
      <c r="U35" s="30">
        <f t="shared" si="10"/>
        <v>125</v>
      </c>
      <c r="W35" s="33">
        <f t="shared" si="24"/>
        <v>0.48</v>
      </c>
      <c r="X35" s="34">
        <f t="shared" si="25"/>
        <v>255</v>
      </c>
      <c r="Y35" s="34">
        <f t="shared" si="26"/>
        <v>122</v>
      </c>
      <c r="Z35" s="26"/>
      <c r="AA35" s="11" t="str">
        <f t="shared" si="27"/>
        <v>ctm</v>
      </c>
      <c r="AB35" s="11" t="str">
        <f t="shared" si="15"/>
        <v>{ePllCfgGMII_125MHz, 0, 0, 0x06, 0x06, 0x04, 3, 255, 122 }, // ctm in deskew mode</v>
      </c>
    </row>
    <row r="36" spans="2:28" s="11" customFormat="1">
      <c r="B36" s="29" t="s">
        <v>14</v>
      </c>
      <c r="C36" s="17" t="s">
        <v>12</v>
      </c>
      <c r="D36" s="24">
        <v>25</v>
      </c>
      <c r="E36" s="28">
        <v>0</v>
      </c>
      <c r="F36" s="15">
        <v>0</v>
      </c>
      <c r="G36" s="15" t="str">
        <f t="shared" si="0"/>
        <v>deskew</v>
      </c>
      <c r="H36" s="15">
        <v>0</v>
      </c>
      <c r="I36" s="15">
        <v>0</v>
      </c>
      <c r="J36" s="15">
        <v>24</v>
      </c>
      <c r="K36" s="15" t="str">
        <f t="shared" si="1"/>
        <v>0x00</v>
      </c>
      <c r="L36" s="15" t="str">
        <f t="shared" si="2"/>
        <v>0x00</v>
      </c>
      <c r="M36" s="15" t="str">
        <f t="shared" si="3"/>
        <v>0x18</v>
      </c>
      <c r="N36" s="15">
        <f t="shared" si="4"/>
        <v>4</v>
      </c>
      <c r="O36" s="26"/>
      <c r="P36" s="24">
        <f t="shared" si="5"/>
        <v>40000</v>
      </c>
      <c r="Q36" s="24">
        <f t="shared" si="6"/>
        <v>40000</v>
      </c>
      <c r="R36" s="24" t="str">
        <f t="shared" si="7"/>
        <v/>
      </c>
      <c r="S36" s="24">
        <f t="shared" si="8"/>
        <v>1600</v>
      </c>
      <c r="T36" s="30">
        <f t="shared" si="9"/>
        <v>40000</v>
      </c>
      <c r="U36" s="30">
        <f t="shared" si="10"/>
        <v>25</v>
      </c>
      <c r="W36" s="33">
        <f t="shared" si="24"/>
        <v>0.41666666666666669</v>
      </c>
      <c r="X36" s="34">
        <f t="shared" si="25"/>
        <v>106</v>
      </c>
      <c r="Y36" s="34">
        <f t="shared" si="26"/>
        <v>255</v>
      </c>
      <c r="Z36" s="31"/>
      <c r="AA36" s="11" t="str">
        <f t="shared" ref="AA36:AA38" si="32">C36</f>
        <v>ctm</v>
      </c>
      <c r="AB36" s="11" t="str">
        <f t="shared" si="15"/>
        <v>{ePllCfgMII_25MHz, 0, 0, 0x00, 0x00, 0x18, 4, 106, 255 }, // ctm in deskew mode</v>
      </c>
    </row>
    <row r="37" spans="2:28" s="11" customFormat="1">
      <c r="B37" s="29" t="s">
        <v>64</v>
      </c>
      <c r="C37" s="17" t="s">
        <v>12</v>
      </c>
      <c r="D37" s="24">
        <v>24</v>
      </c>
      <c r="E37" s="28">
        <v>0</v>
      </c>
      <c r="F37" s="15">
        <v>1</v>
      </c>
      <c r="G37" s="15" t="str">
        <f t="shared" si="0"/>
        <v>rate</v>
      </c>
      <c r="H37" s="15">
        <v>1</v>
      </c>
      <c r="I37" s="15">
        <v>49</v>
      </c>
      <c r="J37" s="15">
        <v>19</v>
      </c>
      <c r="K37" s="15" t="str">
        <f t="shared" si="1"/>
        <v>0x01</v>
      </c>
      <c r="L37" s="15" t="str">
        <f t="shared" si="2"/>
        <v>0x31</v>
      </c>
      <c r="M37" s="15" t="str">
        <f t="shared" si="3"/>
        <v>0x13</v>
      </c>
      <c r="N37" s="15">
        <f t="shared" si="4"/>
        <v>2</v>
      </c>
      <c r="O37" s="26"/>
      <c r="P37" s="24">
        <f t="shared" si="5"/>
        <v>41666.666666666664</v>
      </c>
      <c r="Q37" s="24">
        <f t="shared" si="6"/>
        <v>83333.333333333328</v>
      </c>
      <c r="R37" s="24">
        <f t="shared" si="7"/>
        <v>1666.6666666666665</v>
      </c>
      <c r="S37" s="24" t="str">
        <f t="shared" si="8"/>
        <v/>
      </c>
      <c r="T37" s="30">
        <f t="shared" si="9"/>
        <v>33333.333333333328</v>
      </c>
      <c r="U37" s="30">
        <f t="shared" si="10"/>
        <v>30.000000000000004</v>
      </c>
      <c r="W37" s="33">
        <f t="shared" si="24"/>
        <v>0.50000000000000011</v>
      </c>
      <c r="X37" s="34">
        <f t="shared" si="25"/>
        <v>128</v>
      </c>
      <c r="Y37" s="34">
        <f t="shared" si="26"/>
        <v>255</v>
      </c>
      <c r="Z37" s="31"/>
      <c r="AA37" s="11" t="str">
        <f t="shared" si="32"/>
        <v>ctm</v>
      </c>
      <c r="AB37" s="11" t="str">
        <f t="shared" si="15"/>
        <v>{ePllCfgCLEI_30MHz, 0, 1, 0x01, 0x31, 0x13, 2, 128, 255 }, // ctm in rate mode</v>
      </c>
    </row>
    <row r="38" spans="2:28" s="11" customFormat="1">
      <c r="B38" s="29" t="s">
        <v>16</v>
      </c>
      <c r="C38" s="17" t="s">
        <v>12</v>
      </c>
      <c r="D38" s="24">
        <v>24</v>
      </c>
      <c r="E38" s="28">
        <v>0</v>
      </c>
      <c r="F38" s="15">
        <v>1</v>
      </c>
      <c r="G38" s="15" t="str">
        <f t="shared" si="0"/>
        <v>rate</v>
      </c>
      <c r="H38" s="15">
        <v>0</v>
      </c>
      <c r="I38" s="15">
        <v>24</v>
      </c>
      <c r="J38" s="15">
        <v>7</v>
      </c>
      <c r="K38" s="15" t="str">
        <f t="shared" si="1"/>
        <v>0x00</v>
      </c>
      <c r="L38" s="15" t="str">
        <f t="shared" si="2"/>
        <v>0x18</v>
      </c>
      <c r="M38" s="15" t="str">
        <f t="shared" si="3"/>
        <v>0x07</v>
      </c>
      <c r="N38" s="15">
        <f t="shared" si="4"/>
        <v>4</v>
      </c>
      <c r="O38" s="26"/>
      <c r="P38" s="24">
        <f t="shared" si="5"/>
        <v>41666.666666666664</v>
      </c>
      <c r="Q38" s="24">
        <f t="shared" si="6"/>
        <v>41666.666666666664</v>
      </c>
      <c r="R38" s="24">
        <f t="shared" si="7"/>
        <v>1666.6666666666665</v>
      </c>
      <c r="S38" s="24" t="str">
        <f t="shared" si="8"/>
        <v/>
      </c>
      <c r="T38" s="30">
        <f t="shared" si="9"/>
        <v>13333.333333333332</v>
      </c>
      <c r="U38" s="30">
        <f t="shared" si="10"/>
        <v>75</v>
      </c>
      <c r="W38" s="33">
        <f t="shared" si="24"/>
        <v>0.8</v>
      </c>
      <c r="X38" s="34">
        <f t="shared" si="25"/>
        <v>255</v>
      </c>
      <c r="Y38" s="34">
        <f t="shared" si="26"/>
        <v>204</v>
      </c>
      <c r="Z38" s="31"/>
      <c r="AA38" s="11" t="str">
        <f t="shared" si="32"/>
        <v>ctm</v>
      </c>
      <c r="AB38" s="11" t="str">
        <f t="shared" si="15"/>
        <v>{ePllCfgCLEI_75MHz, 0, 1, 0x00, 0x18, 0x07, 4, 255, 204 }, // ctm in rate mode</v>
      </c>
    </row>
    <row r="39" spans="2:28" s="11" customFormat="1">
      <c r="B39" s="29" t="s">
        <v>59</v>
      </c>
      <c r="C39" s="17" t="s">
        <v>12</v>
      </c>
      <c r="D39" s="24">
        <v>24</v>
      </c>
      <c r="E39" s="28">
        <v>0</v>
      </c>
      <c r="F39" s="15">
        <v>1</v>
      </c>
      <c r="G39" s="15" t="str">
        <f t="shared" si="0"/>
        <v>rate</v>
      </c>
      <c r="H39" s="15">
        <v>0</v>
      </c>
      <c r="I39" s="15">
        <v>24</v>
      </c>
      <c r="J39" s="15">
        <v>5</v>
      </c>
      <c r="K39" s="15" t="str">
        <f t="shared" si="1"/>
        <v>0x00</v>
      </c>
      <c r="L39" s="15" t="str">
        <f t="shared" si="2"/>
        <v>0x18</v>
      </c>
      <c r="M39" s="15" t="str">
        <f t="shared" si="3"/>
        <v>0x05</v>
      </c>
      <c r="N39" s="15">
        <f t="shared" si="4"/>
        <v>4</v>
      </c>
      <c r="O39" s="26"/>
      <c r="P39" s="24">
        <f t="shared" si="5"/>
        <v>41666.666666666664</v>
      </c>
      <c r="Q39" s="24">
        <f t="shared" si="6"/>
        <v>41666.666666666664</v>
      </c>
      <c r="R39" s="24">
        <f t="shared" si="7"/>
        <v>1666.6666666666665</v>
      </c>
      <c r="S39" s="24" t="str">
        <f t="shared" si="8"/>
        <v/>
      </c>
      <c r="T39" s="30">
        <f t="shared" si="9"/>
        <v>10000</v>
      </c>
      <c r="U39" s="30">
        <f t="shared" si="10"/>
        <v>100</v>
      </c>
      <c r="W39" s="33">
        <f t="shared" si="24"/>
        <v>0.6</v>
      </c>
      <c r="X39" s="34">
        <f t="shared" si="25"/>
        <v>255</v>
      </c>
      <c r="Y39" s="34">
        <f t="shared" si="26"/>
        <v>153</v>
      </c>
      <c r="Z39" s="31"/>
      <c r="AA39" s="11" t="str">
        <f t="shared" si="27"/>
        <v>ctm</v>
      </c>
      <c r="AB39" s="11" t="str">
        <f t="shared" si="15"/>
        <v>{ePllCfgCLEI_100MHz, 0, 1, 0x00, 0x18, 0x05, 4, 255, 153 }, // ctm in rate mode</v>
      </c>
    </row>
    <row r="40" spans="2:28" s="11" customFormat="1">
      <c r="B40" s="29" t="s">
        <v>58</v>
      </c>
      <c r="C40" s="17" t="s">
        <v>12</v>
      </c>
      <c r="D40" s="24">
        <v>24</v>
      </c>
      <c r="E40" s="28">
        <v>0</v>
      </c>
      <c r="F40" s="15">
        <v>1</v>
      </c>
      <c r="G40" s="15" t="str">
        <f t="shared" si="0"/>
        <v>rate</v>
      </c>
      <c r="H40" s="15">
        <v>0</v>
      </c>
      <c r="I40" s="15">
        <v>25</v>
      </c>
      <c r="J40" s="15">
        <v>4</v>
      </c>
      <c r="K40" s="15" t="str">
        <f t="shared" si="1"/>
        <v>0x00</v>
      </c>
      <c r="L40" s="15" t="str">
        <f t="shared" si="2"/>
        <v>0x19</v>
      </c>
      <c r="M40" s="15" t="str">
        <f t="shared" si="3"/>
        <v>0x04</v>
      </c>
      <c r="N40" s="15">
        <f t="shared" si="4"/>
        <v>4</v>
      </c>
      <c r="O40" s="26"/>
      <c r="P40" s="24">
        <f t="shared" si="5"/>
        <v>41666.666666666664</v>
      </c>
      <c r="Q40" s="24">
        <f t="shared" si="6"/>
        <v>41666.666666666664</v>
      </c>
      <c r="R40" s="24">
        <f t="shared" si="7"/>
        <v>1602.5641025641025</v>
      </c>
      <c r="S40" s="24" t="str">
        <f t="shared" si="8"/>
        <v/>
      </c>
      <c r="T40" s="30">
        <f t="shared" si="9"/>
        <v>8012.8205128205127</v>
      </c>
      <c r="U40" s="30">
        <f t="shared" si="10"/>
        <v>124.8</v>
      </c>
      <c r="W40" s="33">
        <f t="shared" si="24"/>
        <v>0.48076923076923078</v>
      </c>
      <c r="X40" s="34">
        <f t="shared" si="25"/>
        <v>255</v>
      </c>
      <c r="Y40" s="34">
        <f t="shared" si="26"/>
        <v>123</v>
      </c>
      <c r="Z40" s="31"/>
      <c r="AA40" s="11" t="str">
        <f t="shared" si="27"/>
        <v>ctm</v>
      </c>
      <c r="AB40" s="11" t="str">
        <f t="shared" si="15"/>
        <v>{ePllCfgCLEI_125MHz, 0, 1, 0x00, 0x19, 0x04, 4, 255, 123 }, // ctm in rate mode</v>
      </c>
    </row>
    <row r="41" spans="2:28" s="11" customFormat="1">
      <c r="B41" s="29" t="s">
        <v>67</v>
      </c>
      <c r="C41" s="17" t="s">
        <v>12</v>
      </c>
      <c r="D41" s="24">
        <v>24</v>
      </c>
      <c r="E41" s="28">
        <v>0</v>
      </c>
      <c r="F41" s="15">
        <v>1</v>
      </c>
      <c r="G41" s="15" t="str">
        <f t="shared" si="0"/>
        <v>rate</v>
      </c>
      <c r="H41" s="15">
        <v>0</v>
      </c>
      <c r="I41" s="15">
        <v>25</v>
      </c>
      <c r="J41" s="15">
        <v>4</v>
      </c>
      <c r="K41" s="15" t="str">
        <f t="shared" si="1"/>
        <v>0x00</v>
      </c>
      <c r="L41" s="15" t="str">
        <f t="shared" si="2"/>
        <v>0x19</v>
      </c>
      <c r="M41" s="15" t="str">
        <f t="shared" si="3"/>
        <v>0x04</v>
      </c>
      <c r="N41" s="15">
        <v>4</v>
      </c>
      <c r="O41" s="26"/>
      <c r="P41" s="24">
        <f t="shared" si="5"/>
        <v>41666.666666666664</v>
      </c>
      <c r="Q41" s="24">
        <f t="shared" si="6"/>
        <v>41666.666666666664</v>
      </c>
      <c r="R41" s="24">
        <f t="shared" si="7"/>
        <v>1602.5641025641025</v>
      </c>
      <c r="S41" s="24" t="str">
        <f t="shared" si="8"/>
        <v/>
      </c>
      <c r="T41" s="30">
        <f t="shared" si="9"/>
        <v>8012.8205128205127</v>
      </c>
      <c r="U41" s="30">
        <f t="shared" si="10"/>
        <v>124.8</v>
      </c>
      <c r="W41" s="33">
        <f t="shared" si="24"/>
        <v>0.48076923076923078</v>
      </c>
      <c r="X41" s="34">
        <f t="shared" si="25"/>
        <v>255</v>
      </c>
      <c r="Y41" s="34">
        <f t="shared" si="26"/>
        <v>123</v>
      </c>
      <c r="Z41" s="31"/>
      <c r="AA41" s="11" t="str">
        <f t="shared" si="27"/>
        <v>ctm</v>
      </c>
      <c r="AB41" s="11" t="str">
        <f t="shared" si="15"/>
        <v>{ePllCfgTBI_125MHz_r, 0, 1, 0x00, 0x19, 0x04, 4, 255, 123 }, // ctm in rate mode</v>
      </c>
    </row>
    <row r="42" spans="2:28" s="11" customFormat="1">
      <c r="B42" s="29" t="s">
        <v>17</v>
      </c>
      <c r="C42" s="17" t="s">
        <v>12</v>
      </c>
      <c r="D42" s="24">
        <v>24</v>
      </c>
      <c r="E42" s="28">
        <v>0</v>
      </c>
      <c r="F42" s="15">
        <v>1</v>
      </c>
      <c r="G42" s="15" t="str">
        <f t="shared" si="0"/>
        <v>rate</v>
      </c>
      <c r="H42" s="15">
        <v>0</v>
      </c>
      <c r="I42" s="15">
        <v>24</v>
      </c>
      <c r="J42" s="15">
        <v>9</v>
      </c>
      <c r="K42" s="15" t="str">
        <f t="shared" si="1"/>
        <v>0x00</v>
      </c>
      <c r="L42" s="15" t="str">
        <f t="shared" si="2"/>
        <v>0x18</v>
      </c>
      <c r="M42" s="15" t="str">
        <f t="shared" si="3"/>
        <v>0x09</v>
      </c>
      <c r="N42" s="15">
        <f t="shared" si="4"/>
        <v>4</v>
      </c>
      <c r="O42" s="26"/>
      <c r="P42" s="24">
        <f t="shared" si="5"/>
        <v>41666.666666666664</v>
      </c>
      <c r="Q42" s="24">
        <f t="shared" si="6"/>
        <v>41666.666666666664</v>
      </c>
      <c r="R42" s="24">
        <f t="shared" si="7"/>
        <v>1666.6666666666665</v>
      </c>
      <c r="S42" s="24" t="str">
        <f t="shared" si="8"/>
        <v/>
      </c>
      <c r="T42" s="30">
        <f t="shared" si="9"/>
        <v>16666.666666666664</v>
      </c>
      <c r="U42" s="30">
        <f t="shared" si="10"/>
        <v>60.000000000000007</v>
      </c>
      <c r="W42" s="33">
        <f t="shared" si="24"/>
        <v>0.99999999999999989</v>
      </c>
      <c r="X42" s="34">
        <f t="shared" si="25"/>
        <v>255</v>
      </c>
      <c r="Y42" s="34">
        <f t="shared" si="26"/>
        <v>255</v>
      </c>
      <c r="Z42" s="31"/>
      <c r="AA42" s="11" t="str">
        <f t="shared" si="27"/>
        <v>ctm</v>
      </c>
      <c r="AB42" s="11" t="str">
        <f t="shared" si="15"/>
        <v>{ePllCfgSerial_60MHz, 0, 1, 0x00, 0x18, 0x09, 4, 255, 255 }, // ctm in rate mode</v>
      </c>
    </row>
    <row r="43" spans="2:28" s="11" customFormat="1">
      <c r="B43" s="29" t="s">
        <v>60</v>
      </c>
      <c r="C43" s="17" t="s">
        <v>12</v>
      </c>
      <c r="D43" s="24">
        <v>24</v>
      </c>
      <c r="E43" s="28">
        <v>0</v>
      </c>
      <c r="F43" s="15">
        <v>1</v>
      </c>
      <c r="G43" s="15" t="str">
        <f t="shared" si="0"/>
        <v>rate</v>
      </c>
      <c r="H43" s="15">
        <v>0</v>
      </c>
      <c r="I43" s="15">
        <v>24</v>
      </c>
      <c r="J43" s="15">
        <v>7</v>
      </c>
      <c r="K43" s="15" t="str">
        <f t="shared" si="1"/>
        <v>0x00</v>
      </c>
      <c r="L43" s="15" t="str">
        <f t="shared" si="2"/>
        <v>0x18</v>
      </c>
      <c r="M43" s="15" t="str">
        <f t="shared" si="3"/>
        <v>0x07</v>
      </c>
      <c r="N43" s="15">
        <f t="shared" si="4"/>
        <v>4</v>
      </c>
      <c r="O43" s="26"/>
      <c r="P43" s="24">
        <f t="shared" si="5"/>
        <v>41666.666666666664</v>
      </c>
      <c r="Q43" s="24">
        <f t="shared" si="6"/>
        <v>41666.666666666664</v>
      </c>
      <c r="R43" s="24">
        <f t="shared" si="7"/>
        <v>1666.6666666666665</v>
      </c>
      <c r="S43" s="24" t="str">
        <f t="shared" si="8"/>
        <v/>
      </c>
      <c r="T43" s="30">
        <f t="shared" si="9"/>
        <v>13333.333333333332</v>
      </c>
      <c r="U43" s="30">
        <f t="shared" si="10"/>
        <v>75</v>
      </c>
      <c r="W43" s="33">
        <f t="shared" si="24"/>
        <v>0.8</v>
      </c>
      <c r="X43" s="34">
        <f t="shared" si="25"/>
        <v>255</v>
      </c>
      <c r="Y43" s="34">
        <f t="shared" si="26"/>
        <v>204</v>
      </c>
      <c r="Z43" s="31"/>
      <c r="AA43" s="11" t="str">
        <f t="shared" si="27"/>
        <v>ctm</v>
      </c>
      <c r="AB43" s="11" t="str">
        <f t="shared" si="15"/>
        <v>{ePllCfgSerial_75MHz, 0, 1, 0x00, 0x18, 0x07, 4, 255, 204 }, // ctm in rate mode</v>
      </c>
    </row>
    <row r="44" spans="2:28" s="11" customFormat="1">
      <c r="B44" s="29" t="s">
        <v>20</v>
      </c>
      <c r="C44" s="17" t="s">
        <v>12</v>
      </c>
      <c r="D44" s="24">
        <v>24</v>
      </c>
      <c r="E44" s="28">
        <v>0</v>
      </c>
      <c r="F44" s="15">
        <v>1</v>
      </c>
      <c r="G44" s="15" t="str">
        <f t="shared" si="0"/>
        <v>rate</v>
      </c>
      <c r="H44" s="15">
        <v>1</v>
      </c>
      <c r="I44" s="15">
        <v>59</v>
      </c>
      <c r="J44" s="15">
        <v>8</v>
      </c>
      <c r="K44" s="15" t="str">
        <f t="shared" si="1"/>
        <v>0x01</v>
      </c>
      <c r="L44" s="15" t="str">
        <f t="shared" si="2"/>
        <v>0x3B</v>
      </c>
      <c r="M44" s="15" t="str">
        <f t="shared" si="3"/>
        <v>0x08</v>
      </c>
      <c r="N44" s="15">
        <f t="shared" si="4"/>
        <v>2</v>
      </c>
      <c r="O44" s="26"/>
      <c r="P44" s="24">
        <f t="shared" si="5"/>
        <v>41666.666666666664</v>
      </c>
      <c r="Q44" s="24">
        <f t="shared" si="6"/>
        <v>83333.333333333328</v>
      </c>
      <c r="R44" s="24">
        <f t="shared" si="7"/>
        <v>1388.8888888888889</v>
      </c>
      <c r="S44" s="24" t="str">
        <f t="shared" si="8"/>
        <v/>
      </c>
      <c r="T44" s="30">
        <f t="shared" si="9"/>
        <v>12500</v>
      </c>
      <c r="U44" s="30">
        <f t="shared" si="10"/>
        <v>80</v>
      </c>
      <c r="W44" s="33">
        <f t="shared" si="24"/>
        <v>0.75</v>
      </c>
      <c r="X44" s="34">
        <f t="shared" si="25"/>
        <v>255</v>
      </c>
      <c r="Y44" s="34">
        <f t="shared" si="26"/>
        <v>191</v>
      </c>
      <c r="Z44" s="31"/>
      <c r="AA44" s="11" t="str">
        <f t="shared" si="27"/>
        <v>ctm</v>
      </c>
      <c r="AB44" s="11" t="str">
        <f t="shared" si="15"/>
        <v>{ePllCfgSerial_80MHz, 0, 1, 0x01, 0x3B, 0x08, 2, 255, 191 }, // ctm in rate mode</v>
      </c>
    </row>
    <row r="45" spans="2:28" s="11" customFormat="1">
      <c r="B45" s="29" t="s">
        <v>21</v>
      </c>
      <c r="C45" s="17" t="s">
        <v>12</v>
      </c>
      <c r="D45" s="24">
        <v>24</v>
      </c>
      <c r="E45" s="28">
        <v>0</v>
      </c>
      <c r="F45" s="15">
        <v>1</v>
      </c>
      <c r="G45" s="15" t="str">
        <f t="shared" ref="G45:G76" si="33">IF(E45,"bypass",IF(F45,"rate","deskew"))</f>
        <v>rate</v>
      </c>
      <c r="H45" s="15">
        <v>0</v>
      </c>
      <c r="I45" s="15">
        <v>24</v>
      </c>
      <c r="J45" s="15">
        <v>4</v>
      </c>
      <c r="K45" s="15" t="str">
        <f t="shared" ref="K45:K63" si="34">"0x"&amp;T(DEC2HEX(H45,2))</f>
        <v>0x00</v>
      </c>
      <c r="L45" s="15" t="str">
        <f t="shared" ref="L45:L63" si="35">"0x"&amp;T(DEC2HEX(I45,2))</f>
        <v>0x18</v>
      </c>
      <c r="M45" s="15" t="str">
        <f t="shared" ref="M45:M63" si="36">"0x"&amp;T(DEC2HEX(J45,2))</f>
        <v>0x04</v>
      </c>
      <c r="N45" s="15">
        <f t="shared" ref="N45:N63" si="37">IF($G45="bypass",0,VLOOKUP(1000000/Q45,RangeTable,3,TRUE))</f>
        <v>4</v>
      </c>
      <c r="O45" s="26"/>
      <c r="P45" s="24">
        <f t="shared" si="5"/>
        <v>41666.666666666664</v>
      </c>
      <c r="Q45" s="24">
        <f t="shared" si="6"/>
        <v>41666.666666666664</v>
      </c>
      <c r="R45" s="24">
        <f t="shared" si="7"/>
        <v>1666.6666666666665</v>
      </c>
      <c r="S45" s="24" t="str">
        <f t="shared" si="8"/>
        <v/>
      </c>
      <c r="T45" s="30">
        <f t="shared" si="9"/>
        <v>8333.3333333333321</v>
      </c>
      <c r="U45" s="30">
        <f t="shared" si="10"/>
        <v>120.00000000000001</v>
      </c>
      <c r="W45" s="33">
        <f t="shared" si="24"/>
        <v>0.49999999999999994</v>
      </c>
      <c r="X45" s="34">
        <f t="shared" si="25"/>
        <v>255</v>
      </c>
      <c r="Y45" s="34">
        <f t="shared" si="26"/>
        <v>128</v>
      </c>
      <c r="Z45" s="31"/>
      <c r="AA45" s="11" t="str">
        <f t="shared" si="27"/>
        <v>ctm</v>
      </c>
      <c r="AB45" s="11" t="str">
        <f t="shared" si="15"/>
        <v>{ePllCfgSerial_120MHz, 0, 1, 0x00, 0x18, 0x04, 4, 255, 128 }, // ctm in rate mode</v>
      </c>
    </row>
    <row r="46" spans="2:28" s="11" customFormat="1">
      <c r="B46" s="29" t="s">
        <v>22</v>
      </c>
      <c r="C46" s="17" t="s">
        <v>12</v>
      </c>
      <c r="D46" s="24">
        <v>24</v>
      </c>
      <c r="E46" s="28">
        <v>0</v>
      </c>
      <c r="F46" s="15">
        <v>1</v>
      </c>
      <c r="G46" s="15" t="str">
        <f t="shared" si="33"/>
        <v>rate</v>
      </c>
      <c r="H46" s="15">
        <v>1</v>
      </c>
      <c r="I46" s="15">
        <v>59</v>
      </c>
      <c r="J46" s="15">
        <v>3</v>
      </c>
      <c r="K46" s="15" t="str">
        <f t="shared" si="34"/>
        <v>0x01</v>
      </c>
      <c r="L46" s="15" t="str">
        <f t="shared" si="35"/>
        <v>0x3B</v>
      </c>
      <c r="M46" s="15" t="str">
        <f t="shared" si="36"/>
        <v>0x03</v>
      </c>
      <c r="N46" s="15">
        <f t="shared" si="37"/>
        <v>2</v>
      </c>
      <c r="O46" s="26"/>
      <c r="P46" s="24">
        <f t="shared" si="5"/>
        <v>41666.666666666664</v>
      </c>
      <c r="Q46" s="24">
        <f t="shared" si="6"/>
        <v>83333.333333333328</v>
      </c>
      <c r="R46" s="24">
        <f t="shared" si="7"/>
        <v>1388.8888888888889</v>
      </c>
      <c r="S46" s="24" t="str">
        <f t="shared" si="8"/>
        <v/>
      </c>
      <c r="T46" s="30">
        <f t="shared" si="9"/>
        <v>5555.5555555555557</v>
      </c>
      <c r="U46" s="30">
        <f t="shared" si="10"/>
        <v>179.99999999999997</v>
      </c>
      <c r="W46" s="33">
        <f t="shared" si="24"/>
        <v>0.33333333333333337</v>
      </c>
      <c r="X46" s="34">
        <f t="shared" si="25"/>
        <v>255</v>
      </c>
      <c r="Y46" s="34">
        <f t="shared" si="26"/>
        <v>85</v>
      </c>
      <c r="Z46" s="31"/>
      <c r="AA46" s="11" t="str">
        <f t="shared" si="27"/>
        <v>ctm</v>
      </c>
      <c r="AB46" s="11" t="str">
        <f t="shared" si="15"/>
        <v>{ePllCfgSerial_180MHz, 0, 1, 0x01, 0x3B, 0x03, 2, 255, 85 }, // ctm in rate mode</v>
      </c>
    </row>
    <row r="47" spans="2:28" s="11" customFormat="1">
      <c r="B47" s="29" t="s">
        <v>63</v>
      </c>
      <c r="C47" s="17" t="s">
        <v>13</v>
      </c>
      <c r="D47" s="24">
        <v>60</v>
      </c>
      <c r="E47" s="28">
        <v>0</v>
      </c>
      <c r="F47" s="15">
        <v>0</v>
      </c>
      <c r="G47" s="15" t="str">
        <f t="shared" si="33"/>
        <v>deskew</v>
      </c>
      <c r="H47" s="15">
        <v>4</v>
      </c>
      <c r="I47" s="15">
        <v>4</v>
      </c>
      <c r="J47" s="15">
        <v>8</v>
      </c>
      <c r="K47" s="15" t="str">
        <f t="shared" si="34"/>
        <v>0x04</v>
      </c>
      <c r="L47" s="15" t="str">
        <f t="shared" si="35"/>
        <v>0x04</v>
      </c>
      <c r="M47" s="15" t="str">
        <f t="shared" si="36"/>
        <v>0x08</v>
      </c>
      <c r="N47" s="15">
        <f t="shared" si="37"/>
        <v>2</v>
      </c>
      <c r="O47" s="26"/>
      <c r="P47" s="24">
        <f t="shared" si="5"/>
        <v>16666.666666666668</v>
      </c>
      <c r="Q47" s="24">
        <f t="shared" si="6"/>
        <v>83333.333333333343</v>
      </c>
      <c r="R47" s="24" t="str">
        <f t="shared" si="7"/>
        <v/>
      </c>
      <c r="S47" s="24">
        <f t="shared" si="8"/>
        <v>1851.851851851852</v>
      </c>
      <c r="T47" s="30">
        <f t="shared" si="9"/>
        <v>16666.666666666668</v>
      </c>
      <c r="U47" s="30">
        <f t="shared" si="10"/>
        <v>59.999999999999993</v>
      </c>
      <c r="W47" s="33">
        <f t="shared" si="24"/>
        <v>1.0000000000000002</v>
      </c>
      <c r="X47" s="34">
        <f t="shared" si="25"/>
        <v>255</v>
      </c>
      <c r="Y47" s="34">
        <f t="shared" si="26"/>
        <v>255</v>
      </c>
      <c r="Z47" s="31"/>
      <c r="AA47" s="11" t="str">
        <f t="shared" si="27"/>
        <v>crm</v>
      </c>
      <c r="AB47" s="11" t="str">
        <f t="shared" si="15"/>
        <v>{ePllCfgTBI_60MHz, 0, 0, 0x04, 0x04, 0x08, 2, 255, 255 }, // crm in deskew mode</v>
      </c>
    </row>
    <row r="48" spans="2:28" s="11" customFormat="1">
      <c r="B48" s="29" t="s">
        <v>62</v>
      </c>
      <c r="C48" s="17" t="s">
        <v>13</v>
      </c>
      <c r="D48" s="24">
        <v>75</v>
      </c>
      <c r="E48" s="28">
        <v>0</v>
      </c>
      <c r="F48" s="15">
        <v>0</v>
      </c>
      <c r="G48" s="15" t="str">
        <f t="shared" si="33"/>
        <v>deskew</v>
      </c>
      <c r="H48" s="15">
        <v>6</v>
      </c>
      <c r="I48" s="15">
        <v>6</v>
      </c>
      <c r="J48" s="15">
        <v>6</v>
      </c>
      <c r="K48" s="15" t="str">
        <f t="shared" si="34"/>
        <v>0x06</v>
      </c>
      <c r="L48" s="15" t="str">
        <f t="shared" si="35"/>
        <v>0x06</v>
      </c>
      <c r="M48" s="15" t="str">
        <f t="shared" si="36"/>
        <v>0x06</v>
      </c>
      <c r="N48" s="15">
        <f t="shared" si="37"/>
        <v>2</v>
      </c>
      <c r="O48" s="26"/>
      <c r="P48" s="24">
        <f t="shared" si="5"/>
        <v>13333.333333333334</v>
      </c>
      <c r="Q48" s="24">
        <f t="shared" si="6"/>
        <v>93333.333333333343</v>
      </c>
      <c r="R48" s="24" t="str">
        <f t="shared" si="7"/>
        <v/>
      </c>
      <c r="S48" s="24">
        <f t="shared" si="8"/>
        <v>1904.761904761905</v>
      </c>
      <c r="T48" s="30">
        <f t="shared" si="9"/>
        <v>13333.333333333336</v>
      </c>
      <c r="U48" s="30">
        <f t="shared" si="10"/>
        <v>74.999999999999986</v>
      </c>
      <c r="W48" s="33">
        <f t="shared" si="24"/>
        <v>0.80000000000000016</v>
      </c>
      <c r="X48" s="34">
        <f t="shared" si="25"/>
        <v>255</v>
      </c>
      <c r="Y48" s="34">
        <f t="shared" si="26"/>
        <v>204</v>
      </c>
      <c r="Z48" s="31"/>
      <c r="AA48" s="11" t="str">
        <f t="shared" si="27"/>
        <v>crm</v>
      </c>
      <c r="AB48" s="11" t="str">
        <f t="shared" si="15"/>
        <v>{ePllCfgTBI_75MHz, 0, 0, 0x06, 0x06, 0x06, 2, 255, 204 }, // crm in deskew mode</v>
      </c>
    </row>
    <row r="49" spans="2:28" s="11" customFormat="1">
      <c r="B49" s="29" t="s">
        <v>66</v>
      </c>
      <c r="C49" s="17" t="s">
        <v>13</v>
      </c>
      <c r="D49" s="24">
        <v>87.5</v>
      </c>
      <c r="E49" s="28">
        <v>0</v>
      </c>
      <c r="F49" s="15">
        <v>0</v>
      </c>
      <c r="G49" s="15" t="str">
        <f t="shared" si="33"/>
        <v>deskew</v>
      </c>
      <c r="H49" s="15">
        <v>6</v>
      </c>
      <c r="I49" s="15">
        <v>6</v>
      </c>
      <c r="J49" s="15">
        <v>6</v>
      </c>
      <c r="K49" s="15" t="str">
        <f t="shared" si="34"/>
        <v>0x06</v>
      </c>
      <c r="L49" s="15" t="str">
        <f t="shared" si="35"/>
        <v>0x06</v>
      </c>
      <c r="M49" s="15" t="str">
        <f t="shared" si="36"/>
        <v>0x06</v>
      </c>
      <c r="N49" s="15">
        <f t="shared" si="37"/>
        <v>2</v>
      </c>
      <c r="O49" s="26"/>
      <c r="P49" s="24">
        <f t="shared" si="5"/>
        <v>11428.571428571429</v>
      </c>
      <c r="Q49" s="24">
        <f t="shared" si="6"/>
        <v>80000</v>
      </c>
      <c r="R49" s="24" t="str">
        <f t="shared" si="7"/>
        <v/>
      </c>
      <c r="S49" s="24">
        <f t="shared" si="8"/>
        <v>1632.6530612244899</v>
      </c>
      <c r="T49" s="30">
        <f t="shared" si="9"/>
        <v>11428.571428571429</v>
      </c>
      <c r="U49" s="30">
        <f t="shared" si="10"/>
        <v>87.5</v>
      </c>
      <c r="W49" s="33">
        <f t="shared" si="24"/>
        <v>0.68571428571428572</v>
      </c>
      <c r="X49" s="34">
        <f t="shared" si="25"/>
        <v>255</v>
      </c>
      <c r="Y49" s="34">
        <f t="shared" si="26"/>
        <v>175</v>
      </c>
      <c r="Z49" s="26"/>
      <c r="AA49" s="11" t="str">
        <f t="shared" si="27"/>
        <v>crm</v>
      </c>
      <c r="AB49" s="11" t="str">
        <f t="shared" si="15"/>
        <v>{ePllCfgTBI_87MHz, 0, 0, 0x06, 0x06, 0x06, 2, 255, 175 }, // crm in deskew mode</v>
      </c>
    </row>
    <row r="50" spans="2:28" s="11" customFormat="1">
      <c r="B50" s="29" t="s">
        <v>61</v>
      </c>
      <c r="C50" s="17" t="s">
        <v>13</v>
      </c>
      <c r="D50" s="24">
        <v>100</v>
      </c>
      <c r="E50" s="28">
        <v>0</v>
      </c>
      <c r="F50" s="15">
        <v>0</v>
      </c>
      <c r="G50" s="15" t="str">
        <f t="shared" si="33"/>
        <v>deskew</v>
      </c>
      <c r="H50" s="15">
        <v>6</v>
      </c>
      <c r="I50" s="15">
        <v>6</v>
      </c>
      <c r="J50" s="15">
        <v>4</v>
      </c>
      <c r="K50" s="15" t="str">
        <f t="shared" si="34"/>
        <v>0x06</v>
      </c>
      <c r="L50" s="15" t="str">
        <f t="shared" si="35"/>
        <v>0x06</v>
      </c>
      <c r="M50" s="15" t="str">
        <f t="shared" si="36"/>
        <v>0x04</v>
      </c>
      <c r="N50" s="15">
        <f t="shared" si="37"/>
        <v>3</v>
      </c>
      <c r="O50" s="26"/>
      <c r="P50" s="24">
        <f t="shared" si="5"/>
        <v>10000</v>
      </c>
      <c r="Q50" s="24">
        <f t="shared" si="6"/>
        <v>70000</v>
      </c>
      <c r="R50" s="24" t="str">
        <f t="shared" si="7"/>
        <v/>
      </c>
      <c r="S50" s="24">
        <f t="shared" si="8"/>
        <v>2000</v>
      </c>
      <c r="T50" s="30">
        <f t="shared" si="9"/>
        <v>10000</v>
      </c>
      <c r="U50" s="30">
        <f t="shared" si="10"/>
        <v>100</v>
      </c>
      <c r="W50" s="33">
        <f t="shared" si="24"/>
        <v>0.6</v>
      </c>
      <c r="X50" s="34">
        <f t="shared" si="25"/>
        <v>255</v>
      </c>
      <c r="Y50" s="34">
        <f t="shared" si="26"/>
        <v>153</v>
      </c>
      <c r="Z50" s="26"/>
      <c r="AA50" s="11" t="str">
        <f t="shared" si="27"/>
        <v>crm</v>
      </c>
      <c r="AB50" s="11" t="str">
        <f t="shared" si="15"/>
        <v>{ePllCfgTBI_100MHz, 0, 0, 0x06, 0x06, 0x04, 3, 255, 153 }, // crm in deskew mode</v>
      </c>
    </row>
    <row r="51" spans="2:28" s="11" customFormat="1">
      <c r="B51" s="29" t="s">
        <v>15</v>
      </c>
      <c r="C51" s="17" t="s">
        <v>13</v>
      </c>
      <c r="D51" s="24">
        <v>125</v>
      </c>
      <c r="E51" s="28">
        <v>0</v>
      </c>
      <c r="F51" s="15">
        <v>0</v>
      </c>
      <c r="G51" s="15" t="str">
        <f t="shared" si="33"/>
        <v>deskew</v>
      </c>
      <c r="H51" s="15">
        <v>6</v>
      </c>
      <c r="I51" s="15">
        <v>6</v>
      </c>
      <c r="J51" s="15">
        <v>4</v>
      </c>
      <c r="K51" s="15" t="str">
        <f t="shared" si="34"/>
        <v>0x06</v>
      </c>
      <c r="L51" s="15" t="str">
        <f t="shared" si="35"/>
        <v>0x06</v>
      </c>
      <c r="M51" s="15" t="str">
        <f t="shared" si="36"/>
        <v>0x04</v>
      </c>
      <c r="N51" s="15">
        <f t="shared" si="37"/>
        <v>3</v>
      </c>
      <c r="O51" s="26"/>
      <c r="P51" s="24">
        <f t="shared" si="5"/>
        <v>8000</v>
      </c>
      <c r="Q51" s="24">
        <f t="shared" si="6"/>
        <v>56000</v>
      </c>
      <c r="R51" s="24" t="str">
        <f t="shared" si="7"/>
        <v/>
      </c>
      <c r="S51" s="24">
        <f t="shared" si="8"/>
        <v>1600</v>
      </c>
      <c r="T51" s="30">
        <f t="shared" si="9"/>
        <v>8000</v>
      </c>
      <c r="U51" s="30">
        <f t="shared" si="10"/>
        <v>125</v>
      </c>
      <c r="W51" s="33">
        <f t="shared" si="24"/>
        <v>0.48</v>
      </c>
      <c r="X51" s="34">
        <f t="shared" si="25"/>
        <v>255</v>
      </c>
      <c r="Y51" s="34">
        <f t="shared" si="26"/>
        <v>122</v>
      </c>
      <c r="Z51" s="26"/>
      <c r="AA51" s="11" t="str">
        <f t="shared" si="27"/>
        <v>crm</v>
      </c>
      <c r="AB51" s="11" t="str">
        <f t="shared" si="15"/>
        <v>{ePllCfgTBI_125MHz, 0, 0, 0x06, 0x06, 0x04, 3, 255, 122 }, // crm in deskew mode</v>
      </c>
    </row>
    <row r="52" spans="2:28" s="11" customFormat="1">
      <c r="B52" s="29" t="s">
        <v>65</v>
      </c>
      <c r="C52" s="17" t="s">
        <v>13</v>
      </c>
      <c r="D52" s="24">
        <v>62.5</v>
      </c>
      <c r="E52" s="28">
        <v>0</v>
      </c>
      <c r="F52" s="15">
        <v>0</v>
      </c>
      <c r="G52" s="15" t="str">
        <f t="shared" si="33"/>
        <v>deskew</v>
      </c>
      <c r="H52" s="15">
        <v>0</v>
      </c>
      <c r="I52" s="15">
        <v>1</v>
      </c>
      <c r="J52" s="15">
        <v>4</v>
      </c>
      <c r="K52" s="15" t="str">
        <f t="shared" si="34"/>
        <v>0x00</v>
      </c>
      <c r="L52" s="15" t="str">
        <f t="shared" si="35"/>
        <v>0x01</v>
      </c>
      <c r="M52" s="15" t="str">
        <f t="shared" si="36"/>
        <v>0x04</v>
      </c>
      <c r="N52" s="15">
        <f t="shared" si="37"/>
        <v>6</v>
      </c>
      <c r="O52" s="26"/>
      <c r="P52" s="24">
        <f t="shared" si="5"/>
        <v>16000</v>
      </c>
      <c r="Q52" s="24">
        <f t="shared" si="6"/>
        <v>16000</v>
      </c>
      <c r="R52" s="24" t="str">
        <f t="shared" si="7"/>
        <v/>
      </c>
      <c r="S52" s="24">
        <f t="shared" si="8"/>
        <v>1600</v>
      </c>
      <c r="T52" s="30">
        <f t="shared" si="9"/>
        <v>8000</v>
      </c>
      <c r="U52" s="30">
        <f t="shared" si="10"/>
        <v>125</v>
      </c>
      <c r="W52" s="33">
        <f t="shared" si="24"/>
        <v>0.48</v>
      </c>
      <c r="X52" s="34">
        <f t="shared" si="25"/>
        <v>255</v>
      </c>
      <c r="Y52" s="34">
        <f t="shared" si="26"/>
        <v>122</v>
      </c>
      <c r="Z52" s="26"/>
      <c r="AA52" s="11" t="str">
        <f t="shared" si="27"/>
        <v>crm</v>
      </c>
      <c r="AB52" s="11" t="str">
        <f t="shared" si="15"/>
        <v>{ePllCfgTBI_125MHz_sp, 0, 0, 0x00, 0x01, 0x04, 6, 255, 122 }, // crm in deskew mode</v>
      </c>
    </row>
    <row r="53" spans="2:28" s="11" customFormat="1">
      <c r="B53" s="29" t="s">
        <v>0</v>
      </c>
      <c r="C53" s="17" t="s">
        <v>13</v>
      </c>
      <c r="D53" s="24">
        <v>125</v>
      </c>
      <c r="E53" s="28">
        <v>0</v>
      </c>
      <c r="F53" s="15">
        <v>0</v>
      </c>
      <c r="G53" s="15" t="str">
        <f t="shared" si="33"/>
        <v>deskew</v>
      </c>
      <c r="H53" s="15">
        <v>6</v>
      </c>
      <c r="I53" s="15">
        <v>6</v>
      </c>
      <c r="J53" s="15">
        <v>4</v>
      </c>
      <c r="K53" s="15" t="str">
        <f t="shared" si="34"/>
        <v>0x06</v>
      </c>
      <c r="L53" s="15" t="str">
        <f t="shared" si="35"/>
        <v>0x06</v>
      </c>
      <c r="M53" s="15" t="str">
        <f t="shared" si="36"/>
        <v>0x04</v>
      </c>
      <c r="N53" s="15">
        <f t="shared" si="37"/>
        <v>3</v>
      </c>
      <c r="O53" s="26"/>
      <c r="P53" s="24">
        <f t="shared" si="5"/>
        <v>8000</v>
      </c>
      <c r="Q53" s="24">
        <f t="shared" si="6"/>
        <v>56000</v>
      </c>
      <c r="R53" s="24" t="str">
        <f t="shared" si="7"/>
        <v/>
      </c>
      <c r="S53" s="24">
        <f t="shared" si="8"/>
        <v>1600</v>
      </c>
      <c r="T53" s="30">
        <f t="shared" si="9"/>
        <v>8000</v>
      </c>
      <c r="U53" s="30">
        <f t="shared" si="10"/>
        <v>125</v>
      </c>
      <c r="W53" s="33">
        <f t="shared" si="24"/>
        <v>0.48</v>
      </c>
      <c r="X53" s="34">
        <f t="shared" si="25"/>
        <v>255</v>
      </c>
      <c r="Y53" s="34">
        <f t="shared" si="26"/>
        <v>122</v>
      </c>
      <c r="Z53" s="26"/>
      <c r="AA53" s="11" t="str">
        <f t="shared" si="27"/>
        <v>crm</v>
      </c>
      <c r="AB53" s="11" t="str">
        <f t="shared" si="15"/>
        <v>{ePllCfgGMII_125MHz, 0, 0, 0x06, 0x06, 0x04, 3, 255, 122 }, // crm in deskew mode</v>
      </c>
    </row>
    <row r="54" spans="2:28" s="11" customFormat="1">
      <c r="B54" s="29" t="s">
        <v>14</v>
      </c>
      <c r="C54" s="17" t="s">
        <v>13</v>
      </c>
      <c r="D54" s="24">
        <v>25</v>
      </c>
      <c r="E54" s="28">
        <v>0</v>
      </c>
      <c r="F54" s="15">
        <v>0</v>
      </c>
      <c r="G54" s="15" t="str">
        <f t="shared" si="33"/>
        <v>deskew</v>
      </c>
      <c r="H54" s="15">
        <v>0</v>
      </c>
      <c r="I54" s="15">
        <v>0</v>
      </c>
      <c r="J54" s="15">
        <v>24</v>
      </c>
      <c r="K54" s="15" t="str">
        <f t="shared" si="34"/>
        <v>0x00</v>
      </c>
      <c r="L54" s="15" t="str">
        <f t="shared" si="35"/>
        <v>0x00</v>
      </c>
      <c r="M54" s="15" t="str">
        <f t="shared" si="36"/>
        <v>0x18</v>
      </c>
      <c r="N54" s="15">
        <f t="shared" si="37"/>
        <v>4</v>
      </c>
      <c r="O54" s="26"/>
      <c r="P54" s="24">
        <f t="shared" si="5"/>
        <v>40000</v>
      </c>
      <c r="Q54" s="24">
        <f t="shared" si="6"/>
        <v>40000</v>
      </c>
      <c r="R54" s="24" t="str">
        <f t="shared" si="7"/>
        <v/>
      </c>
      <c r="S54" s="24">
        <f t="shared" si="8"/>
        <v>1600</v>
      </c>
      <c r="T54" s="30">
        <f t="shared" si="9"/>
        <v>40000</v>
      </c>
      <c r="U54" s="30">
        <f t="shared" si="10"/>
        <v>25</v>
      </c>
      <c r="W54" s="33">
        <f t="shared" si="24"/>
        <v>0.41666666666666669</v>
      </c>
      <c r="X54" s="34">
        <f t="shared" si="25"/>
        <v>106</v>
      </c>
      <c r="Y54" s="34">
        <f t="shared" si="26"/>
        <v>255</v>
      </c>
      <c r="Z54" s="26"/>
      <c r="AA54" s="11" t="str">
        <f t="shared" si="27"/>
        <v>crm</v>
      </c>
      <c r="AB54" s="11" t="str">
        <f t="shared" si="15"/>
        <v>{ePllCfgMII_25MHz, 0, 0, 0x00, 0x00, 0x18, 4, 106, 255 }, // crm in deskew mode</v>
      </c>
    </row>
    <row r="55" spans="2:28" s="11" customFormat="1">
      <c r="B55" s="29" t="s">
        <v>64</v>
      </c>
      <c r="C55" s="17" t="s">
        <v>13</v>
      </c>
      <c r="D55" s="24">
        <v>30</v>
      </c>
      <c r="E55" s="28">
        <v>0</v>
      </c>
      <c r="F55" s="15">
        <v>0</v>
      </c>
      <c r="G55" s="15" t="str">
        <f t="shared" si="33"/>
        <v>deskew</v>
      </c>
      <c r="H55" s="15">
        <v>2</v>
      </c>
      <c r="I55" s="15">
        <v>2</v>
      </c>
      <c r="J55" s="15">
        <v>19</v>
      </c>
      <c r="K55" s="15" t="str">
        <f t="shared" si="34"/>
        <v>0x02</v>
      </c>
      <c r="L55" s="15" t="str">
        <f t="shared" si="35"/>
        <v>0x02</v>
      </c>
      <c r="M55" s="15" t="str">
        <f t="shared" si="36"/>
        <v>0x13</v>
      </c>
      <c r="N55" s="15">
        <f t="shared" si="37"/>
        <v>2</v>
      </c>
      <c r="O55" s="26"/>
      <c r="P55" s="24">
        <f t="shared" si="5"/>
        <v>33333.333333333336</v>
      </c>
      <c r="Q55" s="24">
        <f t="shared" si="6"/>
        <v>100000</v>
      </c>
      <c r="R55" s="24" t="str">
        <f t="shared" si="7"/>
        <v/>
      </c>
      <c r="S55" s="24">
        <f t="shared" si="8"/>
        <v>1666.6666666666667</v>
      </c>
      <c r="T55" s="30">
        <f t="shared" si="9"/>
        <v>33333.333333333336</v>
      </c>
      <c r="U55" s="30">
        <f t="shared" si="10"/>
        <v>29.999999999999996</v>
      </c>
      <c r="W55" s="33">
        <f t="shared" si="24"/>
        <v>0.49999999999999994</v>
      </c>
      <c r="X55" s="34">
        <f t="shared" si="25"/>
        <v>128</v>
      </c>
      <c r="Y55" s="34">
        <f t="shared" si="26"/>
        <v>255</v>
      </c>
      <c r="Z55" s="26"/>
      <c r="AA55" s="11" t="str">
        <f t="shared" si="27"/>
        <v>crm</v>
      </c>
      <c r="AB55" s="11" t="str">
        <f t="shared" si="15"/>
        <v>{ePllCfgCLEI_30MHz, 0, 0, 0x02, 0x02, 0x13, 2, 128, 255 }, // crm in deskew mode</v>
      </c>
    </row>
    <row r="56" spans="2:28" s="11" customFormat="1">
      <c r="B56" s="29" t="s">
        <v>16</v>
      </c>
      <c r="C56" s="17" t="s">
        <v>13</v>
      </c>
      <c r="D56" s="24">
        <v>75</v>
      </c>
      <c r="E56" s="28">
        <v>0</v>
      </c>
      <c r="F56" s="15">
        <v>0</v>
      </c>
      <c r="G56" s="15" t="str">
        <f t="shared" si="33"/>
        <v>deskew</v>
      </c>
      <c r="H56" s="15">
        <v>6</v>
      </c>
      <c r="I56" s="15">
        <v>6</v>
      </c>
      <c r="J56" s="15">
        <v>6</v>
      </c>
      <c r="K56" s="15" t="str">
        <f t="shared" si="34"/>
        <v>0x06</v>
      </c>
      <c r="L56" s="15" t="str">
        <f t="shared" si="35"/>
        <v>0x06</v>
      </c>
      <c r="M56" s="15" t="str">
        <f t="shared" si="36"/>
        <v>0x06</v>
      </c>
      <c r="N56" s="15">
        <f t="shared" si="37"/>
        <v>2</v>
      </c>
      <c r="O56" s="26"/>
      <c r="P56" s="24">
        <f t="shared" si="5"/>
        <v>13333.333333333334</v>
      </c>
      <c r="Q56" s="24">
        <f t="shared" si="6"/>
        <v>93333.333333333343</v>
      </c>
      <c r="R56" s="24" t="str">
        <f t="shared" si="7"/>
        <v/>
      </c>
      <c r="S56" s="24">
        <f t="shared" si="8"/>
        <v>1904.761904761905</v>
      </c>
      <c r="T56" s="30">
        <f t="shared" si="9"/>
        <v>13333.333333333336</v>
      </c>
      <c r="U56" s="30">
        <f t="shared" si="10"/>
        <v>74.999999999999986</v>
      </c>
      <c r="W56" s="33">
        <f t="shared" si="24"/>
        <v>0.80000000000000016</v>
      </c>
      <c r="X56" s="34">
        <f t="shared" si="25"/>
        <v>255</v>
      </c>
      <c r="Y56" s="34">
        <f t="shared" si="26"/>
        <v>204</v>
      </c>
      <c r="Z56" s="26"/>
      <c r="AA56" s="11" t="str">
        <f t="shared" si="27"/>
        <v>crm</v>
      </c>
      <c r="AB56" s="11" t="str">
        <f t="shared" si="15"/>
        <v>{ePllCfgCLEI_75MHz, 0, 0, 0x06, 0x06, 0x06, 2, 255, 204 }, // crm in deskew mode</v>
      </c>
    </row>
    <row r="57" spans="2:28" s="11" customFormat="1">
      <c r="B57" s="29" t="s">
        <v>59</v>
      </c>
      <c r="C57" s="17" t="s">
        <v>13</v>
      </c>
      <c r="D57" s="24">
        <v>100</v>
      </c>
      <c r="E57" s="28">
        <v>0</v>
      </c>
      <c r="F57" s="15">
        <v>0</v>
      </c>
      <c r="G57" s="15" t="str">
        <f t="shared" si="33"/>
        <v>deskew</v>
      </c>
      <c r="H57" s="15">
        <v>6</v>
      </c>
      <c r="I57" s="15">
        <v>6</v>
      </c>
      <c r="J57" s="15">
        <v>6</v>
      </c>
      <c r="K57" s="15" t="str">
        <f t="shared" si="34"/>
        <v>0x06</v>
      </c>
      <c r="L57" s="15" t="str">
        <f t="shared" si="35"/>
        <v>0x06</v>
      </c>
      <c r="M57" s="15" t="str">
        <f t="shared" si="36"/>
        <v>0x06</v>
      </c>
      <c r="N57" s="15">
        <f t="shared" si="37"/>
        <v>3</v>
      </c>
      <c r="O57" s="26"/>
      <c r="P57" s="24">
        <f t="shared" si="5"/>
        <v>10000</v>
      </c>
      <c r="Q57" s="24">
        <f t="shared" si="6"/>
        <v>70000</v>
      </c>
      <c r="R57" s="24" t="str">
        <f t="shared" si="7"/>
        <v/>
      </c>
      <c r="S57" s="24">
        <f t="shared" si="8"/>
        <v>1428.5714285714287</v>
      </c>
      <c r="T57" s="30">
        <f t="shared" si="9"/>
        <v>10000</v>
      </c>
      <c r="U57" s="30">
        <f t="shared" si="10"/>
        <v>100</v>
      </c>
      <c r="W57" s="33">
        <f t="shared" si="24"/>
        <v>0.6</v>
      </c>
      <c r="X57" s="34">
        <f t="shared" si="25"/>
        <v>255</v>
      </c>
      <c r="Y57" s="34">
        <f t="shared" si="26"/>
        <v>153</v>
      </c>
      <c r="Z57" s="26"/>
      <c r="AA57" s="11" t="str">
        <f t="shared" si="27"/>
        <v>crm</v>
      </c>
      <c r="AB57" s="11" t="str">
        <f t="shared" si="15"/>
        <v>{ePllCfgCLEI_100MHz, 0, 0, 0x06, 0x06, 0x06, 3, 255, 153 }, // crm in deskew mode</v>
      </c>
    </row>
    <row r="58" spans="2:28" s="11" customFormat="1">
      <c r="B58" s="29" t="s">
        <v>58</v>
      </c>
      <c r="C58" s="17" t="s">
        <v>13</v>
      </c>
      <c r="D58" s="24">
        <v>125</v>
      </c>
      <c r="E58" s="28">
        <v>0</v>
      </c>
      <c r="F58" s="15">
        <v>0</v>
      </c>
      <c r="G58" s="15" t="str">
        <f t="shared" si="33"/>
        <v>deskew</v>
      </c>
      <c r="H58" s="15">
        <v>6</v>
      </c>
      <c r="I58" s="15">
        <v>6</v>
      </c>
      <c r="J58" s="15">
        <v>4</v>
      </c>
      <c r="K58" s="15" t="str">
        <f t="shared" si="34"/>
        <v>0x06</v>
      </c>
      <c r="L58" s="15" t="str">
        <f t="shared" si="35"/>
        <v>0x06</v>
      </c>
      <c r="M58" s="15" t="str">
        <f t="shared" si="36"/>
        <v>0x04</v>
      </c>
      <c r="N58" s="15">
        <f t="shared" si="37"/>
        <v>3</v>
      </c>
      <c r="O58" s="26"/>
      <c r="P58" s="24">
        <f t="shared" si="5"/>
        <v>8000</v>
      </c>
      <c r="Q58" s="24">
        <f t="shared" si="6"/>
        <v>56000</v>
      </c>
      <c r="R58" s="24" t="str">
        <f t="shared" si="7"/>
        <v/>
      </c>
      <c r="S58" s="24">
        <f t="shared" si="8"/>
        <v>1600</v>
      </c>
      <c r="T58" s="30">
        <f t="shared" si="9"/>
        <v>8000</v>
      </c>
      <c r="U58" s="30">
        <f t="shared" si="10"/>
        <v>125</v>
      </c>
      <c r="W58" s="33">
        <f t="shared" si="24"/>
        <v>0.48</v>
      </c>
      <c r="X58" s="34">
        <f t="shared" si="25"/>
        <v>255</v>
      </c>
      <c r="Y58" s="34">
        <f t="shared" si="26"/>
        <v>122</v>
      </c>
      <c r="Z58" s="26"/>
      <c r="AA58" s="11" t="str">
        <f t="shared" si="27"/>
        <v>crm</v>
      </c>
      <c r="AB58" s="11" t="str">
        <f t="shared" si="15"/>
        <v>{ePllCfgCLEI_125MHz, 0, 0, 0x06, 0x06, 0x04, 3, 255, 122 }, // crm in deskew mode</v>
      </c>
    </row>
    <row r="59" spans="2:28" s="11" customFormat="1">
      <c r="B59" s="29" t="s">
        <v>17</v>
      </c>
      <c r="C59" s="17" t="s">
        <v>13</v>
      </c>
      <c r="D59" s="24">
        <v>24</v>
      </c>
      <c r="E59" s="28">
        <v>0</v>
      </c>
      <c r="F59" s="15">
        <v>1</v>
      </c>
      <c r="G59" s="15" t="str">
        <f t="shared" si="33"/>
        <v>rate</v>
      </c>
      <c r="H59" s="15">
        <v>0</v>
      </c>
      <c r="I59" s="15">
        <v>24</v>
      </c>
      <c r="J59" s="15">
        <v>9</v>
      </c>
      <c r="K59" s="15" t="str">
        <f t="shared" si="34"/>
        <v>0x00</v>
      </c>
      <c r="L59" s="15" t="str">
        <f t="shared" si="35"/>
        <v>0x18</v>
      </c>
      <c r="M59" s="15" t="str">
        <f t="shared" si="36"/>
        <v>0x09</v>
      </c>
      <c r="N59" s="15">
        <f t="shared" si="37"/>
        <v>4</v>
      </c>
      <c r="O59" s="26"/>
      <c r="P59" s="24">
        <f t="shared" si="5"/>
        <v>41666.666666666664</v>
      </c>
      <c r="Q59" s="24">
        <f t="shared" si="6"/>
        <v>41666.666666666664</v>
      </c>
      <c r="R59" s="24">
        <f t="shared" si="7"/>
        <v>1666.6666666666665</v>
      </c>
      <c r="S59" s="24" t="str">
        <f t="shared" si="8"/>
        <v/>
      </c>
      <c r="T59" s="30">
        <f t="shared" si="9"/>
        <v>16666.666666666664</v>
      </c>
      <c r="U59" s="30">
        <f t="shared" si="10"/>
        <v>60.000000000000007</v>
      </c>
      <c r="W59" s="33">
        <f t="shared" si="24"/>
        <v>0.99999999999999989</v>
      </c>
      <c r="X59" s="34">
        <f t="shared" si="25"/>
        <v>255</v>
      </c>
      <c r="Y59" s="34">
        <f t="shared" si="26"/>
        <v>255</v>
      </c>
      <c r="Z59" s="26"/>
      <c r="AA59" s="11" t="str">
        <f t="shared" si="27"/>
        <v>crm</v>
      </c>
      <c r="AB59" s="11" t="str">
        <f t="shared" si="15"/>
        <v>{ePllCfgSerial_60MHz, 0, 1, 0x00, 0x18, 0x09, 4, 255, 255 }, // crm in rate mode</v>
      </c>
    </row>
    <row r="60" spans="2:28" s="11" customFormat="1">
      <c r="B60" s="29" t="s">
        <v>60</v>
      </c>
      <c r="C60" s="17" t="s">
        <v>13</v>
      </c>
      <c r="D60" s="24">
        <v>24</v>
      </c>
      <c r="E60" s="28">
        <v>0</v>
      </c>
      <c r="F60" s="15">
        <v>1</v>
      </c>
      <c r="G60" s="15" t="str">
        <f t="shared" si="33"/>
        <v>rate</v>
      </c>
      <c r="H60" s="15">
        <v>0</v>
      </c>
      <c r="I60" s="15">
        <v>24</v>
      </c>
      <c r="J60" s="15">
        <v>7</v>
      </c>
      <c r="K60" s="15" t="str">
        <f t="shared" si="34"/>
        <v>0x00</v>
      </c>
      <c r="L60" s="15" t="str">
        <f t="shared" si="35"/>
        <v>0x18</v>
      </c>
      <c r="M60" s="15" t="str">
        <f t="shared" si="36"/>
        <v>0x07</v>
      </c>
      <c r="N60" s="15">
        <f t="shared" si="37"/>
        <v>4</v>
      </c>
      <c r="O60" s="26"/>
      <c r="P60" s="24">
        <f t="shared" si="5"/>
        <v>41666.666666666664</v>
      </c>
      <c r="Q60" s="24">
        <f t="shared" si="6"/>
        <v>41666.666666666664</v>
      </c>
      <c r="R60" s="24">
        <f t="shared" si="7"/>
        <v>1666.6666666666665</v>
      </c>
      <c r="S60" s="24" t="str">
        <f t="shared" si="8"/>
        <v/>
      </c>
      <c r="T60" s="30">
        <f t="shared" si="9"/>
        <v>13333.333333333332</v>
      </c>
      <c r="U60" s="30">
        <f t="shared" si="10"/>
        <v>75</v>
      </c>
      <c r="W60" s="33">
        <f t="shared" si="24"/>
        <v>0.8</v>
      </c>
      <c r="X60" s="34">
        <f t="shared" si="25"/>
        <v>255</v>
      </c>
      <c r="Y60" s="34">
        <f t="shared" si="26"/>
        <v>204</v>
      </c>
      <c r="Z60" s="26"/>
      <c r="AA60" s="11" t="str">
        <f t="shared" si="27"/>
        <v>crm</v>
      </c>
      <c r="AB60" s="11" t="str">
        <f t="shared" si="15"/>
        <v>{ePllCfgSerial_75MHz, 0, 1, 0x00, 0x18, 0x07, 4, 255, 204 }, // crm in rate mode</v>
      </c>
    </row>
    <row r="61" spans="2:28" s="11" customFormat="1">
      <c r="B61" s="29" t="s">
        <v>20</v>
      </c>
      <c r="C61" s="17" t="s">
        <v>13</v>
      </c>
      <c r="D61" s="24">
        <v>24</v>
      </c>
      <c r="E61" s="28">
        <v>0</v>
      </c>
      <c r="F61" s="15">
        <v>1</v>
      </c>
      <c r="G61" s="15" t="str">
        <f t="shared" si="33"/>
        <v>rate</v>
      </c>
      <c r="H61" s="15">
        <v>1</v>
      </c>
      <c r="I61" s="15">
        <v>59</v>
      </c>
      <c r="J61" s="15">
        <v>8</v>
      </c>
      <c r="K61" s="15" t="str">
        <f t="shared" si="34"/>
        <v>0x01</v>
      </c>
      <c r="L61" s="15" t="str">
        <f t="shared" si="35"/>
        <v>0x3B</v>
      </c>
      <c r="M61" s="15" t="str">
        <f t="shared" si="36"/>
        <v>0x08</v>
      </c>
      <c r="N61" s="15">
        <f t="shared" si="37"/>
        <v>2</v>
      </c>
      <c r="O61" s="26"/>
      <c r="P61" s="24">
        <f t="shared" si="5"/>
        <v>41666.666666666664</v>
      </c>
      <c r="Q61" s="24">
        <f t="shared" si="6"/>
        <v>83333.333333333328</v>
      </c>
      <c r="R61" s="24">
        <f t="shared" si="7"/>
        <v>1388.8888888888889</v>
      </c>
      <c r="S61" s="24" t="str">
        <f t="shared" si="8"/>
        <v/>
      </c>
      <c r="T61" s="30">
        <f t="shared" si="9"/>
        <v>12500</v>
      </c>
      <c r="U61" s="30">
        <f t="shared" si="10"/>
        <v>80</v>
      </c>
      <c r="W61" s="33">
        <f t="shared" si="24"/>
        <v>0.75</v>
      </c>
      <c r="X61" s="34">
        <f t="shared" si="25"/>
        <v>255</v>
      </c>
      <c r="Y61" s="34">
        <f t="shared" si="26"/>
        <v>191</v>
      </c>
      <c r="Z61" s="31"/>
      <c r="AA61" s="11" t="str">
        <f t="shared" si="27"/>
        <v>crm</v>
      </c>
      <c r="AB61" s="11" t="str">
        <f t="shared" si="15"/>
        <v>{ePllCfgSerial_80MHz, 0, 1, 0x01, 0x3B, 0x08, 2, 255, 191 }, // crm in rate mode</v>
      </c>
    </row>
    <row r="62" spans="2:28" s="11" customFormat="1">
      <c r="B62" s="29" t="s">
        <v>21</v>
      </c>
      <c r="C62" s="17" t="s">
        <v>13</v>
      </c>
      <c r="D62" s="24">
        <v>24</v>
      </c>
      <c r="E62" s="28">
        <v>0</v>
      </c>
      <c r="F62" s="15">
        <v>1</v>
      </c>
      <c r="G62" s="15" t="str">
        <f t="shared" si="33"/>
        <v>rate</v>
      </c>
      <c r="H62" s="15">
        <v>0</v>
      </c>
      <c r="I62" s="15">
        <v>24</v>
      </c>
      <c r="J62" s="15">
        <v>4</v>
      </c>
      <c r="K62" s="15" t="str">
        <f t="shared" si="34"/>
        <v>0x00</v>
      </c>
      <c r="L62" s="15" t="str">
        <f t="shared" si="35"/>
        <v>0x18</v>
      </c>
      <c r="M62" s="15" t="str">
        <f t="shared" si="36"/>
        <v>0x04</v>
      </c>
      <c r="N62" s="15">
        <f t="shared" si="37"/>
        <v>4</v>
      </c>
      <c r="O62" s="26"/>
      <c r="P62" s="24">
        <f t="shared" si="5"/>
        <v>41666.666666666664</v>
      </c>
      <c r="Q62" s="24">
        <f t="shared" si="6"/>
        <v>41666.666666666664</v>
      </c>
      <c r="R62" s="24">
        <f t="shared" si="7"/>
        <v>1666.6666666666665</v>
      </c>
      <c r="S62" s="24" t="str">
        <f t="shared" si="8"/>
        <v/>
      </c>
      <c r="T62" s="30">
        <f t="shared" si="9"/>
        <v>8333.3333333333321</v>
      </c>
      <c r="U62" s="30">
        <f t="shared" si="10"/>
        <v>120.00000000000001</v>
      </c>
      <c r="W62" s="33">
        <f t="shared" si="24"/>
        <v>0.49999999999999994</v>
      </c>
      <c r="X62" s="34">
        <f t="shared" si="25"/>
        <v>255</v>
      </c>
      <c r="Y62" s="34">
        <f t="shared" si="26"/>
        <v>128</v>
      </c>
      <c r="Z62" s="31"/>
      <c r="AA62" s="11" t="str">
        <f t="shared" si="27"/>
        <v>crm</v>
      </c>
      <c r="AB62" s="11" t="str">
        <f t="shared" si="15"/>
        <v>{ePllCfgSerial_120MHz, 0, 1, 0x00, 0x18, 0x04, 4, 255, 128 }, // crm in rate mode</v>
      </c>
    </row>
    <row r="63" spans="2:28" s="11" customFormat="1">
      <c r="B63" s="29" t="s">
        <v>22</v>
      </c>
      <c r="C63" s="17" t="s">
        <v>13</v>
      </c>
      <c r="D63" s="24">
        <v>24</v>
      </c>
      <c r="E63" s="28">
        <v>0</v>
      </c>
      <c r="F63" s="15">
        <v>1</v>
      </c>
      <c r="G63" s="15" t="str">
        <f t="shared" si="33"/>
        <v>rate</v>
      </c>
      <c r="H63" s="15">
        <v>1</v>
      </c>
      <c r="I63" s="15">
        <v>59</v>
      </c>
      <c r="J63" s="15">
        <v>3</v>
      </c>
      <c r="K63" s="15" t="str">
        <f t="shared" si="34"/>
        <v>0x01</v>
      </c>
      <c r="L63" s="15" t="str">
        <f t="shared" si="35"/>
        <v>0x3B</v>
      </c>
      <c r="M63" s="15" t="str">
        <f t="shared" si="36"/>
        <v>0x03</v>
      </c>
      <c r="N63" s="15">
        <f t="shared" si="37"/>
        <v>2</v>
      </c>
      <c r="O63" s="26"/>
      <c r="P63" s="24">
        <f t="shared" si="5"/>
        <v>41666.666666666664</v>
      </c>
      <c r="Q63" s="24">
        <f t="shared" si="6"/>
        <v>83333.333333333328</v>
      </c>
      <c r="R63" s="24">
        <f t="shared" si="7"/>
        <v>1388.8888888888889</v>
      </c>
      <c r="S63" s="24" t="str">
        <f t="shared" si="8"/>
        <v/>
      </c>
      <c r="T63" s="30">
        <f t="shared" si="9"/>
        <v>5555.5555555555557</v>
      </c>
      <c r="U63" s="30">
        <f t="shared" si="10"/>
        <v>179.99999999999997</v>
      </c>
      <c r="W63" s="33">
        <f t="shared" si="24"/>
        <v>0.33333333333333337</v>
      </c>
      <c r="X63" s="34">
        <f t="shared" si="25"/>
        <v>255</v>
      </c>
      <c r="Y63" s="34">
        <f t="shared" si="26"/>
        <v>85</v>
      </c>
      <c r="Z63" s="31"/>
      <c r="AA63" s="11" t="str">
        <f t="shared" si="27"/>
        <v>crm</v>
      </c>
      <c r="AB63" s="11" t="str">
        <f t="shared" si="15"/>
        <v>{ePllCfgSerial_180MHz, 0, 1, 0x01, 0x3B, 0x03, 2, 255, 85 }, // crm in rate mode</v>
      </c>
    </row>
    <row r="64" spans="2:28">
      <c r="X64" s="1"/>
    </row>
  </sheetData>
  <sortState ref="B12:N62">
    <sortCondition ref="C12:C62" customList="clm,ctm,crm"/>
    <sortCondition ref="B12:B62" customList="TBI_60MHz,TBI_75MHz,TBI_87MHz,TBI_100MHz,TBI_125MHz,TBI_125MHz_sp,GMII_125MHz,MII_25MHz,CLEI_30MHz,CLEI_75MHz,CLEI_100MHz,CLEI_125MHz,SERIAL_60MHz,SERIAL_75MHz,SERIAL_80MHz,SERIAL_120MHz,SERIAL_180MHz"/>
  </sortState>
  <mergeCells count="7">
    <mergeCell ref="B10:B11"/>
    <mergeCell ref="E10:E11"/>
    <mergeCell ref="T10:U10"/>
    <mergeCell ref="F10:F11"/>
    <mergeCell ref="N10:N11"/>
    <mergeCell ref="G10:G11"/>
    <mergeCell ref="C10:C11"/>
  </mergeCells>
  <conditionalFormatting sqref="Q21:Q63">
    <cfRule type="cellIs" dxfId="3" priority="90" operator="notBetween">
      <formula>Q$6</formula>
      <formula>Q$5</formula>
    </cfRule>
  </conditionalFormatting>
  <conditionalFormatting sqref="Q15:Q20">
    <cfRule type="cellIs" dxfId="2" priority="7" operator="notBetween">
      <formula>Q$6</formula>
      <formula>Q$5</formula>
    </cfRule>
  </conditionalFormatting>
  <conditionalFormatting sqref="Q12:Q14">
    <cfRule type="cellIs" dxfId="1" priority="4" operator="notBetween">
      <formula>Q$6</formula>
      <formula>Q$5</formula>
    </cfRule>
  </conditionalFormatting>
  <conditionalFormatting sqref="R12:S63">
    <cfRule type="containsBlanks" priority="1" stopIfTrue="1">
      <formula>LEN(TRIM(R12))=0</formula>
    </cfRule>
    <cfRule type="cellIs" dxfId="0" priority="2" operator="notBetween">
      <formula>$R$6</formula>
      <formula>$R$5</formula>
    </cfRule>
  </conditionalFormatting>
  <pageMargins left="0.7" right="0.7" top="0.75" bottom="0.75" header="0.3" footer="0.3"/>
  <pageSetup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7" sqref="F7"/>
    </sheetView>
  </sheetViews>
  <sheetFormatPr defaultRowHeight="12.75"/>
  <cols>
    <col min="1" max="1" width="13.5703125" style="6" bestFit="1" customWidth="1"/>
    <col min="2" max="2" width="8.85546875" style="6" bestFit="1" customWidth="1"/>
    <col min="3" max="3" width="10.42578125" style="6" bestFit="1" customWidth="1"/>
    <col min="4" max="4" width="10" style="6" bestFit="1" customWidth="1"/>
    <col min="5" max="5" width="11" style="6" bestFit="1" customWidth="1"/>
    <col min="6" max="6" width="15" style="6" bestFit="1" customWidth="1"/>
    <col min="7" max="7" width="17" style="6" bestFit="1" customWidth="1"/>
    <col min="8" max="8" width="8.28515625" style="6" customWidth="1"/>
    <col min="9" max="9" width="8.7109375" style="6" customWidth="1"/>
    <col min="10" max="16384" width="9.140625" style="6"/>
  </cols>
  <sheetData>
    <row r="1" spans="1:9">
      <c r="A1" s="6" t="s">
        <v>26</v>
      </c>
    </row>
    <row r="4" spans="1:9" s="7" customFormat="1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</row>
    <row r="5" spans="1:9" s="7" customFormat="1">
      <c r="A5" s="8">
        <v>25</v>
      </c>
      <c r="B5" s="9">
        <f>1/A5*1000000</f>
        <v>40000</v>
      </c>
      <c r="C5" s="8">
        <v>0</v>
      </c>
      <c r="D5" s="8">
        <v>0</v>
      </c>
      <c r="E5" s="8">
        <v>20</v>
      </c>
      <c r="F5" s="9">
        <f>B5*(C5+1)/((D5+1)*(E5+1))</f>
        <v>1904.7619047619048</v>
      </c>
      <c r="G5" s="9">
        <f>B5*(C5+1)</f>
        <v>40000</v>
      </c>
      <c r="H5" s="7">
        <f>(A5/(C5+1))*(D5+1)*(E5+1)</f>
        <v>525</v>
      </c>
      <c r="I5" s="7">
        <f>H5/(E5+1)</f>
        <v>25</v>
      </c>
    </row>
    <row r="6" spans="1:9" s="7" customFormat="1">
      <c r="A6" s="8">
        <v>40</v>
      </c>
      <c r="B6" s="9">
        <f t="shared" ref="B6:B9" si="0">1/A6*1000000</f>
        <v>25000</v>
      </c>
      <c r="C6" s="8">
        <v>0</v>
      </c>
      <c r="D6" s="8">
        <v>0</v>
      </c>
      <c r="E6" s="8">
        <v>20</v>
      </c>
      <c r="F6" s="9">
        <f t="shared" ref="F6:F9" si="1">B6*(C6+1)/((D6+1)*(E6+1))</f>
        <v>1190.4761904761904</v>
      </c>
      <c r="G6" s="9">
        <f t="shared" ref="G6:G9" si="2">B6*(C6+1)</f>
        <v>25000</v>
      </c>
      <c r="H6" s="7">
        <f t="shared" ref="H6:H9" si="3">A6/(C6+1)*(D6+1)*(E6+1)</f>
        <v>840</v>
      </c>
      <c r="I6" s="7">
        <f t="shared" ref="I6:I9" si="4">H6/(E6+1)</f>
        <v>40</v>
      </c>
    </row>
    <row r="7" spans="1:9" s="7" customFormat="1">
      <c r="A7" s="8">
        <v>75</v>
      </c>
      <c r="B7" s="9">
        <f t="shared" si="0"/>
        <v>13333.333333333334</v>
      </c>
      <c r="C7" s="8">
        <v>6</v>
      </c>
      <c r="D7" s="8">
        <v>6</v>
      </c>
      <c r="E7" s="8">
        <v>6</v>
      </c>
      <c r="F7" s="9">
        <f t="shared" si="1"/>
        <v>1904.761904761905</v>
      </c>
      <c r="G7" s="9">
        <f t="shared" si="2"/>
        <v>93333.333333333343</v>
      </c>
      <c r="H7" s="7">
        <f t="shared" si="3"/>
        <v>525</v>
      </c>
      <c r="I7" s="7">
        <f t="shared" si="4"/>
        <v>75</v>
      </c>
    </row>
    <row r="8" spans="1:9" s="7" customFormat="1">
      <c r="A8" s="8">
        <v>120</v>
      </c>
      <c r="B8" s="9">
        <f t="shared" si="0"/>
        <v>8333.3333333333339</v>
      </c>
      <c r="C8" s="8">
        <v>6</v>
      </c>
      <c r="D8" s="8">
        <v>6</v>
      </c>
      <c r="E8" s="8">
        <v>6</v>
      </c>
      <c r="F8" s="9">
        <f t="shared" si="1"/>
        <v>1190.4761904761906</v>
      </c>
      <c r="G8" s="9">
        <f t="shared" si="2"/>
        <v>58333.333333333336</v>
      </c>
      <c r="H8" s="7">
        <f t="shared" si="3"/>
        <v>840</v>
      </c>
      <c r="I8" s="7">
        <f t="shared" si="4"/>
        <v>120</v>
      </c>
    </row>
    <row r="9" spans="1:9" s="7" customFormat="1">
      <c r="A9" s="8">
        <v>125</v>
      </c>
      <c r="B9" s="9">
        <f t="shared" si="0"/>
        <v>8000</v>
      </c>
      <c r="C9" s="8">
        <v>6</v>
      </c>
      <c r="D9" s="8">
        <v>6</v>
      </c>
      <c r="E9" s="8">
        <v>6</v>
      </c>
      <c r="F9" s="9">
        <f t="shared" si="1"/>
        <v>1142.8571428571429</v>
      </c>
      <c r="G9" s="9">
        <f t="shared" si="2"/>
        <v>56000</v>
      </c>
      <c r="H9" s="7">
        <f t="shared" si="3"/>
        <v>875</v>
      </c>
      <c r="I9" s="7">
        <f t="shared" si="4"/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3"/>
  <sheetViews>
    <sheetView workbookViewId="0">
      <selection activeCell="G4" sqref="G4"/>
    </sheetView>
  </sheetViews>
  <sheetFormatPr defaultRowHeight="15"/>
  <cols>
    <col min="1" max="1" width="14.140625" bestFit="1" customWidth="1"/>
    <col min="3" max="3" width="9.28515625" customWidth="1"/>
    <col min="4" max="4" width="7.140625" style="1" bestFit="1" customWidth="1"/>
    <col min="5" max="5" width="9.28515625" customWidth="1"/>
    <col min="6" max="6" width="9.140625" style="1"/>
    <col min="7" max="7" width="10.42578125" style="1" bestFit="1" customWidth="1"/>
    <col min="8" max="8" width="9.140625" style="1"/>
    <col min="9" max="10" width="10.42578125" style="1" bestFit="1" customWidth="1"/>
    <col min="11" max="12" width="12" style="1" customWidth="1"/>
    <col min="13" max="13" width="10.42578125" bestFit="1" customWidth="1"/>
    <col min="14" max="14" width="10.7109375" bestFit="1" customWidth="1"/>
    <col min="15" max="15" width="5" bestFit="1" customWidth="1"/>
    <col min="16" max="17" width="9.85546875" customWidth="1"/>
  </cols>
  <sheetData>
    <row r="1" spans="1:17">
      <c r="C1" s="1"/>
      <c r="E1" s="1"/>
      <c r="P1" s="1"/>
      <c r="Q1" s="1"/>
    </row>
    <row r="2" spans="1:17">
      <c r="C2" s="1"/>
      <c r="E2" s="1"/>
      <c r="P2" s="1"/>
      <c r="Q2" s="1"/>
    </row>
    <row r="3" spans="1:17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/>
      <c r="P3" s="1"/>
    </row>
    <row r="4" spans="1:17">
      <c r="A4" s="2" t="s">
        <v>11</v>
      </c>
      <c r="B4">
        <v>1</v>
      </c>
      <c r="C4" s="1">
        <v>0</v>
      </c>
      <c r="D4" s="1">
        <v>0</v>
      </c>
      <c r="E4" s="1">
        <v>24</v>
      </c>
      <c r="F4" s="1">
        <v>4</v>
      </c>
      <c r="G4" s="1">
        <f>IF(OR(B4,C4), VLOOKUP($I4,RangeTable,3,TRUE),0)</f>
        <v>4</v>
      </c>
      <c r="H4" s="1">
        <v>25</v>
      </c>
      <c r="I4" s="1">
        <f>H4/(D4+1)</f>
        <v>25</v>
      </c>
      <c r="J4" s="1">
        <f>IF(C4,I4*(E4+1),K4*(E4+1))</f>
        <v>625</v>
      </c>
      <c r="K4" s="1">
        <f>IF(B4,H4,J4/(F4+1))</f>
        <v>25</v>
      </c>
      <c r="M4" t="str">
        <f>IF(B4,"bypass",IF(C4,"rate","deskew"))</f>
        <v>bypass</v>
      </c>
      <c r="P4" s="1"/>
      <c r="Q4" s="1"/>
    </row>
    <row r="5" spans="1:17">
      <c r="A5" s="2" t="s">
        <v>12</v>
      </c>
      <c r="B5">
        <v>1</v>
      </c>
      <c r="C5" s="1">
        <v>1</v>
      </c>
      <c r="D5" s="1">
        <v>4</v>
      </c>
      <c r="E5" s="1">
        <v>19</v>
      </c>
      <c r="F5" s="1">
        <v>3</v>
      </c>
      <c r="G5" s="1">
        <f>IF(OR(B5,C5), VLOOKUP($I5,RangeTable,3,TRUE),0)</f>
        <v>4</v>
      </c>
      <c r="H5" s="1">
        <v>125</v>
      </c>
      <c r="I5" s="1">
        <f>H5/(D5+1)</f>
        <v>25</v>
      </c>
      <c r="J5" s="1">
        <f t="shared" ref="J5" si="0">IF(C5,I5*(E5+1),K5*(E5+1))</f>
        <v>500</v>
      </c>
      <c r="K5" s="1">
        <f t="shared" ref="K5" si="1">IF(B5,H5,J5/(F5+1))</f>
        <v>125</v>
      </c>
      <c r="M5" t="str">
        <f t="shared" ref="M5:M6" si="2">IF(B5,"bypass",IF(C5,"rate","deskew"))</f>
        <v>bypass</v>
      </c>
      <c r="P5" s="1"/>
      <c r="Q5" s="1"/>
    </row>
    <row r="6" spans="1:17">
      <c r="A6" s="2" t="s">
        <v>13</v>
      </c>
      <c r="B6">
        <v>0</v>
      </c>
      <c r="C6" s="1">
        <v>0</v>
      </c>
      <c r="D6" s="1">
        <v>6</v>
      </c>
      <c r="E6" s="1">
        <v>6</v>
      </c>
      <c r="F6" s="1">
        <v>6</v>
      </c>
      <c r="G6" s="1">
        <f>IF(OR(B6,C6), VLOOKUP($I6,RangeTable,3,TRUE),0)</f>
        <v>0</v>
      </c>
      <c r="H6" s="1">
        <v>125</v>
      </c>
      <c r="I6" s="1">
        <f>H6/(D6+1)</f>
        <v>17.857142857142858</v>
      </c>
      <c r="J6" s="1">
        <f>IF(C6,I6*(E6+1),L6*(E6+1))</f>
        <v>875</v>
      </c>
      <c r="K6" s="1">
        <f>IF(B6,H6,J6/(F6+1))</f>
        <v>125</v>
      </c>
      <c r="L6" s="1">
        <v>125</v>
      </c>
      <c r="M6" t="str">
        <f t="shared" si="2"/>
        <v>deskew</v>
      </c>
      <c r="P6" s="1"/>
      <c r="Q6" s="1"/>
    </row>
    <row r="7" spans="1:17">
      <c r="C7" s="1"/>
      <c r="E7" s="1"/>
      <c r="P7" s="1"/>
      <c r="Q7" s="1"/>
    </row>
    <row r="8" spans="1:17">
      <c r="A8" s="2" t="s">
        <v>14</v>
      </c>
      <c r="B8" s="3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/>
      <c r="P8" s="1"/>
      <c r="Q8" s="1"/>
    </row>
    <row r="9" spans="1:17">
      <c r="A9" s="2" t="s">
        <v>11</v>
      </c>
      <c r="B9">
        <v>1</v>
      </c>
      <c r="C9" s="1">
        <v>0</v>
      </c>
      <c r="D9" s="1">
        <v>0</v>
      </c>
      <c r="E9" s="1">
        <v>24</v>
      </c>
      <c r="F9" s="1">
        <v>4</v>
      </c>
      <c r="G9" s="1">
        <f>IF(OR(B9,C9), VLOOKUP($I9,RangeTable,3,TRUE),0)</f>
        <v>4</v>
      </c>
      <c r="H9" s="1">
        <v>25</v>
      </c>
      <c r="I9" s="1">
        <f>H9/(D9+1)</f>
        <v>25</v>
      </c>
      <c r="J9" s="1">
        <f>IF(C9,I9*(E9+1),K9*(E9+1))</f>
        <v>625</v>
      </c>
      <c r="K9" s="1">
        <f>IF(B9,H9,J9/(F9+1))</f>
        <v>25</v>
      </c>
      <c r="M9" t="str">
        <f>IF(B9,"bypass",IF(C9,"rate","deskew"))</f>
        <v>bypass</v>
      </c>
      <c r="P9" s="1"/>
      <c r="Q9" s="1"/>
    </row>
    <row r="10" spans="1:17">
      <c r="A10" s="2" t="s">
        <v>12</v>
      </c>
      <c r="B10">
        <v>1</v>
      </c>
      <c r="C10" s="1">
        <v>1</v>
      </c>
      <c r="D10" s="1">
        <v>0</v>
      </c>
      <c r="E10" s="1">
        <v>0</v>
      </c>
      <c r="F10" s="1">
        <v>0</v>
      </c>
      <c r="G10" s="1">
        <f>IF(OR(B10,C10), VLOOKUP($I10,RangeTable,3,TRUE),0)</f>
        <v>4</v>
      </c>
      <c r="H10" s="1">
        <v>25</v>
      </c>
      <c r="I10" s="1">
        <f>H10/(D10+1)</f>
        <v>25</v>
      </c>
      <c r="J10" s="1">
        <f t="shared" ref="J10" si="3">IF(C10,I10*(E10+1),K10*(E10+1))</f>
        <v>25</v>
      </c>
      <c r="K10" s="1">
        <f t="shared" ref="K10" si="4">IF(B10,H10,J10/(F10+1))</f>
        <v>25</v>
      </c>
      <c r="M10" t="str">
        <f t="shared" ref="M10:M11" si="5">IF(B10,"bypass",IF(C10,"rate","deskew"))</f>
        <v>bypass</v>
      </c>
    </row>
    <row r="11" spans="1:17">
      <c r="A11" s="2" t="s">
        <v>13</v>
      </c>
      <c r="B11">
        <v>0</v>
      </c>
      <c r="C11" s="1">
        <v>0</v>
      </c>
      <c r="D11" s="1">
        <v>0</v>
      </c>
      <c r="E11" s="1">
        <v>0</v>
      </c>
      <c r="F11" s="1">
        <v>20</v>
      </c>
      <c r="G11" s="1">
        <f>IF(OR(B11,C11), VLOOKUP($I11,RangeTable,3,TRUE),0)</f>
        <v>0</v>
      </c>
      <c r="H11" s="1">
        <v>25</v>
      </c>
      <c r="I11" s="1">
        <f>H11/(D11+1)</f>
        <v>25</v>
      </c>
      <c r="J11" s="1">
        <f>IF(C11,I11*(E11+1),L11*(E11+1))</f>
        <v>25</v>
      </c>
      <c r="K11" s="1">
        <f>IF(B11,H11,J11/(F11+1))</f>
        <v>1.1904761904761905</v>
      </c>
      <c r="L11" s="1">
        <v>25</v>
      </c>
      <c r="M11" t="str">
        <f t="shared" si="5"/>
        <v>deskew</v>
      </c>
    </row>
    <row r="12" spans="1:17">
      <c r="C12" s="1"/>
      <c r="E12" s="1"/>
    </row>
    <row r="13" spans="1:17">
      <c r="A13" s="2" t="s">
        <v>15</v>
      </c>
      <c r="B13" s="3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/>
    </row>
    <row r="14" spans="1:17">
      <c r="A14" s="2" t="s">
        <v>11</v>
      </c>
      <c r="B14">
        <v>0</v>
      </c>
      <c r="C14" s="1">
        <v>1</v>
      </c>
      <c r="D14" s="1">
        <v>0</v>
      </c>
      <c r="E14" s="1">
        <v>24</v>
      </c>
      <c r="F14" s="1">
        <v>14</v>
      </c>
      <c r="G14" s="1">
        <f>IF(OR(B14,C14), VLOOKUP($I14,RangeTable,3,TRUE),0)</f>
        <v>4</v>
      </c>
      <c r="H14" s="1">
        <v>24</v>
      </c>
      <c r="I14" s="1">
        <f>H14/(D14+1)</f>
        <v>24</v>
      </c>
      <c r="J14" s="1">
        <f>IF(C14,I14*(E14+1),K14*(E14+1))</f>
        <v>600</v>
      </c>
      <c r="K14" s="1">
        <f>IF(B14,H14,J14/(F14+1))</f>
        <v>40</v>
      </c>
      <c r="M14" t="str">
        <f>IF(B14,"bypass",IF(C14,"rate","deskew"))</f>
        <v>rate</v>
      </c>
    </row>
    <row r="15" spans="1:17">
      <c r="A15" s="2" t="s">
        <v>12</v>
      </c>
      <c r="B15">
        <v>0</v>
      </c>
      <c r="C15" s="1">
        <v>1</v>
      </c>
      <c r="D15" s="1">
        <v>0</v>
      </c>
      <c r="E15" s="1">
        <v>24</v>
      </c>
      <c r="F15" s="1">
        <v>7</v>
      </c>
      <c r="G15" s="1">
        <f>IF(OR(B15,C15), VLOOKUP($I15,RangeTable,3,TRUE),0)</f>
        <v>5</v>
      </c>
      <c r="H15" s="1">
        <v>40</v>
      </c>
      <c r="I15" s="1">
        <f>H15/(D15+1)</f>
        <v>40</v>
      </c>
      <c r="J15" s="1">
        <f t="shared" ref="J15" si="6">IF(C15,I15*(E15+1),K15*(E15+1))</f>
        <v>1000</v>
      </c>
      <c r="K15" s="1">
        <f t="shared" ref="K15" si="7">IF(B15,H15,J15/(F15+1))</f>
        <v>125</v>
      </c>
      <c r="M15" t="str">
        <f t="shared" ref="M15:M16" si="8">IF(B15,"bypass",IF(C15,"rate","deskew"))</f>
        <v>rate</v>
      </c>
    </row>
    <row r="16" spans="1:17">
      <c r="A16" s="2" t="s">
        <v>13</v>
      </c>
      <c r="B16">
        <v>0</v>
      </c>
      <c r="C16" s="1">
        <v>0</v>
      </c>
      <c r="D16" s="1">
        <v>0</v>
      </c>
      <c r="E16" s="1">
        <v>0</v>
      </c>
      <c r="F16" s="1">
        <v>0</v>
      </c>
      <c r="G16" s="1">
        <f>IF(OR(B16,C16), VLOOKUP($I16,RangeTable,3,TRUE),0)</f>
        <v>0</v>
      </c>
      <c r="H16" s="1">
        <v>24</v>
      </c>
      <c r="I16" s="1">
        <f>H16/(D16+1)</f>
        <v>24</v>
      </c>
      <c r="J16" s="1">
        <f>IF(C16,I16*(E16+1),L16*(E16+1))</f>
        <v>125</v>
      </c>
      <c r="K16" s="1">
        <f>IF(B16,H16,J16/(F16+1))</f>
        <v>125</v>
      </c>
      <c r="L16" s="1">
        <v>125</v>
      </c>
      <c r="M16" t="str">
        <f t="shared" si="8"/>
        <v>deskew</v>
      </c>
    </row>
    <row r="17" spans="1:17">
      <c r="C17" s="1"/>
      <c r="E17" s="1"/>
    </row>
    <row r="18" spans="1:17">
      <c r="A18" s="2" t="s">
        <v>16</v>
      </c>
      <c r="B18" s="3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/>
    </row>
    <row r="19" spans="1:17">
      <c r="A19" s="2" t="s">
        <v>11</v>
      </c>
      <c r="B19">
        <v>1</v>
      </c>
      <c r="C19" s="1">
        <v>1</v>
      </c>
      <c r="D19" s="1">
        <v>0</v>
      </c>
      <c r="E19" s="1">
        <v>30</v>
      </c>
      <c r="F19" s="1">
        <v>30</v>
      </c>
      <c r="G19" s="1">
        <f>IF(OR(B19,C19), VLOOKUP($I19,RangeTable,3,TRUE),0)</f>
        <v>4</v>
      </c>
      <c r="H19" s="1">
        <v>24</v>
      </c>
      <c r="I19" s="1">
        <f>H19/(D19+1)</f>
        <v>24</v>
      </c>
      <c r="J19" s="1">
        <f>IF(C19,I19*(E19+1),K19*(E19+1))</f>
        <v>744</v>
      </c>
      <c r="K19" s="1">
        <f>IF(B19,H19,J19/(F19+1))</f>
        <v>24</v>
      </c>
      <c r="M19" t="str">
        <f>IF(B19,"bypass",IF(C19,"rate","deskew"))</f>
        <v>bypass</v>
      </c>
    </row>
    <row r="20" spans="1:17">
      <c r="A20" s="2" t="s">
        <v>12</v>
      </c>
      <c r="B20">
        <v>0</v>
      </c>
      <c r="C20" s="1">
        <v>1</v>
      </c>
      <c r="D20" s="1">
        <v>0</v>
      </c>
      <c r="E20" s="1">
        <v>24</v>
      </c>
      <c r="F20" s="1">
        <v>7</v>
      </c>
      <c r="G20" s="1">
        <f>IF(OR(B20,C20), VLOOKUP($I20,RangeTable,3,TRUE),0)</f>
        <v>4</v>
      </c>
      <c r="H20" s="1">
        <v>24</v>
      </c>
      <c r="I20" s="1">
        <f>H20/(D20+1)</f>
        <v>24</v>
      </c>
      <c r="J20" s="1">
        <f t="shared" ref="J20" si="9">IF(C20,I20*(E20+1),K20*(E20+1))</f>
        <v>600</v>
      </c>
      <c r="K20" s="1">
        <f t="shared" ref="K20" si="10">IF(B20,H20,J20/(F20+1))</f>
        <v>75</v>
      </c>
      <c r="M20" t="str">
        <f t="shared" ref="M20:M21" si="11">IF(B20,"bypass",IF(C20,"rate","deskew"))</f>
        <v>rate</v>
      </c>
    </row>
    <row r="21" spans="1:17">
      <c r="A21" s="2" t="s">
        <v>13</v>
      </c>
      <c r="B21">
        <v>0</v>
      </c>
      <c r="C21" s="1">
        <v>0</v>
      </c>
      <c r="D21" s="1">
        <v>0</v>
      </c>
      <c r="E21" s="1">
        <v>0</v>
      </c>
      <c r="F21" s="1">
        <v>0</v>
      </c>
      <c r="G21" s="1">
        <f>IF(OR(B21,C21), VLOOKUP($I21,RangeTable,3,TRUE),0)</f>
        <v>0</v>
      </c>
      <c r="H21" s="1">
        <v>75</v>
      </c>
      <c r="I21" s="1">
        <f>H21/(D21+1)</f>
        <v>75</v>
      </c>
      <c r="J21" s="1">
        <f>IF(C21,I21*(E21+1),L21*(E21+1))</f>
        <v>75</v>
      </c>
      <c r="K21" s="1">
        <f>IF(B21,H21,J21/(F21+1))</f>
        <v>75</v>
      </c>
      <c r="L21" s="1">
        <v>75</v>
      </c>
      <c r="M21" t="str">
        <f t="shared" si="11"/>
        <v>deskew</v>
      </c>
    </row>
    <row r="22" spans="1:17">
      <c r="C22" s="1"/>
      <c r="E22" s="1"/>
    </row>
    <row r="23" spans="1:17">
      <c r="A23" s="2" t="s">
        <v>17</v>
      </c>
      <c r="B23" s="3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18</v>
      </c>
      <c r="M23" s="4" t="s">
        <v>19</v>
      </c>
      <c r="P23" s="1"/>
      <c r="Q23" s="1"/>
    </row>
    <row r="24" spans="1:17">
      <c r="A24" s="2" t="s">
        <v>11</v>
      </c>
      <c r="B24">
        <v>1</v>
      </c>
      <c r="C24" s="1">
        <v>1</v>
      </c>
      <c r="D24" s="1">
        <v>0</v>
      </c>
      <c r="E24" s="1">
        <v>24</v>
      </c>
      <c r="F24" s="1">
        <v>9</v>
      </c>
      <c r="G24" s="1">
        <f>IF(OR(B24,C24), VLOOKUP($I24,RangeTable,3,TRUE),0)</f>
        <v>4</v>
      </c>
      <c r="H24" s="1">
        <v>24</v>
      </c>
      <c r="I24" s="1">
        <f>H24/(D24+1)</f>
        <v>24</v>
      </c>
      <c r="J24" s="1">
        <f>IF(C24,I24*(E24+1),K24*(E24+1))</f>
        <v>600</v>
      </c>
      <c r="K24" s="1">
        <f>IF(B24,H24,J24/(F24+1))</f>
        <v>24</v>
      </c>
      <c r="M24" t="str">
        <f>IF(B24,"bypass",IF(C24,"rate","deskew"))</f>
        <v>bypass</v>
      </c>
      <c r="P24" s="1"/>
      <c r="Q24" s="1"/>
    </row>
    <row r="25" spans="1:17">
      <c r="A25" s="2" t="s">
        <v>12</v>
      </c>
      <c r="B25">
        <v>0</v>
      </c>
      <c r="C25" s="1">
        <v>1</v>
      </c>
      <c r="D25" s="1">
        <v>0</v>
      </c>
      <c r="E25" s="1">
        <v>24</v>
      </c>
      <c r="F25" s="1">
        <v>9</v>
      </c>
      <c r="G25" s="1">
        <f>IF(OR(B25,C25), VLOOKUP($I25,RangeTable,3,TRUE),0)</f>
        <v>4</v>
      </c>
      <c r="H25" s="1">
        <v>24</v>
      </c>
      <c r="I25" s="1">
        <f>H25/(D25+1)</f>
        <v>24</v>
      </c>
      <c r="J25" s="1">
        <f t="shared" ref="J25" si="12">IF(C25,I25*(E25+1),K25*(E25+1))</f>
        <v>600</v>
      </c>
      <c r="K25" s="1">
        <f t="shared" ref="K25:K26" si="13">IF(B25,H25,J25/(F25+1))</f>
        <v>60</v>
      </c>
      <c r="M25" t="str">
        <f t="shared" ref="M25:M26" si="14">IF(B25,"bypass",IF(C25,"rate","deskew"))</f>
        <v>rate</v>
      </c>
      <c r="P25" s="1"/>
      <c r="Q25" s="1"/>
    </row>
    <row r="26" spans="1:17">
      <c r="A26" s="2" t="s">
        <v>13</v>
      </c>
      <c r="B26">
        <v>0</v>
      </c>
      <c r="C26" s="1">
        <v>1</v>
      </c>
      <c r="D26" s="1">
        <v>0</v>
      </c>
      <c r="E26" s="1">
        <v>24</v>
      </c>
      <c r="F26" s="1">
        <v>9</v>
      </c>
      <c r="G26" s="1">
        <f>IF(OR(B26,C26), VLOOKUP($I26,RangeTable,3,TRUE),0)</f>
        <v>4</v>
      </c>
      <c r="H26" s="1">
        <v>24</v>
      </c>
      <c r="I26" s="1">
        <f>H26/(D26+1)</f>
        <v>24</v>
      </c>
      <c r="J26" s="1">
        <f>IF(C26,I26*(E26+1),L26*(E26+1))</f>
        <v>600</v>
      </c>
      <c r="K26" s="1">
        <f t="shared" si="13"/>
        <v>60</v>
      </c>
      <c r="M26" t="str">
        <f t="shared" si="14"/>
        <v>rate</v>
      </c>
      <c r="P26" s="1"/>
      <c r="Q26" s="1"/>
    </row>
    <row r="27" spans="1:17">
      <c r="C27" s="1"/>
      <c r="E27" s="1"/>
      <c r="P27" s="1"/>
      <c r="Q27" s="1"/>
    </row>
    <row r="28" spans="1:17">
      <c r="A28" s="2" t="s">
        <v>20</v>
      </c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/>
      <c r="P28" s="1"/>
      <c r="Q28" s="1"/>
    </row>
    <row r="29" spans="1:17">
      <c r="A29" s="2" t="s">
        <v>11</v>
      </c>
      <c r="B29">
        <v>1</v>
      </c>
      <c r="C29" s="1">
        <v>1</v>
      </c>
      <c r="D29" s="1">
        <v>0</v>
      </c>
      <c r="E29" s="1">
        <v>29</v>
      </c>
      <c r="F29" s="1">
        <v>8</v>
      </c>
      <c r="G29" s="1">
        <f>IF(OR(B29,C29), VLOOKUP($I29,RangeTable,3,TRUE),0)</f>
        <v>4</v>
      </c>
      <c r="H29" s="1">
        <v>24</v>
      </c>
      <c r="I29" s="1">
        <f>H29/(D29+1)</f>
        <v>24</v>
      </c>
      <c r="J29" s="1">
        <f>IF(C29,I29*(E29+1),K29*(E29+1))</f>
        <v>720</v>
      </c>
      <c r="K29" s="1">
        <f>IF(B29,H29,J29/(F29+1))</f>
        <v>24</v>
      </c>
      <c r="M29" t="str">
        <f>IF(B29,"bypass",IF(C29,"rate","deskew"))</f>
        <v>bypass</v>
      </c>
      <c r="P29" s="1"/>
      <c r="Q29" s="1"/>
    </row>
    <row r="30" spans="1:17">
      <c r="A30" s="2" t="s">
        <v>12</v>
      </c>
      <c r="B30">
        <v>0</v>
      </c>
      <c r="C30" s="1">
        <v>1</v>
      </c>
      <c r="D30" s="1">
        <v>0</v>
      </c>
      <c r="E30" s="1">
        <v>29</v>
      </c>
      <c r="F30" s="1">
        <v>8</v>
      </c>
      <c r="G30" s="1">
        <f>IF(OR(B30,C30), VLOOKUP($I30,RangeTable,3,TRUE),0)</f>
        <v>4</v>
      </c>
      <c r="H30" s="1">
        <v>24</v>
      </c>
      <c r="I30" s="1">
        <f>H30/(D30+1)</f>
        <v>24</v>
      </c>
      <c r="J30" s="1">
        <f t="shared" ref="J30" si="15">IF(C30,I30*(E30+1),K30*(E30+1))</f>
        <v>720</v>
      </c>
      <c r="K30" s="1">
        <f t="shared" ref="K30:K31" si="16">IF(B30,H30,J30/(F30+1))</f>
        <v>80</v>
      </c>
      <c r="M30" t="str">
        <f t="shared" ref="M30:M31" si="17">IF(B30,"bypass",IF(C30,"rate","deskew"))</f>
        <v>rate</v>
      </c>
      <c r="P30" s="1"/>
      <c r="Q30" s="1"/>
    </row>
    <row r="31" spans="1:17">
      <c r="A31" s="2" t="s">
        <v>13</v>
      </c>
      <c r="B31">
        <v>0</v>
      </c>
      <c r="C31" s="1">
        <v>1</v>
      </c>
      <c r="D31" s="1">
        <v>0</v>
      </c>
      <c r="E31" s="1">
        <v>29</v>
      </c>
      <c r="F31" s="1">
        <v>8</v>
      </c>
      <c r="G31" s="1">
        <f>IF(OR(B31,C31), VLOOKUP($I31,RangeTable,3,TRUE),0)</f>
        <v>4</v>
      </c>
      <c r="H31" s="1">
        <v>24</v>
      </c>
      <c r="I31" s="1">
        <f>H31/(D31+1)</f>
        <v>24</v>
      </c>
      <c r="J31" s="1">
        <f>IF(C31,I31*(E31+1),L31*(E31+1))</f>
        <v>720</v>
      </c>
      <c r="K31" s="1">
        <f t="shared" si="16"/>
        <v>80</v>
      </c>
      <c r="M31" t="str">
        <f t="shared" si="17"/>
        <v>rate</v>
      </c>
      <c r="P31" s="1"/>
      <c r="Q31" s="1"/>
    </row>
    <row r="32" spans="1:17">
      <c r="P32" s="1"/>
      <c r="Q32" s="1"/>
    </row>
    <row r="33" spans="1:17">
      <c r="A33" s="2" t="s">
        <v>21</v>
      </c>
      <c r="B33" s="3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/>
      <c r="P33" s="1"/>
      <c r="Q33" s="1"/>
    </row>
    <row r="34" spans="1:17">
      <c r="A34" s="2" t="s">
        <v>11</v>
      </c>
      <c r="B34">
        <v>1</v>
      </c>
      <c r="C34" s="1">
        <v>1</v>
      </c>
      <c r="D34" s="1">
        <v>0</v>
      </c>
      <c r="E34" s="1">
        <v>24</v>
      </c>
      <c r="F34" s="1">
        <v>4</v>
      </c>
      <c r="G34" s="1">
        <f>IF(OR(B34,C34), VLOOKUP($I34,RangeTable,3,TRUE),0)</f>
        <v>4</v>
      </c>
      <c r="H34" s="1">
        <v>24</v>
      </c>
      <c r="I34" s="1">
        <f>H34/(D34+1)</f>
        <v>24</v>
      </c>
      <c r="J34" s="1">
        <f>IF(C34,I34*(E34+1),K34*(E34+1))</f>
        <v>600</v>
      </c>
      <c r="K34" s="1">
        <f>IF(B34,H34,J34/(F34+1))</f>
        <v>24</v>
      </c>
      <c r="M34" t="str">
        <f>IF(B34,"bypass",IF(C34,"rate","deskew"))</f>
        <v>bypass</v>
      </c>
      <c r="P34" s="1"/>
      <c r="Q34" s="1"/>
    </row>
    <row r="35" spans="1:17">
      <c r="A35" s="2" t="s">
        <v>12</v>
      </c>
      <c r="B35">
        <v>0</v>
      </c>
      <c r="C35" s="1">
        <v>1</v>
      </c>
      <c r="D35" s="1">
        <v>0</v>
      </c>
      <c r="E35" s="1">
        <v>24</v>
      </c>
      <c r="F35" s="1">
        <v>4</v>
      </c>
      <c r="G35" s="1">
        <f>IF(OR(B35,C35), VLOOKUP($I35,RangeTable,3,TRUE),0)</f>
        <v>4</v>
      </c>
      <c r="H35" s="1">
        <v>24</v>
      </c>
      <c r="I35" s="1">
        <f>H35/(D35+1)</f>
        <v>24</v>
      </c>
      <c r="J35" s="1">
        <f t="shared" ref="J35" si="18">IF(C35,I35*(E35+1),K35*(E35+1))</f>
        <v>600</v>
      </c>
      <c r="K35" s="1">
        <f t="shared" ref="K35:K36" si="19">IF(B35,H35,J35/(F35+1))</f>
        <v>120</v>
      </c>
      <c r="M35" t="str">
        <f t="shared" ref="M35:M36" si="20">IF(B35,"bypass",IF(C35,"rate","deskew"))</f>
        <v>rate</v>
      </c>
      <c r="P35" s="1"/>
    </row>
    <row r="36" spans="1:17">
      <c r="A36" s="2" t="s">
        <v>13</v>
      </c>
      <c r="B36">
        <v>0</v>
      </c>
      <c r="C36" s="1">
        <v>1</v>
      </c>
      <c r="D36" s="1">
        <v>0</v>
      </c>
      <c r="E36" s="1">
        <v>24</v>
      </c>
      <c r="F36" s="1">
        <v>4</v>
      </c>
      <c r="G36" s="1">
        <f>IF(OR(B36,C36), VLOOKUP($I36,RangeTable,3,TRUE),0)</f>
        <v>4</v>
      </c>
      <c r="H36" s="1">
        <v>24</v>
      </c>
      <c r="I36" s="1">
        <f>H36/(D36+1)</f>
        <v>24</v>
      </c>
      <c r="J36" s="1">
        <f>IF(C36,I36*(E36+1),L36*(E36+1))</f>
        <v>600</v>
      </c>
      <c r="K36" s="1">
        <f t="shared" si="19"/>
        <v>120</v>
      </c>
      <c r="M36" t="str">
        <f t="shared" si="20"/>
        <v>rate</v>
      </c>
      <c r="P36" s="1"/>
    </row>
    <row r="37" spans="1:17">
      <c r="C37" s="1"/>
      <c r="E37" s="1"/>
      <c r="P37" s="1"/>
    </row>
    <row r="38" spans="1:17">
      <c r="A38" s="2" t="s">
        <v>22</v>
      </c>
      <c r="B38" s="3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/>
      <c r="P38" s="1"/>
    </row>
    <row r="39" spans="1:17">
      <c r="A39" s="2" t="s">
        <v>11</v>
      </c>
      <c r="B39">
        <v>1</v>
      </c>
      <c r="C39" s="1">
        <v>1</v>
      </c>
      <c r="D39" s="1">
        <v>0</v>
      </c>
      <c r="E39" s="1">
        <v>29</v>
      </c>
      <c r="F39" s="1">
        <v>3</v>
      </c>
      <c r="G39" s="1">
        <f>IF(OR(B39,C39), VLOOKUP($I39,RangeTable,3,TRUE),0)</f>
        <v>4</v>
      </c>
      <c r="H39" s="1">
        <v>24</v>
      </c>
      <c r="I39" s="1">
        <f>H39/(D39+1)</f>
        <v>24</v>
      </c>
      <c r="J39" s="1">
        <f>IF(C39,I39*(E39+1),K39*(E39+1))</f>
        <v>720</v>
      </c>
      <c r="K39" s="1">
        <f>IF(B39,H39,J39/(F39+1))</f>
        <v>24</v>
      </c>
      <c r="M39" t="str">
        <f>IF(B39,"bypass",IF(C39,"rate","deskew"))</f>
        <v>bypass</v>
      </c>
      <c r="P39" s="1"/>
    </row>
    <row r="40" spans="1:17">
      <c r="A40" s="2" t="s">
        <v>12</v>
      </c>
      <c r="B40">
        <v>0</v>
      </c>
      <c r="C40" s="1">
        <v>1</v>
      </c>
      <c r="D40" s="1">
        <v>0</v>
      </c>
      <c r="E40" s="1">
        <v>29</v>
      </c>
      <c r="F40" s="1">
        <v>3</v>
      </c>
      <c r="G40" s="1">
        <f>IF(OR(B40,C40), VLOOKUP($I40,RangeTable,3,TRUE),0)</f>
        <v>4</v>
      </c>
      <c r="H40" s="1">
        <v>24</v>
      </c>
      <c r="I40" s="1">
        <f>H40/(D40+1)</f>
        <v>24</v>
      </c>
      <c r="J40" s="1">
        <f t="shared" ref="J40" si="21">IF(C40,I40*(E40+1),K40*(E40+1))</f>
        <v>720</v>
      </c>
      <c r="K40" s="1">
        <f t="shared" ref="K40:K41" si="22">IF(B40,H40,J40/(F40+1))</f>
        <v>180</v>
      </c>
      <c r="M40" t="str">
        <f t="shared" ref="M40:M41" si="23">IF(B40,"bypass",IF(C40,"rate","deskew"))</f>
        <v>rate</v>
      </c>
      <c r="P40" s="1"/>
    </row>
    <row r="41" spans="1:17">
      <c r="A41" s="2" t="s">
        <v>13</v>
      </c>
      <c r="B41">
        <v>0</v>
      </c>
      <c r="C41" s="1">
        <v>1</v>
      </c>
      <c r="D41" s="1">
        <v>0</v>
      </c>
      <c r="E41" s="1">
        <v>29</v>
      </c>
      <c r="F41" s="1">
        <v>3</v>
      </c>
      <c r="G41" s="1">
        <f>IF(OR(B41,C41), VLOOKUP($I41,RangeTable,3,TRUE),0)</f>
        <v>4</v>
      </c>
      <c r="H41" s="1">
        <v>24</v>
      </c>
      <c r="I41" s="1">
        <f>H41/(D41+1)</f>
        <v>24</v>
      </c>
      <c r="J41" s="1">
        <f>IF(C41,I41*(E41+1),L41*(E41+1))</f>
        <v>720</v>
      </c>
      <c r="K41" s="1">
        <f t="shared" si="22"/>
        <v>180</v>
      </c>
      <c r="M41" t="str">
        <f t="shared" si="23"/>
        <v>rate</v>
      </c>
      <c r="P41" s="1"/>
    </row>
    <row r="42" spans="1:17">
      <c r="P42" s="1"/>
    </row>
    <row r="43" spans="1:17">
      <c r="C43" s="1"/>
      <c r="E43" s="1"/>
      <c r="N43" s="5" t="s">
        <v>23</v>
      </c>
      <c r="O43" s="5" t="s">
        <v>24</v>
      </c>
      <c r="P43" s="5" t="s">
        <v>25</v>
      </c>
    </row>
    <row r="44" spans="1:17">
      <c r="C44" s="1"/>
      <c r="E44" s="1"/>
      <c r="N44">
        <v>0</v>
      </c>
      <c r="O44">
        <v>0</v>
      </c>
      <c r="P44">
        <v>0</v>
      </c>
    </row>
    <row r="45" spans="1:17">
      <c r="C45" s="1"/>
      <c r="E45" s="1"/>
      <c r="N45">
        <v>5</v>
      </c>
      <c r="O45">
        <v>10</v>
      </c>
      <c r="P45">
        <v>1</v>
      </c>
    </row>
    <row r="46" spans="1:17">
      <c r="C46" s="1"/>
      <c r="E46" s="1"/>
      <c r="N46">
        <v>8</v>
      </c>
      <c r="O46">
        <v>16</v>
      </c>
      <c r="P46">
        <v>2</v>
      </c>
    </row>
    <row r="47" spans="1:17">
      <c r="C47" s="1"/>
      <c r="E47" s="1"/>
      <c r="N47">
        <v>13</v>
      </c>
      <c r="O47">
        <v>26</v>
      </c>
      <c r="P47">
        <v>3</v>
      </c>
    </row>
    <row r="48" spans="1:17">
      <c r="C48" s="1"/>
      <c r="E48" s="1"/>
      <c r="N48">
        <v>21</v>
      </c>
      <c r="O48">
        <v>42</v>
      </c>
      <c r="P48">
        <v>4</v>
      </c>
    </row>
    <row r="49" spans="3:16">
      <c r="C49" s="1"/>
      <c r="E49" s="1"/>
      <c r="N49">
        <v>34</v>
      </c>
      <c r="O49">
        <v>68</v>
      </c>
      <c r="P49">
        <v>5</v>
      </c>
    </row>
    <row r="50" spans="3:16">
      <c r="C50" s="1"/>
      <c r="E50" s="1"/>
      <c r="N50">
        <v>54</v>
      </c>
      <c r="O50">
        <v>108</v>
      </c>
      <c r="P50">
        <v>6</v>
      </c>
    </row>
    <row r="51" spans="3:16">
      <c r="C51" s="1"/>
      <c r="E51" s="1"/>
      <c r="N51">
        <v>88</v>
      </c>
      <c r="O51">
        <v>200</v>
      </c>
      <c r="P51">
        <v>7</v>
      </c>
    </row>
    <row r="52" spans="3:16">
      <c r="C52" s="1"/>
      <c r="E52" s="1"/>
    </row>
    <row r="53" spans="3:16">
      <c r="C53" s="1"/>
      <c r="E53" s="1"/>
    </row>
  </sheetData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ASIC(s)</vt:lpstr>
      <vt:lpstr>pll_calc</vt:lpstr>
      <vt:lpstr>ASIC(t)</vt:lpstr>
      <vt:lpstr>'ASIC(s)'!RangeTable</vt:lpstr>
      <vt:lpstr>'ASIC(t)'!RangeTable</vt:lpstr>
      <vt:lpstr>'ASIC(s)'!RangeTableMax</vt:lpstr>
      <vt:lpstr>'ASIC(t)'!RangeTableMax</vt:lpstr>
      <vt:lpstr>Xusb</vt:lpstr>
    </vt:vector>
  </TitlesOfParts>
  <Company>Icron Technologies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Howes</dc:creator>
  <cp:lastModifiedBy>albertl</cp:lastModifiedBy>
  <dcterms:created xsi:type="dcterms:W3CDTF">2009-02-14T00:13:40Z</dcterms:created>
  <dcterms:modified xsi:type="dcterms:W3CDTF">2009-06-03T23:49:54Z</dcterms:modified>
</cp:coreProperties>
</file>