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Volumes/SUMITRO/ECO461/"/>
    </mc:Choice>
  </mc:AlternateContent>
  <xr:revisionPtr revIDLastSave="0" documentId="13_ncr:1_{92AEE9B7-9299-B346-95F1-05EDA0C82000}" xr6:coauthVersionLast="45" xr6:coauthVersionMax="45" xr10:uidLastSave="{00000000-0000-0000-0000-000000000000}"/>
  <bookViews>
    <workbookView xWindow="0" yWindow="460" windowWidth="28800" windowHeight="16380" xr2:uid="{00000000-000D-0000-FFFF-FFFF00000000}"/>
  </bookViews>
  <sheets>
    <sheet name="Sheet1" sheetId="1" r:id="rId1"/>
  </sheets>
  <definedNames>
    <definedName name="_arg1">Sheet1!$E$2</definedName>
    <definedName name="_arg2">Sheet1!$E$3</definedName>
    <definedName name="_Div2">Sheet1!$B$18</definedName>
    <definedName name="_Div3">Sheet1!$B$29</definedName>
    <definedName name="_sig3">Sheet1!$B$24</definedName>
    <definedName name="anndiv">Sheet1!$B$7</definedName>
    <definedName name="annrate">Sheet1!$B$4</definedName>
    <definedName name="annrate2">Sheet1!$B$15</definedName>
    <definedName name="annrate3">Sheet1!$B$26</definedName>
    <definedName name="matur2">Sheet1!$B$14</definedName>
    <definedName name="matur3">Sheet1!$B$25</definedName>
    <definedName name="narg1">Sheet1!$E$4</definedName>
    <definedName name="narg2">Sheet1!$E$5</definedName>
    <definedName name="s0">Sheet1!$B$5</definedName>
    <definedName name="Sigma">Sheet1!$B$2</definedName>
    <definedName name="sigma2">Sheet1!$B$13</definedName>
    <definedName name="sigma3">Sheet1!$B$24</definedName>
    <definedName name="solver_adj" localSheetId="0" hidden="1">Sheet1!$B$2</definedName>
    <definedName name="solver_cvg" localSheetId="0" hidden="1">0.001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Sheet1!$E$6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7</definedName>
    <definedName name="stepsize">Sheet1!$B$9</definedName>
    <definedName name="T">Sheet1!$B$3</definedName>
    <definedName name="T_2">Sheet1!$B$14</definedName>
    <definedName name="X">Sheet1!$B$6</definedName>
    <definedName name="X_2">Sheet1!$B$17</definedName>
    <definedName name="X_3">Sheet1!$B$28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" i="1" l="1"/>
  <c r="B39" i="1"/>
  <c r="B38" i="1"/>
  <c r="B3" i="1" l="1"/>
  <c r="E2" i="1"/>
  <c r="E3" i="1" s="1"/>
  <c r="E5" i="1" s="1"/>
  <c r="B14" i="1"/>
  <c r="G23" i="1"/>
  <c r="G22" i="1" s="1"/>
  <c r="B25" i="1"/>
  <c r="E24" i="1"/>
  <c r="E33" i="1" s="1"/>
  <c r="E13" i="1"/>
  <c r="E22" i="1" s="1"/>
  <c r="C40" i="1" s="1"/>
  <c r="J23" i="1"/>
  <c r="M23" i="1" s="1"/>
  <c r="G24" i="1"/>
  <c r="J24" i="1" s="1"/>
  <c r="M24" i="1" s="1"/>
  <c r="H23" i="1"/>
  <c r="K23" i="1" s="1"/>
  <c r="G25" i="1"/>
  <c r="I25" i="1" s="1"/>
  <c r="L25" i="1" s="1"/>
  <c r="I24" i="1"/>
  <c r="L24" i="1" s="1"/>
  <c r="H24" i="1"/>
  <c r="K24" i="1" s="1"/>
  <c r="E15" i="1"/>
  <c r="E19" i="1" s="1"/>
  <c r="C38" i="1" s="1"/>
  <c r="J25" i="1"/>
  <c r="M25" i="1" s="1"/>
  <c r="H25" i="1"/>
  <c r="K25" i="1" s="1"/>
  <c r="G26" i="1" l="1"/>
  <c r="E26" i="1"/>
  <c r="I23" i="1"/>
  <c r="L23" i="1" s="1"/>
  <c r="E20" i="1"/>
  <c r="E14" i="1"/>
  <c r="E16" i="1" s="1"/>
  <c r="G21" i="1"/>
  <c r="J22" i="1"/>
  <c r="M22" i="1" s="1"/>
  <c r="H22" i="1"/>
  <c r="K22" i="1" s="1"/>
  <c r="I22" i="1"/>
  <c r="L22" i="1" s="1"/>
  <c r="E10" i="1"/>
  <c r="E32" i="1"/>
  <c r="E25" i="1"/>
  <c r="E27" i="1" s="1"/>
  <c r="E28" i="1" s="1"/>
  <c r="E29" i="1" s="1"/>
  <c r="E17" i="1"/>
  <c r="E18" i="1" s="1"/>
  <c r="E21" i="1"/>
  <c r="C39" i="1" s="1"/>
  <c r="E4" i="1"/>
  <c r="E11" i="1"/>
  <c r="E31" i="1" l="1"/>
  <c r="E30" i="1"/>
  <c r="G27" i="1"/>
  <c r="I26" i="1"/>
  <c r="L26" i="1" s="1"/>
  <c r="H26" i="1"/>
  <c r="K26" i="1" s="1"/>
  <c r="J26" i="1"/>
  <c r="M26" i="1" s="1"/>
  <c r="I21" i="1"/>
  <c r="L21" i="1" s="1"/>
  <c r="H21" i="1"/>
  <c r="K21" i="1" s="1"/>
  <c r="J21" i="1"/>
  <c r="M21" i="1" s="1"/>
  <c r="G20" i="1"/>
  <c r="D44" i="1"/>
  <c r="E9" i="1"/>
  <c r="E6" i="1"/>
  <c r="E8" i="1"/>
  <c r="J27" i="1" l="1"/>
  <c r="M27" i="1" s="1"/>
  <c r="G28" i="1"/>
  <c r="H27" i="1"/>
  <c r="K27" i="1" s="1"/>
  <c r="I27" i="1"/>
  <c r="L27" i="1" s="1"/>
  <c r="J20" i="1"/>
  <c r="M20" i="1" s="1"/>
  <c r="H20" i="1"/>
  <c r="K20" i="1" s="1"/>
  <c r="I20" i="1"/>
  <c r="L20" i="1" s="1"/>
  <c r="G19" i="1"/>
  <c r="C44" i="1"/>
  <c r="E44" i="1" s="1"/>
  <c r="C43" i="1"/>
  <c r="E43" i="1" s="1"/>
  <c r="E7" i="1"/>
  <c r="B34" i="1" s="1"/>
  <c r="G29" i="1" l="1"/>
  <c r="I28" i="1"/>
  <c r="L28" i="1" s="1"/>
  <c r="J28" i="1"/>
  <c r="M28" i="1" s="1"/>
  <c r="H28" i="1"/>
  <c r="K28" i="1" s="1"/>
  <c r="G18" i="1"/>
  <c r="I19" i="1"/>
  <c r="L19" i="1" s="1"/>
  <c r="J19" i="1"/>
  <c r="M19" i="1" s="1"/>
  <c r="H19" i="1"/>
  <c r="K19" i="1" s="1"/>
  <c r="N20" i="1"/>
  <c r="N22" i="1"/>
  <c r="N23" i="1"/>
  <c r="N24" i="1"/>
  <c r="N28" i="1"/>
  <c r="N27" i="1"/>
  <c r="N21" i="1"/>
  <c r="N26" i="1"/>
  <c r="N25" i="1"/>
  <c r="I29" i="1" l="1"/>
  <c r="L29" i="1" s="1"/>
  <c r="H29" i="1"/>
  <c r="J29" i="1"/>
  <c r="M29" i="1" s="1"/>
  <c r="G30" i="1"/>
  <c r="N19" i="1"/>
  <c r="G17" i="1"/>
  <c r="J18" i="1"/>
  <c r="M18" i="1" s="1"/>
  <c r="H18" i="1"/>
  <c r="I18" i="1"/>
  <c r="L18" i="1" s="1"/>
  <c r="P25" i="1"/>
  <c r="O25" i="1"/>
  <c r="P26" i="1"/>
  <c r="O26" i="1"/>
  <c r="P27" i="1"/>
  <c r="O27" i="1"/>
  <c r="P24" i="1"/>
  <c r="O24" i="1"/>
  <c r="P20" i="1"/>
  <c r="O20" i="1"/>
  <c r="P21" i="1"/>
  <c r="O21" i="1"/>
  <c r="P28" i="1"/>
  <c r="O28" i="1"/>
  <c r="P19" i="1"/>
  <c r="O19" i="1"/>
  <c r="P23" i="1"/>
  <c r="O23" i="1"/>
  <c r="P22" i="1"/>
  <c r="O22" i="1"/>
  <c r="G31" i="1" l="1"/>
  <c r="H30" i="1"/>
  <c r="J30" i="1"/>
  <c r="M30" i="1" s="1"/>
  <c r="I30" i="1"/>
  <c r="L30" i="1" s="1"/>
  <c r="K29" i="1"/>
  <c r="N29" i="1"/>
  <c r="K18" i="1"/>
  <c r="N18" i="1" s="1"/>
  <c r="J17" i="1"/>
  <c r="M17" i="1" s="1"/>
  <c r="G16" i="1"/>
  <c r="I17" i="1"/>
  <c r="L17" i="1" s="1"/>
  <c r="H17" i="1"/>
  <c r="K30" i="1" l="1"/>
  <c r="N30" i="1"/>
  <c r="O29" i="1"/>
  <c r="P29" i="1"/>
  <c r="I31" i="1"/>
  <c r="L31" i="1" s="1"/>
  <c r="G32" i="1"/>
  <c r="H31" i="1"/>
  <c r="J31" i="1"/>
  <c r="M31" i="1" s="1"/>
  <c r="P18" i="1"/>
  <c r="O18" i="1"/>
  <c r="K17" i="1"/>
  <c r="N17" i="1" s="1"/>
  <c r="J16" i="1"/>
  <c r="M16" i="1" s="1"/>
  <c r="H16" i="1"/>
  <c r="I16" i="1"/>
  <c r="L16" i="1" s="1"/>
  <c r="G15" i="1"/>
  <c r="K31" i="1" l="1"/>
  <c r="N31" i="1" s="1"/>
  <c r="G33" i="1"/>
  <c r="H32" i="1"/>
  <c r="I32" i="1"/>
  <c r="L32" i="1" s="1"/>
  <c r="J32" i="1"/>
  <c r="M32" i="1" s="1"/>
  <c r="P30" i="1"/>
  <c r="O30" i="1"/>
  <c r="P17" i="1"/>
  <c r="O17" i="1"/>
  <c r="H15" i="1"/>
  <c r="G14" i="1"/>
  <c r="I15" i="1"/>
  <c r="L15" i="1" s="1"/>
  <c r="J15" i="1"/>
  <c r="M15" i="1" s="1"/>
  <c r="K16" i="1"/>
  <c r="N16" i="1" s="1"/>
  <c r="P31" i="1" l="1"/>
  <c r="O31" i="1"/>
  <c r="K32" i="1"/>
  <c r="N32" i="1"/>
  <c r="H33" i="1"/>
  <c r="I33" i="1"/>
  <c r="L33" i="1" s="1"/>
  <c r="J33" i="1"/>
  <c r="M33" i="1" s="1"/>
  <c r="G34" i="1"/>
  <c r="K15" i="1"/>
  <c r="N15" i="1" s="1"/>
  <c r="P16" i="1"/>
  <c r="O16" i="1"/>
  <c r="G13" i="1"/>
  <c r="J14" i="1"/>
  <c r="M14" i="1" s="1"/>
  <c r="H14" i="1"/>
  <c r="I14" i="1"/>
  <c r="L14" i="1" s="1"/>
  <c r="H34" i="1" l="1"/>
  <c r="G35" i="1"/>
  <c r="J34" i="1"/>
  <c r="M34" i="1" s="1"/>
  <c r="I34" i="1"/>
  <c r="L34" i="1" s="1"/>
  <c r="P32" i="1"/>
  <c r="O32" i="1"/>
  <c r="K33" i="1"/>
  <c r="N33" i="1" s="1"/>
  <c r="P15" i="1"/>
  <c r="O15" i="1"/>
  <c r="K14" i="1"/>
  <c r="N14" i="1" s="1"/>
  <c r="G12" i="1"/>
  <c r="J13" i="1"/>
  <c r="M13" i="1" s="1"/>
  <c r="H13" i="1"/>
  <c r="I13" i="1"/>
  <c r="L13" i="1" s="1"/>
  <c r="P33" i="1" l="1"/>
  <c r="O33" i="1"/>
  <c r="I35" i="1"/>
  <c r="L35" i="1" s="1"/>
  <c r="G36" i="1"/>
  <c r="J35" i="1"/>
  <c r="M35" i="1" s="1"/>
  <c r="H35" i="1"/>
  <c r="K34" i="1"/>
  <c r="N34" i="1"/>
  <c r="K13" i="1"/>
  <c r="N13" i="1" s="1"/>
  <c r="J12" i="1"/>
  <c r="M12" i="1" s="1"/>
  <c r="I12" i="1"/>
  <c r="L12" i="1" s="1"/>
  <c r="G11" i="1"/>
  <c r="H12" i="1"/>
  <c r="P14" i="1"/>
  <c r="O14" i="1"/>
  <c r="K35" i="1" l="1"/>
  <c r="N35" i="1"/>
  <c r="P34" i="1"/>
  <c r="O34" i="1"/>
  <c r="I36" i="1"/>
  <c r="L36" i="1" s="1"/>
  <c r="G37" i="1"/>
  <c r="H36" i="1"/>
  <c r="J36" i="1"/>
  <c r="M36" i="1" s="1"/>
  <c r="P13" i="1"/>
  <c r="O13" i="1"/>
  <c r="G10" i="1"/>
  <c r="I11" i="1"/>
  <c r="L11" i="1" s="1"/>
  <c r="H11" i="1"/>
  <c r="J11" i="1"/>
  <c r="M11" i="1" s="1"/>
  <c r="K12" i="1"/>
  <c r="N12" i="1" s="1"/>
  <c r="K36" i="1" l="1"/>
  <c r="N36" i="1"/>
  <c r="J37" i="1"/>
  <c r="M37" i="1" s="1"/>
  <c r="I37" i="1"/>
  <c r="L37" i="1" s="1"/>
  <c r="G38" i="1"/>
  <c r="H37" i="1"/>
  <c r="P35" i="1"/>
  <c r="O35" i="1"/>
  <c r="P12" i="1"/>
  <c r="O12" i="1"/>
  <c r="K11" i="1"/>
  <c r="N11" i="1" s="1"/>
  <c r="G9" i="1"/>
  <c r="J10" i="1"/>
  <c r="M10" i="1" s="1"/>
  <c r="I10" i="1"/>
  <c r="L10" i="1" s="1"/>
  <c r="H10" i="1"/>
  <c r="K37" i="1" l="1"/>
  <c r="N37" i="1"/>
  <c r="P36" i="1"/>
  <c r="O36" i="1"/>
  <c r="G39" i="1"/>
  <c r="J38" i="1"/>
  <c r="M38" i="1" s="1"/>
  <c r="H38" i="1"/>
  <c r="I38" i="1"/>
  <c r="L38" i="1" s="1"/>
  <c r="K10" i="1"/>
  <c r="N10" i="1" s="1"/>
  <c r="J9" i="1"/>
  <c r="M9" i="1" s="1"/>
  <c r="G8" i="1"/>
  <c r="H9" i="1"/>
  <c r="I9" i="1"/>
  <c r="L9" i="1" s="1"/>
  <c r="P11" i="1"/>
  <c r="O11" i="1"/>
  <c r="K38" i="1" l="1"/>
  <c r="N38" i="1" s="1"/>
  <c r="P37" i="1"/>
  <c r="O37" i="1"/>
  <c r="I39" i="1"/>
  <c r="L39" i="1" s="1"/>
  <c r="J39" i="1"/>
  <c r="M39" i="1" s="1"/>
  <c r="H39" i="1"/>
  <c r="G40" i="1"/>
  <c r="P10" i="1"/>
  <c r="O10" i="1"/>
  <c r="K9" i="1"/>
  <c r="N9" i="1" s="1"/>
  <c r="J8" i="1"/>
  <c r="M8" i="1" s="1"/>
  <c r="H8" i="1"/>
  <c r="I8" i="1"/>
  <c r="L8" i="1" s="1"/>
  <c r="G7" i="1"/>
  <c r="P38" i="1" l="1"/>
  <c r="O38" i="1"/>
  <c r="G41" i="1"/>
  <c r="J40" i="1"/>
  <c r="M40" i="1" s="1"/>
  <c r="I40" i="1"/>
  <c r="L40" i="1" s="1"/>
  <c r="H40" i="1"/>
  <c r="K39" i="1"/>
  <c r="N39" i="1" s="1"/>
  <c r="H7" i="1"/>
  <c r="J7" i="1"/>
  <c r="M7" i="1" s="1"/>
  <c r="G6" i="1"/>
  <c r="I7" i="1"/>
  <c r="L7" i="1" s="1"/>
  <c r="K8" i="1"/>
  <c r="N8" i="1" s="1"/>
  <c r="P9" i="1"/>
  <c r="O9" i="1"/>
  <c r="P39" i="1" l="1"/>
  <c r="O39" i="1"/>
  <c r="K40" i="1"/>
  <c r="N40" i="1"/>
  <c r="J41" i="1"/>
  <c r="M41" i="1" s="1"/>
  <c r="I41" i="1"/>
  <c r="L41" i="1" s="1"/>
  <c r="H41" i="1"/>
  <c r="G42" i="1"/>
  <c r="P8" i="1"/>
  <c r="O8" i="1"/>
  <c r="G5" i="1"/>
  <c r="J6" i="1"/>
  <c r="M6" i="1" s="1"/>
  <c r="H6" i="1"/>
  <c r="I6" i="1"/>
  <c r="L6" i="1" s="1"/>
  <c r="K7" i="1"/>
  <c r="N7" i="1" s="1"/>
  <c r="H42" i="1" l="1"/>
  <c r="I42" i="1"/>
  <c r="L42" i="1" s="1"/>
  <c r="G43" i="1"/>
  <c r="J42" i="1"/>
  <c r="M42" i="1" s="1"/>
  <c r="P40" i="1"/>
  <c r="O40" i="1"/>
  <c r="K41" i="1"/>
  <c r="N41" i="1" s="1"/>
  <c r="P7" i="1"/>
  <c r="O7" i="1"/>
  <c r="K6" i="1"/>
  <c r="N6" i="1" s="1"/>
  <c r="I5" i="1"/>
  <c r="L5" i="1" s="1"/>
  <c r="G4" i="1"/>
  <c r="J5" i="1"/>
  <c r="M5" i="1" s="1"/>
  <c r="H5" i="1"/>
  <c r="P41" i="1" l="1"/>
  <c r="O41" i="1"/>
  <c r="J43" i="1"/>
  <c r="M43" i="1" s="1"/>
  <c r="I43" i="1"/>
  <c r="L43" i="1" s="1"/>
  <c r="H43" i="1"/>
  <c r="K43" i="1" s="1"/>
  <c r="K42" i="1"/>
  <c r="N42" i="1" s="1"/>
  <c r="K5" i="1"/>
  <c r="N5" i="1" s="1"/>
  <c r="I4" i="1"/>
  <c r="L4" i="1" s="1"/>
  <c r="G3" i="1"/>
  <c r="H4" i="1"/>
  <c r="J4" i="1"/>
  <c r="M4" i="1" s="1"/>
  <c r="P6" i="1"/>
  <c r="O6" i="1"/>
  <c r="P42" i="1" l="1"/>
  <c r="O42" i="1"/>
  <c r="N43" i="1"/>
  <c r="K4" i="1"/>
  <c r="N4" i="1" s="1"/>
  <c r="I3" i="1"/>
  <c r="L3" i="1" s="1"/>
  <c r="H3" i="1"/>
  <c r="J3" i="1"/>
  <c r="M3" i="1" s="1"/>
  <c r="P5" i="1"/>
  <c r="O5" i="1"/>
  <c r="P43" i="1" l="1"/>
  <c r="O43" i="1"/>
  <c r="P4" i="1"/>
  <c r="O4" i="1"/>
  <c r="K3" i="1"/>
  <c r="N3" i="1"/>
  <c r="P3" i="1" l="1"/>
  <c r="O3" i="1"/>
</calcChain>
</file>

<file path=xl/sharedStrings.xml><?xml version="1.0" encoding="utf-8"?>
<sst xmlns="http://schemas.openxmlformats.org/spreadsheetml/2006/main" count="94" uniqueCount="61">
  <si>
    <t>OUTPUTS</t>
  </si>
  <si>
    <t xml:space="preserve"> </t>
  </si>
  <si>
    <t>d1</t>
  </si>
  <si>
    <t>Maturity (in years)</t>
  </si>
  <si>
    <t>d2</t>
  </si>
  <si>
    <t>Risk-free rate (annual)</t>
  </si>
  <si>
    <t>N(d1)</t>
  </si>
  <si>
    <t>Stock Price</t>
  </si>
  <si>
    <t>N(d2)</t>
  </si>
  <si>
    <t>Exercise price</t>
  </si>
  <si>
    <t>B/S call value</t>
  </si>
  <si>
    <t>Dividend yield (annual)</t>
  </si>
  <si>
    <t>B/S put value</t>
  </si>
  <si>
    <t>Standard deviation (annual)</t>
  </si>
  <si>
    <t>Delta</t>
  </si>
  <si>
    <t>Gamma</t>
  </si>
  <si>
    <t xml:space="preserve">Stock </t>
  </si>
  <si>
    <t>Call1</t>
  </si>
  <si>
    <t>Call2</t>
  </si>
  <si>
    <t>Stock</t>
  </si>
  <si>
    <r>
      <t>D &amp; G</t>
    </r>
    <r>
      <rPr>
        <sz val="10"/>
        <rFont val="Arial"/>
        <family val="2"/>
      </rPr>
      <t xml:space="preserve"> match</t>
    </r>
  </si>
  <si>
    <r>
      <t>D</t>
    </r>
    <r>
      <rPr>
        <sz val="10"/>
        <rFont val="Arial"/>
        <family val="2"/>
      </rPr>
      <t xml:space="preserve"> match only</t>
    </r>
  </si>
  <si>
    <t>Delta Call 1</t>
  </si>
  <si>
    <t>Delta put 1</t>
  </si>
  <si>
    <t>Delta Call 2</t>
  </si>
  <si>
    <t>Delta put 2</t>
  </si>
  <si>
    <t>Shares of Stk</t>
  </si>
  <si>
    <t>Number of Call 2</t>
  </si>
  <si>
    <t>StepSize for graph</t>
  </si>
  <si>
    <t>Hedging inputs:</t>
  </si>
  <si>
    <t>Strike price 105</t>
  </si>
  <si>
    <t>Strike price 110</t>
  </si>
  <si>
    <t>Strike price 115</t>
  </si>
  <si>
    <t>Portfolio</t>
  </si>
  <si>
    <t>Put1</t>
  </si>
  <si>
    <t>Put2</t>
  </si>
  <si>
    <t>Put3</t>
  </si>
  <si>
    <t>Call3</t>
  </si>
  <si>
    <t xml:space="preserve">           Call Values              </t>
  </si>
  <si>
    <t xml:space="preserve">             Put option values           </t>
  </si>
  <si>
    <t xml:space="preserve"> Profit or loss on each position</t>
  </si>
  <si>
    <t>Initial portfolio cost</t>
  </si>
  <si>
    <t>Delta Call 3</t>
  </si>
  <si>
    <t>Delta put 3</t>
  </si>
  <si>
    <t>Gamma 1</t>
  </si>
  <si>
    <t>Gamma 2</t>
  </si>
  <si>
    <t>Gamma 3</t>
  </si>
  <si>
    <t>Vega 1</t>
  </si>
  <si>
    <t>Vega 2</t>
  </si>
  <si>
    <t>Vega 3</t>
  </si>
  <si>
    <t>Vega</t>
  </si>
  <si>
    <r>
      <t>D</t>
    </r>
    <r>
      <rPr>
        <sz val="10"/>
        <rFont val="Arial"/>
        <family val="2"/>
      </rPr>
      <t xml:space="preserve"> matched</t>
    </r>
  </si>
  <si>
    <t>Initial value</t>
  </si>
  <si>
    <t>=Portf Gamma/gamma2</t>
  </si>
  <si>
    <t xml:space="preserve">      =Portfolio Delta - # call_2 * Delta call_2</t>
  </si>
  <si>
    <r>
      <t xml:space="preserve">D &amp; G </t>
    </r>
    <r>
      <rPr>
        <sz val="10"/>
        <rFont val="Arial"/>
        <family val="2"/>
      </rPr>
      <t xml:space="preserve"> matched</t>
    </r>
  </si>
  <si>
    <t>of matching pf</t>
  </si>
  <si>
    <t>Matching portfolio</t>
  </si>
  <si>
    <r>
      <t xml:space="preserve">This portfolio would </t>
    </r>
    <r>
      <rPr>
        <b/>
        <i/>
        <sz val="10"/>
        <color indexed="12"/>
        <rFont val="Arial"/>
        <family val="2"/>
      </rPr>
      <t>match</t>
    </r>
    <r>
      <rPr>
        <sz val="10"/>
        <color indexed="12"/>
        <rFont val="Arial"/>
        <family val="2"/>
      </rPr>
      <t xml:space="preserve"> the delta and gamma of the options position.  To</t>
    </r>
  </si>
  <si>
    <r>
      <t xml:space="preserve">hedge that position, you would need to </t>
    </r>
    <r>
      <rPr>
        <b/>
        <i/>
        <sz val="10"/>
        <color indexed="12"/>
        <rFont val="Arial"/>
        <family val="2"/>
      </rPr>
      <t>sell</t>
    </r>
    <r>
      <rPr>
        <sz val="10"/>
        <color indexed="12"/>
        <rFont val="Arial"/>
        <family val="2"/>
      </rPr>
      <t xml:space="preserve"> this portfolio.</t>
    </r>
  </si>
  <si>
    <t>Options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</si>
</sst>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 x14ac:knownFonts="1">
    <font>
      <sz val="10"/>
      <name val="Arial"/>
    </font>
    <font>
      <sz val="10"/>
      <name val="Arial"/>
      <family val="2"/>
    </font>
    <font>
      <b/>
      <u/>
      <sz val="9"/>
      <name val="Geneva"/>
    </font>
    <font>
      <sz val="9"/>
      <name val="Arial"/>
      <family val="2"/>
    </font>
    <font>
      <u/>
      <sz val="10"/>
      <name val="Arial"/>
      <family val="2"/>
    </font>
    <font>
      <sz val="10"/>
      <name val="Symbol"/>
      <family val="1"/>
      <charset val="2"/>
    </font>
    <font>
      <u/>
      <sz val="10"/>
      <name val="Arial"/>
      <family val="2"/>
    </font>
    <font>
      <sz val="10"/>
      <name val="Arial"/>
      <family val="2"/>
    </font>
    <font>
      <u/>
      <sz val="10"/>
      <name val="Geneva"/>
    </font>
    <font>
      <b/>
      <u/>
      <sz val="10"/>
      <name val="Geneva"/>
    </font>
    <font>
      <sz val="10"/>
      <name val="Arial"/>
      <family val="2"/>
    </font>
    <font>
      <u/>
      <sz val="8.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u/>
      <sz val="8"/>
      <name val="Arial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0" fontId="4" fillId="0" borderId="0" xfId="0" applyFont="1"/>
    <xf numFmtId="164" fontId="7" fillId="0" borderId="0" xfId="0" applyNumberFormat="1" applyFont="1"/>
    <xf numFmtId="165" fontId="1" fillId="0" borderId="0" xfId="0" applyNumberFormat="1" applyFont="1"/>
    <xf numFmtId="0" fontId="1" fillId="0" borderId="0" xfId="0" applyFont="1"/>
    <xf numFmtId="0" fontId="8" fillId="0" borderId="0" xfId="0" applyFont="1"/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0" fontId="7" fillId="0" borderId="0" xfId="0" applyFont="1"/>
    <xf numFmtId="165" fontId="7" fillId="0" borderId="0" xfId="0" applyNumberFormat="1" applyFont="1"/>
    <xf numFmtId="0" fontId="0" fillId="0" borderId="1" xfId="0" applyBorder="1"/>
    <xf numFmtId="0" fontId="10" fillId="0" borderId="2" xfId="0" applyFont="1" applyBorder="1" applyAlignment="1">
      <alignment horizontal="right"/>
    </xf>
    <xf numFmtId="0" fontId="10" fillId="0" borderId="3" xfId="0" applyFont="1" applyBorder="1" applyAlignment="1">
      <alignment horizontal="right"/>
    </xf>
    <xf numFmtId="0" fontId="0" fillId="0" borderId="4" xfId="0" applyBorder="1"/>
    <xf numFmtId="164" fontId="10" fillId="0" borderId="0" xfId="0" applyNumberFormat="1" applyFont="1" applyBorder="1"/>
    <xf numFmtId="0" fontId="10" fillId="0" borderId="5" xfId="0" applyFont="1" applyBorder="1"/>
    <xf numFmtId="0" fontId="10" fillId="0" borderId="6" xfId="0" applyFont="1" applyBorder="1"/>
    <xf numFmtId="165" fontId="1" fillId="0" borderId="0" xfId="0" applyNumberFormat="1" applyFont="1" applyAlignment="1">
      <alignment horizontal="right"/>
    </xf>
    <xf numFmtId="165" fontId="6" fillId="0" borderId="0" xfId="0" applyNumberFormat="1" applyFont="1"/>
    <xf numFmtId="0" fontId="11" fillId="0" borderId="0" xfId="0" applyFont="1" applyAlignment="1">
      <alignment horizontal="right"/>
    </xf>
    <xf numFmtId="2" fontId="0" fillId="0" borderId="0" xfId="0" applyNumberFormat="1" applyBorder="1"/>
    <xf numFmtId="2" fontId="0" fillId="0" borderId="0" xfId="0" applyNumberFormat="1"/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/>
    <xf numFmtId="2" fontId="7" fillId="0" borderId="0" xfId="0" applyNumberFormat="1" applyFont="1"/>
    <xf numFmtId="2" fontId="10" fillId="0" borderId="7" xfId="0" applyNumberFormat="1" applyFont="1" applyBorder="1"/>
    <xf numFmtId="165" fontId="4" fillId="0" borderId="0" xfId="0" applyNumberFormat="1" applyFont="1"/>
    <xf numFmtId="2" fontId="10" fillId="0" borderId="0" xfId="0" applyNumberFormat="1" applyFont="1" applyBorder="1"/>
    <xf numFmtId="0" fontId="0" fillId="0" borderId="7" xfId="0" applyFill="1" applyBorder="1"/>
    <xf numFmtId="0" fontId="12" fillId="0" borderId="0" xfId="0" applyFont="1"/>
    <xf numFmtId="0" fontId="7" fillId="0" borderId="0" xfId="0" quotePrefix="1" applyFont="1"/>
    <xf numFmtId="0" fontId="0" fillId="0" borderId="0" xfId="0" quotePrefix="1"/>
    <xf numFmtId="164" fontId="13" fillId="0" borderId="0" xfId="0" applyNumberFormat="1" applyFont="1" applyAlignment="1">
      <alignment horizontal="right"/>
    </xf>
    <xf numFmtId="164" fontId="14" fillId="0" borderId="0" xfId="0" applyNumberFormat="1" applyFont="1"/>
    <xf numFmtId="0" fontId="16" fillId="0" borderId="0" xfId="0" applyFont="1"/>
    <xf numFmtId="165" fontId="16" fillId="0" borderId="0" xfId="0" applyNumberFormat="1" applyFont="1"/>
    <xf numFmtId="164" fontId="16" fillId="0" borderId="0" xfId="0" applyNumberFormat="1" applyFont="1"/>
    <xf numFmtId="165" fontId="0" fillId="0" borderId="0" xfId="0" applyNumberFormat="1" applyAlignment="1">
      <alignment horizontal="right"/>
    </xf>
    <xf numFmtId="165" fontId="10" fillId="0" borderId="0" xfId="0" applyNumberFormat="1" applyFont="1"/>
    <xf numFmtId="165" fontId="0" fillId="0" borderId="0" xfId="0" applyNumberFormat="1"/>
    <xf numFmtId="165" fontId="0" fillId="0" borderId="0" xfId="0" applyNumberFormat="1" applyBorder="1"/>
    <xf numFmtId="165" fontId="10" fillId="0" borderId="2" xfId="0" applyNumberFormat="1" applyFont="1" applyBorder="1" applyAlignment="1">
      <alignment horizontal="right"/>
    </xf>
    <xf numFmtId="165" fontId="10" fillId="0" borderId="0" xfId="0" applyNumberFormat="1" applyFont="1" applyBorder="1"/>
    <xf numFmtId="165" fontId="10" fillId="0" borderId="7" xfId="0" applyNumberFormat="1" applyFont="1" applyBorder="1"/>
    <xf numFmtId="165" fontId="15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1205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Sheet1!$G$29:$G$59</c:f>
              <c:numCache>
                <c:formatCode>0</c:formatCode>
                <c:ptCount val="31"/>
                <c:pt idx="0">
                  <c:v>1206</c:v>
                </c:pt>
                <c:pt idx="1">
                  <c:v>1207</c:v>
                </c:pt>
                <c:pt idx="2">
                  <c:v>1208</c:v>
                </c:pt>
                <c:pt idx="3">
                  <c:v>1209</c:v>
                </c:pt>
                <c:pt idx="4">
                  <c:v>1210</c:v>
                </c:pt>
                <c:pt idx="5">
                  <c:v>1211</c:v>
                </c:pt>
                <c:pt idx="6">
                  <c:v>1212</c:v>
                </c:pt>
                <c:pt idx="7">
                  <c:v>1213</c:v>
                </c:pt>
                <c:pt idx="8">
                  <c:v>1214</c:v>
                </c:pt>
                <c:pt idx="9">
                  <c:v>1215</c:v>
                </c:pt>
                <c:pt idx="10">
                  <c:v>1216</c:v>
                </c:pt>
                <c:pt idx="11">
                  <c:v>1217</c:v>
                </c:pt>
                <c:pt idx="12">
                  <c:v>1218</c:v>
                </c:pt>
                <c:pt idx="13">
                  <c:v>1219</c:v>
                </c:pt>
                <c:pt idx="14">
                  <c:v>1220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A6-5D43-8F54-477CC910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2624"/>
        <c:axId val="91812992"/>
      </c:scatterChart>
      <c:valAx>
        <c:axId val="91802624"/>
        <c:scaling>
          <c:orientation val="minMax"/>
          <c:max val="1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12992"/>
        <c:crosses val="autoZero"/>
        <c:crossBetween val="midCat"/>
        <c:majorUnit val="10"/>
      </c:valAx>
      <c:valAx>
        <c:axId val="91812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Call value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026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Sheet1!$H$28</c:f>
              <c:strCache>
                <c:ptCount val="1"/>
                <c:pt idx="0">
                  <c:v>75.270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Sheet1!$H$29:$H$59</c:f>
              <c:numCache>
                <c:formatCode>0.000</c:formatCode>
                <c:ptCount val="31"/>
                <c:pt idx="0">
                  <c:v>75.998426721057399</c:v>
                </c:pt>
                <c:pt idx="1">
                  <c:v>76.729597318885908</c:v>
                </c:pt>
                <c:pt idx="2">
                  <c:v>77.46391487464814</c:v>
                </c:pt>
                <c:pt idx="3">
                  <c:v>78.201358019102258</c:v>
                </c:pt>
                <c:pt idx="4">
                  <c:v>78.941905262100931</c:v>
                </c:pt>
                <c:pt idx="5">
                  <c:v>79.685534997761806</c:v>
                </c:pt>
                <c:pt idx="6">
                  <c:v>80.432225509617865</c:v>
                </c:pt>
                <c:pt idx="7">
                  <c:v>81.181954975740496</c:v>
                </c:pt>
                <c:pt idx="8">
                  <c:v>81.934701473840391</c:v>
                </c:pt>
                <c:pt idx="9">
                  <c:v>82.690442986338326</c:v>
                </c:pt>
                <c:pt idx="10">
                  <c:v>83.449157405410347</c:v>
                </c:pt>
                <c:pt idx="11">
                  <c:v>84.210822537999888</c:v>
                </c:pt>
                <c:pt idx="12">
                  <c:v>84.975416110799188</c:v>
                </c:pt>
                <c:pt idx="13">
                  <c:v>85.742915775197844</c:v>
                </c:pt>
                <c:pt idx="14">
                  <c:v>86.51329911219625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BA-8442-B502-5B3FB246A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8624"/>
        <c:axId val="91900544"/>
      </c:scatterChart>
      <c:valAx>
        <c:axId val="91898624"/>
        <c:scaling>
          <c:orientation val="minMax"/>
          <c:max val="1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00544"/>
        <c:crosses val="autoZero"/>
        <c:crossBetween val="midCat"/>
        <c:majorUnit val="10"/>
      </c:valAx>
      <c:valAx>
        <c:axId val="91900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986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Sheet1!$I$28</c:f>
              <c:strCache>
                <c:ptCount val="1"/>
                <c:pt idx="0">
                  <c:v>45.091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Sheet1!$I$29:$I$59</c:f>
              <c:numCache>
                <c:formatCode>0.000</c:formatCode>
                <c:ptCount val="31"/>
                <c:pt idx="0">
                  <c:v>45.637030753413114</c:v>
                </c:pt>
                <c:pt idx="1">
                  <c:v>46.186738484378225</c:v>
                </c:pt>
                <c:pt idx="2">
                  <c:v>46.740230778362957</c:v>
                </c:pt>
                <c:pt idx="3">
                  <c:v>47.297499642516641</c:v>
                </c:pt>
                <c:pt idx="4">
                  <c:v>47.858536763286111</c:v>
                </c:pt>
                <c:pt idx="5">
                  <c:v>48.423333509451254</c:v>
                </c:pt>
                <c:pt idx="6">
                  <c:v>48.991880935229119</c:v>
                </c:pt>
                <c:pt idx="7">
                  <c:v>49.564169783446573</c:v>
                </c:pt>
                <c:pt idx="8">
                  <c:v>50.140190488779353</c:v>
                </c:pt>
                <c:pt idx="9">
                  <c:v>50.719933181058536</c:v>
                </c:pt>
                <c:pt idx="10">
                  <c:v>51.303387688635326</c:v>
                </c:pt>
                <c:pt idx="11">
                  <c:v>51.890543541812917</c:v>
                </c:pt>
                <c:pt idx="12">
                  <c:v>52.481389976334526</c:v>
                </c:pt>
                <c:pt idx="13">
                  <c:v>53.075915936931437</c:v>
                </c:pt>
                <c:pt idx="14">
                  <c:v>53.67411008092563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3-9345-97E0-55717FC10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32928"/>
        <c:axId val="91947392"/>
      </c:scatterChart>
      <c:valAx>
        <c:axId val="91932928"/>
        <c:scaling>
          <c:orientation val="minMax"/>
          <c:max val="1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47392"/>
        <c:crosses val="autoZero"/>
        <c:crossBetween val="midCat"/>
        <c:majorUnit val="10"/>
      </c:valAx>
      <c:valAx>
        <c:axId val="91947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value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29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AE-CB4A-BE62-9250E198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92064"/>
        <c:axId val="91993984"/>
      </c:scatterChart>
      <c:valAx>
        <c:axId val="91992064"/>
        <c:scaling>
          <c:orientation val="minMax"/>
          <c:max val="1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93984"/>
        <c:crosses val="autoZero"/>
        <c:crossBetween val="midCat"/>
        <c:majorUnit val="10"/>
      </c:valAx>
      <c:valAx>
        <c:axId val="91993984"/>
        <c:scaling>
          <c:orientation val="minMax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Put delta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920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sig=.25, T = .5, X = 100, r = .06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A-6D43-B1CE-4511994C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71552"/>
        <c:axId val="93273472"/>
      </c:scatterChart>
      <c:valAx>
        <c:axId val="93271552"/>
        <c:scaling>
          <c:orientation val="minMax"/>
          <c:max val="1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73472"/>
        <c:crosses val="autoZero"/>
        <c:crossBetween val="midCat"/>
        <c:majorUnit val="10"/>
      </c:valAx>
      <c:valAx>
        <c:axId val="93273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Call elasticity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2715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sig = .25, T = .5, X = 100, r = .06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8845-957E-1F3F8548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10336"/>
        <c:axId val="94520832"/>
      </c:scatterChart>
      <c:valAx>
        <c:axId val="93310336"/>
        <c:scaling>
          <c:orientation val="minMax"/>
          <c:max val="160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Stock price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20832"/>
        <c:crosses val="autoZero"/>
        <c:crossBetween val="midCat"/>
        <c:majorUnit val="10"/>
      </c:valAx>
      <c:valAx>
        <c:axId val="9452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Put elasticity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3103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7077034853354"/>
          <c:y val="5.828966472213272E-2"/>
          <c:w val="0.73157864406169859"/>
          <c:h val="0.790553577793924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Options Portfolio</c:v>
                </c:pt>
              </c:strCache>
            </c:strRef>
          </c:tx>
          <c:spPr>
            <a:ln w="38100"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Sheet1!$G$3:$G$43</c:f>
              <c:numCache>
                <c:formatCode>0</c:formatCode>
                <c:ptCount val="41"/>
                <c:pt idx="0">
                  <c:v>1180</c:v>
                </c:pt>
                <c:pt idx="1">
                  <c:v>1181</c:v>
                </c:pt>
                <c:pt idx="2">
                  <c:v>1182</c:v>
                </c:pt>
                <c:pt idx="3">
                  <c:v>1183</c:v>
                </c:pt>
                <c:pt idx="4">
                  <c:v>1184</c:v>
                </c:pt>
                <c:pt idx="5">
                  <c:v>1185</c:v>
                </c:pt>
                <c:pt idx="6">
                  <c:v>1186</c:v>
                </c:pt>
                <c:pt idx="7">
                  <c:v>1187</c:v>
                </c:pt>
                <c:pt idx="8">
                  <c:v>1188</c:v>
                </c:pt>
                <c:pt idx="9">
                  <c:v>1189</c:v>
                </c:pt>
                <c:pt idx="10">
                  <c:v>1190</c:v>
                </c:pt>
                <c:pt idx="11">
                  <c:v>1191</c:v>
                </c:pt>
                <c:pt idx="12">
                  <c:v>1192</c:v>
                </c:pt>
                <c:pt idx="13">
                  <c:v>1193</c:v>
                </c:pt>
                <c:pt idx="14">
                  <c:v>1194</c:v>
                </c:pt>
                <c:pt idx="15">
                  <c:v>1195</c:v>
                </c:pt>
                <c:pt idx="16">
                  <c:v>1196</c:v>
                </c:pt>
                <c:pt idx="17">
                  <c:v>1197</c:v>
                </c:pt>
                <c:pt idx="18">
                  <c:v>1198</c:v>
                </c:pt>
                <c:pt idx="19">
                  <c:v>1199</c:v>
                </c:pt>
                <c:pt idx="20">
                  <c:v>1200</c:v>
                </c:pt>
                <c:pt idx="21">
                  <c:v>1201</c:v>
                </c:pt>
                <c:pt idx="22">
                  <c:v>1202</c:v>
                </c:pt>
                <c:pt idx="23">
                  <c:v>1203</c:v>
                </c:pt>
                <c:pt idx="24">
                  <c:v>1204</c:v>
                </c:pt>
                <c:pt idx="25">
                  <c:v>1205</c:v>
                </c:pt>
                <c:pt idx="26">
                  <c:v>1206</c:v>
                </c:pt>
                <c:pt idx="27">
                  <c:v>1207</c:v>
                </c:pt>
                <c:pt idx="28">
                  <c:v>1208</c:v>
                </c:pt>
                <c:pt idx="29">
                  <c:v>1209</c:v>
                </c:pt>
                <c:pt idx="30">
                  <c:v>1210</c:v>
                </c:pt>
                <c:pt idx="31">
                  <c:v>1211</c:v>
                </c:pt>
                <c:pt idx="32">
                  <c:v>1212</c:v>
                </c:pt>
                <c:pt idx="33">
                  <c:v>1213</c:v>
                </c:pt>
                <c:pt idx="34">
                  <c:v>1214</c:v>
                </c:pt>
                <c:pt idx="35">
                  <c:v>1215</c:v>
                </c:pt>
                <c:pt idx="36">
                  <c:v>1216</c:v>
                </c:pt>
                <c:pt idx="37">
                  <c:v>1217</c:v>
                </c:pt>
                <c:pt idx="38">
                  <c:v>1218</c:v>
                </c:pt>
                <c:pt idx="39">
                  <c:v>1219</c:v>
                </c:pt>
                <c:pt idx="40">
                  <c:v>1220</c:v>
                </c:pt>
              </c:numCache>
            </c:numRef>
          </c:xVal>
          <c:yVal>
            <c:numRef>
              <c:f>Sheet1!$N$3:$N$43</c:f>
              <c:numCache>
                <c:formatCode>0.000</c:formatCode>
                <c:ptCount val="41"/>
                <c:pt idx="0">
                  <c:v>-873.11868843618322</c:v>
                </c:pt>
                <c:pt idx="1">
                  <c:v>-838.72518146410039</c:v>
                </c:pt>
                <c:pt idx="2">
                  <c:v>-803.3708687704584</c:v>
                </c:pt>
                <c:pt idx="3">
                  <c:v>-767.05296476347758</c:v>
                </c:pt>
                <c:pt idx="4">
                  <c:v>-729.76878169753945</c:v>
                </c:pt>
                <c:pt idx="5">
                  <c:v>-691.51573014164205</c:v>
                </c:pt>
                <c:pt idx="6">
                  <c:v>-652.2913194167304</c:v>
                </c:pt>
                <c:pt idx="7">
                  <c:v>-612.0931580012948</c:v>
                </c:pt>
                <c:pt idx="8">
                  <c:v>-570.91895390591344</c:v>
                </c:pt>
                <c:pt idx="9">
                  <c:v>-528.76651501607557</c:v>
                </c:pt>
                <c:pt idx="10">
                  <c:v>-485.63374940406356</c:v>
                </c:pt>
                <c:pt idx="11">
                  <c:v>-441.51866560894814</c:v>
                </c:pt>
                <c:pt idx="12">
                  <c:v>-396.41937288561348</c:v>
                </c:pt>
                <c:pt idx="13">
                  <c:v>-350.33408142222652</c:v>
                </c:pt>
                <c:pt idx="14">
                  <c:v>-303.26110252670514</c:v>
                </c:pt>
                <c:pt idx="15">
                  <c:v>-255.19884878178163</c:v>
                </c:pt>
                <c:pt idx="16">
                  <c:v>-206.14583416924143</c:v>
                </c:pt>
                <c:pt idx="17">
                  <c:v>-156.10067416292804</c:v>
                </c:pt>
                <c:pt idx="18">
                  <c:v>-105.06208579159829</c:v>
                </c:pt>
                <c:pt idx="19">
                  <c:v>-53.028887669865071</c:v>
                </c:pt>
                <c:pt idx="20">
                  <c:v>0</c:v>
                </c:pt>
                <c:pt idx="21">
                  <c:v>54.02555545775067</c:v>
                </c:pt>
                <c:pt idx="22">
                  <c:v>109.04865544422319</c:v>
                </c:pt>
                <c:pt idx="23">
                  <c:v>165.07007529092334</c:v>
                </c:pt>
                <c:pt idx="24">
                  <c:v>222.09048903932307</c:v>
                </c:pt>
                <c:pt idx="25">
                  <c:v>280.11046958912448</c:v>
                </c:pt>
                <c:pt idx="26">
                  <c:v>339.13048887687728</c:v>
                </c:pt>
                <c:pt idx="27">
                  <c:v>399.15091808289253</c:v>
                </c:pt>
                <c:pt idx="28" formatCode="0.00">
                  <c:v>460.17202786701273</c:v>
                </c:pt>
                <c:pt idx="29" formatCode="0.00">
                  <c:v>522.1939886335731</c:v>
                </c:pt>
                <c:pt idx="30" formatCode="0.00">
                  <c:v>585.21687082373319</c:v>
                </c:pt>
                <c:pt idx="31" formatCode="0.00">
                  <c:v>649.24064523657216</c:v>
                </c:pt>
                <c:pt idx="32" formatCode="0.00">
                  <c:v>714.26518337735797</c:v>
                </c:pt>
                <c:pt idx="33" formatCode="0.00">
                  <c:v>780.29025783337966</c:v>
                </c:pt>
                <c:pt idx="34" formatCode="0.00">
                  <c:v>847.31554267654428</c:v>
                </c:pt>
                <c:pt idx="35" formatCode="0.00">
                  <c:v>915.34061389358794</c:v>
                </c:pt>
                <c:pt idx="36" formatCode="0.00">
                  <c:v>984.36494984081037</c:v>
                </c:pt>
                <c:pt idx="37" formatCode="0.00">
                  <c:v>1054.3879317267965</c:v>
                </c:pt>
                <c:pt idx="38" formatCode="0.00">
                  <c:v>1125.4088441194344</c:v>
                </c:pt>
                <c:pt idx="39" formatCode="0.00">
                  <c:v>1197.4268754788718</c:v>
                </c:pt>
                <c:pt idx="40" formatCode="0.00">
                  <c:v>1270.4411187146816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7-FA49-A054-4365F1530ECD}"/>
            </c:ext>
          </c:extLst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D matched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Sheet1!$G$3:$G$43</c:f>
              <c:numCache>
                <c:formatCode>0</c:formatCode>
                <c:ptCount val="41"/>
                <c:pt idx="0">
                  <c:v>1180</c:v>
                </c:pt>
                <c:pt idx="1">
                  <c:v>1181</c:v>
                </c:pt>
                <c:pt idx="2">
                  <c:v>1182</c:v>
                </c:pt>
                <c:pt idx="3">
                  <c:v>1183</c:v>
                </c:pt>
                <c:pt idx="4">
                  <c:v>1184</c:v>
                </c:pt>
                <c:pt idx="5">
                  <c:v>1185</c:v>
                </c:pt>
                <c:pt idx="6">
                  <c:v>1186</c:v>
                </c:pt>
                <c:pt idx="7">
                  <c:v>1187</c:v>
                </c:pt>
                <c:pt idx="8">
                  <c:v>1188</c:v>
                </c:pt>
                <c:pt idx="9">
                  <c:v>1189</c:v>
                </c:pt>
                <c:pt idx="10">
                  <c:v>1190</c:v>
                </c:pt>
                <c:pt idx="11">
                  <c:v>1191</c:v>
                </c:pt>
                <c:pt idx="12">
                  <c:v>1192</c:v>
                </c:pt>
                <c:pt idx="13">
                  <c:v>1193</c:v>
                </c:pt>
                <c:pt idx="14">
                  <c:v>1194</c:v>
                </c:pt>
                <c:pt idx="15">
                  <c:v>1195</c:v>
                </c:pt>
                <c:pt idx="16">
                  <c:v>1196</c:v>
                </c:pt>
                <c:pt idx="17">
                  <c:v>1197</c:v>
                </c:pt>
                <c:pt idx="18">
                  <c:v>1198</c:v>
                </c:pt>
                <c:pt idx="19">
                  <c:v>1199</c:v>
                </c:pt>
                <c:pt idx="20">
                  <c:v>1200</c:v>
                </c:pt>
                <c:pt idx="21">
                  <c:v>1201</c:v>
                </c:pt>
                <c:pt idx="22">
                  <c:v>1202</c:v>
                </c:pt>
                <c:pt idx="23">
                  <c:v>1203</c:v>
                </c:pt>
                <c:pt idx="24">
                  <c:v>1204</c:v>
                </c:pt>
                <c:pt idx="25">
                  <c:v>1205</c:v>
                </c:pt>
                <c:pt idx="26">
                  <c:v>1206</c:v>
                </c:pt>
                <c:pt idx="27">
                  <c:v>1207</c:v>
                </c:pt>
                <c:pt idx="28">
                  <c:v>1208</c:v>
                </c:pt>
                <c:pt idx="29">
                  <c:v>1209</c:v>
                </c:pt>
                <c:pt idx="30">
                  <c:v>1210</c:v>
                </c:pt>
                <c:pt idx="31">
                  <c:v>1211</c:v>
                </c:pt>
                <c:pt idx="32">
                  <c:v>1212</c:v>
                </c:pt>
                <c:pt idx="33">
                  <c:v>1213</c:v>
                </c:pt>
                <c:pt idx="34">
                  <c:v>1214</c:v>
                </c:pt>
                <c:pt idx="35">
                  <c:v>1215</c:v>
                </c:pt>
                <c:pt idx="36">
                  <c:v>1216</c:v>
                </c:pt>
                <c:pt idx="37">
                  <c:v>1217</c:v>
                </c:pt>
                <c:pt idx="38">
                  <c:v>1218</c:v>
                </c:pt>
                <c:pt idx="39">
                  <c:v>1219</c:v>
                </c:pt>
                <c:pt idx="40">
                  <c:v>1220</c:v>
                </c:pt>
              </c:numCache>
            </c:numRef>
          </c:xVal>
          <c:yVal>
            <c:numRef>
              <c:f>Sheet1!$O$3:$O$43</c:f>
              <c:numCache>
                <c:formatCode>0.00</c:formatCode>
                <c:ptCount val="41"/>
                <c:pt idx="0">
                  <c:v>-7949.3176608924532</c:v>
                </c:pt>
                <c:pt idx="1">
                  <c:v>-7561.1142052975574</c:v>
                </c:pt>
                <c:pt idx="2">
                  <c:v>-7171.9499439811016</c:v>
                </c:pt>
                <c:pt idx="3">
                  <c:v>-6781.8220913513078</c:v>
                </c:pt>
                <c:pt idx="4">
                  <c:v>-6390.7279596625558</c:v>
                </c:pt>
                <c:pt idx="5">
                  <c:v>-5998.6649594838445</c:v>
                </c:pt>
                <c:pt idx="6">
                  <c:v>-5605.6306001361199</c:v>
                </c:pt>
                <c:pt idx="7">
                  <c:v>-5211.6224900978705</c:v>
                </c:pt>
                <c:pt idx="8">
                  <c:v>-4816.6383373796762</c:v>
                </c:pt>
                <c:pt idx="9">
                  <c:v>-4420.6759498670244</c:v>
                </c:pt>
                <c:pt idx="10">
                  <c:v>-4023.7332356321986</c:v>
                </c:pt>
                <c:pt idx="11">
                  <c:v>-3625.8082032142697</c:v>
                </c:pt>
                <c:pt idx="12">
                  <c:v>-3226.8989618681217</c:v>
                </c:pt>
                <c:pt idx="13">
                  <c:v>-2827.0037217819213</c:v>
                </c:pt>
                <c:pt idx="14">
                  <c:v>-2426.1207942635865</c:v>
                </c:pt>
                <c:pt idx="15">
                  <c:v>-2024.2485918958491</c:v>
                </c:pt>
                <c:pt idx="16">
                  <c:v>-1621.3856286604955</c:v>
                </c:pt>
                <c:pt idx="17">
                  <c:v>-1217.5305200313687</c:v>
                </c:pt>
                <c:pt idx="18">
                  <c:v>-812.68198303722534</c:v>
                </c:pt>
                <c:pt idx="19">
                  <c:v>-406.83883629267859</c:v>
                </c:pt>
                <c:pt idx="20">
                  <c:v>0</c:v>
                </c:pt>
                <c:pt idx="21">
                  <c:v>407.83550408056419</c:v>
                </c:pt>
                <c:pt idx="22">
                  <c:v>816.66855268985023</c:v>
                </c:pt>
                <c:pt idx="23">
                  <c:v>1226.499921159364</c:v>
                </c:pt>
                <c:pt idx="24">
                  <c:v>1637.3302835305772</c:v>
                </c:pt>
                <c:pt idx="25">
                  <c:v>2049.160212703192</c:v>
                </c:pt>
                <c:pt idx="26">
                  <c:v>2461.9901806137586</c:v>
                </c:pt>
                <c:pt idx="27">
                  <c:v>2875.8205584425873</c:v>
                </c:pt>
                <c:pt idx="28">
                  <c:v>3290.6516168495209</c:v>
                </c:pt>
                <c:pt idx="29">
                  <c:v>3706.4835262388947</c:v>
                </c:pt>
                <c:pt idx="30">
                  <c:v>4123.3163570518682</c:v>
                </c:pt>
                <c:pt idx="31">
                  <c:v>4541.150080087521</c:v>
                </c:pt>
                <c:pt idx="32">
                  <c:v>4959.9845668511207</c:v>
                </c:pt>
                <c:pt idx="33">
                  <c:v>5379.8195899299553</c:v>
                </c:pt>
                <c:pt idx="34">
                  <c:v>5800.6548233959338</c:v>
                </c:pt>
                <c:pt idx="35">
                  <c:v>6222.4898432357904</c:v>
                </c:pt>
                <c:pt idx="36">
                  <c:v>6645.3241278058267</c:v>
                </c:pt>
                <c:pt idx="37">
                  <c:v>7069.1570583146267</c:v>
                </c:pt>
                <c:pt idx="38">
                  <c:v>7493.9879193300776</c:v>
                </c:pt>
                <c:pt idx="39">
                  <c:v>7919.8158993123288</c:v>
                </c:pt>
                <c:pt idx="40">
                  <c:v>8346.6400911709516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D7-FA49-A054-4365F1530ECD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D &amp; G  matched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ysDash"/>
            </a:ln>
          </c:spPr>
          <c:marker>
            <c:symbol val="none"/>
          </c:marker>
          <c:xVal>
            <c:numRef>
              <c:f>Sheet1!$G$3:$G$43</c:f>
              <c:numCache>
                <c:formatCode>0</c:formatCode>
                <c:ptCount val="41"/>
                <c:pt idx="0">
                  <c:v>1180</c:v>
                </c:pt>
                <c:pt idx="1">
                  <c:v>1181</c:v>
                </c:pt>
                <c:pt idx="2">
                  <c:v>1182</c:v>
                </c:pt>
                <c:pt idx="3">
                  <c:v>1183</c:v>
                </c:pt>
                <c:pt idx="4">
                  <c:v>1184</c:v>
                </c:pt>
                <c:pt idx="5">
                  <c:v>1185</c:v>
                </c:pt>
                <c:pt idx="6">
                  <c:v>1186</c:v>
                </c:pt>
                <c:pt idx="7">
                  <c:v>1187</c:v>
                </c:pt>
                <c:pt idx="8">
                  <c:v>1188</c:v>
                </c:pt>
                <c:pt idx="9">
                  <c:v>1189</c:v>
                </c:pt>
                <c:pt idx="10">
                  <c:v>1190</c:v>
                </c:pt>
                <c:pt idx="11">
                  <c:v>1191</c:v>
                </c:pt>
                <c:pt idx="12">
                  <c:v>1192</c:v>
                </c:pt>
                <c:pt idx="13">
                  <c:v>1193</c:v>
                </c:pt>
                <c:pt idx="14">
                  <c:v>1194</c:v>
                </c:pt>
                <c:pt idx="15">
                  <c:v>1195</c:v>
                </c:pt>
                <c:pt idx="16">
                  <c:v>1196</c:v>
                </c:pt>
                <c:pt idx="17">
                  <c:v>1197</c:v>
                </c:pt>
                <c:pt idx="18">
                  <c:v>1198</c:v>
                </c:pt>
                <c:pt idx="19">
                  <c:v>1199</c:v>
                </c:pt>
                <c:pt idx="20">
                  <c:v>1200</c:v>
                </c:pt>
                <c:pt idx="21">
                  <c:v>1201</c:v>
                </c:pt>
                <c:pt idx="22">
                  <c:v>1202</c:v>
                </c:pt>
                <c:pt idx="23">
                  <c:v>1203</c:v>
                </c:pt>
                <c:pt idx="24">
                  <c:v>1204</c:v>
                </c:pt>
                <c:pt idx="25">
                  <c:v>1205</c:v>
                </c:pt>
                <c:pt idx="26">
                  <c:v>1206</c:v>
                </c:pt>
                <c:pt idx="27">
                  <c:v>1207</c:v>
                </c:pt>
                <c:pt idx="28">
                  <c:v>1208</c:v>
                </c:pt>
                <c:pt idx="29">
                  <c:v>1209</c:v>
                </c:pt>
                <c:pt idx="30">
                  <c:v>1210</c:v>
                </c:pt>
                <c:pt idx="31">
                  <c:v>1211</c:v>
                </c:pt>
                <c:pt idx="32">
                  <c:v>1212</c:v>
                </c:pt>
                <c:pt idx="33">
                  <c:v>1213</c:v>
                </c:pt>
                <c:pt idx="34">
                  <c:v>1214</c:v>
                </c:pt>
                <c:pt idx="35">
                  <c:v>1215</c:v>
                </c:pt>
                <c:pt idx="36">
                  <c:v>1216</c:v>
                </c:pt>
                <c:pt idx="37">
                  <c:v>1217</c:v>
                </c:pt>
                <c:pt idx="38">
                  <c:v>1218</c:v>
                </c:pt>
                <c:pt idx="39">
                  <c:v>1219</c:v>
                </c:pt>
                <c:pt idx="40">
                  <c:v>1220</c:v>
                </c:pt>
              </c:numCache>
            </c:numRef>
          </c:xVal>
          <c:yVal>
            <c:numRef>
              <c:f>Sheet1!$P$3:$P$43</c:f>
              <c:numCache>
                <c:formatCode>0.00</c:formatCode>
                <c:ptCount val="41"/>
                <c:pt idx="0">
                  <c:v>-8464.4086507475749</c:v>
                </c:pt>
                <c:pt idx="1">
                  <c:v>-8025.9015357484986</c:v>
                </c:pt>
                <c:pt idx="2">
                  <c:v>-7589.0193946568124</c:v>
                </c:pt>
                <c:pt idx="3">
                  <c:v>-7153.7602066164782</c:v>
                </c:pt>
                <c:pt idx="4">
                  <c:v>-6720.1218014000206</c:v>
                </c:pt>
                <c:pt idx="5">
                  <c:v>-6288.101860353936</c:v>
                </c:pt>
                <c:pt idx="6">
                  <c:v>-5857.6979173834079</c:v>
                </c:pt>
                <c:pt idx="7">
                  <c:v>-5428.9073599740914</c:v>
                </c:pt>
                <c:pt idx="8">
                  <c:v>-5001.7274302494316</c:v>
                </c:pt>
                <c:pt idx="9">
                  <c:v>-4576.155226065297</c:v>
                </c:pt>
                <c:pt idx="10">
                  <c:v>-4152.1877021382825</c:v>
                </c:pt>
                <c:pt idx="11">
                  <c:v>-3729.8216712106932</c:v>
                </c:pt>
                <c:pt idx="12">
                  <c:v>-3309.0538052469583</c:v>
                </c:pt>
                <c:pt idx="13">
                  <c:v>-2889.8806366654262</c:v>
                </c:pt>
                <c:pt idx="14">
                  <c:v>-2472.2985596015587</c:v>
                </c:pt>
                <c:pt idx="15">
                  <c:v>-2056.3038312037479</c:v>
                </c:pt>
                <c:pt idx="16">
                  <c:v>-1641.8925729601251</c:v>
                </c:pt>
                <c:pt idx="17">
                  <c:v>-1229.0607720552543</c:v>
                </c:pt>
                <c:pt idx="18">
                  <c:v>-817.80428275756094</c:v>
                </c:pt>
                <c:pt idx="19">
                  <c:v>-408.11882783503461</c:v>
                </c:pt>
                <c:pt idx="20">
                  <c:v>0</c:v>
                </c:pt>
                <c:pt idx="21">
                  <c:v>406.55673661869332</c:v>
                </c:pt>
                <c:pt idx="22">
                  <c:v>811.5560449777895</c:v>
                </c:pt>
                <c:pt idx="23">
                  <c:v>1215.0027135939508</c:v>
                </c:pt>
                <c:pt idx="24">
                  <c:v>1616.9016549938915</c:v>
                </c:pt>
                <c:pt idx="25">
                  <c:v>2017.2579041396948</c:v>
                </c:pt>
                <c:pt idx="26">
                  <c:v>2416.0766168297687</c:v>
                </c:pt>
                <c:pt idx="27">
                  <c:v>2813.363068077806</c:v>
                </c:pt>
                <c:pt idx="28">
                  <c:v>3209.1226504690294</c:v>
                </c:pt>
                <c:pt idx="29">
                  <c:v>3603.3608724945207</c:v>
                </c:pt>
                <c:pt idx="30">
                  <c:v>3996.083356865307</c:v>
                </c:pt>
                <c:pt idx="31">
                  <c:v>4387.2958388071311</c:v>
                </c:pt>
                <c:pt idx="32">
                  <c:v>4777.004164335247</c:v>
                </c:pt>
                <c:pt idx="33">
                  <c:v>5165.2142885106787</c:v>
                </c:pt>
                <c:pt idx="34">
                  <c:v>5551.9322736808681</c:v>
                </c:pt>
                <c:pt idx="35">
                  <c:v>5937.1642877003233</c:v>
                </c:pt>
                <c:pt idx="36">
                  <c:v>6320.9166021388864</c:v>
                </c:pt>
                <c:pt idx="37">
                  <c:v>6703.1955904725874</c:v>
                </c:pt>
                <c:pt idx="38">
                  <c:v>7084.0077262607247</c:v>
                </c:pt>
                <c:pt idx="39">
                  <c:v>7463.3595813096545</c:v>
                </c:pt>
                <c:pt idx="40">
                  <c:v>7841.257823823069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7-FA49-A054-4365F153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92320"/>
        <c:axId val="94802688"/>
      </c:scatterChart>
      <c:valAx>
        <c:axId val="9479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Stock price</a:t>
                </a:r>
              </a:p>
            </c:rich>
          </c:tx>
          <c:layout>
            <c:manualLayout>
              <c:xMode val="edge"/>
              <c:yMode val="edge"/>
              <c:x val="0.4552741834415065"/>
              <c:y val="0.870701855991742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802688"/>
        <c:crosses val="autoZero"/>
        <c:crossBetween val="midCat"/>
      </c:valAx>
      <c:valAx>
        <c:axId val="94802688"/>
        <c:scaling>
          <c:orientation val="minMax"/>
          <c:max val="1500"/>
          <c:min val="-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Profit/loss</a:t>
                </a:r>
              </a:p>
            </c:rich>
          </c:tx>
          <c:layout>
            <c:manualLayout>
              <c:xMode val="edge"/>
              <c:yMode val="edge"/>
              <c:x val="3.6107871253390419E-2"/>
              <c:y val="0.37706114593859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7923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071147275546476"/>
          <c:y val="0.92899150558037447"/>
          <c:w val="0.64994328343190144"/>
          <c:h val="3.6430997875732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14</xdr:col>
      <xdr:colOff>0</xdr:colOff>
      <xdr:row>24</xdr:row>
      <xdr:rowOff>103128</xdr:rowOff>
    </xdr:to>
    <xdr:graphicFrame macro="">
      <xdr:nvGraphicFramePr>
        <xdr:cNvPr id="1054" name="Chart 5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103128</xdr:rowOff>
    </xdr:from>
    <xdr:to>
      <xdr:col>14</xdr:col>
      <xdr:colOff>0</xdr:colOff>
      <xdr:row>32</xdr:row>
      <xdr:rowOff>68752</xdr:rowOff>
    </xdr:to>
    <xdr:graphicFrame macro="">
      <xdr:nvGraphicFramePr>
        <xdr:cNvPr id="1055" name="Chart 7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45</xdr:row>
      <xdr:rowOff>89377</xdr:rowOff>
    </xdr:from>
    <xdr:to>
      <xdr:col>14</xdr:col>
      <xdr:colOff>0</xdr:colOff>
      <xdr:row>59</xdr:row>
      <xdr:rowOff>123753</xdr:rowOff>
    </xdr:to>
    <xdr:graphicFrame macro="">
      <xdr:nvGraphicFramePr>
        <xdr:cNvPr id="1056" name="Chart 9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6875</xdr:rowOff>
    </xdr:from>
    <xdr:to>
      <xdr:col>0</xdr:col>
      <xdr:colOff>0</xdr:colOff>
      <xdr:row>75</xdr:row>
      <xdr:rowOff>41251</xdr:rowOff>
    </xdr:to>
    <xdr:graphicFrame macro="">
      <xdr:nvGraphicFramePr>
        <xdr:cNvPr id="1057" name="Chart 1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27501</xdr:rowOff>
    </xdr:from>
    <xdr:to>
      <xdr:col>0</xdr:col>
      <xdr:colOff>0</xdr:colOff>
      <xdr:row>91</xdr:row>
      <xdr:rowOff>61877</xdr:rowOff>
    </xdr:to>
    <xdr:graphicFrame macro="">
      <xdr:nvGraphicFramePr>
        <xdr:cNvPr id="1058" name="Chart 13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95</xdr:row>
      <xdr:rowOff>27501</xdr:rowOff>
    </xdr:from>
    <xdr:to>
      <xdr:col>0</xdr:col>
      <xdr:colOff>0</xdr:colOff>
      <xdr:row>109</xdr:row>
      <xdr:rowOff>61877</xdr:rowOff>
    </xdr:to>
    <xdr:graphicFrame macro="">
      <xdr:nvGraphicFramePr>
        <xdr:cNvPr id="1059" name="Chart 15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25</xdr:col>
      <xdr:colOff>158129</xdr:colOff>
      <xdr:row>24</xdr:row>
      <xdr:rowOff>151254</xdr:rowOff>
    </xdr:from>
    <xdr:to>
      <xdr:col>25</xdr:col>
      <xdr:colOff>226881</xdr:colOff>
      <xdr:row>26</xdr:row>
      <xdr:rowOff>20626</xdr:rowOff>
    </xdr:to>
    <xdr:sp macro="" textlink="">
      <xdr:nvSpPr>
        <xdr:cNvPr id="1060" name="Text Box 19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 txBox="1">
          <a:spLocks noChangeArrowheads="1"/>
        </xdr:cNvSpPr>
      </xdr:nvSpPr>
      <xdr:spPr bwMode="auto">
        <a:xfrm>
          <a:off x="15214791" y="3946358"/>
          <a:ext cx="68752" cy="185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481263</xdr:colOff>
      <xdr:row>44</xdr:row>
      <xdr:rowOff>0</xdr:rowOff>
    </xdr:from>
    <xdr:to>
      <xdr:col>3</xdr:col>
      <xdr:colOff>556890</xdr:colOff>
      <xdr:row>45</xdr:row>
      <xdr:rowOff>0</xdr:rowOff>
    </xdr:to>
    <xdr:sp macro="" textlink="">
      <xdr:nvSpPr>
        <xdr:cNvPr id="1061" name="Line 23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ShapeType="1"/>
        </xdr:cNvSpPr>
      </xdr:nvSpPr>
      <xdr:spPr bwMode="auto">
        <a:xfrm flipV="1">
          <a:off x="3306965" y="6957690"/>
          <a:ext cx="75627" cy="1581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1567543</xdr:colOff>
      <xdr:row>44</xdr:row>
      <xdr:rowOff>6875</xdr:rowOff>
    </xdr:from>
    <xdr:to>
      <xdr:col>2</xdr:col>
      <xdr:colOff>41251</xdr:colOff>
      <xdr:row>45</xdr:row>
      <xdr:rowOff>116878</xdr:rowOff>
    </xdr:to>
    <xdr:sp macro="" textlink="">
      <xdr:nvSpPr>
        <xdr:cNvPr id="1062" name="Line 24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ShapeType="1"/>
        </xdr:cNvSpPr>
      </xdr:nvSpPr>
      <xdr:spPr bwMode="auto">
        <a:xfrm flipV="1">
          <a:off x="1567543" y="6964565"/>
          <a:ext cx="632517" cy="26813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68752</xdr:colOff>
      <xdr:row>51</xdr:row>
      <xdr:rowOff>89377</xdr:rowOff>
    </xdr:from>
    <xdr:to>
      <xdr:col>14</xdr:col>
      <xdr:colOff>213131</xdr:colOff>
      <xdr:row>75</xdr:row>
      <xdr:rowOff>68752</xdr:rowOff>
    </xdr:to>
    <xdr:graphicFrame macro="">
      <xdr:nvGraphicFramePr>
        <xdr:cNvPr id="1063" name="Chart 25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topLeftCell="A10" workbookViewId="0">
      <selection activeCell="C44" sqref="C44"/>
    </sheetView>
  </sheetViews>
  <sheetFormatPr baseColWidth="10" defaultColWidth="8.83203125" defaultRowHeight="13" x14ac:dyDescent="0.15"/>
  <cols>
    <col min="1" max="1" width="23.6640625" customWidth="1"/>
    <col min="2" max="3" width="9.6640625" style="14" customWidth="1"/>
    <col min="4" max="4" width="12.6640625" style="14" customWidth="1"/>
    <col min="5" max="5" width="10.1640625" style="7" bestFit="1" customWidth="1"/>
    <col min="6" max="6" width="1.6640625" customWidth="1"/>
    <col min="7" max="7" width="7.6640625" style="52" customWidth="1"/>
    <col min="8" max="13" width="7.6640625" style="8" customWidth="1"/>
    <col min="14" max="14" width="14.5" style="45" customWidth="1"/>
    <col min="15" max="16" width="9.1640625" style="27" customWidth="1"/>
    <col min="17" max="17" width="2.6640625" customWidth="1"/>
    <col min="19" max="19" width="9.6640625" customWidth="1"/>
  </cols>
  <sheetData>
    <row r="1" spans="1:16" ht="14" x14ac:dyDescent="0.2">
      <c r="A1" s="2" t="s">
        <v>30</v>
      </c>
      <c r="B1" s="9"/>
      <c r="C1" s="10"/>
      <c r="D1" s="11" t="s">
        <v>0</v>
      </c>
      <c r="E1" s="12"/>
      <c r="H1" s="24" t="s">
        <v>38</v>
      </c>
      <c r="K1" s="32" t="s">
        <v>39</v>
      </c>
      <c r="N1" s="32" t="s">
        <v>40</v>
      </c>
      <c r="O1" s="26"/>
    </row>
    <row r="2" spans="1:16" x14ac:dyDescent="0.15">
      <c r="A2" s="3" t="s">
        <v>13</v>
      </c>
      <c r="B2" s="12">
        <v>0.3</v>
      </c>
      <c r="C2" s="13" t="s">
        <v>1</v>
      </c>
      <c r="D2" s="13" t="s">
        <v>2</v>
      </c>
      <c r="E2" s="12">
        <f>(LN(s0/X)+(annrate-anndiv+0.5*Sigma*Sigma)*T)/(Sigma*SQRT(T))</f>
        <v>0.55398237598817945</v>
      </c>
      <c r="G2" s="53" t="s">
        <v>16</v>
      </c>
      <c r="H2" s="23" t="s">
        <v>17</v>
      </c>
      <c r="I2" s="23" t="s">
        <v>18</v>
      </c>
      <c r="J2" s="23" t="s">
        <v>37</v>
      </c>
      <c r="K2" s="23" t="s">
        <v>34</v>
      </c>
      <c r="L2" s="23" t="s">
        <v>35</v>
      </c>
      <c r="M2" s="23" t="s">
        <v>36</v>
      </c>
      <c r="N2" s="43" t="s">
        <v>60</v>
      </c>
      <c r="O2" s="28" t="s">
        <v>51</v>
      </c>
      <c r="P2" s="29" t="s">
        <v>55</v>
      </c>
    </row>
    <row r="3" spans="1:16" x14ac:dyDescent="0.15">
      <c r="A3" s="3" t="s">
        <v>3</v>
      </c>
      <c r="B3" s="13">
        <f>1/12</f>
        <v>8.3333333333333329E-2</v>
      </c>
      <c r="C3" s="13"/>
      <c r="D3" s="13" t="s">
        <v>4</v>
      </c>
      <c r="E3" s="12">
        <f>_arg1-Sigma*SQRT(T)</f>
        <v>0.46737983560973562</v>
      </c>
      <c r="G3" s="52">
        <f t="shared" ref="G3:G22" si="0">G4 -stepsize</f>
        <v>1180</v>
      </c>
      <c r="H3" s="8">
        <f t="shared" ref="H3:H43" si="1">$G3*EXP(-anndiv*T)*NORMSDIST((LN($G3/X)+(annrate-anndiv+0.5*Sigma*Sigma)*T)/(Sigma*SQRT(T))) - X*EXP(-annrate*T)*NORMSDIST((LN($G3/X)+(annrate-anndiv-0.5*Sigma*Sigma)*T)/(Sigma*SQRT(T)))</f>
        <v>58.158960245839353</v>
      </c>
      <c r="I3" s="8">
        <f t="shared" ref="I3:I43" si="2">$G3*EXP(-_Div2*matur2)*NORMSDIST((LN($G3/X_2)+(annrate2-_Div2+0.5*sigma2*sigma2)*matur2)/(sigma2*SQRT(matur2))) - X_2*EXP(-annrate2*matur2)*NORMSDIST((LN($G3/X_2)+(annrate2-_Div2-0.5*sigma2^2)*matur2)/(sigma2*SQRT(matur2)))</f>
        <v>32.691203366399577</v>
      </c>
      <c r="J3" s="8">
        <f t="shared" ref="J3:J43" si="3">$G3*EXP(-_Div3*matur3)*NORMSDIST((LN($G3/X_3)+(annrate3-_Div3+0.5*_sig3*_sig3)*matur3)/(_sig3*SQRT(matur3))) - X_3*EXP(-annrate3*matur3)*NORMSDIST((LN($G3/X_3)+(annrate3-_Div3-0.5*_sig3^2)*matur3)/(_sig3*SQRT(matur3)))</f>
        <v>16.422974789364048</v>
      </c>
      <c r="K3" s="44">
        <f t="shared" ref="K3:K43" si="4">H3-$G3*EXP(-anndiv*T)+X*EXP(-annrate*T)</f>
        <v>26.243889914418787</v>
      </c>
      <c r="L3" s="44">
        <f t="shared" ref="L3:L43" si="5">I3-$G3*EXP(-anndiv*T)+X_2*EXP(-annrate*T)</f>
        <v>50.692869107526121</v>
      </c>
      <c r="M3" s="44">
        <f t="shared" ref="M3:M43" si="6">J3-$G3*EXP(-anndiv*T)+X_3*EXP(-annrate*T)</f>
        <v>84.341376603037588</v>
      </c>
      <c r="N3" s="45">
        <f>-50*H3+250*I3+0*J3-50*K3+50*L3+50*M3 - $B$34</f>
        <v>-873.11868843618322</v>
      </c>
      <c r="O3" s="26">
        <f>($G$23-G3)*$B$38 + N3</f>
        <v>-7949.3176608924532</v>
      </c>
      <c r="P3" s="27">
        <f>N3 -($C$44*G3+$D$44*I3-$E$44)</f>
        <v>-8464.4086507475749</v>
      </c>
    </row>
    <row r="4" spans="1:16" x14ac:dyDescent="0.15">
      <c r="A4" s="3" t="s">
        <v>5</v>
      </c>
      <c r="B4" s="13">
        <v>0.02</v>
      </c>
      <c r="C4" s="13"/>
      <c r="D4" s="13" t="s">
        <v>6</v>
      </c>
      <c r="E4" s="12">
        <f>NORMSDIST(_arg1)</f>
        <v>0.71020454638723474</v>
      </c>
      <c r="F4" s="4"/>
      <c r="G4" s="52">
        <f t="shared" si="0"/>
        <v>1181</v>
      </c>
      <c r="H4" s="8">
        <f t="shared" si="1"/>
        <v>58.801330062506281</v>
      </c>
      <c r="I4" s="8">
        <f t="shared" si="2"/>
        <v>33.140818534042296</v>
      </c>
      <c r="J4" s="8">
        <f t="shared" si="3"/>
        <v>16.697893556283134</v>
      </c>
      <c r="K4" s="44">
        <f t="shared" si="4"/>
        <v>25.886259731085602</v>
      </c>
      <c r="L4" s="44">
        <f t="shared" si="5"/>
        <v>50.142484275168954</v>
      </c>
      <c r="M4" s="44">
        <f t="shared" si="6"/>
        <v>83.616295369956561</v>
      </c>
      <c r="N4" s="45">
        <f t="shared" ref="N4:N43" si="7">-50*H4+250*I4+0*J4-50*K4+50*L4+50*M4 - $B$34</f>
        <v>-838.72518146410039</v>
      </c>
      <c r="O4" s="26">
        <f t="shared" ref="O4:O43" si="8">($G$23-G4)*$B$38 + N4</f>
        <v>-7561.1142052975574</v>
      </c>
      <c r="P4" s="27">
        <f t="shared" ref="P4:P43" si="9">N4 -($C$44*G4+$D$44*I4-$E$44)</f>
        <v>-8025.9015357484986</v>
      </c>
    </row>
    <row r="5" spans="1:16" x14ac:dyDescent="0.15">
      <c r="A5" s="3" t="s">
        <v>7</v>
      </c>
      <c r="B5" s="13">
        <v>1200</v>
      </c>
      <c r="C5" s="13" t="s">
        <v>1</v>
      </c>
      <c r="D5" s="13" t="s">
        <v>8</v>
      </c>
      <c r="E5" s="12">
        <f>NORMSDIST(_arg2)</f>
        <v>0.67988592665166081</v>
      </c>
      <c r="F5" s="4"/>
      <c r="G5" s="52">
        <f t="shared" si="0"/>
        <v>1182</v>
      </c>
      <c r="H5" s="8">
        <f t="shared" si="1"/>
        <v>59.447342793495295</v>
      </c>
      <c r="I5" s="8">
        <f t="shared" si="2"/>
        <v>33.594305454230948</v>
      </c>
      <c r="J5" s="8">
        <f t="shared" si="3"/>
        <v>16.976083751002591</v>
      </c>
      <c r="K5" s="44">
        <f t="shared" si="4"/>
        <v>25.532272462074843</v>
      </c>
      <c r="L5" s="44">
        <f t="shared" si="5"/>
        <v>49.595971195357379</v>
      </c>
      <c r="M5" s="44">
        <f t="shared" si="6"/>
        <v>82.894485564675961</v>
      </c>
      <c r="N5" s="45">
        <f t="shared" si="7"/>
        <v>-803.3708687704584</v>
      </c>
      <c r="O5" s="26">
        <f t="shared" si="8"/>
        <v>-7171.9499439811016</v>
      </c>
      <c r="P5" s="27">
        <f t="shared" si="9"/>
        <v>-7589.0193946568124</v>
      </c>
    </row>
    <row r="6" spans="1:16" x14ac:dyDescent="0.15">
      <c r="A6" s="3" t="s">
        <v>9</v>
      </c>
      <c r="B6" s="13">
        <v>1150</v>
      </c>
      <c r="C6" s="13"/>
      <c r="D6" s="13" t="s">
        <v>10</v>
      </c>
      <c r="E6" s="12">
        <f>s0*EXP(-anndiv*T)*narg1-X*EXP(-annrate*T)*narg2</f>
        <v>71.678669382152748</v>
      </c>
      <c r="F6" s="4"/>
      <c r="G6" s="52">
        <f t="shared" si="0"/>
        <v>1183</v>
      </c>
      <c r="H6" s="8">
        <f t="shared" si="1"/>
        <v>60.096982056719071</v>
      </c>
      <c r="I6" s="8">
        <f t="shared" si="2"/>
        <v>34.051665272023968</v>
      </c>
      <c r="J6" s="8">
        <f t="shared" si="3"/>
        <v>17.257561450831304</v>
      </c>
      <c r="K6" s="44">
        <f t="shared" si="4"/>
        <v>25.181911725298505</v>
      </c>
      <c r="L6" s="44">
        <f t="shared" si="5"/>
        <v>49.053331013150455</v>
      </c>
      <c r="M6" s="44">
        <f t="shared" si="6"/>
        <v>82.175963264504844</v>
      </c>
      <c r="N6" s="45">
        <f t="shared" si="7"/>
        <v>-767.05296476347758</v>
      </c>
      <c r="O6" s="26">
        <f t="shared" si="8"/>
        <v>-6781.8220913513078</v>
      </c>
      <c r="P6" s="27">
        <f t="shared" si="9"/>
        <v>-7153.7602066164782</v>
      </c>
    </row>
    <row r="7" spans="1:16" x14ac:dyDescent="0.15">
      <c r="A7" s="3" t="s">
        <v>11</v>
      </c>
      <c r="B7" s="13">
        <v>0</v>
      </c>
      <c r="C7" s="13" t="s">
        <v>1</v>
      </c>
      <c r="D7" s="13" t="s">
        <v>12</v>
      </c>
      <c r="E7" s="12">
        <f>E6-s0*EXP(-anndiv*T)+X*EXP(-annrate*T)</f>
        <v>19.763599050732182</v>
      </c>
      <c r="F7" s="4"/>
      <c r="G7" s="52">
        <f t="shared" si="0"/>
        <v>1184</v>
      </c>
      <c r="H7" s="8">
        <f t="shared" si="1"/>
        <v>60.750231213147913</v>
      </c>
      <c r="I7" s="8">
        <f t="shared" si="2"/>
        <v>34.51289876231408</v>
      </c>
      <c r="J7" s="8">
        <f t="shared" si="3"/>
        <v>17.542342483266907</v>
      </c>
      <c r="K7" s="44">
        <f t="shared" si="4"/>
        <v>24.835160881727234</v>
      </c>
      <c r="L7" s="44">
        <f t="shared" si="5"/>
        <v>48.514564503440624</v>
      </c>
      <c r="M7" s="44">
        <f t="shared" si="6"/>
        <v>81.460744296940447</v>
      </c>
      <c r="N7" s="45">
        <f t="shared" si="7"/>
        <v>-729.76878169753945</v>
      </c>
      <c r="O7" s="26">
        <f t="shared" si="8"/>
        <v>-6390.7279596625558</v>
      </c>
      <c r="P7" s="27">
        <f t="shared" si="9"/>
        <v>-6720.1218014000206</v>
      </c>
    </row>
    <row r="8" spans="1:16" x14ac:dyDescent="0.15">
      <c r="B8" s="13"/>
      <c r="C8" s="13"/>
      <c r="D8" s="13" t="s">
        <v>22</v>
      </c>
      <c r="E8" s="12">
        <f>narg1</f>
        <v>0.71020454638723474</v>
      </c>
      <c r="F8" s="4"/>
      <c r="G8" s="52">
        <f t="shared" si="0"/>
        <v>1185</v>
      </c>
      <c r="H8" s="8">
        <f t="shared" si="1"/>
        <v>61.407073371872684</v>
      </c>
      <c r="I8" s="8">
        <f t="shared" si="2"/>
        <v>34.97800633054328</v>
      </c>
      <c r="J8" s="8">
        <f t="shared" si="3"/>
        <v>17.830442422459328</v>
      </c>
      <c r="K8" s="44">
        <f t="shared" si="4"/>
        <v>24.492003040452119</v>
      </c>
      <c r="L8" s="44">
        <f t="shared" si="5"/>
        <v>47.979672071669938</v>
      </c>
      <c r="M8" s="44">
        <f t="shared" si="6"/>
        <v>80.748844236132754</v>
      </c>
      <c r="N8" s="45">
        <f t="shared" si="7"/>
        <v>-691.51573014164205</v>
      </c>
      <c r="O8" s="26">
        <f t="shared" si="8"/>
        <v>-5998.6649594838445</v>
      </c>
      <c r="P8" s="27">
        <f t="shared" si="9"/>
        <v>-6288.101860353936</v>
      </c>
    </row>
    <row r="9" spans="1:16" x14ac:dyDescent="0.15">
      <c r="A9" s="3" t="s">
        <v>28</v>
      </c>
      <c r="B9" s="12">
        <v>1</v>
      </c>
      <c r="C9" s="13"/>
      <c r="D9" s="13" t="s">
        <v>23</v>
      </c>
      <c r="E9" s="12">
        <f>narg1-1</f>
        <v>-0.28979545361276526</v>
      </c>
      <c r="F9" s="4"/>
      <c r="G9" s="52">
        <f t="shared" si="0"/>
        <v>1186</v>
      </c>
      <c r="H9" s="8">
        <f t="shared" si="1"/>
        <v>62.067491395202751</v>
      </c>
      <c r="I9" s="8">
        <f t="shared" si="2"/>
        <v>35.446988013522173</v>
      </c>
      <c r="J9" s="8">
        <f t="shared" si="3"/>
        <v>18.121876585744474</v>
      </c>
      <c r="K9" s="44">
        <f t="shared" si="4"/>
        <v>24.152421063782185</v>
      </c>
      <c r="L9" s="44">
        <f t="shared" si="5"/>
        <v>47.448653754648603</v>
      </c>
      <c r="M9" s="44">
        <f t="shared" si="6"/>
        <v>80.040278399417957</v>
      </c>
      <c r="N9" s="45">
        <f t="shared" si="7"/>
        <v>-652.2913194167304</v>
      </c>
      <c r="O9" s="26">
        <f t="shared" si="8"/>
        <v>-5605.6306001361199</v>
      </c>
      <c r="P9" s="27">
        <f t="shared" si="9"/>
        <v>-5857.6979173834079</v>
      </c>
    </row>
    <row r="10" spans="1:16" x14ac:dyDescent="0.15">
      <c r="B10" s="13"/>
      <c r="C10" s="13"/>
      <c r="D10" s="13" t="s">
        <v>44</v>
      </c>
      <c r="E10" s="12">
        <f>EXP(-anndiv*T)*(EXP(-0.5*(E2^2))/SQRT((2*PI())))/(B5*B2*SQRT(B3))</f>
        <v>3.2927326171956327E-3</v>
      </c>
      <c r="F10" s="4"/>
      <c r="G10" s="52">
        <f t="shared" si="0"/>
        <v>1187</v>
      </c>
      <c r="H10" s="8">
        <f t="shared" si="1"/>
        <v>62.731467903789508</v>
      </c>
      <c r="I10" s="8">
        <f t="shared" si="2"/>
        <v>35.91984348035237</v>
      </c>
      <c r="J10" s="8">
        <f t="shared" si="3"/>
        <v>18.416660030245339</v>
      </c>
      <c r="K10" s="44">
        <f t="shared" si="4"/>
        <v>23.816397572368942</v>
      </c>
      <c r="L10" s="44">
        <f t="shared" si="5"/>
        <v>46.921509221479027</v>
      </c>
      <c r="M10" s="44">
        <f t="shared" si="6"/>
        <v>79.335061843918766</v>
      </c>
      <c r="N10" s="45">
        <f t="shared" si="7"/>
        <v>-612.0931580012948</v>
      </c>
      <c r="O10" s="26">
        <f t="shared" si="8"/>
        <v>-5211.6224900978705</v>
      </c>
      <c r="P10" s="27">
        <f t="shared" si="9"/>
        <v>-5428.9073599740914</v>
      </c>
    </row>
    <row r="11" spans="1:16" x14ac:dyDescent="0.15">
      <c r="D11" s="13" t="s">
        <v>47</v>
      </c>
      <c r="E11" s="7">
        <f>B5*EXP(-anndiv*T)*SQRT(T)*(EXP(-0.5*(E2^2))/SQRT(2*PI()))</f>
        <v>118.53837421904277</v>
      </c>
      <c r="F11" s="1"/>
      <c r="G11" s="52">
        <f t="shared" si="0"/>
        <v>1188</v>
      </c>
      <c r="H11" s="8">
        <f t="shared" si="1"/>
        <v>63.398985281777186</v>
      </c>
      <c r="I11" s="8">
        <f t="shared" si="2"/>
        <v>36.396572033449729</v>
      </c>
      <c r="J11" s="8">
        <f t="shared" si="3"/>
        <v>18.714807549544332</v>
      </c>
      <c r="K11" s="44">
        <f t="shared" si="4"/>
        <v>23.48391495035662</v>
      </c>
      <c r="L11" s="44">
        <f t="shared" si="5"/>
        <v>46.398237774576273</v>
      </c>
      <c r="M11" s="44">
        <f t="shared" si="6"/>
        <v>78.633209363217702</v>
      </c>
      <c r="N11" s="45">
        <f t="shared" si="7"/>
        <v>-570.91895390591344</v>
      </c>
      <c r="O11" s="26">
        <f t="shared" si="8"/>
        <v>-4816.6383373796762</v>
      </c>
      <c r="P11" s="27">
        <f t="shared" si="9"/>
        <v>-5001.7274302494316</v>
      </c>
    </row>
    <row r="12" spans="1:16" x14ac:dyDescent="0.15">
      <c r="A12" s="2" t="s">
        <v>31</v>
      </c>
      <c r="B12" s="13"/>
      <c r="C12" s="13"/>
      <c r="E12" s="12"/>
      <c r="F12" s="1"/>
      <c r="G12" s="52">
        <f t="shared" si="0"/>
        <v>1189</v>
      </c>
      <c r="H12" s="8">
        <f t="shared" si="1"/>
        <v>64.070025681978109</v>
      </c>
      <c r="I12" s="8">
        <f t="shared" si="2"/>
        <v>36.877172609668833</v>
      </c>
      <c r="J12" s="8">
        <f t="shared" si="3"/>
        <v>19.016333670428367</v>
      </c>
      <c r="K12" s="44">
        <f t="shared" si="4"/>
        <v>23.154955350557657</v>
      </c>
      <c r="L12" s="44">
        <f t="shared" si="5"/>
        <v>45.878838350795377</v>
      </c>
      <c r="M12" s="44">
        <f t="shared" si="6"/>
        <v>77.934735484101793</v>
      </c>
      <c r="N12" s="45">
        <f t="shared" si="7"/>
        <v>-528.76651501607557</v>
      </c>
      <c r="O12" s="26">
        <f t="shared" si="8"/>
        <v>-4420.6759498670244</v>
      </c>
      <c r="P12" s="27">
        <f t="shared" si="9"/>
        <v>-4576.155226065297</v>
      </c>
    </row>
    <row r="13" spans="1:16" x14ac:dyDescent="0.15">
      <c r="A13" s="3" t="s">
        <v>13</v>
      </c>
      <c r="B13" s="12">
        <v>0.3</v>
      </c>
      <c r="C13" s="13" t="s">
        <v>1</v>
      </c>
      <c r="D13" s="13" t="s">
        <v>2</v>
      </c>
      <c r="E13" s="12">
        <f>(LN(s0/X_2)+(annrate2-_Div2+0.5*sigma2^2)*matur2)/(sigma2*SQRT(matur2))</f>
        <v>6.2546279162209464E-2</v>
      </c>
      <c r="F13" s="1"/>
      <c r="G13" s="52">
        <f t="shared" si="0"/>
        <v>1190</v>
      </c>
      <c r="H13" s="8">
        <f t="shared" si="1"/>
        <v>64.744571031070564</v>
      </c>
      <c r="I13" s="8">
        <f t="shared" si="2"/>
        <v>37.361643781526936</v>
      </c>
      <c r="J13" s="8">
        <f t="shared" si="3"/>
        <v>19.321252649704775</v>
      </c>
      <c r="K13" s="44">
        <f t="shared" si="4"/>
        <v>22.829500699649998</v>
      </c>
      <c r="L13" s="44">
        <f t="shared" si="5"/>
        <v>45.363309522653481</v>
      </c>
      <c r="M13" s="44">
        <f t="shared" si="6"/>
        <v>77.239654463378201</v>
      </c>
      <c r="N13" s="45">
        <f t="shared" si="7"/>
        <v>-485.63374940406356</v>
      </c>
      <c r="O13" s="26">
        <f t="shared" si="8"/>
        <v>-4023.7332356321986</v>
      </c>
      <c r="P13" s="27">
        <f t="shared" si="9"/>
        <v>-4152.1877021382825</v>
      </c>
    </row>
    <row r="14" spans="1:16" x14ac:dyDescent="0.15">
      <c r="A14" s="3" t="s">
        <v>3</v>
      </c>
      <c r="B14" s="13">
        <f>1/12</f>
        <v>8.3333333333333329E-2</v>
      </c>
      <c r="C14" s="13"/>
      <c r="D14" s="13" t="s">
        <v>4</v>
      </c>
      <c r="E14" s="12">
        <f>E13-sigma2*SQRT(matur2)</f>
        <v>-2.4056261216234387E-2</v>
      </c>
      <c r="F14" s="1"/>
      <c r="G14" s="52">
        <f t="shared" si="0"/>
        <v>1191</v>
      </c>
      <c r="H14" s="8">
        <f t="shared" si="1"/>
        <v>65.422603034813392</v>
      </c>
      <c r="I14" s="8">
        <f t="shared" si="2"/>
        <v>37.849983758526946</v>
      </c>
      <c r="J14" s="8">
        <f t="shared" si="3"/>
        <v>19.629578471092714</v>
      </c>
      <c r="K14" s="44">
        <f t="shared" si="4"/>
        <v>22.507532703392826</v>
      </c>
      <c r="L14" s="44">
        <f t="shared" si="5"/>
        <v>44.851649499653377</v>
      </c>
      <c r="M14" s="44">
        <f t="shared" si="6"/>
        <v>76.547980284766254</v>
      </c>
      <c r="N14" s="45">
        <f t="shared" si="7"/>
        <v>-441.51866560894814</v>
      </c>
      <c r="O14" s="26">
        <f t="shared" si="8"/>
        <v>-3625.8082032142697</v>
      </c>
      <c r="P14" s="27">
        <f t="shared" si="9"/>
        <v>-3729.8216712106932</v>
      </c>
    </row>
    <row r="15" spans="1:16" x14ac:dyDescent="0.15">
      <c r="A15" s="3" t="s">
        <v>5</v>
      </c>
      <c r="B15" s="13">
        <v>0.02</v>
      </c>
      <c r="C15" s="13"/>
      <c r="D15" s="13" t="s">
        <v>6</v>
      </c>
      <c r="E15" s="12">
        <f>NORMSDIST(E13)</f>
        <v>0.52493609569230104</v>
      </c>
      <c r="F15" s="1"/>
      <c r="G15" s="52">
        <f t="shared" si="0"/>
        <v>1192</v>
      </c>
      <c r="H15" s="8">
        <f t="shared" si="1"/>
        <v>66.104103183282291</v>
      </c>
      <c r="I15" s="8">
        <f t="shared" si="2"/>
        <v>38.34219038857816</v>
      </c>
      <c r="J15" s="8">
        <f t="shared" si="3"/>
        <v>19.941324842189943</v>
      </c>
      <c r="K15" s="44">
        <f t="shared" si="4"/>
        <v>22.189032851861839</v>
      </c>
      <c r="L15" s="44">
        <f t="shared" si="5"/>
        <v>44.343856129704818</v>
      </c>
      <c r="M15" s="44">
        <f t="shared" si="6"/>
        <v>75.859726655863369</v>
      </c>
      <c r="N15" s="45">
        <f t="shared" si="7"/>
        <v>-396.41937288561348</v>
      </c>
      <c r="O15" s="26">
        <f t="shared" si="8"/>
        <v>-3226.8989618681217</v>
      </c>
      <c r="P15" s="27">
        <f t="shared" si="9"/>
        <v>-3309.0538052469583</v>
      </c>
    </row>
    <row r="16" spans="1:16" x14ac:dyDescent="0.15">
      <c r="A16" s="3" t="s">
        <v>7</v>
      </c>
      <c r="B16" s="13">
        <v>1200</v>
      </c>
      <c r="C16" s="13" t="s">
        <v>1</v>
      </c>
      <c r="D16" s="13" t="s">
        <v>8</v>
      </c>
      <c r="E16" s="12">
        <f>NORMSDIST(E14)</f>
        <v>0.49040386585445045</v>
      </c>
      <c r="F16" s="1"/>
      <c r="G16" s="52">
        <f t="shared" si="0"/>
        <v>1193</v>
      </c>
      <c r="H16" s="8">
        <f t="shared" si="1"/>
        <v>66.789052756117485</v>
      </c>
      <c r="I16" s="8">
        <f t="shared" si="2"/>
        <v>38.838261159513763</v>
      </c>
      <c r="J16" s="8">
        <f t="shared" si="3"/>
        <v>20.256505191514407</v>
      </c>
      <c r="K16" s="44">
        <f t="shared" si="4"/>
        <v>21.873982424697033</v>
      </c>
      <c r="L16" s="44">
        <f t="shared" si="5"/>
        <v>43.839926900640421</v>
      </c>
      <c r="M16" s="44">
        <f t="shared" si="6"/>
        <v>75.174907005187833</v>
      </c>
      <c r="N16" s="45">
        <f t="shared" si="7"/>
        <v>-350.33408142222652</v>
      </c>
      <c r="O16" s="26">
        <f t="shared" si="8"/>
        <v>-2827.0037217819213</v>
      </c>
      <c r="P16" s="27">
        <f t="shared" si="9"/>
        <v>-2889.8806366654262</v>
      </c>
    </row>
    <row r="17" spans="1:16" x14ac:dyDescent="0.15">
      <c r="A17" s="3" t="s">
        <v>9</v>
      </c>
      <c r="B17" s="13">
        <v>1200</v>
      </c>
      <c r="C17" s="13"/>
      <c r="D17" s="13" t="s">
        <v>10</v>
      </c>
      <c r="E17" s="12">
        <f>B16*EXP(-_Div2*matur2)*E15-X_2*EXP(-annrate2*matur2)*E16</f>
        <v>42.418666651241665</v>
      </c>
      <c r="F17" s="1"/>
      <c r="G17" s="52">
        <f t="shared" si="0"/>
        <v>1194</v>
      </c>
      <c r="H17" s="8">
        <f t="shared" si="1"/>
        <v>67.477432827786856</v>
      </c>
      <c r="I17" s="8">
        <f t="shared" si="2"/>
        <v>39.338193200703699</v>
      </c>
      <c r="J17" s="8">
        <f t="shared" si="3"/>
        <v>20.575132665623926</v>
      </c>
      <c r="K17" s="44">
        <f t="shared" si="4"/>
        <v>21.562362496366177</v>
      </c>
      <c r="L17" s="44">
        <f t="shared" si="5"/>
        <v>43.339858941830244</v>
      </c>
      <c r="M17" s="44">
        <f t="shared" si="6"/>
        <v>74.493534479297296</v>
      </c>
      <c r="N17" s="45">
        <f t="shared" si="7"/>
        <v>-303.26110252670514</v>
      </c>
      <c r="O17" s="26">
        <f t="shared" si="8"/>
        <v>-2426.1207942635865</v>
      </c>
      <c r="P17" s="27">
        <f t="shared" si="9"/>
        <v>-2472.2985596015587</v>
      </c>
    </row>
    <row r="18" spans="1:16" x14ac:dyDescent="0.15">
      <c r="A18" s="3" t="s">
        <v>11</v>
      </c>
      <c r="B18" s="13">
        <v>0</v>
      </c>
      <c r="C18" s="13" t="s">
        <v>1</v>
      </c>
      <c r="D18" s="13" t="s">
        <v>12</v>
      </c>
      <c r="E18" s="12">
        <f>E17-B16*EXP(-_Div2*matur2)+X_2*EXP(-annrate2*matur2)</f>
        <v>40.420332392368209</v>
      </c>
      <c r="F18" s="1"/>
      <c r="G18" s="52">
        <f t="shared" si="0"/>
        <v>1195</v>
      </c>
      <c r="H18" s="8">
        <f t="shared" si="1"/>
        <v>68.169224272858628</v>
      </c>
      <c r="I18" s="8">
        <f t="shared" si="2"/>
        <v>39.84198328476225</v>
      </c>
      <c r="J18" s="8">
        <f t="shared" si="3"/>
        <v>20.897220126314835</v>
      </c>
      <c r="K18" s="44">
        <f t="shared" si="4"/>
        <v>21.254153941438062</v>
      </c>
      <c r="L18" s="44">
        <f t="shared" si="5"/>
        <v>42.843649025888681</v>
      </c>
      <c r="M18" s="44">
        <f t="shared" si="6"/>
        <v>73.815621939988205</v>
      </c>
      <c r="N18" s="45">
        <f t="shared" si="7"/>
        <v>-255.19884878178163</v>
      </c>
      <c r="O18" s="26">
        <f t="shared" si="8"/>
        <v>-2024.2485918958491</v>
      </c>
      <c r="P18" s="27">
        <f t="shared" si="9"/>
        <v>-2056.3038312037479</v>
      </c>
    </row>
    <row r="19" spans="1:16" x14ac:dyDescent="0.15">
      <c r="B19" s="13"/>
      <c r="C19" s="13"/>
      <c r="D19" s="13" t="s">
        <v>24</v>
      </c>
      <c r="E19" s="12">
        <f>E15</f>
        <v>0.52493609569230104</v>
      </c>
      <c r="F19" s="1"/>
      <c r="G19" s="52">
        <f t="shared" si="0"/>
        <v>1196</v>
      </c>
      <c r="H19" s="8">
        <f t="shared" si="1"/>
        <v>68.864407771282913</v>
      </c>
      <c r="I19" s="8">
        <f t="shared" si="2"/>
        <v>40.349627829348265</v>
      </c>
      <c r="J19" s="8">
        <f t="shared" si="3"/>
        <v>21.222780147897936</v>
      </c>
      <c r="K19" s="44">
        <f t="shared" si="4"/>
        <v>20.949337439862347</v>
      </c>
      <c r="L19" s="44">
        <f t="shared" si="5"/>
        <v>42.351293570474809</v>
      </c>
      <c r="M19" s="44">
        <f t="shared" si="6"/>
        <v>73.141181961571419</v>
      </c>
      <c r="N19" s="45">
        <f t="shared" si="7"/>
        <v>-206.14583416924143</v>
      </c>
      <c r="O19" s="26">
        <f t="shared" si="8"/>
        <v>-1621.3856286604955</v>
      </c>
      <c r="P19" s="27">
        <f t="shared" si="9"/>
        <v>-1641.8925729601251</v>
      </c>
    </row>
    <row r="20" spans="1:16" x14ac:dyDescent="0.15">
      <c r="B20" s="12"/>
      <c r="C20" s="13"/>
      <c r="D20" s="13" t="s">
        <v>25</v>
      </c>
      <c r="E20" s="12">
        <f>E15-1</f>
        <v>-0.47506390430769896</v>
      </c>
      <c r="F20" s="1"/>
      <c r="G20" s="52">
        <f t="shared" si="0"/>
        <v>1197</v>
      </c>
      <c r="H20" s="8">
        <f t="shared" si="1"/>
        <v>69.562963813680767</v>
      </c>
      <c r="I20" s="8">
        <f t="shared" si="2"/>
        <v>40.861122899058842</v>
      </c>
      <c r="J20" s="8">
        <f t="shared" si="3"/>
        <v>21.5518250145563</v>
      </c>
      <c r="K20" s="44">
        <f t="shared" si="4"/>
        <v>20.647893482260088</v>
      </c>
      <c r="L20" s="44">
        <f t="shared" si="5"/>
        <v>41.862788640185499</v>
      </c>
      <c r="M20" s="44">
        <f t="shared" si="6"/>
        <v>72.47022682822967</v>
      </c>
      <c r="N20" s="45">
        <f t="shared" si="7"/>
        <v>-156.10067416292804</v>
      </c>
      <c r="O20" s="26">
        <f t="shared" si="8"/>
        <v>-1217.5305200313687</v>
      </c>
      <c r="P20" s="27">
        <f t="shared" si="9"/>
        <v>-1229.0607720552543</v>
      </c>
    </row>
    <row r="21" spans="1:16" x14ac:dyDescent="0.15">
      <c r="B21" s="13"/>
      <c r="C21" s="13"/>
      <c r="D21" s="13" t="s">
        <v>45</v>
      </c>
      <c r="E21" s="12">
        <f>EXP(-_Div2*matur2)*(EXP(-0.5*(E13^2))/SQRT((2*PI())))/(B16*B13*SQRT(B14))</f>
        <v>3.8313224113108403E-3</v>
      </c>
      <c r="F21" s="1"/>
      <c r="G21" s="52">
        <f t="shared" si="0"/>
        <v>1198</v>
      </c>
      <c r="H21" s="8">
        <f t="shared" si="1"/>
        <v>70.264872706637334</v>
      </c>
      <c r="I21" s="8">
        <f t="shared" si="2"/>
        <v>41.376464207411118</v>
      </c>
      <c r="J21" s="8">
        <f t="shared" si="3"/>
        <v>21.884366717782655</v>
      </c>
      <c r="K21" s="44">
        <f t="shared" si="4"/>
        <v>20.349802375216768</v>
      </c>
      <c r="L21" s="44">
        <f t="shared" si="5"/>
        <v>41.378129948537662</v>
      </c>
      <c r="M21" s="44">
        <f t="shared" si="6"/>
        <v>71.802768531455968</v>
      </c>
      <c r="N21" s="45">
        <f t="shared" si="7"/>
        <v>-105.06208579159829</v>
      </c>
      <c r="O21" s="26">
        <f t="shared" si="8"/>
        <v>-812.68198303722534</v>
      </c>
      <c r="P21" s="27">
        <f t="shared" si="9"/>
        <v>-817.80428275756094</v>
      </c>
    </row>
    <row r="22" spans="1:16" x14ac:dyDescent="0.15">
      <c r="D22" s="13" t="s">
        <v>48</v>
      </c>
      <c r="E22" s="7">
        <f>B16*EXP(-_Div2*matur2)*SQRT(matur2)*(EXP(-0.5*(E13^2))/SQRT(2*PI()))</f>
        <v>137.92760680719024</v>
      </c>
      <c r="F22" s="1"/>
      <c r="G22" s="52">
        <f t="shared" si="0"/>
        <v>1199</v>
      </c>
      <c r="H22" s="8">
        <f t="shared" si="1"/>
        <v>70.970114577995332</v>
      </c>
      <c r="I22" s="8">
        <f t="shared" si="2"/>
        <v>41.895647118916713</v>
      </c>
      <c r="J22" s="8">
        <f t="shared" si="3"/>
        <v>22.220416953899701</v>
      </c>
      <c r="K22" s="44">
        <f t="shared" si="4"/>
        <v>20.05504424657488</v>
      </c>
      <c r="L22" s="44">
        <f t="shared" si="5"/>
        <v>40.897312860043257</v>
      </c>
      <c r="M22" s="44">
        <f t="shared" si="6"/>
        <v>71.138818767573184</v>
      </c>
      <c r="N22" s="45">
        <f t="shared" si="7"/>
        <v>-53.028887669865071</v>
      </c>
      <c r="O22" s="26">
        <f t="shared" si="8"/>
        <v>-406.83883629267859</v>
      </c>
      <c r="P22" s="27">
        <f t="shared" si="9"/>
        <v>-408.11882783503461</v>
      </c>
    </row>
    <row r="23" spans="1:16" x14ac:dyDescent="0.15">
      <c r="A23" s="2" t="s">
        <v>32</v>
      </c>
      <c r="B23" s="13"/>
      <c r="C23" s="13"/>
      <c r="D23" s="13"/>
      <c r="E23" s="12"/>
      <c r="F23" s="1"/>
      <c r="G23" s="52">
        <f>s0</f>
        <v>1200</v>
      </c>
      <c r="H23" s="8">
        <f t="shared" si="1"/>
        <v>71.678669382152748</v>
      </c>
      <c r="I23" s="8">
        <f t="shared" si="2"/>
        <v>42.418666651241665</v>
      </c>
      <c r="J23" s="8">
        <f t="shared" si="3"/>
        <v>22.559987121662004</v>
      </c>
      <c r="K23" s="44">
        <f t="shared" si="4"/>
        <v>19.763599050732182</v>
      </c>
      <c r="L23" s="44">
        <f t="shared" si="5"/>
        <v>40.420332392368209</v>
      </c>
      <c r="M23" s="44">
        <f t="shared" si="6"/>
        <v>70.478388935335488</v>
      </c>
      <c r="N23" s="45">
        <f t="shared" si="7"/>
        <v>0</v>
      </c>
      <c r="O23" s="26">
        <f t="shared" si="8"/>
        <v>0</v>
      </c>
      <c r="P23" s="27">
        <f t="shared" si="9"/>
        <v>0</v>
      </c>
    </row>
    <row r="24" spans="1:16" x14ac:dyDescent="0.15">
      <c r="A24" s="3" t="s">
        <v>13</v>
      </c>
      <c r="B24" s="12">
        <v>0.3</v>
      </c>
      <c r="C24" s="13" t="s">
        <v>1</v>
      </c>
      <c r="D24" s="13" t="s">
        <v>2</v>
      </c>
      <c r="E24" s="12">
        <f>(LN(s0/X_3)+(annrate3-_Div3+0.5*_sig3^2)*matur3)/(_sig3*SQRT(matur3))</f>
        <v>-0.40882551134032558</v>
      </c>
      <c r="G24" s="52">
        <f t="shared" ref="G24:G43" si="10">G23+stepsize</f>
        <v>1201</v>
      </c>
      <c r="H24" s="8">
        <f t="shared" si="1"/>
        <v>72.390516905355753</v>
      </c>
      <c r="I24" s="8">
        <f t="shared" si="2"/>
        <v>42.945517477455155</v>
      </c>
      <c r="J24" s="8">
        <f t="shared" si="3"/>
        <v>22.903088319941958</v>
      </c>
      <c r="K24" s="44">
        <f t="shared" si="4"/>
        <v>19.475446573935187</v>
      </c>
      <c r="L24" s="44">
        <f t="shared" si="5"/>
        <v>39.947183218581813</v>
      </c>
      <c r="M24" s="44">
        <f t="shared" si="6"/>
        <v>69.821490133615498</v>
      </c>
      <c r="N24" s="45">
        <f t="shared" si="7"/>
        <v>54.02555545775067</v>
      </c>
      <c r="O24" s="26">
        <f t="shared" si="8"/>
        <v>407.83550408056419</v>
      </c>
      <c r="P24" s="27">
        <f t="shared" si="9"/>
        <v>406.55673661869332</v>
      </c>
    </row>
    <row r="25" spans="1:16" x14ac:dyDescent="0.15">
      <c r="A25" s="3" t="s">
        <v>3</v>
      </c>
      <c r="B25" s="13">
        <f>1/12</f>
        <v>8.3333333333333329E-2</v>
      </c>
      <c r="C25" s="13"/>
      <c r="D25" s="13" t="s">
        <v>4</v>
      </c>
      <c r="E25" s="12">
        <f>E24-sigma3*SQRT(matur3)</f>
        <v>-0.49542805171876941</v>
      </c>
      <c r="G25" s="52">
        <f t="shared" si="10"/>
        <v>1202</v>
      </c>
      <c r="H25" s="8">
        <f t="shared" si="1"/>
        <v>73.10563677098844</v>
      </c>
      <c r="I25" s="8">
        <f t="shared" si="2"/>
        <v>43.476193928361454</v>
      </c>
      <c r="J25" s="8">
        <f t="shared" si="3"/>
        <v>23.249731345499072</v>
      </c>
      <c r="K25" s="44">
        <f t="shared" si="4"/>
        <v>19.190566439567874</v>
      </c>
      <c r="L25" s="44">
        <f t="shared" si="5"/>
        <v>39.477859669487998</v>
      </c>
      <c r="M25" s="44">
        <f t="shared" si="6"/>
        <v>69.168133159172612</v>
      </c>
      <c r="N25" s="45">
        <f t="shared" si="7"/>
        <v>109.04865544422319</v>
      </c>
      <c r="O25" s="26">
        <f t="shared" si="8"/>
        <v>816.66855268985023</v>
      </c>
      <c r="P25" s="27">
        <f t="shared" si="9"/>
        <v>811.5560449777895</v>
      </c>
    </row>
    <row r="26" spans="1:16" x14ac:dyDescent="0.15">
      <c r="A26" s="3" t="s">
        <v>5</v>
      </c>
      <c r="B26" s="13">
        <v>0.02</v>
      </c>
      <c r="C26" s="13"/>
      <c r="D26" s="13" t="s">
        <v>6</v>
      </c>
      <c r="E26" s="12">
        <f>NORMSDIST(E24)</f>
        <v>0.34133385831220164</v>
      </c>
      <c r="G26" s="52">
        <f t="shared" si="10"/>
        <v>1203</v>
      </c>
      <c r="H26" s="8">
        <f t="shared" si="1"/>
        <v>73.824008444858805</v>
      </c>
      <c r="I26" s="8">
        <f t="shared" si="2"/>
        <v>44.010689994918039</v>
      </c>
      <c r="J26" s="8">
        <f t="shared" si="3"/>
        <v>23.599926690834593</v>
      </c>
      <c r="K26" s="44">
        <f t="shared" si="4"/>
        <v>18.908938113438353</v>
      </c>
      <c r="L26" s="44">
        <f t="shared" si="5"/>
        <v>39.012355736044583</v>
      </c>
      <c r="M26" s="44">
        <f t="shared" si="6"/>
        <v>68.518328504507963</v>
      </c>
      <c r="N26" s="45">
        <f t="shared" si="7"/>
        <v>165.07007529092334</v>
      </c>
      <c r="O26" s="26">
        <f t="shared" si="8"/>
        <v>1226.499921159364</v>
      </c>
      <c r="P26" s="27">
        <f t="shared" si="9"/>
        <v>1215.0027135939508</v>
      </c>
    </row>
    <row r="27" spans="1:16" x14ac:dyDescent="0.15">
      <c r="A27" s="3" t="s">
        <v>7</v>
      </c>
      <c r="B27" s="13">
        <v>1200</v>
      </c>
      <c r="C27" s="13" t="s">
        <v>1</v>
      </c>
      <c r="D27" s="13" t="s">
        <v>8</v>
      </c>
      <c r="E27" s="12">
        <f>NORMSDIST(E25)</f>
        <v>0.31014899875702684</v>
      </c>
      <c r="G27" s="52">
        <f t="shared" si="10"/>
        <v>1204</v>
      </c>
      <c r="H27" s="8">
        <f t="shared" si="1"/>
        <v>74.545611240473477</v>
      </c>
      <c r="I27" s="8">
        <f t="shared" si="2"/>
        <v>44.548999330734887</v>
      </c>
      <c r="J27" s="8">
        <f t="shared" si="3"/>
        <v>23.953684542130702</v>
      </c>
      <c r="K27" s="44">
        <f t="shared" si="4"/>
        <v>18.630540909053025</v>
      </c>
      <c r="L27" s="44">
        <f t="shared" si="5"/>
        <v>38.550665071861431</v>
      </c>
      <c r="M27" s="44">
        <f t="shared" si="6"/>
        <v>67.872086355804186</v>
      </c>
      <c r="N27" s="45">
        <f t="shared" si="7"/>
        <v>222.09048903932307</v>
      </c>
      <c r="O27" s="26">
        <f t="shared" si="8"/>
        <v>1637.3302835305772</v>
      </c>
      <c r="P27" s="27">
        <f t="shared" si="9"/>
        <v>1616.9016549938915</v>
      </c>
    </row>
    <row r="28" spans="1:16" x14ac:dyDescent="0.15">
      <c r="A28" s="3" t="s">
        <v>9</v>
      </c>
      <c r="B28" s="13">
        <v>1250</v>
      </c>
      <c r="C28" s="13"/>
      <c r="D28" s="13" t="s">
        <v>10</v>
      </c>
      <c r="E28" s="12">
        <f>B27*EXP(-_Div3*matur3)*E26-X_3*EXP(-annrate3*matur3)*E27</f>
        <v>22.559987121662004</v>
      </c>
      <c r="G28" s="52">
        <f t="shared" si="10"/>
        <v>1205</v>
      </c>
      <c r="H28" s="8">
        <f t="shared" si="1"/>
        <v>75.270424324307328</v>
      </c>
      <c r="I28" s="8">
        <f t="shared" si="2"/>
        <v>45.091115254654483</v>
      </c>
      <c r="J28" s="8">
        <f t="shared" si="3"/>
        <v>24.311014777276682</v>
      </c>
      <c r="K28" s="44">
        <f t="shared" si="4"/>
        <v>18.355353992886876</v>
      </c>
      <c r="L28" s="44">
        <f t="shared" si="5"/>
        <v>38.092780995781141</v>
      </c>
      <c r="M28" s="44">
        <f t="shared" si="6"/>
        <v>67.229416590950223</v>
      </c>
      <c r="N28" s="45">
        <f t="shared" si="7"/>
        <v>280.11046958912448</v>
      </c>
      <c r="O28" s="26">
        <f t="shared" si="8"/>
        <v>2049.160212703192</v>
      </c>
      <c r="P28" s="27">
        <f t="shared" si="9"/>
        <v>2017.2579041396948</v>
      </c>
    </row>
    <row r="29" spans="1:16" x14ac:dyDescent="0.15">
      <c r="A29" s="3" t="s">
        <v>11</v>
      </c>
      <c r="B29" s="13">
        <v>0</v>
      </c>
      <c r="C29" s="13" t="s">
        <v>1</v>
      </c>
      <c r="D29" s="13" t="s">
        <v>12</v>
      </c>
      <c r="E29" s="12">
        <f>E28-B27*EXP(-_Div3*matur3)+X_3*EXP(-annrate3*matur3)</f>
        <v>70.478388935335488</v>
      </c>
      <c r="G29" s="52">
        <f t="shared" si="10"/>
        <v>1206</v>
      </c>
      <c r="H29" s="8">
        <f t="shared" si="1"/>
        <v>75.998426721057399</v>
      </c>
      <c r="I29" s="8">
        <f t="shared" si="2"/>
        <v>45.637030753413114</v>
      </c>
      <c r="J29" s="8">
        <f t="shared" si="3"/>
        <v>24.671926963980411</v>
      </c>
      <c r="K29" s="44">
        <f t="shared" si="4"/>
        <v>18.083356389636947</v>
      </c>
      <c r="L29" s="44">
        <f t="shared" si="5"/>
        <v>37.638696494539545</v>
      </c>
      <c r="M29" s="44">
        <f t="shared" si="6"/>
        <v>66.590328777653895</v>
      </c>
      <c r="N29" s="45">
        <f t="shared" si="7"/>
        <v>339.13048887687728</v>
      </c>
      <c r="O29" s="26">
        <f t="shared" si="8"/>
        <v>2461.9901806137586</v>
      </c>
      <c r="P29" s="27">
        <f t="shared" si="9"/>
        <v>2416.0766168297687</v>
      </c>
    </row>
    <row r="30" spans="1:16" x14ac:dyDescent="0.15">
      <c r="B30" s="13"/>
      <c r="C30" s="13"/>
      <c r="D30" s="13" t="s">
        <v>42</v>
      </c>
      <c r="E30" s="12">
        <f>E26</f>
        <v>0.34133385831220164</v>
      </c>
      <c r="G30" s="52">
        <f t="shared" si="10"/>
        <v>1207</v>
      </c>
      <c r="H30" s="8">
        <f t="shared" si="1"/>
        <v>76.729597318885908</v>
      </c>
      <c r="I30" s="8">
        <f t="shared" si="2"/>
        <v>46.186738484378225</v>
      </c>
      <c r="J30" s="8">
        <f t="shared" si="3"/>
        <v>25.036430357966935</v>
      </c>
      <c r="K30" s="44">
        <f t="shared" si="4"/>
        <v>17.814526987465342</v>
      </c>
      <c r="L30" s="44">
        <f t="shared" si="5"/>
        <v>37.188404225504655</v>
      </c>
      <c r="M30" s="44">
        <f t="shared" si="6"/>
        <v>65.954832171640419</v>
      </c>
      <c r="N30" s="45">
        <f t="shared" si="7"/>
        <v>399.15091808289253</v>
      </c>
      <c r="O30" s="26">
        <f t="shared" si="8"/>
        <v>2875.8205584425873</v>
      </c>
      <c r="P30" s="27">
        <f t="shared" si="9"/>
        <v>2813.363068077806</v>
      </c>
    </row>
    <row r="31" spans="1:16" x14ac:dyDescent="0.15">
      <c r="B31" s="12"/>
      <c r="C31" s="13"/>
      <c r="D31" s="13" t="s">
        <v>43</v>
      </c>
      <c r="E31" s="12">
        <f>E26-1</f>
        <v>-0.65866614168779836</v>
      </c>
      <c r="G31" s="52">
        <f t="shared" si="10"/>
        <v>1208</v>
      </c>
      <c r="H31" s="8">
        <f>$G31*EXP(-anndiv*T)*NORMSDIST((LN($G31/X)+(annrate-anndiv+0.5*Sigma*Sigma)*T)/(Sigma*SQRT(T))) - X*EXP(-annrate*T)*NORMSDIST((LN($G31/X)+(annrate-anndiv-0.5*Sigma*Sigma)*T)/(Sigma*SQRT(T)))</f>
        <v>77.46391487464814</v>
      </c>
      <c r="I31" s="8">
        <f t="shared" si="2"/>
        <v>46.740230778362957</v>
      </c>
      <c r="J31" s="8">
        <f t="shared" si="3"/>
        <v>25.404533901265438</v>
      </c>
      <c r="K31" s="44">
        <f t="shared" si="4"/>
        <v>17.548844543227688</v>
      </c>
      <c r="L31" s="44">
        <f t="shared" si="5"/>
        <v>36.741896519489501</v>
      </c>
      <c r="M31" s="44">
        <f t="shared" si="6"/>
        <v>65.322935714938922</v>
      </c>
      <c r="N31" s="27">
        <f t="shared" si="7"/>
        <v>460.17202786701273</v>
      </c>
      <c r="O31" s="26">
        <f t="shared" si="8"/>
        <v>3290.6516168495209</v>
      </c>
      <c r="P31" s="27">
        <f t="shared" si="9"/>
        <v>3209.1226504690294</v>
      </c>
    </row>
    <row r="32" spans="1:16" x14ac:dyDescent="0.15">
      <c r="B32" s="13"/>
      <c r="C32" s="13"/>
      <c r="D32" s="13" t="s">
        <v>46</v>
      </c>
      <c r="E32" s="12">
        <f>EXP(-_Div3*matur3)*(EXP(-0.5*(E24^2))/SQRT((2*PI())))/(B27*B24*SQRT(B25))</f>
        <v>3.5310556945975782E-3</v>
      </c>
      <c r="G32" s="52">
        <f t="shared" si="10"/>
        <v>1209</v>
      </c>
      <c r="H32" s="8">
        <f t="shared" si="1"/>
        <v>78.201358019102258</v>
      </c>
      <c r="I32" s="8">
        <f t="shared" si="2"/>
        <v>47.297499642516641</v>
      </c>
      <c r="J32" s="8">
        <f t="shared" si="3"/>
        <v>25.776246220582891</v>
      </c>
      <c r="K32" s="44">
        <f t="shared" si="4"/>
        <v>17.286287687681806</v>
      </c>
      <c r="L32" s="44">
        <f t="shared" si="5"/>
        <v>36.299165383643185</v>
      </c>
      <c r="M32" s="44">
        <f t="shared" si="6"/>
        <v>64.694648034256261</v>
      </c>
      <c r="N32" s="27">
        <f t="shared" si="7"/>
        <v>522.1939886335731</v>
      </c>
      <c r="O32" s="26">
        <f t="shared" si="8"/>
        <v>3706.4835262388947</v>
      </c>
      <c r="P32" s="27">
        <f t="shared" si="9"/>
        <v>3603.3608724945207</v>
      </c>
    </row>
    <row r="33" spans="1:16" x14ac:dyDescent="0.15">
      <c r="D33" s="13" t="s">
        <v>49</v>
      </c>
      <c r="E33" s="7">
        <f>B27*EXP(-_Div3*matur3)*SQRT(matur3)*(EXP(-0.5*(E24^2))/SQRT(2*PI()))</f>
        <v>127.1180050055128</v>
      </c>
      <c r="G33" s="52">
        <f t="shared" si="10"/>
        <v>1210</v>
      </c>
      <c r="H33" s="8">
        <f t="shared" si="1"/>
        <v>78.941905262100931</v>
      </c>
      <c r="I33" s="8">
        <f t="shared" si="2"/>
        <v>47.858536763286111</v>
      </c>
      <c r="J33" s="8">
        <f t="shared" si="3"/>
        <v>26.151575625766498</v>
      </c>
      <c r="K33" s="44">
        <f t="shared" si="4"/>
        <v>17.026834930680479</v>
      </c>
      <c r="L33" s="44">
        <f t="shared" si="5"/>
        <v>35.860202504412655</v>
      </c>
      <c r="M33" s="44">
        <f t="shared" si="6"/>
        <v>64.069977439439981</v>
      </c>
      <c r="N33" s="27">
        <f t="shared" si="7"/>
        <v>585.21687082373319</v>
      </c>
      <c r="O33" s="26">
        <f t="shared" si="8"/>
        <v>4123.3163570518682</v>
      </c>
      <c r="P33" s="27">
        <f t="shared" si="9"/>
        <v>3996.083356865307</v>
      </c>
    </row>
    <row r="34" spans="1:16" x14ac:dyDescent="0.15">
      <c r="A34" t="s">
        <v>41</v>
      </c>
      <c r="B34" s="14">
        <f>-50*E6-50*E7+250*E17+50*E18+50*E29</f>
        <v>11577.489307551356</v>
      </c>
      <c r="G34" s="52">
        <f t="shared" si="10"/>
        <v>1211</v>
      </c>
      <c r="H34" s="8">
        <f t="shared" si="1"/>
        <v>79.685534997761806</v>
      </c>
      <c r="I34" s="8">
        <f t="shared" si="2"/>
        <v>48.423333509451254</v>
      </c>
      <c r="J34" s="8">
        <f t="shared" si="3"/>
        <v>26.530530108354071</v>
      </c>
      <c r="K34" s="44">
        <f t="shared" si="4"/>
        <v>16.77046466634124</v>
      </c>
      <c r="L34" s="44">
        <f t="shared" si="5"/>
        <v>35.424999250577912</v>
      </c>
      <c r="M34" s="44">
        <f t="shared" si="6"/>
        <v>63.448931922027441</v>
      </c>
      <c r="N34" s="27">
        <f t="shared" si="7"/>
        <v>649.24064523657216</v>
      </c>
      <c r="O34" s="26">
        <f t="shared" si="8"/>
        <v>4541.150080087521</v>
      </c>
      <c r="P34" s="27">
        <f t="shared" si="9"/>
        <v>4387.2958388071311</v>
      </c>
    </row>
    <row r="35" spans="1:16" x14ac:dyDescent="0.15">
      <c r="C35" s="15"/>
      <c r="D35" s="15"/>
      <c r="G35" s="52">
        <f t="shared" si="10"/>
        <v>1212</v>
      </c>
      <c r="H35" s="8">
        <f t="shared" si="1"/>
        <v>80.432225509617865</v>
      </c>
      <c r="I35" s="8">
        <f t="shared" si="2"/>
        <v>48.991880935229119</v>
      </c>
      <c r="J35" s="8">
        <f t="shared" si="3"/>
        <v>26.913117340214683</v>
      </c>
      <c r="K35" s="44">
        <f t="shared" si="4"/>
        <v>16.517155178197299</v>
      </c>
      <c r="L35" s="44">
        <f t="shared" si="5"/>
        <v>34.993546676355663</v>
      </c>
      <c r="M35" s="44">
        <f t="shared" si="6"/>
        <v>62.831519153888166</v>
      </c>
      <c r="N35" s="27">
        <f t="shared" si="7"/>
        <v>714.26518337735797</v>
      </c>
      <c r="O35" s="26">
        <f t="shared" si="8"/>
        <v>4959.9845668511207</v>
      </c>
      <c r="P35" s="27">
        <f t="shared" si="9"/>
        <v>4777.004164335247</v>
      </c>
    </row>
    <row r="36" spans="1:16" x14ac:dyDescent="0.15">
      <c r="A36" s="35" t="s">
        <v>29</v>
      </c>
      <c r="B36" s="13"/>
      <c r="C36" s="13"/>
      <c r="D36" s="13"/>
      <c r="G36" s="52">
        <f t="shared" si="10"/>
        <v>1213</v>
      </c>
      <c r="H36" s="8">
        <f t="shared" si="1"/>
        <v>81.181954975740496</v>
      </c>
      <c r="I36" s="8">
        <f t="shared" si="2"/>
        <v>49.564169783446573</v>
      </c>
      <c r="J36" s="8">
        <f t="shared" si="3"/>
        <v>27.299344672275708</v>
      </c>
      <c r="K36" s="44">
        <f t="shared" si="4"/>
        <v>16.266884644320044</v>
      </c>
      <c r="L36" s="44">
        <f t="shared" si="5"/>
        <v>34.565835524573231</v>
      </c>
      <c r="M36" s="44">
        <f t="shared" si="6"/>
        <v>62.217746485949192</v>
      </c>
      <c r="N36" s="27">
        <f t="shared" si="7"/>
        <v>780.29025783337966</v>
      </c>
      <c r="O36" s="26">
        <f t="shared" si="8"/>
        <v>5379.8195899299553</v>
      </c>
      <c r="P36" s="27">
        <f t="shared" si="9"/>
        <v>5165.2142885106787</v>
      </c>
    </row>
    <row r="37" spans="1:16" x14ac:dyDescent="0.15">
      <c r="A37" s="16"/>
      <c r="B37" s="17" t="s">
        <v>33</v>
      </c>
      <c r="C37" s="47" t="s">
        <v>18</v>
      </c>
      <c r="D37" s="18" t="s">
        <v>19</v>
      </c>
      <c r="E37" s="12"/>
      <c r="G37" s="52">
        <f t="shared" si="10"/>
        <v>1214</v>
      </c>
      <c r="H37" s="8">
        <f t="shared" si="1"/>
        <v>81.934701473840391</v>
      </c>
      <c r="I37" s="8">
        <f t="shared" si="2"/>
        <v>50.140190488779353</v>
      </c>
      <c r="J37" s="8">
        <f t="shared" si="3"/>
        <v>27.689219133342363</v>
      </c>
      <c r="K37" s="44">
        <f t="shared" si="4"/>
        <v>16.019631142419939</v>
      </c>
      <c r="L37" s="44">
        <f t="shared" si="5"/>
        <v>34.141856229905898</v>
      </c>
      <c r="M37" s="44">
        <f t="shared" si="6"/>
        <v>61.607620947015675</v>
      </c>
      <c r="N37" s="27">
        <f t="shared" si="7"/>
        <v>847.31554267654428</v>
      </c>
      <c r="O37" s="26">
        <f t="shared" si="8"/>
        <v>5800.6548233959338</v>
      </c>
      <c r="P37" s="27">
        <f t="shared" si="9"/>
        <v>5551.9322736808681</v>
      </c>
    </row>
    <row r="38" spans="1:16" x14ac:dyDescent="0.15">
      <c r="A38" s="19" t="s">
        <v>14</v>
      </c>
      <c r="B38" s="20">
        <f>-300*E8 - 200*E9 +400*E19+375*E20 + 350*E31</f>
        <v>-353.80994862281352</v>
      </c>
      <c r="C38" s="48">
        <f>E19</f>
        <v>0.52493609569230104</v>
      </c>
      <c r="D38" s="21">
        <v>1</v>
      </c>
      <c r="E38" s="12"/>
      <c r="G38" s="52">
        <f t="shared" si="10"/>
        <v>1215</v>
      </c>
      <c r="H38" s="8">
        <f t="shared" si="1"/>
        <v>82.690442986338326</v>
      </c>
      <c r="I38" s="8">
        <f t="shared" si="2"/>
        <v>50.719933181058536</v>
      </c>
      <c r="J38" s="8">
        <f t="shared" si="3"/>
        <v>28.08274742900403</v>
      </c>
      <c r="K38" s="44">
        <f t="shared" si="4"/>
        <v>15.775372654917874</v>
      </c>
      <c r="L38" s="44">
        <f t="shared" si="5"/>
        <v>33.721598922184967</v>
      </c>
      <c r="M38" s="44">
        <f t="shared" si="6"/>
        <v>61.001149242677457</v>
      </c>
      <c r="N38" s="27">
        <f t="shared" si="7"/>
        <v>915.34061389358794</v>
      </c>
      <c r="O38" s="26">
        <f t="shared" si="8"/>
        <v>6222.4898432357904</v>
      </c>
      <c r="P38" s="27">
        <f t="shared" si="9"/>
        <v>5937.1642877003233</v>
      </c>
    </row>
    <row r="39" spans="1:16" x14ac:dyDescent="0.15">
      <c r="A39" s="19" t="s">
        <v>15</v>
      </c>
      <c r="B39" s="33">
        <f>-300*E10 - 200*E10 +400*E21+375*E21 + 350*E32</f>
        <v>2.5587780532772371</v>
      </c>
      <c r="C39" s="48">
        <f>E21</f>
        <v>3.8313224113108403E-3</v>
      </c>
      <c r="D39" s="21">
        <v>0</v>
      </c>
      <c r="E39" s="12"/>
      <c r="G39" s="52">
        <f t="shared" si="10"/>
        <v>1216</v>
      </c>
      <c r="H39" s="8">
        <f t="shared" si="1"/>
        <v>83.449157405410347</v>
      </c>
      <c r="I39" s="8">
        <f t="shared" si="2"/>
        <v>51.303387688635326</v>
      </c>
      <c r="J39" s="8">
        <f t="shared" si="3"/>
        <v>28.479935940631833</v>
      </c>
      <c r="K39" s="44">
        <f t="shared" si="4"/>
        <v>15.534087073989895</v>
      </c>
      <c r="L39" s="44">
        <f t="shared" si="5"/>
        <v>33.305053429761756</v>
      </c>
      <c r="M39" s="44">
        <f t="shared" si="6"/>
        <v>60.398337754305203</v>
      </c>
      <c r="N39" s="27">
        <f t="shared" si="7"/>
        <v>984.36494984081037</v>
      </c>
      <c r="O39" s="26">
        <f t="shared" si="8"/>
        <v>6645.3241278058267</v>
      </c>
      <c r="P39" s="27">
        <f t="shared" si="9"/>
        <v>6320.9166021388864</v>
      </c>
    </row>
    <row r="40" spans="1:16" x14ac:dyDescent="0.15">
      <c r="A40" s="34" t="s">
        <v>50</v>
      </c>
      <c r="B40" s="31">
        <f>-300*E11 - 200*E11 +400*E22+375*E22 + 350*E33</f>
        <v>92116.009917980526</v>
      </c>
      <c r="C40" s="49">
        <f>E22</f>
        <v>137.92760680719024</v>
      </c>
      <c r="D40" s="22">
        <v>0</v>
      </c>
      <c r="E40" s="12"/>
      <c r="G40" s="52">
        <f t="shared" si="10"/>
        <v>1217</v>
      </c>
      <c r="H40" s="8">
        <f t="shared" si="1"/>
        <v>84.210822537999888</v>
      </c>
      <c r="I40" s="8">
        <f t="shared" si="2"/>
        <v>51.890543541812917</v>
      </c>
      <c r="J40" s="8">
        <f t="shared" si="3"/>
        <v>28.880790724464759</v>
      </c>
      <c r="K40" s="44">
        <f t="shared" si="4"/>
        <v>15.295752206579209</v>
      </c>
      <c r="L40" s="44">
        <f t="shared" si="5"/>
        <v>32.892209282939348</v>
      </c>
      <c r="M40" s="44">
        <f t="shared" si="6"/>
        <v>59.799192538138186</v>
      </c>
      <c r="N40" s="27">
        <f t="shared" si="7"/>
        <v>1054.3879317267965</v>
      </c>
      <c r="O40" s="26">
        <f t="shared" si="8"/>
        <v>7069.1570583146267</v>
      </c>
      <c r="P40" s="27">
        <f t="shared" si="9"/>
        <v>6703.1955904725874</v>
      </c>
    </row>
    <row r="41" spans="1:16" x14ac:dyDescent="0.15">
      <c r="B41" s="13"/>
      <c r="C41" s="44"/>
      <c r="D41" s="13"/>
      <c r="E41" s="38" t="s">
        <v>52</v>
      </c>
      <c r="G41" s="52">
        <f t="shared" si="10"/>
        <v>1218</v>
      </c>
      <c r="H41" s="8">
        <f t="shared" si="1"/>
        <v>84.975416110799188</v>
      </c>
      <c r="I41" s="8">
        <f t="shared" si="2"/>
        <v>52.481389976334526</v>
      </c>
      <c r="J41" s="8">
        <f t="shared" si="3"/>
        <v>29.285317510786513</v>
      </c>
      <c r="K41" s="44">
        <f t="shared" si="4"/>
        <v>15.060345779378622</v>
      </c>
      <c r="L41" s="44">
        <f t="shared" si="5"/>
        <v>32.483055717460957</v>
      </c>
      <c r="M41" s="44">
        <f t="shared" si="6"/>
        <v>59.203719324460053</v>
      </c>
      <c r="N41" s="27">
        <f t="shared" si="7"/>
        <v>1125.4088441194344</v>
      </c>
      <c r="O41" s="26">
        <f t="shared" si="8"/>
        <v>7493.9879193300776</v>
      </c>
      <c r="P41" s="27">
        <f t="shared" si="9"/>
        <v>7084.0077262607247</v>
      </c>
    </row>
    <row r="42" spans="1:16" x14ac:dyDescent="0.15">
      <c r="A42" s="6" t="s">
        <v>57</v>
      </c>
      <c r="B42" s="13"/>
      <c r="C42" s="50" t="s">
        <v>26</v>
      </c>
      <c r="D42" s="25" t="s">
        <v>27</v>
      </c>
      <c r="E42" s="39" t="s">
        <v>56</v>
      </c>
      <c r="G42" s="52">
        <f t="shared" si="10"/>
        <v>1219</v>
      </c>
      <c r="H42" s="8">
        <f t="shared" si="1"/>
        <v>85.742915775197844</v>
      </c>
      <c r="I42" s="8">
        <f t="shared" si="2"/>
        <v>53.075915936931437</v>
      </c>
      <c r="J42" s="8">
        <f t="shared" si="3"/>
        <v>29.693521703191209</v>
      </c>
      <c r="K42" s="44">
        <f t="shared" si="4"/>
        <v>14.827845443777278</v>
      </c>
      <c r="L42" s="44">
        <f t="shared" si="5"/>
        <v>32.077581678057868</v>
      </c>
      <c r="M42" s="44">
        <f t="shared" si="6"/>
        <v>58.611923516864636</v>
      </c>
      <c r="N42" s="27">
        <f t="shared" si="7"/>
        <v>1197.4268754788718</v>
      </c>
      <c r="O42" s="26">
        <f t="shared" si="8"/>
        <v>7919.8158993123288</v>
      </c>
      <c r="P42" s="27">
        <f t="shared" si="9"/>
        <v>7463.3595813096545</v>
      </c>
    </row>
    <row r="43" spans="1:16" x14ac:dyDescent="0.15">
      <c r="A43" s="5" t="s">
        <v>21</v>
      </c>
      <c r="C43" s="51">
        <f>B38</f>
        <v>-353.80994862281352</v>
      </c>
      <c r="E43" s="30">
        <f>C43*B16</f>
        <v>-424571.93834737624</v>
      </c>
      <c r="G43" s="52">
        <f t="shared" si="10"/>
        <v>1220</v>
      </c>
      <c r="H43" s="8">
        <f t="shared" si="1"/>
        <v>86.51329911219625</v>
      </c>
      <c r="I43" s="8">
        <f t="shared" si="2"/>
        <v>53.67411008092563</v>
      </c>
      <c r="J43" s="8">
        <f t="shared" si="3"/>
        <v>30.105408377939</v>
      </c>
      <c r="K43" s="44">
        <f t="shared" si="4"/>
        <v>14.598228780775798</v>
      </c>
      <c r="L43" s="44">
        <f t="shared" si="5"/>
        <v>31.675775822052174</v>
      </c>
      <c r="M43" s="44">
        <f t="shared" si="6"/>
        <v>58.023810191612483</v>
      </c>
      <c r="N43" s="27">
        <f t="shared" si="7"/>
        <v>1270.4411187146816</v>
      </c>
      <c r="O43" s="26">
        <f t="shared" si="8"/>
        <v>8346.6400911709516</v>
      </c>
      <c r="P43" s="27">
        <f t="shared" si="9"/>
        <v>7841.257823823069</v>
      </c>
    </row>
    <row r="44" spans="1:16" x14ac:dyDescent="0.15">
      <c r="A44" s="5" t="s">
        <v>20</v>
      </c>
      <c r="C44" s="51">
        <f>B38-D44*C38</f>
        <v>-704.39254565644239</v>
      </c>
      <c r="D44" s="7">
        <f>B39/C39</f>
        <v>667.85766860110903</v>
      </c>
      <c r="E44" s="30">
        <f>D44*E17+C44*B16</f>
        <v>-816941.42297286505</v>
      </c>
    </row>
    <row r="46" spans="1:16" x14ac:dyDescent="0.15">
      <c r="D46" s="36" t="s">
        <v>53</v>
      </c>
      <c r="N46" s="46"/>
    </row>
    <row r="47" spans="1:16" x14ac:dyDescent="0.15">
      <c r="A47" s="37" t="s">
        <v>54</v>
      </c>
      <c r="N47" s="46"/>
    </row>
    <row r="48" spans="1:16" x14ac:dyDescent="0.15">
      <c r="N48" s="46"/>
    </row>
    <row r="49" spans="1:15" x14ac:dyDescent="0.15">
      <c r="A49" s="40" t="s">
        <v>58</v>
      </c>
      <c r="B49" s="40"/>
      <c r="C49" s="41"/>
      <c r="D49" s="41"/>
      <c r="E49" s="42"/>
      <c r="N49" s="46"/>
    </row>
    <row r="50" spans="1:15" x14ac:dyDescent="0.15">
      <c r="A50" s="40" t="s">
        <v>59</v>
      </c>
      <c r="B50" s="40"/>
      <c r="C50" s="41"/>
      <c r="D50" s="41"/>
      <c r="E50" s="42"/>
      <c r="N50" s="46"/>
    </row>
    <row r="51" spans="1:15" x14ac:dyDescent="0.15">
      <c r="C51" s="15"/>
      <c r="D51" s="15"/>
      <c r="N51" s="46"/>
    </row>
    <row r="52" spans="1:15" x14ac:dyDescent="0.15">
      <c r="C52" s="15"/>
      <c r="D52" s="15"/>
    </row>
    <row r="53" spans="1:15" x14ac:dyDescent="0.15">
      <c r="C53" s="15"/>
      <c r="D53" s="15"/>
    </row>
    <row r="54" spans="1:15" x14ac:dyDescent="0.15">
      <c r="C54" s="15"/>
      <c r="D54" s="15"/>
    </row>
    <row r="55" spans="1:15" x14ac:dyDescent="0.15">
      <c r="C55" s="15"/>
      <c r="D55" s="15"/>
      <c r="O55" s="26"/>
    </row>
    <row r="56" spans="1:15" x14ac:dyDescent="0.15">
      <c r="C56" s="15"/>
      <c r="D56" s="15"/>
      <c r="O56" s="26"/>
    </row>
    <row r="57" spans="1:15" x14ac:dyDescent="0.15">
      <c r="C57" s="15"/>
      <c r="D57" s="15"/>
      <c r="O57" s="26"/>
    </row>
    <row r="58" spans="1:15" x14ac:dyDescent="0.15">
      <c r="C58" s="15"/>
      <c r="D58" s="15"/>
      <c r="O58" s="26"/>
    </row>
    <row r="59" spans="1:15" x14ac:dyDescent="0.15">
      <c r="C59" s="15"/>
      <c r="D59" s="15"/>
      <c r="O59" s="26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Sheet1</vt:lpstr>
      <vt:lpstr>_arg1</vt:lpstr>
      <vt:lpstr>_arg2</vt:lpstr>
      <vt:lpstr>_Div2</vt:lpstr>
      <vt:lpstr>_Div3</vt:lpstr>
      <vt:lpstr>_sig3</vt:lpstr>
      <vt:lpstr>anndiv</vt:lpstr>
      <vt:lpstr>annrate</vt:lpstr>
      <vt:lpstr>annrate2</vt:lpstr>
      <vt:lpstr>annrate3</vt:lpstr>
      <vt:lpstr>matur2</vt:lpstr>
      <vt:lpstr>matur3</vt:lpstr>
      <vt:lpstr>narg1</vt:lpstr>
      <vt:lpstr>narg2</vt:lpstr>
      <vt:lpstr>s0</vt:lpstr>
      <vt:lpstr>Sigma</vt:lpstr>
      <vt:lpstr>sigma2</vt:lpstr>
      <vt:lpstr>sigma3</vt:lpstr>
      <vt:lpstr>stepsize</vt:lpstr>
      <vt:lpstr>T</vt:lpstr>
      <vt:lpstr>T_2</vt:lpstr>
      <vt:lpstr>X</vt:lpstr>
      <vt:lpstr>X_2</vt:lpstr>
      <vt:lpstr>X_3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Question-2</dc:title>
  <dc:creator>Ata Mazaheri</dc:creator>
  <cp:lastModifiedBy>Microsoft Office User</cp:lastModifiedBy>
  <cp:lastPrinted>2007-11-29T21:53:37Z</cp:lastPrinted>
  <dcterms:created xsi:type="dcterms:W3CDTF">2000-05-23T16:25:58Z</dcterms:created>
  <dcterms:modified xsi:type="dcterms:W3CDTF">2020-04-01T01:37:59Z</dcterms:modified>
</cp:coreProperties>
</file>