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64011"/>
  <bookViews>
    <workbookView xWindow="-108" yWindow="-108" windowWidth="19416" windowHeight="10416" firstSheet="2" activeTab="5"/>
  </bookViews>
  <sheets>
    <sheet name="报告期" sheetId="14" r:id="rId1"/>
    <sheet name="简介" sheetId="1" r:id="rId2"/>
    <sheet name="股权&amp;股权风险" sheetId="2" r:id="rId3"/>
    <sheet name="主营构成" sheetId="13" r:id="rId4"/>
    <sheet name="财务摘要" sheetId="12" r:id="rId5"/>
    <sheet name="三表" sheetId="16" r:id="rId6"/>
    <sheet name="财务风险" sheetId="17" r:id="rId7"/>
    <sheet name="转债条款" sheetId="4" r:id="rId8"/>
    <sheet name="#财务风险" sheetId="8" r:id="rId9"/>
    <sheet name="#三表" sheetId="9" r:id="rId10"/>
  </sheets>
  <externalReferences>
    <externalReference r:id="rId11"/>
    <externalReference r:id="rId1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17" l="1"/>
  <c r="B30" i="17"/>
  <c r="B31" i="17"/>
  <c r="B32" i="17"/>
  <c r="C3" i="17"/>
  <c r="D3" i="17"/>
  <c r="E3" i="17"/>
  <c r="F3" i="17"/>
  <c r="G3" i="17"/>
  <c r="C4" i="17"/>
  <c r="D4" i="17"/>
  <c r="E4" i="17"/>
  <c r="F4" i="17"/>
  <c r="G4" i="17"/>
  <c r="C5" i="17"/>
  <c r="D5" i="17"/>
  <c r="E5" i="17"/>
  <c r="F5" i="17"/>
  <c r="G5" i="17"/>
  <c r="C6" i="17"/>
  <c r="D6" i="17"/>
  <c r="E6" i="17"/>
  <c r="F6" i="17"/>
  <c r="G6" i="17"/>
  <c r="C7" i="17"/>
  <c r="D7" i="17"/>
  <c r="E7" i="17"/>
  <c r="F7" i="17"/>
  <c r="G7" i="17"/>
  <c r="C8" i="17"/>
  <c r="D8" i="17"/>
  <c r="E8" i="17"/>
  <c r="F8" i="17"/>
  <c r="G8" i="17"/>
  <c r="C9" i="17"/>
  <c r="D9" i="17"/>
  <c r="E9" i="17"/>
  <c r="F9" i="17"/>
  <c r="G9" i="17"/>
  <c r="C10" i="17"/>
  <c r="D10" i="17"/>
  <c r="E10" i="17"/>
  <c r="F10" i="17"/>
  <c r="G10" i="17"/>
  <c r="C11" i="17"/>
  <c r="D11" i="17"/>
  <c r="E11" i="17"/>
  <c r="F11" i="17"/>
  <c r="G11" i="17"/>
  <c r="C12" i="17"/>
  <c r="D12" i="17"/>
  <c r="E12" i="17"/>
  <c r="F12" i="17"/>
  <c r="G12" i="17"/>
  <c r="C13" i="17"/>
  <c r="D13" i="17"/>
  <c r="E13" i="17"/>
  <c r="F13" i="17"/>
  <c r="G13" i="17"/>
  <c r="C14" i="17"/>
  <c r="D14" i="17"/>
  <c r="E14" i="17"/>
  <c r="F14" i="17"/>
  <c r="G14" i="17"/>
  <c r="C15" i="17"/>
  <c r="D15" i="17"/>
  <c r="E15" i="17"/>
  <c r="F15" i="17"/>
  <c r="G15" i="17"/>
  <c r="C16" i="17"/>
  <c r="D16" i="17"/>
  <c r="E16" i="17"/>
  <c r="F16" i="17"/>
  <c r="G16" i="17"/>
  <c r="C17" i="17"/>
  <c r="D17" i="17"/>
  <c r="E17" i="17"/>
  <c r="F17" i="17"/>
  <c r="G17" i="17"/>
  <c r="C18" i="17"/>
  <c r="D18" i="17"/>
  <c r="E18" i="17"/>
  <c r="F18" i="17"/>
  <c r="G18" i="17"/>
  <c r="C19" i="17"/>
  <c r="D19" i="17"/>
  <c r="E19" i="17"/>
  <c r="F19" i="17"/>
  <c r="G19" i="17"/>
  <c r="C20" i="17"/>
  <c r="D20" i="17"/>
  <c r="E20" i="17"/>
  <c r="F20" i="17"/>
  <c r="G20" i="17"/>
  <c r="C21" i="17"/>
  <c r="D21" i="17"/>
  <c r="E21" i="17"/>
  <c r="F21" i="17"/>
  <c r="G21" i="17"/>
  <c r="C22" i="17"/>
  <c r="D22" i="17"/>
  <c r="E22" i="17"/>
  <c r="F22" i="17"/>
  <c r="G22" i="17"/>
  <c r="C23" i="17"/>
  <c r="D23" i="17"/>
  <c r="E23" i="17"/>
  <c r="F23" i="17"/>
  <c r="G23" i="17"/>
  <c r="C24" i="17"/>
  <c r="D24" i="17"/>
  <c r="E24" i="17"/>
  <c r="F24" i="17"/>
  <c r="G24" i="17"/>
  <c r="C25" i="17"/>
  <c r="D25" i="17"/>
  <c r="E25" i="17"/>
  <c r="F25" i="17"/>
  <c r="G25" i="17"/>
  <c r="C26" i="17"/>
  <c r="D26" i="17"/>
  <c r="E26" i="17"/>
  <c r="F26" i="17"/>
  <c r="G26" i="17"/>
  <c r="C27" i="17"/>
  <c r="D27" i="17"/>
  <c r="E27" i="17"/>
  <c r="F27" i="17"/>
  <c r="G27" i="17"/>
  <c r="C28" i="17"/>
  <c r="D28" i="17"/>
  <c r="E28" i="17"/>
  <c r="F28" i="17"/>
  <c r="G28" i="17"/>
  <c r="C29" i="17"/>
  <c r="D29" i="17"/>
  <c r="E29" i="17"/>
  <c r="F29" i="17"/>
  <c r="G29" i="17"/>
  <c r="C30" i="17"/>
  <c r="D30" i="17"/>
  <c r="E30" i="17"/>
  <c r="F30" i="17"/>
  <c r="G30" i="17"/>
  <c r="C31" i="17"/>
  <c r="D31" i="17"/>
  <c r="E31" i="17"/>
  <c r="F31" i="17"/>
  <c r="G31" i="17"/>
  <c r="C32" i="17"/>
  <c r="D32" i="17"/>
  <c r="E32" i="17"/>
  <c r="F32" i="17"/>
  <c r="G32" i="17"/>
  <c r="C33" i="17"/>
  <c r="D33" i="17"/>
  <c r="E33" i="17"/>
  <c r="F33" i="17"/>
  <c r="G33" i="17"/>
  <c r="C34" i="17"/>
  <c r="D34" i="17"/>
  <c r="E34" i="17"/>
  <c r="F34" i="17"/>
  <c r="G34" i="17"/>
  <c r="C35" i="17"/>
  <c r="D35" i="17"/>
  <c r="E35" i="17"/>
  <c r="F35" i="17"/>
  <c r="G35" i="17"/>
  <c r="C36" i="17"/>
  <c r="D36" i="17"/>
  <c r="E36" i="17"/>
  <c r="F36" i="17"/>
  <c r="G36" i="17"/>
  <c r="C37" i="17"/>
  <c r="D37" i="17"/>
  <c r="E37" i="17"/>
  <c r="F37" i="17"/>
  <c r="G37" i="17"/>
  <c r="C38" i="17"/>
  <c r="D38" i="17"/>
  <c r="E38" i="17"/>
  <c r="F38" i="17"/>
  <c r="G38" i="17"/>
  <c r="C2" i="17"/>
  <c r="D2" i="17"/>
  <c r="E2" i="17"/>
  <c r="F2" i="17"/>
  <c r="G2" i="17"/>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33" i="17"/>
  <c r="B34" i="17"/>
  <c r="B35" i="17"/>
  <c r="B36" i="17"/>
  <c r="B37" i="17"/>
  <c r="B38" i="17"/>
  <c r="B2" i="17"/>
  <c r="C1" i="17"/>
  <c r="D1" i="17"/>
  <c r="E1" i="17"/>
  <c r="F1" i="17"/>
  <c r="G1" i="17"/>
  <c r="B1" i="17"/>
  <c r="A33" i="17"/>
  <c r="A34" i="17"/>
  <c r="A35" i="17"/>
  <c r="A36" i="17"/>
  <c r="A37" i="17"/>
  <c r="A38" i="17"/>
  <c r="A24" i="17"/>
  <c r="A25" i="17"/>
  <c r="A26" i="17"/>
  <c r="A27" i="17"/>
  <c r="A28" i="17"/>
  <c r="A29" i="17"/>
  <c r="A30" i="17"/>
  <c r="A31" i="17"/>
  <c r="A32" i="17"/>
  <c r="A2" i="17"/>
  <c r="A3" i="17"/>
  <c r="A4" i="17"/>
  <c r="A5" i="17"/>
  <c r="A6" i="17"/>
  <c r="A7" i="17"/>
  <c r="A8" i="17"/>
  <c r="A9" i="17"/>
  <c r="A10" i="17"/>
  <c r="A11" i="17"/>
  <c r="A12" i="17"/>
  <c r="A13" i="17"/>
  <c r="A14" i="17"/>
  <c r="A15" i="17"/>
  <c r="A16" i="17"/>
  <c r="A17" i="17"/>
  <c r="A18" i="17"/>
  <c r="A19" i="17"/>
  <c r="A20" i="17"/>
  <c r="A21" i="17"/>
  <c r="A22" i="17"/>
  <c r="A23" i="17"/>
  <c r="A1" i="17"/>
  <c r="B277" i="16" l="1"/>
  <c r="C277" i="16"/>
  <c r="D277" i="16"/>
  <c r="E277" i="16"/>
  <c r="F277" i="16"/>
  <c r="G277" i="16"/>
  <c r="H277" i="16"/>
  <c r="I277" i="16"/>
  <c r="B278" i="16"/>
  <c r="C278" i="16"/>
  <c r="D278" i="16"/>
  <c r="E278" i="16"/>
  <c r="F278" i="16"/>
  <c r="G278" i="16"/>
  <c r="H278" i="16"/>
  <c r="I278" i="16"/>
  <c r="B279" i="16"/>
  <c r="C279" i="16"/>
  <c r="D279" i="16"/>
  <c r="E279" i="16"/>
  <c r="F279" i="16"/>
  <c r="G279" i="16"/>
  <c r="H279" i="16"/>
  <c r="I279" i="16"/>
  <c r="B280" i="16"/>
  <c r="C280" i="16"/>
  <c r="D280" i="16"/>
  <c r="E280" i="16"/>
  <c r="F280" i="16"/>
  <c r="G280" i="16"/>
  <c r="H280" i="16"/>
  <c r="I280" i="16"/>
  <c r="B281" i="16"/>
  <c r="C281" i="16"/>
  <c r="D281" i="16"/>
  <c r="E281" i="16"/>
  <c r="F281" i="16"/>
  <c r="G281" i="16"/>
  <c r="H281" i="16"/>
  <c r="I281" i="16"/>
  <c r="B282" i="16"/>
  <c r="C282" i="16"/>
  <c r="D282" i="16"/>
  <c r="E282" i="16"/>
  <c r="F282" i="16"/>
  <c r="G282" i="16"/>
  <c r="H282" i="16"/>
  <c r="I282" i="16"/>
  <c r="B283" i="16"/>
  <c r="C283" i="16"/>
  <c r="D283" i="16"/>
  <c r="E283" i="16"/>
  <c r="F283" i="16"/>
  <c r="G283" i="16"/>
  <c r="H283" i="16"/>
  <c r="I283" i="16"/>
  <c r="B284" i="16"/>
  <c r="C284" i="16"/>
  <c r="D284" i="16"/>
  <c r="E284" i="16"/>
  <c r="F284" i="16"/>
  <c r="G284" i="16"/>
  <c r="H284" i="16"/>
  <c r="I284" i="16"/>
  <c r="B3" i="16"/>
  <c r="C3" i="16"/>
  <c r="D3" i="16"/>
  <c r="E3" i="16"/>
  <c r="F3" i="16"/>
  <c r="G3" i="16"/>
  <c r="H3" i="16"/>
  <c r="I3" i="16"/>
  <c r="B4" i="16"/>
  <c r="C4" i="16"/>
  <c r="D4" i="16"/>
  <c r="E4" i="16"/>
  <c r="F4" i="16"/>
  <c r="G4" i="16"/>
  <c r="H4" i="16"/>
  <c r="I4" i="16"/>
  <c r="B5" i="16"/>
  <c r="C5" i="16"/>
  <c r="D5" i="16"/>
  <c r="E5" i="16"/>
  <c r="F5" i="16"/>
  <c r="G5" i="16"/>
  <c r="H5" i="16"/>
  <c r="I5" i="16"/>
  <c r="B6" i="16"/>
  <c r="C6" i="16"/>
  <c r="D6" i="16"/>
  <c r="E6" i="16"/>
  <c r="F6" i="16"/>
  <c r="G6" i="16"/>
  <c r="H6" i="16"/>
  <c r="I6" i="16"/>
  <c r="B7" i="16"/>
  <c r="C7" i="16"/>
  <c r="D7" i="16"/>
  <c r="E7" i="16"/>
  <c r="F7" i="16"/>
  <c r="G7" i="16"/>
  <c r="H7" i="16"/>
  <c r="I7" i="16"/>
  <c r="B8" i="16"/>
  <c r="C8" i="16"/>
  <c r="D8" i="16"/>
  <c r="E8" i="16"/>
  <c r="F8" i="16"/>
  <c r="G8" i="16"/>
  <c r="H8" i="16"/>
  <c r="I8" i="16"/>
  <c r="B9" i="16"/>
  <c r="C9" i="16"/>
  <c r="D9" i="16"/>
  <c r="E9" i="16"/>
  <c r="F9" i="16"/>
  <c r="G9" i="16"/>
  <c r="H9" i="16"/>
  <c r="I9" i="16"/>
  <c r="B10" i="16"/>
  <c r="C10" i="16"/>
  <c r="D10" i="16"/>
  <c r="E10" i="16"/>
  <c r="F10" i="16"/>
  <c r="G10" i="16"/>
  <c r="H10" i="16"/>
  <c r="I10" i="16"/>
  <c r="B11" i="16"/>
  <c r="C11" i="16"/>
  <c r="D11" i="16"/>
  <c r="E11" i="16"/>
  <c r="F11" i="16"/>
  <c r="G11" i="16"/>
  <c r="H11" i="16"/>
  <c r="I11" i="16"/>
  <c r="B12" i="16"/>
  <c r="C12" i="16"/>
  <c r="D12" i="16"/>
  <c r="E12" i="16"/>
  <c r="F12" i="16"/>
  <c r="G12" i="16"/>
  <c r="H12" i="16"/>
  <c r="I12" i="16"/>
  <c r="B13" i="16"/>
  <c r="C13" i="16"/>
  <c r="D13" i="16"/>
  <c r="E13" i="16"/>
  <c r="F13" i="16"/>
  <c r="G13" i="16"/>
  <c r="H13" i="16"/>
  <c r="I13" i="16"/>
  <c r="B14" i="16"/>
  <c r="C14" i="16"/>
  <c r="D14" i="16"/>
  <c r="E14" i="16"/>
  <c r="F14" i="16"/>
  <c r="G14" i="16"/>
  <c r="H14" i="16"/>
  <c r="I14" i="16"/>
  <c r="B15" i="16"/>
  <c r="C15" i="16"/>
  <c r="D15" i="16"/>
  <c r="E15" i="16"/>
  <c r="F15" i="16"/>
  <c r="G15" i="16"/>
  <c r="H15" i="16"/>
  <c r="I15" i="16"/>
  <c r="B16" i="16"/>
  <c r="C16" i="16"/>
  <c r="D16" i="16"/>
  <c r="E16" i="16"/>
  <c r="F16" i="16"/>
  <c r="G16" i="16"/>
  <c r="H16" i="16"/>
  <c r="I16" i="16"/>
  <c r="B17" i="16"/>
  <c r="C17" i="16"/>
  <c r="D17" i="16"/>
  <c r="E17" i="16"/>
  <c r="F17" i="16"/>
  <c r="G17" i="16"/>
  <c r="H17" i="16"/>
  <c r="I17" i="16"/>
  <c r="B18" i="16"/>
  <c r="C18" i="16"/>
  <c r="D18" i="16"/>
  <c r="E18" i="16"/>
  <c r="F18" i="16"/>
  <c r="G18" i="16"/>
  <c r="H18" i="16"/>
  <c r="I18" i="16"/>
  <c r="B19" i="16"/>
  <c r="C19" i="16"/>
  <c r="D19" i="16"/>
  <c r="E19" i="16"/>
  <c r="F19" i="16"/>
  <c r="G19" i="16"/>
  <c r="H19" i="16"/>
  <c r="I19" i="16"/>
  <c r="B20" i="16"/>
  <c r="C20" i="16"/>
  <c r="D20" i="16"/>
  <c r="E20" i="16"/>
  <c r="F20" i="16"/>
  <c r="G20" i="16"/>
  <c r="H20" i="16"/>
  <c r="I20" i="16"/>
  <c r="B21" i="16"/>
  <c r="C21" i="16"/>
  <c r="D21" i="16"/>
  <c r="E21" i="16"/>
  <c r="F21" i="16"/>
  <c r="G21" i="16"/>
  <c r="H21" i="16"/>
  <c r="I21" i="16"/>
  <c r="B22" i="16"/>
  <c r="C22" i="16"/>
  <c r="D22" i="16"/>
  <c r="E22" i="16"/>
  <c r="F22" i="16"/>
  <c r="G22" i="16"/>
  <c r="H22" i="16"/>
  <c r="I22" i="16"/>
  <c r="B23" i="16"/>
  <c r="C23" i="16"/>
  <c r="D23" i="16"/>
  <c r="E23" i="16"/>
  <c r="F23" i="16"/>
  <c r="G23" i="16"/>
  <c r="H23" i="16"/>
  <c r="I23" i="16"/>
  <c r="B24" i="16"/>
  <c r="C24" i="16"/>
  <c r="D24" i="16"/>
  <c r="E24" i="16"/>
  <c r="F24" i="16"/>
  <c r="G24" i="16"/>
  <c r="H24" i="16"/>
  <c r="I24" i="16"/>
  <c r="B25" i="16"/>
  <c r="C25" i="16"/>
  <c r="D25" i="16"/>
  <c r="E25" i="16"/>
  <c r="F25" i="16"/>
  <c r="G25" i="16"/>
  <c r="H25" i="16"/>
  <c r="I25" i="16"/>
  <c r="B26" i="16"/>
  <c r="C26" i="16"/>
  <c r="D26" i="16"/>
  <c r="E26" i="16"/>
  <c r="F26" i="16"/>
  <c r="G26" i="16"/>
  <c r="H26" i="16"/>
  <c r="I26" i="16"/>
  <c r="B27" i="16"/>
  <c r="C27" i="16"/>
  <c r="D27" i="16"/>
  <c r="E27" i="16"/>
  <c r="F27" i="16"/>
  <c r="G27" i="16"/>
  <c r="H27" i="16"/>
  <c r="I27" i="16"/>
  <c r="B28" i="16"/>
  <c r="C28" i="16"/>
  <c r="D28" i="16"/>
  <c r="E28" i="16"/>
  <c r="F28" i="16"/>
  <c r="G28" i="16"/>
  <c r="H28" i="16"/>
  <c r="I28" i="16"/>
  <c r="B29" i="16"/>
  <c r="C29" i="16"/>
  <c r="D29" i="16"/>
  <c r="E29" i="16"/>
  <c r="F29" i="16"/>
  <c r="G29" i="16"/>
  <c r="H29" i="16"/>
  <c r="I29" i="16"/>
  <c r="B30" i="16"/>
  <c r="C30" i="16"/>
  <c r="D30" i="16"/>
  <c r="E30" i="16"/>
  <c r="F30" i="16"/>
  <c r="G30" i="16"/>
  <c r="H30" i="16"/>
  <c r="I30" i="16"/>
  <c r="B31" i="16"/>
  <c r="C31" i="16"/>
  <c r="D31" i="16"/>
  <c r="E31" i="16"/>
  <c r="F31" i="16"/>
  <c r="G31" i="16"/>
  <c r="H31" i="16"/>
  <c r="I31" i="16"/>
  <c r="B32" i="16"/>
  <c r="C32" i="16"/>
  <c r="D32" i="16"/>
  <c r="E32" i="16"/>
  <c r="F32" i="16"/>
  <c r="G32" i="16"/>
  <c r="H32" i="16"/>
  <c r="I32" i="16"/>
  <c r="B33" i="16"/>
  <c r="C33" i="16"/>
  <c r="D33" i="16"/>
  <c r="E33" i="16"/>
  <c r="F33" i="16"/>
  <c r="G33" i="16"/>
  <c r="H33" i="16"/>
  <c r="I33" i="16"/>
  <c r="B34" i="16"/>
  <c r="C34" i="16"/>
  <c r="D34" i="16"/>
  <c r="E34" i="16"/>
  <c r="F34" i="16"/>
  <c r="G34" i="16"/>
  <c r="H34" i="16"/>
  <c r="I34" i="16"/>
  <c r="B35" i="16"/>
  <c r="C35" i="16"/>
  <c r="D35" i="16"/>
  <c r="E35" i="16"/>
  <c r="F35" i="16"/>
  <c r="G35" i="16"/>
  <c r="H35" i="16"/>
  <c r="I35" i="16"/>
  <c r="B36" i="16"/>
  <c r="C36" i="16"/>
  <c r="D36" i="16"/>
  <c r="E36" i="16"/>
  <c r="F36" i="16"/>
  <c r="G36" i="16"/>
  <c r="H36" i="16"/>
  <c r="I36" i="16"/>
  <c r="B37" i="16"/>
  <c r="C37" i="16"/>
  <c r="D37" i="16"/>
  <c r="E37" i="16"/>
  <c r="F37" i="16"/>
  <c r="G37" i="16"/>
  <c r="H37" i="16"/>
  <c r="I37" i="16"/>
  <c r="B38" i="16"/>
  <c r="C38" i="16"/>
  <c r="D38" i="16"/>
  <c r="E38" i="16"/>
  <c r="F38" i="16"/>
  <c r="G38" i="16"/>
  <c r="H38" i="16"/>
  <c r="I38" i="16"/>
  <c r="B39" i="16"/>
  <c r="C39" i="16"/>
  <c r="D39" i="16"/>
  <c r="E39" i="16"/>
  <c r="F39" i="16"/>
  <c r="G39" i="16"/>
  <c r="H39" i="16"/>
  <c r="I39" i="16"/>
  <c r="B40" i="16"/>
  <c r="C40" i="16"/>
  <c r="D40" i="16"/>
  <c r="E40" i="16"/>
  <c r="F40" i="16"/>
  <c r="G40" i="16"/>
  <c r="H40" i="16"/>
  <c r="I40" i="16"/>
  <c r="B41" i="16"/>
  <c r="C41" i="16"/>
  <c r="D41" i="16"/>
  <c r="E41" i="16"/>
  <c r="F41" i="16"/>
  <c r="G41" i="16"/>
  <c r="H41" i="16"/>
  <c r="I41" i="16"/>
  <c r="B42" i="16"/>
  <c r="C42" i="16"/>
  <c r="D42" i="16"/>
  <c r="E42" i="16"/>
  <c r="F42" i="16"/>
  <c r="G42" i="16"/>
  <c r="H42" i="16"/>
  <c r="I42" i="16"/>
  <c r="B43" i="16"/>
  <c r="C43" i="16"/>
  <c r="D43" i="16"/>
  <c r="E43" i="16"/>
  <c r="F43" i="16"/>
  <c r="G43" i="16"/>
  <c r="H43" i="16"/>
  <c r="I43" i="16"/>
  <c r="B44" i="16"/>
  <c r="C44" i="16"/>
  <c r="D44" i="16"/>
  <c r="E44" i="16"/>
  <c r="F44" i="16"/>
  <c r="G44" i="16"/>
  <c r="H44" i="16"/>
  <c r="I44" i="16"/>
  <c r="B45" i="16"/>
  <c r="C45" i="16"/>
  <c r="D45" i="16"/>
  <c r="E45" i="16"/>
  <c r="F45" i="16"/>
  <c r="G45" i="16"/>
  <c r="H45" i="16"/>
  <c r="I45" i="16"/>
  <c r="B46" i="16"/>
  <c r="C46" i="16"/>
  <c r="D46" i="16"/>
  <c r="E46" i="16"/>
  <c r="F46" i="16"/>
  <c r="G46" i="16"/>
  <c r="H46" i="16"/>
  <c r="I46" i="16"/>
  <c r="B47" i="16"/>
  <c r="C47" i="16"/>
  <c r="D47" i="16"/>
  <c r="E47" i="16"/>
  <c r="F47" i="16"/>
  <c r="G47" i="16"/>
  <c r="H47" i="16"/>
  <c r="I47" i="16"/>
  <c r="B48" i="16"/>
  <c r="C48" i="16"/>
  <c r="D48" i="16"/>
  <c r="E48" i="16"/>
  <c r="F48" i="16"/>
  <c r="G48" i="16"/>
  <c r="H48" i="16"/>
  <c r="I48" i="16"/>
  <c r="B49" i="16"/>
  <c r="C49" i="16"/>
  <c r="D49" i="16"/>
  <c r="E49" i="16"/>
  <c r="F49" i="16"/>
  <c r="G49" i="16"/>
  <c r="H49" i="16"/>
  <c r="I49" i="16"/>
  <c r="B50" i="16"/>
  <c r="C50" i="16"/>
  <c r="D50" i="16"/>
  <c r="E50" i="16"/>
  <c r="F50" i="16"/>
  <c r="G50" i="16"/>
  <c r="H50" i="16"/>
  <c r="I50" i="16"/>
  <c r="B51" i="16"/>
  <c r="C51" i="16"/>
  <c r="D51" i="16"/>
  <c r="E51" i="16"/>
  <c r="F51" i="16"/>
  <c r="G51" i="16"/>
  <c r="H51" i="16"/>
  <c r="I51" i="16"/>
  <c r="B52" i="16"/>
  <c r="C52" i="16"/>
  <c r="D52" i="16"/>
  <c r="E52" i="16"/>
  <c r="F52" i="16"/>
  <c r="G52" i="16"/>
  <c r="H52" i="16"/>
  <c r="I52" i="16"/>
  <c r="B53" i="16"/>
  <c r="C53" i="16"/>
  <c r="D53" i="16"/>
  <c r="E53" i="16"/>
  <c r="F53" i="16"/>
  <c r="G53" i="16"/>
  <c r="H53" i="16"/>
  <c r="I53" i="16"/>
  <c r="B54" i="16"/>
  <c r="C54" i="16"/>
  <c r="D54" i="16"/>
  <c r="E54" i="16"/>
  <c r="F54" i="16"/>
  <c r="G54" i="16"/>
  <c r="H54" i="16"/>
  <c r="I54" i="16"/>
  <c r="B55" i="16"/>
  <c r="C55" i="16"/>
  <c r="D55" i="16"/>
  <c r="E55" i="16"/>
  <c r="F55" i="16"/>
  <c r="G55" i="16"/>
  <c r="H55" i="16"/>
  <c r="I55" i="16"/>
  <c r="B56" i="16"/>
  <c r="C56" i="16"/>
  <c r="D56" i="16"/>
  <c r="E56" i="16"/>
  <c r="F56" i="16"/>
  <c r="G56" i="16"/>
  <c r="H56" i="16"/>
  <c r="I56" i="16"/>
  <c r="B57" i="16"/>
  <c r="C57" i="16"/>
  <c r="D57" i="16"/>
  <c r="E57" i="16"/>
  <c r="F57" i="16"/>
  <c r="G57" i="16"/>
  <c r="H57" i="16"/>
  <c r="I57" i="16"/>
  <c r="B58" i="16"/>
  <c r="C58" i="16"/>
  <c r="D58" i="16"/>
  <c r="E58" i="16"/>
  <c r="F58" i="16"/>
  <c r="G58" i="16"/>
  <c r="H58" i="16"/>
  <c r="I58" i="16"/>
  <c r="B59" i="16"/>
  <c r="C59" i="16"/>
  <c r="D59" i="16"/>
  <c r="E59" i="16"/>
  <c r="F59" i="16"/>
  <c r="G59" i="16"/>
  <c r="H59" i="16"/>
  <c r="I59" i="16"/>
  <c r="B60" i="16"/>
  <c r="C60" i="16"/>
  <c r="D60" i="16"/>
  <c r="E60" i="16"/>
  <c r="F60" i="16"/>
  <c r="G60" i="16"/>
  <c r="H60" i="16"/>
  <c r="I60" i="16"/>
  <c r="B61" i="16"/>
  <c r="C61" i="16"/>
  <c r="D61" i="16"/>
  <c r="E61" i="16"/>
  <c r="F61" i="16"/>
  <c r="G61" i="16"/>
  <c r="H61" i="16"/>
  <c r="I61" i="16"/>
  <c r="B62" i="16"/>
  <c r="C62" i="16"/>
  <c r="D62" i="16"/>
  <c r="E62" i="16"/>
  <c r="F62" i="16"/>
  <c r="G62" i="16"/>
  <c r="H62" i="16"/>
  <c r="I62" i="16"/>
  <c r="B63" i="16"/>
  <c r="C63" i="16"/>
  <c r="D63" i="16"/>
  <c r="E63" i="16"/>
  <c r="F63" i="16"/>
  <c r="G63" i="16"/>
  <c r="H63" i="16"/>
  <c r="I63" i="16"/>
  <c r="B64" i="16"/>
  <c r="C64" i="16"/>
  <c r="D64" i="16"/>
  <c r="E64" i="16"/>
  <c r="F64" i="16"/>
  <c r="G64" i="16"/>
  <c r="H64" i="16"/>
  <c r="I64" i="16"/>
  <c r="B65" i="16"/>
  <c r="C65" i="16"/>
  <c r="D65" i="16"/>
  <c r="E65" i="16"/>
  <c r="F65" i="16"/>
  <c r="G65" i="16"/>
  <c r="H65" i="16"/>
  <c r="I65" i="16"/>
  <c r="B66" i="16"/>
  <c r="C66" i="16"/>
  <c r="D66" i="16"/>
  <c r="E66" i="16"/>
  <c r="F66" i="16"/>
  <c r="G66" i="16"/>
  <c r="H66" i="16"/>
  <c r="I66" i="16"/>
  <c r="B67" i="16"/>
  <c r="C67" i="16"/>
  <c r="D67" i="16"/>
  <c r="E67" i="16"/>
  <c r="F67" i="16"/>
  <c r="G67" i="16"/>
  <c r="H67" i="16"/>
  <c r="I67" i="16"/>
  <c r="B68" i="16"/>
  <c r="C68" i="16"/>
  <c r="D68" i="16"/>
  <c r="E68" i="16"/>
  <c r="F68" i="16"/>
  <c r="G68" i="16"/>
  <c r="H68" i="16"/>
  <c r="I68" i="16"/>
  <c r="B69" i="16"/>
  <c r="C69" i="16"/>
  <c r="D69" i="16"/>
  <c r="E69" i="16"/>
  <c r="F69" i="16"/>
  <c r="G69" i="16"/>
  <c r="H69" i="16"/>
  <c r="I69" i="16"/>
  <c r="B70" i="16"/>
  <c r="C70" i="16"/>
  <c r="D70" i="16"/>
  <c r="E70" i="16"/>
  <c r="F70" i="16"/>
  <c r="G70" i="16"/>
  <c r="H70" i="16"/>
  <c r="I70" i="16"/>
  <c r="B71" i="16"/>
  <c r="C71" i="16"/>
  <c r="D71" i="16"/>
  <c r="E71" i="16"/>
  <c r="F71" i="16"/>
  <c r="G71" i="16"/>
  <c r="H71" i="16"/>
  <c r="I71" i="16"/>
  <c r="B72" i="16"/>
  <c r="C72" i="16"/>
  <c r="D72" i="16"/>
  <c r="E72" i="16"/>
  <c r="F72" i="16"/>
  <c r="G72" i="16"/>
  <c r="H72" i="16"/>
  <c r="I72" i="16"/>
  <c r="B73" i="16"/>
  <c r="C73" i="16"/>
  <c r="D73" i="16"/>
  <c r="E73" i="16"/>
  <c r="F73" i="16"/>
  <c r="G73" i="16"/>
  <c r="H73" i="16"/>
  <c r="I73" i="16"/>
  <c r="B74" i="16"/>
  <c r="C74" i="16"/>
  <c r="D74" i="16"/>
  <c r="E74" i="16"/>
  <c r="F74" i="16"/>
  <c r="G74" i="16"/>
  <c r="H74" i="16"/>
  <c r="I74" i="16"/>
  <c r="B75" i="16"/>
  <c r="C75" i="16"/>
  <c r="D75" i="16"/>
  <c r="E75" i="16"/>
  <c r="F75" i="16"/>
  <c r="G75" i="16"/>
  <c r="H75" i="16"/>
  <c r="I75" i="16"/>
  <c r="B76" i="16"/>
  <c r="C76" i="16"/>
  <c r="D76" i="16"/>
  <c r="E76" i="16"/>
  <c r="F76" i="16"/>
  <c r="G76" i="16"/>
  <c r="H76" i="16"/>
  <c r="I76" i="16"/>
  <c r="B77" i="16"/>
  <c r="C77" i="16"/>
  <c r="D77" i="16"/>
  <c r="E77" i="16"/>
  <c r="F77" i="16"/>
  <c r="G77" i="16"/>
  <c r="H77" i="16"/>
  <c r="I77" i="16"/>
  <c r="B78" i="16"/>
  <c r="C78" i="16"/>
  <c r="D78" i="16"/>
  <c r="E78" i="16"/>
  <c r="F78" i="16"/>
  <c r="G78" i="16"/>
  <c r="H78" i="16"/>
  <c r="I78" i="16"/>
  <c r="B79" i="16"/>
  <c r="C79" i="16"/>
  <c r="D79" i="16"/>
  <c r="E79" i="16"/>
  <c r="F79" i="16"/>
  <c r="G79" i="16"/>
  <c r="H79" i="16"/>
  <c r="I79" i="16"/>
  <c r="B80" i="16"/>
  <c r="C80" i="16"/>
  <c r="D80" i="16"/>
  <c r="E80" i="16"/>
  <c r="F80" i="16"/>
  <c r="G80" i="16"/>
  <c r="H80" i="16"/>
  <c r="I80" i="16"/>
  <c r="B81" i="16"/>
  <c r="C81" i="16"/>
  <c r="D81" i="16"/>
  <c r="E81" i="16"/>
  <c r="F81" i="16"/>
  <c r="G81" i="16"/>
  <c r="H81" i="16"/>
  <c r="I81" i="16"/>
  <c r="B82" i="16"/>
  <c r="C82" i="16"/>
  <c r="D82" i="16"/>
  <c r="E82" i="16"/>
  <c r="F82" i="16"/>
  <c r="G82" i="16"/>
  <c r="H82" i="16"/>
  <c r="I82" i="16"/>
  <c r="B83" i="16"/>
  <c r="C83" i="16"/>
  <c r="D83" i="16"/>
  <c r="E83" i="16"/>
  <c r="F83" i="16"/>
  <c r="G83" i="16"/>
  <c r="H83" i="16"/>
  <c r="I83" i="16"/>
  <c r="B84" i="16"/>
  <c r="C84" i="16"/>
  <c r="D84" i="16"/>
  <c r="E84" i="16"/>
  <c r="F84" i="16"/>
  <c r="G84" i="16"/>
  <c r="H84" i="16"/>
  <c r="I84" i="16"/>
  <c r="B85" i="16"/>
  <c r="C85" i="16"/>
  <c r="D85" i="16"/>
  <c r="E85" i="16"/>
  <c r="F85" i="16"/>
  <c r="G85" i="16"/>
  <c r="H85" i="16"/>
  <c r="I85" i="16"/>
  <c r="B86" i="16"/>
  <c r="C86" i="16"/>
  <c r="D86" i="16"/>
  <c r="E86" i="16"/>
  <c r="F86" i="16"/>
  <c r="G86" i="16"/>
  <c r="H86" i="16"/>
  <c r="I86" i="16"/>
  <c r="B87" i="16"/>
  <c r="C87" i="16"/>
  <c r="D87" i="16"/>
  <c r="E87" i="16"/>
  <c r="F87" i="16"/>
  <c r="G87" i="16"/>
  <c r="H87" i="16"/>
  <c r="I87" i="16"/>
  <c r="B88" i="16"/>
  <c r="C88" i="16"/>
  <c r="D88" i="16"/>
  <c r="E88" i="16"/>
  <c r="F88" i="16"/>
  <c r="G88" i="16"/>
  <c r="H88" i="16"/>
  <c r="I88" i="16"/>
  <c r="B89" i="16"/>
  <c r="C89" i="16"/>
  <c r="D89" i="16"/>
  <c r="E89" i="16"/>
  <c r="F89" i="16"/>
  <c r="G89" i="16"/>
  <c r="H89" i="16"/>
  <c r="I89" i="16"/>
  <c r="B90" i="16"/>
  <c r="C90" i="16"/>
  <c r="D90" i="16"/>
  <c r="E90" i="16"/>
  <c r="F90" i="16"/>
  <c r="G90" i="16"/>
  <c r="H90" i="16"/>
  <c r="I90" i="16"/>
  <c r="B91" i="16"/>
  <c r="C91" i="16"/>
  <c r="D91" i="16"/>
  <c r="E91" i="16"/>
  <c r="F91" i="16"/>
  <c r="G91" i="16"/>
  <c r="H91" i="16"/>
  <c r="I91" i="16"/>
  <c r="B92" i="16"/>
  <c r="C92" i="16"/>
  <c r="D92" i="16"/>
  <c r="E92" i="16"/>
  <c r="F92" i="16"/>
  <c r="G92" i="16"/>
  <c r="H92" i="16"/>
  <c r="I92" i="16"/>
  <c r="B93" i="16"/>
  <c r="C93" i="16"/>
  <c r="D93" i="16"/>
  <c r="E93" i="16"/>
  <c r="F93" i="16"/>
  <c r="G93" i="16"/>
  <c r="H93" i="16"/>
  <c r="I93" i="16"/>
  <c r="B94" i="16"/>
  <c r="C94" i="16"/>
  <c r="D94" i="16"/>
  <c r="E94" i="16"/>
  <c r="F94" i="16"/>
  <c r="G94" i="16"/>
  <c r="H94" i="16"/>
  <c r="I94" i="16"/>
  <c r="B95" i="16"/>
  <c r="C95" i="16"/>
  <c r="D95" i="16"/>
  <c r="E95" i="16"/>
  <c r="F95" i="16"/>
  <c r="G95" i="16"/>
  <c r="H95" i="16"/>
  <c r="I95" i="16"/>
  <c r="B96" i="16"/>
  <c r="C96" i="16"/>
  <c r="D96" i="16"/>
  <c r="E96" i="16"/>
  <c r="F96" i="16"/>
  <c r="G96" i="16"/>
  <c r="H96" i="16"/>
  <c r="I96" i="16"/>
  <c r="B97" i="16"/>
  <c r="C97" i="16"/>
  <c r="D97" i="16"/>
  <c r="E97" i="16"/>
  <c r="F97" i="16"/>
  <c r="G97" i="16"/>
  <c r="H97" i="16"/>
  <c r="I97" i="16"/>
  <c r="B98" i="16"/>
  <c r="C98" i="16"/>
  <c r="D98" i="16"/>
  <c r="E98" i="16"/>
  <c r="F98" i="16"/>
  <c r="G98" i="16"/>
  <c r="H98" i="16"/>
  <c r="I98" i="16"/>
  <c r="B99" i="16"/>
  <c r="C99" i="16"/>
  <c r="D99" i="16"/>
  <c r="E99" i="16"/>
  <c r="F99" i="16"/>
  <c r="G99" i="16"/>
  <c r="H99" i="16"/>
  <c r="I99" i="16"/>
  <c r="B100" i="16"/>
  <c r="C100" i="16"/>
  <c r="D100" i="16"/>
  <c r="E100" i="16"/>
  <c r="F100" i="16"/>
  <c r="G100" i="16"/>
  <c r="H100" i="16"/>
  <c r="I100" i="16"/>
  <c r="B101" i="16"/>
  <c r="C101" i="16"/>
  <c r="D101" i="16"/>
  <c r="E101" i="16"/>
  <c r="F101" i="16"/>
  <c r="G101" i="16"/>
  <c r="H101" i="16"/>
  <c r="I101" i="16"/>
  <c r="B102" i="16"/>
  <c r="C102" i="16"/>
  <c r="D102" i="16"/>
  <c r="E102" i="16"/>
  <c r="F102" i="16"/>
  <c r="G102" i="16"/>
  <c r="H102" i="16"/>
  <c r="I102" i="16"/>
  <c r="B103" i="16"/>
  <c r="C103" i="16"/>
  <c r="D103" i="16"/>
  <c r="E103" i="16"/>
  <c r="F103" i="16"/>
  <c r="G103" i="16"/>
  <c r="H103" i="16"/>
  <c r="I103" i="16"/>
  <c r="B104" i="16"/>
  <c r="C104" i="16"/>
  <c r="D104" i="16"/>
  <c r="E104" i="16"/>
  <c r="F104" i="16"/>
  <c r="G104" i="16"/>
  <c r="H104" i="16"/>
  <c r="I104" i="16"/>
  <c r="B105" i="16"/>
  <c r="C105" i="16"/>
  <c r="D105" i="16"/>
  <c r="E105" i="16"/>
  <c r="F105" i="16"/>
  <c r="G105" i="16"/>
  <c r="H105" i="16"/>
  <c r="I105" i="16"/>
  <c r="B106" i="16"/>
  <c r="C106" i="16"/>
  <c r="D106" i="16"/>
  <c r="E106" i="16"/>
  <c r="F106" i="16"/>
  <c r="G106" i="16"/>
  <c r="H106" i="16"/>
  <c r="I106" i="16"/>
  <c r="B107" i="16"/>
  <c r="C107" i="16"/>
  <c r="D107" i="16"/>
  <c r="E107" i="16"/>
  <c r="F107" i="16"/>
  <c r="G107" i="16"/>
  <c r="H107" i="16"/>
  <c r="I107" i="16"/>
  <c r="B108" i="16"/>
  <c r="C108" i="16"/>
  <c r="D108" i="16"/>
  <c r="E108" i="16"/>
  <c r="F108" i="16"/>
  <c r="G108" i="16"/>
  <c r="H108" i="16"/>
  <c r="I108" i="16"/>
  <c r="B109" i="16"/>
  <c r="C109" i="16"/>
  <c r="D109" i="16"/>
  <c r="E109" i="16"/>
  <c r="F109" i="16"/>
  <c r="G109" i="16"/>
  <c r="H109" i="16"/>
  <c r="I109" i="16"/>
  <c r="B110" i="16"/>
  <c r="C110" i="16"/>
  <c r="D110" i="16"/>
  <c r="E110" i="16"/>
  <c r="F110" i="16"/>
  <c r="G110" i="16"/>
  <c r="H110" i="16"/>
  <c r="I110" i="16"/>
  <c r="B111" i="16"/>
  <c r="C111" i="16"/>
  <c r="D111" i="16"/>
  <c r="E111" i="16"/>
  <c r="F111" i="16"/>
  <c r="G111" i="16"/>
  <c r="H111" i="16"/>
  <c r="I111" i="16"/>
  <c r="B112" i="16"/>
  <c r="C112" i="16"/>
  <c r="D112" i="16"/>
  <c r="E112" i="16"/>
  <c r="F112" i="16"/>
  <c r="G112" i="16"/>
  <c r="H112" i="16"/>
  <c r="I112" i="16"/>
  <c r="B113" i="16"/>
  <c r="C113" i="16"/>
  <c r="D113" i="16"/>
  <c r="E113" i="16"/>
  <c r="F113" i="16"/>
  <c r="G113" i="16"/>
  <c r="H113" i="16"/>
  <c r="I113" i="16"/>
  <c r="B114" i="16"/>
  <c r="C114" i="16"/>
  <c r="D114" i="16"/>
  <c r="E114" i="16"/>
  <c r="F114" i="16"/>
  <c r="G114" i="16"/>
  <c r="H114" i="16"/>
  <c r="I114" i="16"/>
  <c r="B115" i="16"/>
  <c r="C115" i="16"/>
  <c r="D115" i="16"/>
  <c r="E115" i="16"/>
  <c r="F115" i="16"/>
  <c r="G115" i="16"/>
  <c r="H115" i="16"/>
  <c r="I115" i="16"/>
  <c r="B116" i="16"/>
  <c r="C116" i="16"/>
  <c r="D116" i="16"/>
  <c r="E116" i="16"/>
  <c r="F116" i="16"/>
  <c r="G116" i="16"/>
  <c r="H116" i="16"/>
  <c r="I116" i="16"/>
  <c r="B117" i="16"/>
  <c r="C117" i="16"/>
  <c r="D117" i="16"/>
  <c r="E117" i="16"/>
  <c r="F117" i="16"/>
  <c r="G117" i="16"/>
  <c r="H117" i="16"/>
  <c r="I117" i="16"/>
  <c r="B118" i="16"/>
  <c r="C118" i="16"/>
  <c r="D118" i="16"/>
  <c r="E118" i="16"/>
  <c r="F118" i="16"/>
  <c r="G118" i="16"/>
  <c r="H118" i="16"/>
  <c r="I118" i="16"/>
  <c r="B119" i="16"/>
  <c r="C119" i="16"/>
  <c r="D119" i="16"/>
  <c r="E119" i="16"/>
  <c r="F119" i="16"/>
  <c r="G119" i="16"/>
  <c r="H119" i="16"/>
  <c r="I119" i="16"/>
  <c r="B120" i="16"/>
  <c r="C120" i="16"/>
  <c r="D120" i="16"/>
  <c r="E120" i="16"/>
  <c r="F120" i="16"/>
  <c r="G120" i="16"/>
  <c r="H120" i="16"/>
  <c r="I120" i="16"/>
  <c r="B121" i="16"/>
  <c r="C121" i="16"/>
  <c r="D121" i="16"/>
  <c r="E121" i="16"/>
  <c r="F121" i="16"/>
  <c r="G121" i="16"/>
  <c r="H121" i="16"/>
  <c r="I121" i="16"/>
  <c r="B122" i="16"/>
  <c r="C122" i="16"/>
  <c r="D122" i="16"/>
  <c r="E122" i="16"/>
  <c r="F122" i="16"/>
  <c r="G122" i="16"/>
  <c r="H122" i="16"/>
  <c r="I122" i="16"/>
  <c r="B123" i="16"/>
  <c r="C123" i="16"/>
  <c r="D123" i="16"/>
  <c r="E123" i="16"/>
  <c r="F123" i="16"/>
  <c r="G123" i="16"/>
  <c r="H123" i="16"/>
  <c r="I123" i="16"/>
  <c r="B124" i="16"/>
  <c r="C124" i="16"/>
  <c r="D124" i="16"/>
  <c r="E124" i="16"/>
  <c r="F124" i="16"/>
  <c r="G124" i="16"/>
  <c r="H124" i="16"/>
  <c r="I124" i="16"/>
  <c r="B125" i="16"/>
  <c r="C125" i="16"/>
  <c r="D125" i="16"/>
  <c r="E125" i="16"/>
  <c r="F125" i="16"/>
  <c r="G125" i="16"/>
  <c r="H125" i="16"/>
  <c r="I125" i="16"/>
  <c r="B126" i="16"/>
  <c r="C126" i="16"/>
  <c r="D126" i="16"/>
  <c r="E126" i="16"/>
  <c r="F126" i="16"/>
  <c r="G126" i="16"/>
  <c r="H126" i="16"/>
  <c r="I126" i="16"/>
  <c r="B127" i="16"/>
  <c r="C127" i="16"/>
  <c r="D127" i="16"/>
  <c r="E127" i="16"/>
  <c r="F127" i="16"/>
  <c r="G127" i="16"/>
  <c r="H127" i="16"/>
  <c r="I127" i="16"/>
  <c r="B128" i="16"/>
  <c r="C128" i="16"/>
  <c r="D128" i="16"/>
  <c r="E128" i="16"/>
  <c r="F128" i="16"/>
  <c r="G128" i="16"/>
  <c r="H128" i="16"/>
  <c r="I128" i="16"/>
  <c r="B129" i="16"/>
  <c r="C129" i="16"/>
  <c r="D129" i="16"/>
  <c r="E129" i="16"/>
  <c r="F129" i="16"/>
  <c r="G129" i="16"/>
  <c r="H129" i="16"/>
  <c r="I129" i="16"/>
  <c r="B130" i="16"/>
  <c r="C130" i="16"/>
  <c r="D130" i="16"/>
  <c r="E130" i="16"/>
  <c r="F130" i="16"/>
  <c r="G130" i="16"/>
  <c r="H130" i="16"/>
  <c r="I130" i="16"/>
  <c r="B131" i="16"/>
  <c r="C131" i="16"/>
  <c r="D131" i="16"/>
  <c r="E131" i="16"/>
  <c r="F131" i="16"/>
  <c r="G131" i="16"/>
  <c r="H131" i="16"/>
  <c r="I131" i="16"/>
  <c r="B132" i="16"/>
  <c r="C132" i="16"/>
  <c r="D132" i="16"/>
  <c r="E132" i="16"/>
  <c r="F132" i="16"/>
  <c r="G132" i="16"/>
  <c r="H132" i="16"/>
  <c r="I132" i="16"/>
  <c r="B133" i="16"/>
  <c r="C133" i="16"/>
  <c r="D133" i="16"/>
  <c r="E133" i="16"/>
  <c r="F133" i="16"/>
  <c r="G133" i="16"/>
  <c r="H133" i="16"/>
  <c r="I133" i="16"/>
  <c r="B134" i="16"/>
  <c r="C134" i="16"/>
  <c r="D134" i="16"/>
  <c r="E134" i="16"/>
  <c r="F134" i="16"/>
  <c r="G134" i="16"/>
  <c r="H134" i="16"/>
  <c r="I134" i="16"/>
  <c r="B135" i="16"/>
  <c r="C135" i="16"/>
  <c r="D135" i="16"/>
  <c r="E135" i="16"/>
  <c r="F135" i="16"/>
  <c r="G135" i="16"/>
  <c r="H135" i="16"/>
  <c r="I135" i="16"/>
  <c r="B136" i="16"/>
  <c r="C136" i="16"/>
  <c r="D136" i="16"/>
  <c r="E136" i="16"/>
  <c r="F136" i="16"/>
  <c r="G136" i="16"/>
  <c r="H136" i="16"/>
  <c r="I136" i="16"/>
  <c r="B137" i="16"/>
  <c r="C137" i="16"/>
  <c r="D137" i="16"/>
  <c r="E137" i="16"/>
  <c r="F137" i="16"/>
  <c r="G137" i="16"/>
  <c r="H137" i="16"/>
  <c r="I137" i="16"/>
  <c r="B138" i="16"/>
  <c r="C138" i="16"/>
  <c r="D138" i="16"/>
  <c r="E138" i="16"/>
  <c r="F138" i="16"/>
  <c r="G138" i="16"/>
  <c r="H138" i="16"/>
  <c r="I138" i="16"/>
  <c r="B139" i="16"/>
  <c r="C139" i="16"/>
  <c r="D139" i="16"/>
  <c r="E139" i="16"/>
  <c r="F139" i="16"/>
  <c r="G139" i="16"/>
  <c r="H139" i="16"/>
  <c r="I139" i="16"/>
  <c r="B140" i="16"/>
  <c r="C140" i="16"/>
  <c r="D140" i="16"/>
  <c r="E140" i="16"/>
  <c r="F140" i="16"/>
  <c r="G140" i="16"/>
  <c r="H140" i="16"/>
  <c r="I140" i="16"/>
  <c r="B141" i="16"/>
  <c r="C141" i="16"/>
  <c r="D141" i="16"/>
  <c r="E141" i="16"/>
  <c r="F141" i="16"/>
  <c r="G141" i="16"/>
  <c r="H141" i="16"/>
  <c r="I141" i="16"/>
  <c r="B142" i="16"/>
  <c r="C142" i="16"/>
  <c r="D142" i="16"/>
  <c r="E142" i="16"/>
  <c r="F142" i="16"/>
  <c r="G142" i="16"/>
  <c r="H142" i="16"/>
  <c r="I142" i="16"/>
  <c r="B143" i="16"/>
  <c r="C143" i="16"/>
  <c r="D143" i="16"/>
  <c r="E143" i="16"/>
  <c r="F143" i="16"/>
  <c r="G143" i="16"/>
  <c r="H143" i="16"/>
  <c r="I143" i="16"/>
  <c r="B144" i="16"/>
  <c r="C144" i="16"/>
  <c r="D144" i="16"/>
  <c r="E144" i="16"/>
  <c r="F144" i="16"/>
  <c r="G144" i="16"/>
  <c r="H144" i="16"/>
  <c r="I144" i="16"/>
  <c r="B145" i="16"/>
  <c r="C145" i="16"/>
  <c r="D145" i="16"/>
  <c r="E145" i="16"/>
  <c r="F145" i="16"/>
  <c r="G145" i="16"/>
  <c r="H145" i="16"/>
  <c r="I145" i="16"/>
  <c r="B146" i="16"/>
  <c r="C146" i="16"/>
  <c r="D146" i="16"/>
  <c r="E146" i="16"/>
  <c r="F146" i="16"/>
  <c r="G146" i="16"/>
  <c r="H146" i="16"/>
  <c r="I146" i="16"/>
  <c r="B147" i="16"/>
  <c r="C147" i="16"/>
  <c r="D147" i="16"/>
  <c r="E147" i="16"/>
  <c r="F147" i="16"/>
  <c r="G147" i="16"/>
  <c r="H147" i="16"/>
  <c r="I147" i="16"/>
  <c r="B148" i="16"/>
  <c r="C148" i="16"/>
  <c r="D148" i="16"/>
  <c r="E148" i="16"/>
  <c r="F148" i="16"/>
  <c r="G148" i="16"/>
  <c r="H148" i="16"/>
  <c r="I148" i="16"/>
  <c r="B149" i="16"/>
  <c r="C149" i="16"/>
  <c r="D149" i="16"/>
  <c r="E149" i="16"/>
  <c r="F149" i="16"/>
  <c r="G149" i="16"/>
  <c r="H149" i="16"/>
  <c r="I149" i="16"/>
  <c r="B150" i="16"/>
  <c r="C150" i="16"/>
  <c r="D150" i="16"/>
  <c r="E150" i="16"/>
  <c r="F150" i="16"/>
  <c r="G150" i="16"/>
  <c r="H150" i="16"/>
  <c r="I150" i="16"/>
  <c r="B151" i="16"/>
  <c r="C151" i="16"/>
  <c r="D151" i="16"/>
  <c r="E151" i="16"/>
  <c r="F151" i="16"/>
  <c r="G151" i="16"/>
  <c r="H151" i="16"/>
  <c r="I151" i="16"/>
  <c r="B152" i="16"/>
  <c r="C152" i="16"/>
  <c r="D152" i="16"/>
  <c r="E152" i="16"/>
  <c r="F152" i="16"/>
  <c r="G152" i="16"/>
  <c r="H152" i="16"/>
  <c r="I152" i="16"/>
  <c r="B153" i="16"/>
  <c r="C153" i="16"/>
  <c r="D153" i="16"/>
  <c r="E153" i="16"/>
  <c r="F153" i="16"/>
  <c r="G153" i="16"/>
  <c r="H153" i="16"/>
  <c r="I153" i="16"/>
  <c r="B154" i="16"/>
  <c r="C154" i="16"/>
  <c r="D154" i="16"/>
  <c r="E154" i="16"/>
  <c r="F154" i="16"/>
  <c r="G154" i="16"/>
  <c r="H154" i="16"/>
  <c r="I154" i="16"/>
  <c r="B155" i="16"/>
  <c r="C155" i="16"/>
  <c r="D155" i="16"/>
  <c r="E155" i="16"/>
  <c r="F155" i="16"/>
  <c r="G155" i="16"/>
  <c r="H155" i="16"/>
  <c r="I155" i="16"/>
  <c r="B156" i="16"/>
  <c r="C156" i="16"/>
  <c r="D156" i="16"/>
  <c r="E156" i="16"/>
  <c r="F156" i="16"/>
  <c r="G156" i="16"/>
  <c r="H156" i="16"/>
  <c r="I156" i="16"/>
  <c r="B157" i="16"/>
  <c r="C157" i="16"/>
  <c r="D157" i="16"/>
  <c r="E157" i="16"/>
  <c r="F157" i="16"/>
  <c r="G157" i="16"/>
  <c r="H157" i="16"/>
  <c r="I157" i="16"/>
  <c r="B158" i="16"/>
  <c r="C158" i="16"/>
  <c r="D158" i="16"/>
  <c r="E158" i="16"/>
  <c r="F158" i="16"/>
  <c r="G158" i="16"/>
  <c r="H158" i="16"/>
  <c r="I158" i="16"/>
  <c r="B159" i="16"/>
  <c r="C159" i="16"/>
  <c r="D159" i="16"/>
  <c r="E159" i="16"/>
  <c r="F159" i="16"/>
  <c r="G159" i="16"/>
  <c r="H159" i="16"/>
  <c r="I159" i="16"/>
  <c r="B160" i="16"/>
  <c r="C160" i="16"/>
  <c r="D160" i="16"/>
  <c r="E160" i="16"/>
  <c r="F160" i="16"/>
  <c r="G160" i="16"/>
  <c r="H160" i="16"/>
  <c r="I160" i="16"/>
  <c r="B161" i="16"/>
  <c r="C161" i="16"/>
  <c r="D161" i="16"/>
  <c r="E161" i="16"/>
  <c r="F161" i="16"/>
  <c r="G161" i="16"/>
  <c r="H161" i="16"/>
  <c r="I161" i="16"/>
  <c r="B162" i="16"/>
  <c r="C162" i="16"/>
  <c r="D162" i="16"/>
  <c r="E162" i="16"/>
  <c r="F162" i="16"/>
  <c r="G162" i="16"/>
  <c r="H162" i="16"/>
  <c r="I162" i="16"/>
  <c r="B163" i="16"/>
  <c r="C163" i="16"/>
  <c r="D163" i="16"/>
  <c r="E163" i="16"/>
  <c r="F163" i="16"/>
  <c r="G163" i="16"/>
  <c r="H163" i="16"/>
  <c r="I163" i="16"/>
  <c r="B164" i="16"/>
  <c r="C164" i="16"/>
  <c r="D164" i="16"/>
  <c r="E164" i="16"/>
  <c r="F164" i="16"/>
  <c r="G164" i="16"/>
  <c r="H164" i="16"/>
  <c r="I164" i="16"/>
  <c r="B165" i="16"/>
  <c r="C165" i="16"/>
  <c r="D165" i="16"/>
  <c r="E165" i="16"/>
  <c r="F165" i="16"/>
  <c r="G165" i="16"/>
  <c r="H165" i="16"/>
  <c r="I165" i="16"/>
  <c r="B166" i="16"/>
  <c r="C166" i="16"/>
  <c r="D166" i="16"/>
  <c r="E166" i="16"/>
  <c r="F166" i="16"/>
  <c r="G166" i="16"/>
  <c r="H166" i="16"/>
  <c r="I166" i="16"/>
  <c r="B167" i="16"/>
  <c r="C167" i="16"/>
  <c r="D167" i="16"/>
  <c r="E167" i="16"/>
  <c r="F167" i="16"/>
  <c r="G167" i="16"/>
  <c r="H167" i="16"/>
  <c r="I167" i="16"/>
  <c r="B168" i="16"/>
  <c r="C168" i="16"/>
  <c r="D168" i="16"/>
  <c r="E168" i="16"/>
  <c r="F168" i="16"/>
  <c r="G168" i="16"/>
  <c r="H168" i="16"/>
  <c r="I168" i="16"/>
  <c r="B169" i="16"/>
  <c r="C169" i="16"/>
  <c r="D169" i="16"/>
  <c r="E169" i="16"/>
  <c r="F169" i="16"/>
  <c r="G169" i="16"/>
  <c r="H169" i="16"/>
  <c r="I169" i="16"/>
  <c r="B170" i="16"/>
  <c r="C170" i="16"/>
  <c r="D170" i="16"/>
  <c r="E170" i="16"/>
  <c r="F170" i="16"/>
  <c r="G170" i="16"/>
  <c r="H170" i="16"/>
  <c r="I170" i="16"/>
  <c r="B171" i="16"/>
  <c r="C171" i="16"/>
  <c r="D171" i="16"/>
  <c r="E171" i="16"/>
  <c r="F171" i="16"/>
  <c r="G171" i="16"/>
  <c r="H171" i="16"/>
  <c r="I171" i="16"/>
  <c r="B172" i="16"/>
  <c r="C172" i="16"/>
  <c r="D172" i="16"/>
  <c r="E172" i="16"/>
  <c r="F172" i="16"/>
  <c r="G172" i="16"/>
  <c r="H172" i="16"/>
  <c r="I172" i="16"/>
  <c r="B173" i="16"/>
  <c r="C173" i="16"/>
  <c r="D173" i="16"/>
  <c r="E173" i="16"/>
  <c r="F173" i="16"/>
  <c r="G173" i="16"/>
  <c r="H173" i="16"/>
  <c r="I173" i="16"/>
  <c r="B174" i="16"/>
  <c r="C174" i="16"/>
  <c r="D174" i="16"/>
  <c r="E174" i="16"/>
  <c r="F174" i="16"/>
  <c r="G174" i="16"/>
  <c r="H174" i="16"/>
  <c r="I174" i="16"/>
  <c r="B175" i="16"/>
  <c r="C175" i="16"/>
  <c r="D175" i="16"/>
  <c r="E175" i="16"/>
  <c r="F175" i="16"/>
  <c r="G175" i="16"/>
  <c r="H175" i="16"/>
  <c r="I175" i="16"/>
  <c r="B176" i="16"/>
  <c r="C176" i="16"/>
  <c r="D176" i="16"/>
  <c r="E176" i="16"/>
  <c r="F176" i="16"/>
  <c r="G176" i="16"/>
  <c r="H176" i="16"/>
  <c r="I176" i="16"/>
  <c r="B177" i="16"/>
  <c r="C177" i="16"/>
  <c r="D177" i="16"/>
  <c r="E177" i="16"/>
  <c r="F177" i="16"/>
  <c r="G177" i="16"/>
  <c r="H177" i="16"/>
  <c r="I177" i="16"/>
  <c r="B178" i="16"/>
  <c r="C178" i="16"/>
  <c r="D178" i="16"/>
  <c r="E178" i="16"/>
  <c r="F178" i="16"/>
  <c r="G178" i="16"/>
  <c r="H178" i="16"/>
  <c r="I178" i="16"/>
  <c r="B179" i="16"/>
  <c r="C179" i="16"/>
  <c r="D179" i="16"/>
  <c r="E179" i="16"/>
  <c r="F179" i="16"/>
  <c r="G179" i="16"/>
  <c r="H179" i="16"/>
  <c r="I179" i="16"/>
  <c r="B180" i="16"/>
  <c r="C180" i="16"/>
  <c r="D180" i="16"/>
  <c r="E180" i="16"/>
  <c r="F180" i="16"/>
  <c r="G180" i="16"/>
  <c r="H180" i="16"/>
  <c r="I180" i="16"/>
  <c r="B181" i="16"/>
  <c r="C181" i="16"/>
  <c r="D181" i="16"/>
  <c r="E181" i="16"/>
  <c r="F181" i="16"/>
  <c r="G181" i="16"/>
  <c r="H181" i="16"/>
  <c r="I181" i="16"/>
  <c r="B182" i="16"/>
  <c r="C182" i="16"/>
  <c r="D182" i="16"/>
  <c r="E182" i="16"/>
  <c r="F182" i="16"/>
  <c r="G182" i="16"/>
  <c r="H182" i="16"/>
  <c r="I182" i="16"/>
  <c r="B183" i="16"/>
  <c r="C183" i="16"/>
  <c r="D183" i="16"/>
  <c r="E183" i="16"/>
  <c r="F183" i="16"/>
  <c r="G183" i="16"/>
  <c r="H183" i="16"/>
  <c r="I183" i="16"/>
  <c r="B184" i="16"/>
  <c r="C184" i="16"/>
  <c r="D184" i="16"/>
  <c r="E184" i="16"/>
  <c r="F184" i="16"/>
  <c r="G184" i="16"/>
  <c r="H184" i="16"/>
  <c r="I184" i="16"/>
  <c r="B185" i="16"/>
  <c r="C185" i="16"/>
  <c r="D185" i="16"/>
  <c r="E185" i="16"/>
  <c r="F185" i="16"/>
  <c r="G185" i="16"/>
  <c r="H185" i="16"/>
  <c r="I185" i="16"/>
  <c r="B186" i="16"/>
  <c r="C186" i="16"/>
  <c r="D186" i="16"/>
  <c r="E186" i="16"/>
  <c r="F186" i="16"/>
  <c r="G186" i="16"/>
  <c r="H186" i="16"/>
  <c r="I186" i="16"/>
  <c r="B187" i="16"/>
  <c r="C187" i="16"/>
  <c r="D187" i="16"/>
  <c r="E187" i="16"/>
  <c r="F187" i="16"/>
  <c r="G187" i="16"/>
  <c r="H187" i="16"/>
  <c r="I187" i="16"/>
  <c r="B188" i="16"/>
  <c r="C188" i="16"/>
  <c r="D188" i="16"/>
  <c r="E188" i="16"/>
  <c r="F188" i="16"/>
  <c r="G188" i="16"/>
  <c r="H188" i="16"/>
  <c r="I188" i="16"/>
  <c r="B189" i="16"/>
  <c r="C189" i="16"/>
  <c r="D189" i="16"/>
  <c r="E189" i="16"/>
  <c r="F189" i="16"/>
  <c r="G189" i="16"/>
  <c r="H189" i="16"/>
  <c r="I189" i="16"/>
  <c r="B190" i="16"/>
  <c r="C190" i="16"/>
  <c r="D190" i="16"/>
  <c r="E190" i="16"/>
  <c r="F190" i="16"/>
  <c r="G190" i="16"/>
  <c r="H190" i="16"/>
  <c r="I190" i="16"/>
  <c r="B191" i="16"/>
  <c r="C191" i="16"/>
  <c r="D191" i="16"/>
  <c r="E191" i="16"/>
  <c r="F191" i="16"/>
  <c r="G191" i="16"/>
  <c r="H191" i="16"/>
  <c r="I191" i="16"/>
  <c r="B192" i="16"/>
  <c r="C192" i="16"/>
  <c r="D192" i="16"/>
  <c r="E192" i="16"/>
  <c r="F192" i="16"/>
  <c r="G192" i="16"/>
  <c r="H192" i="16"/>
  <c r="I192" i="16"/>
  <c r="B193" i="16"/>
  <c r="C193" i="16"/>
  <c r="D193" i="16"/>
  <c r="E193" i="16"/>
  <c r="F193" i="16"/>
  <c r="G193" i="16"/>
  <c r="H193" i="16"/>
  <c r="I193" i="16"/>
  <c r="B194" i="16"/>
  <c r="C194" i="16"/>
  <c r="D194" i="16"/>
  <c r="E194" i="16"/>
  <c r="F194" i="16"/>
  <c r="G194" i="16"/>
  <c r="H194" i="16"/>
  <c r="I194" i="16"/>
  <c r="B195" i="16"/>
  <c r="C195" i="16"/>
  <c r="D195" i="16"/>
  <c r="E195" i="16"/>
  <c r="F195" i="16"/>
  <c r="G195" i="16"/>
  <c r="H195" i="16"/>
  <c r="I195" i="16"/>
  <c r="B196" i="16"/>
  <c r="C196" i="16"/>
  <c r="D196" i="16"/>
  <c r="E196" i="16"/>
  <c r="F196" i="16"/>
  <c r="G196" i="16"/>
  <c r="H196" i="16"/>
  <c r="I196" i="16"/>
  <c r="B197" i="16"/>
  <c r="C197" i="16"/>
  <c r="D197" i="16"/>
  <c r="E197" i="16"/>
  <c r="F197" i="16"/>
  <c r="G197" i="16"/>
  <c r="H197" i="16"/>
  <c r="I197" i="16"/>
  <c r="B198" i="16"/>
  <c r="C198" i="16"/>
  <c r="D198" i="16"/>
  <c r="E198" i="16"/>
  <c r="F198" i="16"/>
  <c r="G198" i="16"/>
  <c r="H198" i="16"/>
  <c r="I198" i="16"/>
  <c r="B199" i="16"/>
  <c r="C199" i="16"/>
  <c r="D199" i="16"/>
  <c r="E199" i="16"/>
  <c r="F199" i="16"/>
  <c r="G199" i="16"/>
  <c r="H199" i="16"/>
  <c r="I199" i="16"/>
  <c r="B200" i="16"/>
  <c r="C200" i="16"/>
  <c r="D200" i="16"/>
  <c r="E200" i="16"/>
  <c r="F200" i="16"/>
  <c r="G200" i="16"/>
  <c r="H200" i="16"/>
  <c r="I200" i="16"/>
  <c r="B201" i="16"/>
  <c r="C201" i="16"/>
  <c r="D201" i="16"/>
  <c r="E201" i="16"/>
  <c r="F201" i="16"/>
  <c r="G201" i="16"/>
  <c r="H201" i="16"/>
  <c r="I201" i="16"/>
  <c r="B202" i="16"/>
  <c r="C202" i="16"/>
  <c r="D202" i="16"/>
  <c r="E202" i="16"/>
  <c r="F202" i="16"/>
  <c r="G202" i="16"/>
  <c r="H202" i="16"/>
  <c r="I202" i="16"/>
  <c r="B203" i="16"/>
  <c r="C203" i="16"/>
  <c r="D203" i="16"/>
  <c r="E203" i="16"/>
  <c r="F203" i="16"/>
  <c r="G203" i="16"/>
  <c r="H203" i="16"/>
  <c r="I203" i="16"/>
  <c r="B204" i="16"/>
  <c r="C204" i="16"/>
  <c r="D204" i="16"/>
  <c r="E204" i="16"/>
  <c r="F204" i="16"/>
  <c r="G204" i="16"/>
  <c r="H204" i="16"/>
  <c r="I204" i="16"/>
  <c r="B205" i="16"/>
  <c r="C205" i="16"/>
  <c r="D205" i="16"/>
  <c r="E205" i="16"/>
  <c r="F205" i="16"/>
  <c r="G205" i="16"/>
  <c r="H205" i="16"/>
  <c r="I205" i="16"/>
  <c r="B206" i="16"/>
  <c r="C206" i="16"/>
  <c r="D206" i="16"/>
  <c r="E206" i="16"/>
  <c r="F206" i="16"/>
  <c r="G206" i="16"/>
  <c r="H206" i="16"/>
  <c r="I206" i="16"/>
  <c r="B207" i="16"/>
  <c r="C207" i="16"/>
  <c r="D207" i="16"/>
  <c r="E207" i="16"/>
  <c r="F207" i="16"/>
  <c r="G207" i="16"/>
  <c r="H207" i="16"/>
  <c r="I207" i="16"/>
  <c r="B208" i="16"/>
  <c r="C208" i="16"/>
  <c r="D208" i="16"/>
  <c r="E208" i="16"/>
  <c r="F208" i="16"/>
  <c r="G208" i="16"/>
  <c r="H208" i="16"/>
  <c r="I208" i="16"/>
  <c r="B209" i="16"/>
  <c r="C209" i="16"/>
  <c r="D209" i="16"/>
  <c r="E209" i="16"/>
  <c r="F209" i="16"/>
  <c r="G209" i="16"/>
  <c r="H209" i="16"/>
  <c r="I209" i="16"/>
  <c r="B210" i="16"/>
  <c r="C210" i="16"/>
  <c r="D210" i="16"/>
  <c r="E210" i="16"/>
  <c r="F210" i="16"/>
  <c r="G210" i="16"/>
  <c r="H210" i="16"/>
  <c r="I210" i="16"/>
  <c r="B211" i="16"/>
  <c r="C211" i="16"/>
  <c r="D211" i="16"/>
  <c r="E211" i="16"/>
  <c r="F211" i="16"/>
  <c r="G211" i="16"/>
  <c r="H211" i="16"/>
  <c r="I211" i="16"/>
  <c r="B212" i="16"/>
  <c r="C212" i="16"/>
  <c r="D212" i="16"/>
  <c r="E212" i="16"/>
  <c r="F212" i="16"/>
  <c r="G212" i="16"/>
  <c r="H212" i="16"/>
  <c r="I212" i="16"/>
  <c r="B213" i="16"/>
  <c r="C213" i="16"/>
  <c r="D213" i="16"/>
  <c r="E213" i="16"/>
  <c r="F213" i="16"/>
  <c r="G213" i="16"/>
  <c r="H213" i="16"/>
  <c r="I213" i="16"/>
  <c r="B214" i="16"/>
  <c r="C214" i="16"/>
  <c r="D214" i="16"/>
  <c r="E214" i="16"/>
  <c r="F214" i="16"/>
  <c r="G214" i="16"/>
  <c r="H214" i="16"/>
  <c r="I214" i="16"/>
  <c r="B215" i="16"/>
  <c r="C215" i="16"/>
  <c r="D215" i="16"/>
  <c r="E215" i="16"/>
  <c r="F215" i="16"/>
  <c r="G215" i="16"/>
  <c r="H215" i="16"/>
  <c r="I215" i="16"/>
  <c r="B216" i="16"/>
  <c r="C216" i="16"/>
  <c r="D216" i="16"/>
  <c r="E216" i="16"/>
  <c r="F216" i="16"/>
  <c r="G216" i="16"/>
  <c r="H216" i="16"/>
  <c r="I216" i="16"/>
  <c r="B217" i="16"/>
  <c r="C217" i="16"/>
  <c r="D217" i="16"/>
  <c r="E217" i="16"/>
  <c r="F217" i="16"/>
  <c r="G217" i="16"/>
  <c r="H217" i="16"/>
  <c r="I217" i="16"/>
  <c r="B218" i="16"/>
  <c r="C218" i="16"/>
  <c r="D218" i="16"/>
  <c r="E218" i="16"/>
  <c r="F218" i="16"/>
  <c r="G218" i="16"/>
  <c r="H218" i="16"/>
  <c r="I218" i="16"/>
  <c r="B219" i="16"/>
  <c r="C219" i="16"/>
  <c r="D219" i="16"/>
  <c r="E219" i="16"/>
  <c r="F219" i="16"/>
  <c r="G219" i="16"/>
  <c r="H219" i="16"/>
  <c r="I219" i="16"/>
  <c r="B220" i="16"/>
  <c r="C220" i="16"/>
  <c r="D220" i="16"/>
  <c r="E220" i="16"/>
  <c r="F220" i="16"/>
  <c r="G220" i="16"/>
  <c r="H220" i="16"/>
  <c r="I220" i="16"/>
  <c r="B221" i="16"/>
  <c r="C221" i="16"/>
  <c r="D221" i="16"/>
  <c r="E221" i="16"/>
  <c r="F221" i="16"/>
  <c r="G221" i="16"/>
  <c r="H221" i="16"/>
  <c r="I221" i="16"/>
  <c r="B222" i="16"/>
  <c r="C222" i="16"/>
  <c r="D222" i="16"/>
  <c r="E222" i="16"/>
  <c r="F222" i="16"/>
  <c r="G222" i="16"/>
  <c r="H222" i="16"/>
  <c r="I222" i="16"/>
  <c r="B223" i="16"/>
  <c r="C223" i="16"/>
  <c r="D223" i="16"/>
  <c r="E223" i="16"/>
  <c r="F223" i="16"/>
  <c r="G223" i="16"/>
  <c r="H223" i="16"/>
  <c r="I223" i="16"/>
  <c r="B224" i="16"/>
  <c r="C224" i="16"/>
  <c r="D224" i="16"/>
  <c r="E224" i="16"/>
  <c r="F224" i="16"/>
  <c r="G224" i="16"/>
  <c r="H224" i="16"/>
  <c r="I224" i="16"/>
  <c r="B225" i="16"/>
  <c r="C225" i="16"/>
  <c r="D225" i="16"/>
  <c r="E225" i="16"/>
  <c r="F225" i="16"/>
  <c r="G225" i="16"/>
  <c r="H225" i="16"/>
  <c r="I225" i="16"/>
  <c r="B226" i="16"/>
  <c r="C226" i="16"/>
  <c r="D226" i="16"/>
  <c r="E226" i="16"/>
  <c r="F226" i="16"/>
  <c r="G226" i="16"/>
  <c r="H226" i="16"/>
  <c r="I226" i="16"/>
  <c r="B227" i="16"/>
  <c r="C227" i="16"/>
  <c r="D227" i="16"/>
  <c r="E227" i="16"/>
  <c r="F227" i="16"/>
  <c r="G227" i="16"/>
  <c r="H227" i="16"/>
  <c r="I227" i="16"/>
  <c r="B228" i="16"/>
  <c r="C228" i="16"/>
  <c r="D228" i="16"/>
  <c r="E228" i="16"/>
  <c r="F228" i="16"/>
  <c r="G228" i="16"/>
  <c r="H228" i="16"/>
  <c r="I228" i="16"/>
  <c r="B229" i="16"/>
  <c r="C229" i="16"/>
  <c r="D229" i="16"/>
  <c r="E229" i="16"/>
  <c r="F229" i="16"/>
  <c r="G229" i="16"/>
  <c r="H229" i="16"/>
  <c r="I229" i="16"/>
  <c r="B230" i="16"/>
  <c r="C230" i="16"/>
  <c r="D230" i="16"/>
  <c r="E230" i="16"/>
  <c r="F230" i="16"/>
  <c r="G230" i="16"/>
  <c r="H230" i="16"/>
  <c r="I230" i="16"/>
  <c r="B231" i="16"/>
  <c r="C231" i="16"/>
  <c r="D231" i="16"/>
  <c r="E231" i="16"/>
  <c r="F231" i="16"/>
  <c r="G231" i="16"/>
  <c r="H231" i="16"/>
  <c r="I231" i="16"/>
  <c r="B232" i="16"/>
  <c r="C232" i="16"/>
  <c r="D232" i="16"/>
  <c r="E232" i="16"/>
  <c r="F232" i="16"/>
  <c r="G232" i="16"/>
  <c r="H232" i="16"/>
  <c r="I232" i="16"/>
  <c r="B233" i="16"/>
  <c r="C233" i="16"/>
  <c r="D233" i="16"/>
  <c r="E233" i="16"/>
  <c r="F233" i="16"/>
  <c r="G233" i="16"/>
  <c r="H233" i="16"/>
  <c r="I233" i="16"/>
  <c r="B234" i="16"/>
  <c r="C234" i="16"/>
  <c r="D234" i="16"/>
  <c r="E234" i="16"/>
  <c r="F234" i="16"/>
  <c r="G234" i="16"/>
  <c r="H234" i="16"/>
  <c r="I234" i="16"/>
  <c r="B235" i="16"/>
  <c r="C235" i="16"/>
  <c r="D235" i="16"/>
  <c r="E235" i="16"/>
  <c r="F235" i="16"/>
  <c r="G235" i="16"/>
  <c r="H235" i="16"/>
  <c r="I235" i="16"/>
  <c r="B236" i="16"/>
  <c r="C236" i="16"/>
  <c r="D236" i="16"/>
  <c r="E236" i="16"/>
  <c r="F236" i="16"/>
  <c r="G236" i="16"/>
  <c r="H236" i="16"/>
  <c r="I236" i="16"/>
  <c r="B237" i="16"/>
  <c r="C237" i="16"/>
  <c r="D237" i="16"/>
  <c r="E237" i="16"/>
  <c r="F237" i="16"/>
  <c r="G237" i="16"/>
  <c r="H237" i="16"/>
  <c r="I237" i="16"/>
  <c r="B238" i="16"/>
  <c r="C238" i="16"/>
  <c r="D238" i="16"/>
  <c r="E238" i="16"/>
  <c r="F238" i="16"/>
  <c r="G238" i="16"/>
  <c r="H238" i="16"/>
  <c r="I238" i="16"/>
  <c r="B239" i="16"/>
  <c r="C239" i="16"/>
  <c r="D239" i="16"/>
  <c r="E239" i="16"/>
  <c r="F239" i="16"/>
  <c r="G239" i="16"/>
  <c r="H239" i="16"/>
  <c r="I239" i="16"/>
  <c r="B240" i="16"/>
  <c r="C240" i="16"/>
  <c r="D240" i="16"/>
  <c r="E240" i="16"/>
  <c r="F240" i="16"/>
  <c r="G240" i="16"/>
  <c r="H240" i="16"/>
  <c r="I240" i="16"/>
  <c r="B241" i="16"/>
  <c r="C241" i="16"/>
  <c r="D241" i="16"/>
  <c r="E241" i="16"/>
  <c r="F241" i="16"/>
  <c r="G241" i="16"/>
  <c r="H241" i="16"/>
  <c r="I241" i="16"/>
  <c r="B242" i="16"/>
  <c r="C242" i="16"/>
  <c r="D242" i="16"/>
  <c r="E242" i="16"/>
  <c r="F242" i="16"/>
  <c r="G242" i="16"/>
  <c r="H242" i="16"/>
  <c r="I242" i="16"/>
  <c r="B243" i="16"/>
  <c r="C243" i="16"/>
  <c r="D243" i="16"/>
  <c r="E243" i="16"/>
  <c r="F243" i="16"/>
  <c r="G243" i="16"/>
  <c r="H243" i="16"/>
  <c r="I243" i="16"/>
  <c r="B244" i="16"/>
  <c r="C244" i="16"/>
  <c r="D244" i="16"/>
  <c r="E244" i="16"/>
  <c r="F244" i="16"/>
  <c r="G244" i="16"/>
  <c r="H244" i="16"/>
  <c r="I244" i="16"/>
  <c r="B245" i="16"/>
  <c r="C245" i="16"/>
  <c r="D245" i="16"/>
  <c r="E245" i="16"/>
  <c r="F245" i="16"/>
  <c r="G245" i="16"/>
  <c r="H245" i="16"/>
  <c r="I245" i="16"/>
  <c r="B246" i="16"/>
  <c r="C246" i="16"/>
  <c r="D246" i="16"/>
  <c r="E246" i="16"/>
  <c r="F246" i="16"/>
  <c r="G246" i="16"/>
  <c r="H246" i="16"/>
  <c r="I246" i="16"/>
  <c r="B247" i="16"/>
  <c r="C247" i="16"/>
  <c r="D247" i="16"/>
  <c r="E247" i="16"/>
  <c r="F247" i="16"/>
  <c r="G247" i="16"/>
  <c r="H247" i="16"/>
  <c r="I247" i="16"/>
  <c r="B248" i="16"/>
  <c r="C248" i="16"/>
  <c r="D248" i="16"/>
  <c r="E248" i="16"/>
  <c r="F248" i="16"/>
  <c r="G248" i="16"/>
  <c r="H248" i="16"/>
  <c r="I248" i="16"/>
  <c r="B249" i="16"/>
  <c r="C249" i="16"/>
  <c r="D249" i="16"/>
  <c r="E249" i="16"/>
  <c r="F249" i="16"/>
  <c r="G249" i="16"/>
  <c r="H249" i="16"/>
  <c r="I249" i="16"/>
  <c r="B250" i="16"/>
  <c r="C250" i="16"/>
  <c r="D250" i="16"/>
  <c r="E250" i="16"/>
  <c r="F250" i="16"/>
  <c r="G250" i="16"/>
  <c r="H250" i="16"/>
  <c r="I250" i="16"/>
  <c r="B251" i="16"/>
  <c r="C251" i="16"/>
  <c r="D251" i="16"/>
  <c r="E251" i="16"/>
  <c r="F251" i="16"/>
  <c r="G251" i="16"/>
  <c r="H251" i="16"/>
  <c r="I251" i="16"/>
  <c r="B252" i="16"/>
  <c r="C252" i="16"/>
  <c r="D252" i="16"/>
  <c r="E252" i="16"/>
  <c r="F252" i="16"/>
  <c r="G252" i="16"/>
  <c r="H252" i="16"/>
  <c r="I252" i="16"/>
  <c r="B253" i="16"/>
  <c r="C253" i="16"/>
  <c r="D253" i="16"/>
  <c r="E253" i="16"/>
  <c r="F253" i="16"/>
  <c r="G253" i="16"/>
  <c r="H253" i="16"/>
  <c r="I253" i="16"/>
  <c r="B254" i="16"/>
  <c r="C254" i="16"/>
  <c r="D254" i="16"/>
  <c r="E254" i="16"/>
  <c r="F254" i="16"/>
  <c r="G254" i="16"/>
  <c r="H254" i="16"/>
  <c r="I254" i="16"/>
  <c r="B255" i="16"/>
  <c r="C255" i="16"/>
  <c r="D255" i="16"/>
  <c r="E255" i="16"/>
  <c r="F255" i="16"/>
  <c r="G255" i="16"/>
  <c r="H255" i="16"/>
  <c r="I255" i="16"/>
  <c r="B256" i="16"/>
  <c r="C256" i="16"/>
  <c r="D256" i="16"/>
  <c r="E256" i="16"/>
  <c r="F256" i="16"/>
  <c r="G256" i="16"/>
  <c r="H256" i="16"/>
  <c r="I256" i="16"/>
  <c r="B257" i="16"/>
  <c r="C257" i="16"/>
  <c r="D257" i="16"/>
  <c r="E257" i="16"/>
  <c r="F257" i="16"/>
  <c r="G257" i="16"/>
  <c r="H257" i="16"/>
  <c r="I257" i="16"/>
  <c r="B258" i="16"/>
  <c r="C258" i="16"/>
  <c r="D258" i="16"/>
  <c r="E258" i="16"/>
  <c r="F258" i="16"/>
  <c r="G258" i="16"/>
  <c r="H258" i="16"/>
  <c r="I258" i="16"/>
  <c r="B259" i="16"/>
  <c r="C259" i="16"/>
  <c r="D259" i="16"/>
  <c r="E259" i="16"/>
  <c r="F259" i="16"/>
  <c r="G259" i="16"/>
  <c r="H259" i="16"/>
  <c r="I259" i="16"/>
  <c r="B260" i="16"/>
  <c r="C260" i="16"/>
  <c r="D260" i="16"/>
  <c r="E260" i="16"/>
  <c r="F260" i="16"/>
  <c r="G260" i="16"/>
  <c r="H260" i="16"/>
  <c r="I260" i="16"/>
  <c r="B261" i="16"/>
  <c r="C261" i="16"/>
  <c r="D261" i="16"/>
  <c r="E261" i="16"/>
  <c r="F261" i="16"/>
  <c r="G261" i="16"/>
  <c r="H261" i="16"/>
  <c r="I261" i="16"/>
  <c r="B262" i="16"/>
  <c r="C262" i="16"/>
  <c r="D262" i="16"/>
  <c r="E262" i="16"/>
  <c r="F262" i="16"/>
  <c r="G262" i="16"/>
  <c r="H262" i="16"/>
  <c r="I262" i="16"/>
  <c r="B263" i="16"/>
  <c r="C263" i="16"/>
  <c r="D263" i="16"/>
  <c r="E263" i="16"/>
  <c r="F263" i="16"/>
  <c r="G263" i="16"/>
  <c r="H263" i="16"/>
  <c r="I263" i="16"/>
  <c r="B264" i="16"/>
  <c r="C264" i="16"/>
  <c r="D264" i="16"/>
  <c r="E264" i="16"/>
  <c r="F264" i="16"/>
  <c r="G264" i="16"/>
  <c r="H264" i="16"/>
  <c r="I264" i="16"/>
  <c r="B265" i="16"/>
  <c r="C265" i="16"/>
  <c r="D265" i="16"/>
  <c r="E265" i="16"/>
  <c r="F265" i="16"/>
  <c r="G265" i="16"/>
  <c r="H265" i="16"/>
  <c r="I265" i="16"/>
  <c r="B266" i="16"/>
  <c r="C266" i="16"/>
  <c r="D266" i="16"/>
  <c r="E266" i="16"/>
  <c r="F266" i="16"/>
  <c r="G266" i="16"/>
  <c r="H266" i="16"/>
  <c r="I266" i="16"/>
  <c r="B267" i="16"/>
  <c r="C267" i="16"/>
  <c r="D267" i="16"/>
  <c r="E267" i="16"/>
  <c r="F267" i="16"/>
  <c r="G267" i="16"/>
  <c r="H267" i="16"/>
  <c r="I267" i="16"/>
  <c r="B268" i="16"/>
  <c r="C268" i="16"/>
  <c r="D268" i="16"/>
  <c r="E268" i="16"/>
  <c r="F268" i="16"/>
  <c r="G268" i="16"/>
  <c r="H268" i="16"/>
  <c r="I268" i="16"/>
  <c r="B269" i="16"/>
  <c r="C269" i="16"/>
  <c r="D269" i="16"/>
  <c r="E269" i="16"/>
  <c r="F269" i="16"/>
  <c r="G269" i="16"/>
  <c r="H269" i="16"/>
  <c r="I269" i="16"/>
  <c r="B270" i="16"/>
  <c r="C270" i="16"/>
  <c r="D270" i="16"/>
  <c r="E270" i="16"/>
  <c r="F270" i="16"/>
  <c r="G270" i="16"/>
  <c r="H270" i="16"/>
  <c r="I270" i="16"/>
  <c r="B271" i="16"/>
  <c r="C271" i="16"/>
  <c r="D271" i="16"/>
  <c r="E271" i="16"/>
  <c r="F271" i="16"/>
  <c r="G271" i="16"/>
  <c r="H271" i="16"/>
  <c r="I271" i="16"/>
  <c r="B272" i="16"/>
  <c r="C272" i="16"/>
  <c r="D272" i="16"/>
  <c r="E272" i="16"/>
  <c r="F272" i="16"/>
  <c r="G272" i="16"/>
  <c r="H272" i="16"/>
  <c r="I272" i="16"/>
  <c r="B273" i="16"/>
  <c r="C273" i="16"/>
  <c r="D273" i="16"/>
  <c r="E273" i="16"/>
  <c r="F273" i="16"/>
  <c r="G273" i="16"/>
  <c r="H273" i="16"/>
  <c r="I273" i="16"/>
  <c r="B274" i="16"/>
  <c r="C274" i="16"/>
  <c r="D274" i="16"/>
  <c r="E274" i="16"/>
  <c r="F274" i="16"/>
  <c r="G274" i="16"/>
  <c r="H274" i="16"/>
  <c r="I274" i="16"/>
  <c r="B275" i="16"/>
  <c r="C275" i="16"/>
  <c r="D275" i="16"/>
  <c r="E275" i="16"/>
  <c r="F275" i="16"/>
  <c r="G275" i="16"/>
  <c r="H275" i="16"/>
  <c r="I275" i="16"/>
  <c r="B276" i="16"/>
  <c r="C276" i="16"/>
  <c r="D276" i="16"/>
  <c r="E276" i="16"/>
  <c r="F276" i="16"/>
  <c r="G276" i="16"/>
  <c r="H276" i="16"/>
  <c r="I276" i="16"/>
  <c r="C2" i="16"/>
  <c r="D2" i="16"/>
  <c r="E2" i="16"/>
  <c r="F2" i="16"/>
  <c r="G2" i="16"/>
  <c r="H2" i="16"/>
  <c r="I2" i="16"/>
  <c r="B2" i="16"/>
  <c r="C1" i="16"/>
  <c r="D1" i="16"/>
  <c r="E1" i="16"/>
  <c r="F1" i="16"/>
  <c r="G1" i="16"/>
  <c r="H1" i="16"/>
  <c r="I1" i="16"/>
  <c r="B1"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156" i="16"/>
  <c r="A157" i="16"/>
  <c r="A158" i="16"/>
  <c r="A159" i="16"/>
  <c r="A160" i="16"/>
  <c r="A161" i="16"/>
  <c r="A162" i="16"/>
  <c r="A163" i="16"/>
  <c r="A164" i="16"/>
  <c r="A165" i="16"/>
  <c r="A166" i="16"/>
  <c r="A167" i="16"/>
  <c r="A134" i="16"/>
  <c r="A135" i="16"/>
  <c r="A136" i="16"/>
  <c r="A137" i="16"/>
  <c r="A138" i="16"/>
  <c r="A139" i="16"/>
  <c r="A140" i="16"/>
  <c r="A141" i="16"/>
  <c r="A142" i="16"/>
  <c r="A143" i="16"/>
  <c r="A144" i="16"/>
  <c r="A145" i="16"/>
  <c r="A146" i="16"/>
  <c r="A147" i="16"/>
  <c r="A148" i="16"/>
  <c r="A149" i="16"/>
  <c r="A150" i="16"/>
  <c r="A151" i="16"/>
  <c r="A152" i="16"/>
  <c r="A153" i="16"/>
  <c r="A154" i="16"/>
  <c r="A155" i="16"/>
  <c r="A119" i="16"/>
  <c r="A120" i="16"/>
  <c r="A121" i="16"/>
  <c r="A122" i="16"/>
  <c r="A123" i="16"/>
  <c r="A124" i="16"/>
  <c r="A125" i="16"/>
  <c r="A126" i="16"/>
  <c r="A127" i="16"/>
  <c r="A128" i="16"/>
  <c r="A129" i="16"/>
  <c r="A130" i="16"/>
  <c r="A131" i="16"/>
  <c r="A132" i="16"/>
  <c r="A133"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3" i="16"/>
  <c r="A4" i="16"/>
  <c r="A5" i="16"/>
  <c r="A6" i="16"/>
  <c r="A7" i="16"/>
  <c r="A8" i="16"/>
  <c r="A9" i="16"/>
  <c r="A10" i="16"/>
  <c r="A11" i="16"/>
  <c r="A12" i="16"/>
  <c r="A13" i="16"/>
  <c r="A14" i="16"/>
  <c r="A15" i="16"/>
  <c r="A16" i="16"/>
  <c r="A17" i="16"/>
  <c r="A18" i="16"/>
  <c r="A19" i="16"/>
  <c r="A20" i="16"/>
  <c r="A21" i="16"/>
  <c r="A22" i="16"/>
  <c r="A23" i="16"/>
  <c r="A24" i="16"/>
  <c r="A25" i="16"/>
  <c r="A26" i="16"/>
  <c r="A2" i="16"/>
  <c r="H3" i="8" l="1"/>
  <c r="G3" i="8"/>
  <c r="F3" i="8"/>
  <c r="E3" i="8"/>
  <c r="D3" i="8"/>
  <c r="C3" i="8"/>
  <c r="B8" i="1"/>
  <c r="B5" i="1"/>
  <c r="B7" i="1"/>
  <c r="B9" i="1"/>
  <c r="B10" i="1"/>
  <c r="B11" i="1"/>
  <c r="B12" i="1"/>
  <c r="B4" i="1"/>
  <c r="B13" i="1"/>
  <c r="B3" i="1"/>
  <c r="B6" i="1"/>
  <c r="B21" i="2"/>
  <c r="B2" i="4" l="1"/>
  <c r="B3" i="4"/>
  <c r="B7" i="4"/>
  <c r="B9" i="4" s="1"/>
  <c r="B13" i="4"/>
  <c r="B3" i="2"/>
  <c r="B20" i="2"/>
  <c r="B15" i="2"/>
  <c r="B19" i="2"/>
  <c r="B21" i="4"/>
  <c r="B13" i="2"/>
  <c r="B15" i="4"/>
  <c r="B11" i="2"/>
  <c r="B18" i="4"/>
  <c r="B6" i="2"/>
  <c r="B5" i="4"/>
  <c r="B20" i="4"/>
  <c r="B12" i="2"/>
  <c r="B17" i="2"/>
  <c r="B8" i="2"/>
  <c r="B22" i="4"/>
  <c r="B12" i="4"/>
  <c r="B14" i="4"/>
  <c r="B6" i="4"/>
  <c r="B16" i="4"/>
  <c r="B19" i="4"/>
  <c r="B9" i="2"/>
  <c r="B10" i="4"/>
  <c r="B8" i="4"/>
  <c r="B14" i="2"/>
  <c r="B7" i="2"/>
  <c r="B4" i="4"/>
  <c r="B17" i="4"/>
  <c r="B10" i="2"/>
  <c r="B18" i="2"/>
  <c r="B16" i="2"/>
  <c r="B2" i="2"/>
  <c r="B1" i="13" l="1"/>
  <c r="B1" i="12"/>
  <c r="B1" i="9"/>
  <c r="C1" i="8"/>
  <c r="A3" i="13"/>
  <c r="A3" i="12"/>
  <c r="B2" i="13" l="1"/>
  <c r="C61" i="9"/>
  <c r="I65" i="9"/>
  <c r="H43" i="9"/>
  <c r="F79" i="9"/>
  <c r="B219" i="9"/>
  <c r="G7" i="9"/>
  <c r="D40" i="9"/>
  <c r="I40" i="9"/>
  <c r="B262" i="9"/>
  <c r="G117" i="9"/>
  <c r="F13" i="9"/>
  <c r="C129" i="9"/>
  <c r="I109" i="9"/>
  <c r="H92" i="9"/>
  <c r="B165" i="9"/>
  <c r="B52" i="9"/>
  <c r="D129" i="9"/>
  <c r="H22" i="9"/>
  <c r="C77" i="9"/>
  <c r="B80" i="9"/>
  <c r="E47" i="9"/>
  <c r="B90" i="9"/>
  <c r="H12" i="9"/>
  <c r="C130" i="9"/>
  <c r="I110" i="9"/>
  <c r="H126" i="9"/>
  <c r="G99" i="9"/>
  <c r="B10" i="9"/>
  <c r="D77" i="9"/>
  <c r="C9" i="9"/>
  <c r="B198" i="9"/>
  <c r="B239" i="9"/>
  <c r="I154" i="9"/>
  <c r="G41" i="9"/>
  <c r="G118" i="9"/>
  <c r="G100" i="9"/>
  <c r="I147" i="9"/>
  <c r="I148" i="9"/>
  <c r="B103" i="9"/>
  <c r="B141" i="9"/>
  <c r="B98" i="9"/>
  <c r="D175" i="9"/>
  <c r="I10" i="9"/>
  <c r="I151" i="9"/>
  <c r="I126" i="9"/>
  <c r="G145" i="9"/>
  <c r="E41" i="9"/>
  <c r="B7" i="9"/>
  <c r="F28" i="9"/>
  <c r="H13" i="9"/>
  <c r="C120" i="9"/>
  <c r="I99" i="9"/>
  <c r="H83" i="9"/>
  <c r="D29" i="9"/>
  <c r="B31" i="9"/>
  <c r="C17" i="9"/>
  <c r="C100" i="9"/>
  <c r="H103" i="9"/>
  <c r="D217" i="9"/>
  <c r="H107" i="9"/>
  <c r="D103" i="9"/>
  <c r="E96" i="9"/>
  <c r="E254" i="9"/>
  <c r="E229" i="9"/>
  <c r="C195" i="9"/>
  <c r="I158" i="9"/>
  <c r="H131" i="9"/>
  <c r="D128" i="9"/>
  <c r="E104" i="9"/>
  <c r="E262" i="9"/>
  <c r="E237" i="9"/>
  <c r="C204" i="9"/>
  <c r="B199" i="9"/>
  <c r="D197" i="9"/>
  <c r="B101" i="9"/>
  <c r="I143" i="9"/>
  <c r="H48" i="9"/>
  <c r="C156" i="9"/>
  <c r="B210" i="9"/>
  <c r="D52" i="9"/>
  <c r="G203" i="9"/>
  <c r="B27" i="9"/>
  <c r="B255" i="9"/>
  <c r="H70" i="9"/>
  <c r="C164" i="9"/>
  <c r="B277" i="9"/>
  <c r="D83" i="9"/>
  <c r="G211" i="9"/>
  <c r="E76" i="9"/>
  <c r="B233" i="9"/>
  <c r="G273" i="9"/>
  <c r="E268" i="9"/>
  <c r="G140" i="9"/>
  <c r="C99" i="9"/>
  <c r="I179" i="9"/>
  <c r="E219" i="9"/>
  <c r="E195" i="9"/>
  <c r="C158" i="9"/>
  <c r="D107" i="9"/>
  <c r="C249" i="9"/>
  <c r="I152" i="9"/>
  <c r="C13" i="9"/>
  <c r="I138" i="9"/>
  <c r="C253" i="9"/>
  <c r="C228" i="9"/>
  <c r="E74" i="9"/>
  <c r="H175" i="9"/>
  <c r="B192" i="9"/>
  <c r="B236" i="9"/>
  <c r="G129" i="9"/>
  <c r="B93" i="9"/>
  <c r="E139" i="9"/>
  <c r="E140" i="9"/>
  <c r="H241" i="9"/>
  <c r="F223" i="9"/>
  <c r="D230" i="9"/>
  <c r="G188" i="9"/>
  <c r="G160" i="9"/>
  <c r="E155" i="9"/>
  <c r="E64" i="9"/>
  <c r="E127" i="9"/>
  <c r="B148" i="9"/>
  <c r="G13" i="9"/>
  <c r="C127" i="9"/>
  <c r="I131" i="9"/>
  <c r="H115" i="9"/>
  <c r="G111" i="9"/>
  <c r="B30" i="9"/>
  <c r="G128" i="9"/>
  <c r="D112" i="9"/>
  <c r="I112" i="9"/>
  <c r="G124" i="9"/>
  <c r="B257" i="9"/>
  <c r="G28" i="9"/>
  <c r="D67" i="9"/>
  <c r="C42" i="9"/>
  <c r="B187" i="9"/>
  <c r="H38" i="9"/>
  <c r="F90" i="9"/>
  <c r="F22" i="9"/>
  <c r="C11" i="9"/>
  <c r="B146" i="9"/>
  <c r="H79" i="9"/>
  <c r="B77" i="9"/>
  <c r="B139" i="9"/>
  <c r="E40" i="9"/>
  <c r="D68" i="9"/>
  <c r="C43" i="9"/>
  <c r="I61" i="9"/>
  <c r="D31" i="9"/>
  <c r="B100" i="9"/>
  <c r="B251" i="9"/>
  <c r="B104" i="9"/>
  <c r="I15" i="9"/>
  <c r="C103" i="9"/>
  <c r="I83" i="9"/>
  <c r="H66" i="9"/>
  <c r="I145" i="9"/>
  <c r="I160" i="9"/>
  <c r="B19" i="9"/>
  <c r="C84" i="9"/>
  <c r="H87" i="9"/>
  <c r="H96" i="9"/>
  <c r="G136" i="9"/>
  <c r="B28" i="9"/>
  <c r="B87" i="9"/>
  <c r="E23" i="9"/>
  <c r="C65" i="9"/>
  <c r="I77" i="9"/>
  <c r="B69" i="9"/>
  <c r="B249" i="9"/>
  <c r="I32" i="9"/>
  <c r="G27" i="9"/>
  <c r="D53" i="9"/>
  <c r="B248" i="9"/>
  <c r="D157" i="9"/>
  <c r="G43" i="9"/>
  <c r="E39" i="9"/>
  <c r="C8" i="9"/>
  <c r="B250" i="9"/>
  <c r="I33" i="9"/>
  <c r="D114" i="9"/>
  <c r="C113" i="9"/>
  <c r="I172" i="9"/>
  <c r="F101" i="9"/>
  <c r="F187" i="9"/>
  <c r="F159" i="9"/>
  <c r="C263" i="9"/>
  <c r="E109" i="9"/>
  <c r="C138" i="9"/>
  <c r="F78" i="9"/>
  <c r="F118" i="9"/>
  <c r="F195" i="9"/>
  <c r="F172" i="9"/>
  <c r="C271" i="9"/>
  <c r="E117" i="9"/>
  <c r="D265" i="9"/>
  <c r="H50" i="9"/>
  <c r="G153" i="9"/>
  <c r="I113" i="9"/>
  <c r="C227" i="9"/>
  <c r="C203" i="9"/>
  <c r="B191" i="9"/>
  <c r="G270" i="9"/>
  <c r="H80" i="9"/>
  <c r="B25" i="9"/>
  <c r="I121" i="9"/>
  <c r="C235" i="9"/>
  <c r="C211" i="9"/>
  <c r="E50" i="9"/>
  <c r="H154" i="9"/>
  <c r="I144" i="9"/>
  <c r="E119" i="9"/>
  <c r="H219" i="9"/>
  <c r="F201" i="9"/>
  <c r="I108" i="9"/>
  <c r="D15" i="9"/>
  <c r="E138" i="9"/>
  <c r="F150" i="9"/>
  <c r="E263" i="9"/>
  <c r="C229" i="9"/>
  <c r="E75" i="9"/>
  <c r="D223" i="9"/>
  <c r="D166" i="9"/>
  <c r="G122" i="9"/>
  <c r="C118" i="9"/>
  <c r="D227" i="9"/>
  <c r="D203" i="9"/>
  <c r="H141" i="9"/>
  <c r="H242" i="9"/>
  <c r="B154" i="9"/>
  <c r="D12" i="9"/>
  <c r="F69" i="9"/>
  <c r="B203" i="9"/>
  <c r="I164" i="9"/>
  <c r="F128" i="9"/>
  <c r="I215" i="9"/>
  <c r="G165" i="9"/>
  <c r="G141" i="9"/>
  <c r="B246" i="9"/>
  <c r="E22" i="9"/>
  <c r="C70" i="9"/>
  <c r="I44" i="9"/>
  <c r="B166" i="9"/>
  <c r="E37" i="9"/>
  <c r="G40" i="9"/>
  <c r="E62" i="9"/>
  <c r="C45" i="9"/>
  <c r="C36" i="9"/>
  <c r="B157" i="9"/>
  <c r="F42" i="9"/>
  <c r="G14" i="9"/>
  <c r="C114" i="9"/>
  <c r="I93" i="9"/>
  <c r="H110" i="9"/>
  <c r="G126" i="9"/>
  <c r="E12" i="9"/>
  <c r="G50" i="9"/>
  <c r="G18" i="9"/>
  <c r="D151" i="9"/>
  <c r="B112" i="9"/>
  <c r="B35" i="9"/>
  <c r="F70" i="9"/>
  <c r="D14" i="9"/>
  <c r="C115" i="9"/>
  <c r="I127" i="9"/>
  <c r="G47" i="9"/>
  <c r="H143" i="9"/>
  <c r="E121" i="9"/>
  <c r="B151" i="9"/>
  <c r="C7" i="9"/>
  <c r="B274" i="9"/>
  <c r="I157" i="9"/>
  <c r="H132" i="9"/>
  <c r="F72" i="9"/>
  <c r="G86" i="9"/>
  <c r="D10" i="9"/>
  <c r="D158" i="9"/>
  <c r="B173" i="9"/>
  <c r="B221" i="9"/>
  <c r="H34" i="9"/>
  <c r="F49" i="9"/>
  <c r="G125" i="9"/>
  <c r="G12" i="9"/>
  <c r="C131" i="9"/>
  <c r="D147" i="9"/>
  <c r="B99" i="9"/>
  <c r="I31" i="9"/>
  <c r="F76" i="9"/>
  <c r="F40" i="9"/>
  <c r="I17" i="9"/>
  <c r="C104" i="9"/>
  <c r="I84" i="9"/>
  <c r="H67" i="9"/>
  <c r="F66" i="9"/>
  <c r="B214" i="9"/>
  <c r="D104" i="9"/>
  <c r="I104" i="9"/>
  <c r="E80" i="9"/>
  <c r="B158" i="9"/>
  <c r="G123" i="9"/>
  <c r="C163" i="9"/>
  <c r="F255" i="9"/>
  <c r="F230" i="9"/>
  <c r="D237" i="9"/>
  <c r="F97" i="9"/>
  <c r="F44" i="9"/>
  <c r="E33" i="9"/>
  <c r="C184" i="9"/>
  <c r="F263" i="9"/>
  <c r="F239" i="9"/>
  <c r="D247" i="9"/>
  <c r="F105" i="9"/>
  <c r="E198" i="9"/>
  <c r="C62" i="9"/>
  <c r="I29" i="9"/>
  <c r="C76" i="9"/>
  <c r="D201" i="9"/>
  <c r="C270" i="9"/>
  <c r="E116" i="9"/>
  <c r="H216" i="9"/>
  <c r="C87" i="9"/>
  <c r="G87" i="9"/>
  <c r="C93" i="9"/>
  <c r="D210" i="9"/>
  <c r="D186" i="9"/>
  <c r="E124" i="9"/>
  <c r="H225" i="9"/>
  <c r="F131" i="9"/>
  <c r="F108" i="9"/>
  <c r="I194" i="9"/>
  <c r="F269" i="9"/>
  <c r="E17" i="9"/>
  <c r="B71" i="9"/>
  <c r="B162" i="9"/>
  <c r="F221" i="9"/>
  <c r="F196" i="9"/>
  <c r="D204" i="9"/>
  <c r="D143" i="9"/>
  <c r="E153" i="9"/>
  <c r="G67" i="9"/>
  <c r="H118" i="9"/>
  <c r="D72" i="9"/>
  <c r="E157" i="9"/>
  <c r="D270" i="9"/>
  <c r="F129" i="9"/>
  <c r="I216" i="9"/>
  <c r="C189" i="9"/>
  <c r="B231" i="9"/>
  <c r="H145" i="9"/>
  <c r="H137" i="9"/>
  <c r="C193" i="9"/>
  <c r="C165" i="9"/>
  <c r="D116" i="9"/>
  <c r="G236" i="9"/>
  <c r="E101" i="9"/>
  <c r="E77" i="9"/>
  <c r="H178" i="9"/>
  <c r="F156" i="9"/>
  <c r="C246" i="9"/>
  <c r="C207" i="9"/>
  <c r="C216" i="9"/>
  <c r="F38" i="9"/>
  <c r="I11" i="9"/>
  <c r="C137" i="9"/>
  <c r="I116" i="9"/>
  <c r="H99" i="9"/>
  <c r="G63" i="9"/>
  <c r="F68" i="9"/>
  <c r="F14" i="9"/>
  <c r="C117" i="9"/>
  <c r="H63" i="9"/>
  <c r="F34" i="9"/>
  <c r="G78" i="9"/>
  <c r="B67" i="9"/>
  <c r="D46" i="9"/>
  <c r="B196" i="9"/>
  <c r="I39" i="9"/>
  <c r="D163" i="9"/>
  <c r="E48" i="9"/>
  <c r="G84" i="9"/>
  <c r="I9" i="9"/>
  <c r="I80" i="9"/>
  <c r="H89" i="9"/>
  <c r="B36" i="9"/>
  <c r="B110" i="9"/>
  <c r="B75" i="9"/>
  <c r="D23" i="9"/>
  <c r="C66" i="9"/>
  <c r="H69" i="9"/>
  <c r="C31" i="9"/>
  <c r="F110" i="9"/>
  <c r="D34" i="9"/>
  <c r="B40" i="9"/>
  <c r="G19" i="9"/>
  <c r="C88" i="9"/>
  <c r="I67" i="9"/>
  <c r="H45" i="9"/>
  <c r="D30" i="9"/>
  <c r="B96" i="9"/>
  <c r="D88" i="9"/>
  <c r="I88" i="9"/>
  <c r="I97" i="9"/>
  <c r="H105" i="9"/>
  <c r="G79" i="9"/>
  <c r="D36" i="9"/>
  <c r="E42" i="9"/>
  <c r="F19" i="9"/>
  <c r="C83" i="9"/>
  <c r="H86" i="9"/>
  <c r="B47" i="9"/>
  <c r="B94" i="9"/>
  <c r="B76" i="9"/>
  <c r="G8" i="9"/>
  <c r="D37" i="9"/>
  <c r="D160" i="9"/>
  <c r="H133" i="9"/>
  <c r="B95" i="9"/>
  <c r="I30" i="9"/>
  <c r="E49" i="9"/>
  <c r="C38" i="9"/>
  <c r="D152" i="9"/>
  <c r="F83" i="9"/>
  <c r="I103" i="9"/>
  <c r="C260" i="9"/>
  <c r="G200" i="9"/>
  <c r="G177" i="9"/>
  <c r="E172" i="9"/>
  <c r="B227" i="9"/>
  <c r="B46" i="9"/>
  <c r="I128" i="9"/>
  <c r="C268" i="9"/>
  <c r="G209" i="9"/>
  <c r="G185" i="9"/>
  <c r="E180" i="9"/>
  <c r="C142" i="9"/>
  <c r="E266" i="9"/>
  <c r="I7" i="9"/>
  <c r="B128" i="9"/>
  <c r="B258" i="9"/>
  <c r="D269" i="9"/>
  <c r="D246" i="9"/>
  <c r="F104" i="9"/>
  <c r="I191" i="9"/>
  <c r="E38" i="9"/>
  <c r="H46" i="9"/>
  <c r="D50" i="9"/>
  <c r="D277" i="9"/>
  <c r="D254" i="9"/>
  <c r="F113" i="9"/>
  <c r="I199" i="9"/>
  <c r="C173" i="9"/>
  <c r="C144" i="9"/>
  <c r="D89" i="9"/>
  <c r="G215" i="9"/>
  <c r="B39" i="9"/>
  <c r="H102" i="9"/>
  <c r="C209" i="9"/>
  <c r="G163" i="9"/>
  <c r="F264" i="9"/>
  <c r="D271" i="9"/>
  <c r="F130" i="9"/>
  <c r="E224" i="9"/>
  <c r="G39" i="9"/>
  <c r="C124" i="9"/>
  <c r="E61" i="9"/>
  <c r="E228" i="9"/>
  <c r="E204" i="9"/>
  <c r="C166" i="9"/>
  <c r="D117" i="9"/>
  <c r="C257" i="9"/>
  <c r="I52" i="9"/>
  <c r="D8" i="9"/>
  <c r="B222" i="9"/>
  <c r="C261" i="9"/>
  <c r="C236" i="9"/>
  <c r="E83" i="9"/>
  <c r="H183" i="9"/>
  <c r="B260" i="9"/>
  <c r="G146" i="9"/>
  <c r="H246" i="9"/>
  <c r="F227" i="9"/>
  <c r="H182" i="9"/>
  <c r="D207" i="9"/>
  <c r="D216" i="9"/>
  <c r="G247" i="9"/>
  <c r="F266" i="9"/>
  <c r="F73" i="9"/>
  <c r="F59" i="9"/>
  <c r="D74" i="9"/>
  <c r="C49" i="9"/>
  <c r="B247" i="9"/>
  <c r="G91" i="9"/>
  <c r="G85" i="9"/>
  <c r="G112" i="9"/>
  <c r="D49" i="9"/>
  <c r="H129" i="9"/>
  <c r="F61" i="9"/>
  <c r="G110" i="9"/>
  <c r="H31" i="9"/>
  <c r="H17" i="9"/>
  <c r="H21" i="9" s="1"/>
  <c r="C98" i="9"/>
  <c r="I111" i="9"/>
  <c r="G116" i="9"/>
  <c r="B82" i="9"/>
  <c r="B130" i="9"/>
  <c r="B109" i="9"/>
  <c r="B153" i="9"/>
  <c r="D178" i="9"/>
  <c r="B64" i="9"/>
  <c r="H152" i="9"/>
  <c r="H32" i="9"/>
  <c r="C12" i="9"/>
  <c r="C132" i="9"/>
  <c r="H136" i="9"/>
  <c r="F45" i="9"/>
  <c r="C146" i="9"/>
  <c r="E45" i="9"/>
  <c r="C34" i="9"/>
  <c r="F10" i="9"/>
  <c r="B174" i="9"/>
  <c r="I133" i="9"/>
  <c r="H117" i="9"/>
  <c r="G45" i="9"/>
  <c r="G138" i="9"/>
  <c r="D174" i="9"/>
  <c r="B176" i="9"/>
  <c r="B230" i="9"/>
  <c r="I35" i="9"/>
  <c r="B116" i="9"/>
  <c r="C27" i="9"/>
  <c r="B73" i="9"/>
  <c r="H10" i="9"/>
  <c r="I155" i="9"/>
  <c r="D165" i="9"/>
  <c r="G68" i="9"/>
  <c r="G131" i="9"/>
  <c r="G105" i="9"/>
  <c r="B150" i="9"/>
  <c r="E18" i="9"/>
  <c r="C89" i="9"/>
  <c r="I68" i="9"/>
  <c r="H85" i="9"/>
  <c r="B45" i="9"/>
  <c r="C15" i="9"/>
  <c r="C110" i="9"/>
  <c r="F136" i="9"/>
  <c r="I92" i="9"/>
  <c r="D113" i="9"/>
  <c r="D43" i="9"/>
  <c r="D125" i="9"/>
  <c r="G244" i="9"/>
  <c r="E239" i="9"/>
  <c r="C205" i="9"/>
  <c r="I117" i="9"/>
  <c r="D138" i="9"/>
  <c r="D91" i="9"/>
  <c r="D136" i="9"/>
  <c r="G253" i="9"/>
  <c r="E248" i="9"/>
  <c r="C213" i="9"/>
  <c r="F199" i="9"/>
  <c r="B102" i="9"/>
  <c r="B205" i="9"/>
  <c r="D133" i="9"/>
  <c r="E203" i="9"/>
  <c r="E179" i="9"/>
  <c r="C141" i="9"/>
  <c r="D84" i="9"/>
  <c r="D27" i="9"/>
  <c r="C53" i="9"/>
  <c r="D146" i="9"/>
  <c r="E211" i="9"/>
  <c r="E187" i="9"/>
  <c r="C150" i="9"/>
  <c r="D94" i="9"/>
  <c r="C240" i="9"/>
  <c r="C215" i="9"/>
  <c r="E60" i="9"/>
  <c r="H158" i="9"/>
  <c r="H91" i="9"/>
  <c r="C109" i="9"/>
  <c r="D209" i="9"/>
  <c r="D82" i="9"/>
  <c r="G210" i="9"/>
  <c r="E205" i="9"/>
  <c r="C172" i="9"/>
  <c r="F154" i="9"/>
  <c r="I132" i="9"/>
  <c r="F12" i="9"/>
  <c r="I174" i="9"/>
  <c r="F158" i="9"/>
  <c r="E271" i="9"/>
  <c r="C237" i="9"/>
  <c r="E84" i="9"/>
  <c r="D231" i="9"/>
  <c r="D66" i="9"/>
  <c r="F63" i="9"/>
  <c r="C126" i="9"/>
  <c r="D235" i="9"/>
  <c r="D211" i="9"/>
  <c r="D156" i="9"/>
  <c r="H251" i="9"/>
  <c r="D180" i="9"/>
  <c r="F132" i="9"/>
  <c r="I219" i="9"/>
  <c r="G174" i="9"/>
  <c r="C255" i="9"/>
  <c r="E162" i="9"/>
  <c r="E176" i="9"/>
  <c r="H260" i="9"/>
  <c r="H197" i="9"/>
  <c r="H256" i="9"/>
  <c r="G248" i="9"/>
  <c r="G135" i="9"/>
  <c r="F87" i="9"/>
  <c r="H14" i="9"/>
  <c r="C121" i="9"/>
  <c r="I100" i="9"/>
  <c r="H84" i="9"/>
  <c r="G119" i="9"/>
  <c r="D35" i="9"/>
  <c r="D121" i="9"/>
  <c r="I64" i="9"/>
  <c r="H72" i="9"/>
  <c r="B265" i="9"/>
  <c r="B60" i="9"/>
  <c r="E8" i="9"/>
  <c r="B232" i="9"/>
  <c r="C44" i="9"/>
  <c r="H47" i="9"/>
  <c r="B126" i="9"/>
  <c r="G137" i="9"/>
  <c r="I19" i="9"/>
  <c r="C86" i="9"/>
  <c r="I90" i="9"/>
  <c r="H73" i="9"/>
  <c r="F31" i="9"/>
  <c r="G62" i="9"/>
  <c r="E44" i="9"/>
  <c r="D70" i="9"/>
  <c r="I70" i="9"/>
  <c r="F77" i="9"/>
  <c r="C217" i="9"/>
  <c r="F74" i="9"/>
  <c r="G52" i="9"/>
  <c r="F84" i="9"/>
  <c r="D22" i="9"/>
  <c r="C72" i="9"/>
  <c r="I46" i="9"/>
  <c r="H68" i="9"/>
  <c r="B142" i="9"/>
  <c r="B17" i="9"/>
  <c r="G17" i="9"/>
  <c r="C102" i="9"/>
  <c r="I107" i="9"/>
  <c r="H90" i="9"/>
  <c r="F37" i="9"/>
  <c r="B114" i="9"/>
  <c r="F92" i="9"/>
  <c r="D87" i="9"/>
  <c r="I87" i="9"/>
  <c r="G94" i="9"/>
  <c r="H33" i="9"/>
  <c r="B131" i="9"/>
  <c r="B2" i="9"/>
  <c r="G9" i="9"/>
  <c r="I176" i="9"/>
  <c r="I135" i="9"/>
  <c r="I162" i="9"/>
  <c r="B66" i="9"/>
  <c r="B8" i="9"/>
  <c r="D42" i="9"/>
  <c r="E14" i="9"/>
  <c r="C19" i="9"/>
  <c r="G33" i="9"/>
  <c r="E72" i="9"/>
  <c r="E90" i="9"/>
  <c r="H190" i="9"/>
  <c r="F173" i="9"/>
  <c r="F30" i="9"/>
  <c r="G15" i="9"/>
  <c r="F75" i="9"/>
  <c r="E89" i="9"/>
  <c r="E98" i="9"/>
  <c r="H198" i="9"/>
  <c r="F181" i="9"/>
  <c r="D188" i="9"/>
  <c r="F267" i="9"/>
  <c r="I36" i="9"/>
  <c r="B275" i="9"/>
  <c r="E113" i="9"/>
  <c r="E270" i="9"/>
  <c r="E247" i="9"/>
  <c r="C212" i="9"/>
  <c r="E52" i="9"/>
  <c r="I66" i="9"/>
  <c r="B23" i="9"/>
  <c r="E129" i="9"/>
  <c r="F141" i="9"/>
  <c r="E255" i="9"/>
  <c r="C221" i="9"/>
  <c r="E67" i="9"/>
  <c r="D214" i="9"/>
  <c r="D190" i="9"/>
  <c r="E128" i="9"/>
  <c r="H229" i="9"/>
  <c r="C97" i="9"/>
  <c r="B14" i="9"/>
  <c r="D135" i="9"/>
  <c r="B267" i="9"/>
  <c r="G277" i="9"/>
  <c r="E272" i="9"/>
  <c r="C239" i="9"/>
  <c r="F225" i="9"/>
  <c r="I13" i="9"/>
  <c r="B194" i="9"/>
  <c r="B193" i="9"/>
  <c r="F229" i="9"/>
  <c r="F205" i="9"/>
  <c r="D212" i="9"/>
  <c r="B159" i="9"/>
  <c r="E161" i="9"/>
  <c r="E35" i="9"/>
  <c r="B195" i="9"/>
  <c r="D39" i="9"/>
  <c r="E165" i="9"/>
  <c r="E141" i="9"/>
  <c r="F138" i="9"/>
  <c r="I225" i="9"/>
  <c r="C197" i="9"/>
  <c r="B197" i="9"/>
  <c r="B135" i="9"/>
  <c r="F50" i="9"/>
  <c r="D59" i="9"/>
  <c r="B256" i="9"/>
  <c r="B160" i="9"/>
  <c r="B206" i="9"/>
  <c r="B68" i="9"/>
  <c r="I23" i="9"/>
  <c r="I130" i="9"/>
  <c r="H139" i="9"/>
  <c r="E29" i="9"/>
  <c r="F85" i="9"/>
  <c r="I173" i="9"/>
  <c r="C14" i="9"/>
  <c r="C116" i="9"/>
  <c r="H119" i="9"/>
  <c r="B228" i="9"/>
  <c r="D33" i="9"/>
  <c r="G10" i="9"/>
  <c r="I163" i="9"/>
  <c r="D181" i="9"/>
  <c r="H140" i="9"/>
  <c r="E30" i="9"/>
  <c r="B88" i="9"/>
  <c r="G75" i="9"/>
  <c r="D137" i="9"/>
  <c r="I137" i="9"/>
  <c r="H78" i="9"/>
  <c r="D192" i="9"/>
  <c r="B108" i="9"/>
  <c r="B74" i="9"/>
  <c r="G121" i="9"/>
  <c r="G11" i="9"/>
  <c r="C139" i="9"/>
  <c r="I118" i="9"/>
  <c r="H135" i="9"/>
  <c r="C30" i="9"/>
  <c r="B9" i="9"/>
  <c r="I8" i="9"/>
  <c r="B266" i="9"/>
  <c r="C40" i="9"/>
  <c r="B181" i="9"/>
  <c r="G66" i="9"/>
  <c r="D162" i="9"/>
  <c r="G133" i="9"/>
  <c r="I166" i="9"/>
  <c r="D173" i="9"/>
  <c r="B137" i="9"/>
  <c r="H104" i="9"/>
  <c r="B270" i="9"/>
  <c r="B37" i="9"/>
  <c r="B117" i="9"/>
  <c r="G22" i="9"/>
  <c r="C73" i="9"/>
  <c r="I86" i="9"/>
  <c r="F91" i="9"/>
  <c r="H27" i="9"/>
  <c r="D111" i="9"/>
  <c r="H113" i="9"/>
  <c r="B59" i="9"/>
  <c r="G97" i="9"/>
  <c r="B226" i="9"/>
  <c r="B180" i="9"/>
  <c r="H258" i="9"/>
  <c r="F240" i="9"/>
  <c r="I42" i="9"/>
  <c r="G65" i="9"/>
  <c r="G130" i="9"/>
  <c r="F94" i="9"/>
  <c r="B234" i="9"/>
  <c r="H266" i="9"/>
  <c r="F249" i="9"/>
  <c r="D85" i="9"/>
  <c r="G213" i="9"/>
  <c r="D45" i="9"/>
  <c r="G42" i="9"/>
  <c r="F126" i="9"/>
  <c r="F204" i="9"/>
  <c r="F180" i="9"/>
  <c r="D187" i="9"/>
  <c r="E125" i="9"/>
  <c r="D75" i="9"/>
  <c r="B122" i="9"/>
  <c r="B145" i="9"/>
  <c r="F212" i="9"/>
  <c r="F188" i="9"/>
  <c r="D195" i="9"/>
  <c r="E133" i="9"/>
  <c r="E144" i="9"/>
  <c r="D258" i="9"/>
  <c r="F117" i="9"/>
  <c r="G101" i="9"/>
  <c r="G89" i="9"/>
  <c r="G109" i="9"/>
  <c r="E114" i="9"/>
  <c r="E123" i="9"/>
  <c r="H224" i="9"/>
  <c r="F206" i="9"/>
  <c r="D213" i="9"/>
  <c r="G172" i="9"/>
  <c r="G114" i="9"/>
  <c r="H127" i="9"/>
  <c r="C226" i="9"/>
  <c r="G176" i="9"/>
  <c r="F272" i="9"/>
  <c r="E142" i="9"/>
  <c r="F139" i="9"/>
  <c r="E232" i="9"/>
  <c r="H35" i="9"/>
  <c r="B241" i="9"/>
  <c r="E71" i="9"/>
  <c r="E236" i="9"/>
  <c r="E212" i="9"/>
  <c r="C179" i="9"/>
  <c r="E27" i="9"/>
  <c r="F29" i="9"/>
  <c r="H30" i="9"/>
  <c r="E15" i="9"/>
  <c r="C105" i="9"/>
  <c r="I85" i="9"/>
  <c r="H101" i="9"/>
  <c r="G93" i="9"/>
  <c r="H23" i="9"/>
  <c r="C69" i="9"/>
  <c r="I73" i="9"/>
  <c r="H52" i="9"/>
  <c r="B107" i="9"/>
  <c r="I28" i="9"/>
  <c r="B92" i="9"/>
  <c r="D48" i="9"/>
  <c r="I48" i="9"/>
  <c r="G103" i="9"/>
  <c r="H121" i="9"/>
  <c r="G37" i="9"/>
  <c r="G82" i="9"/>
  <c r="G77" i="9"/>
  <c r="D18" i="9"/>
  <c r="C90" i="9"/>
  <c r="I102" i="9"/>
  <c r="I180" i="9"/>
  <c r="C35" i="9"/>
  <c r="H19" i="9"/>
  <c r="C78" i="9"/>
  <c r="I53" i="9"/>
  <c r="H36" i="9"/>
  <c r="G60" i="9"/>
  <c r="F65" i="9"/>
  <c r="B24" i="9"/>
  <c r="C59" i="9"/>
  <c r="H62" i="9"/>
  <c r="H138" i="9"/>
  <c r="B223" i="9"/>
  <c r="H142" i="9"/>
  <c r="I22" i="9"/>
  <c r="C79" i="9"/>
  <c r="I59" i="9"/>
  <c r="H37" i="9"/>
  <c r="G61" i="9"/>
  <c r="G72" i="9"/>
  <c r="D79" i="9"/>
  <c r="G151" i="9"/>
  <c r="E122" i="9"/>
  <c r="I89" i="9"/>
  <c r="H97" i="9"/>
  <c r="F53" i="9"/>
  <c r="D144" i="9"/>
  <c r="G30" i="9"/>
  <c r="C22" i="9"/>
  <c r="C74" i="9"/>
  <c r="H77" i="9"/>
  <c r="B33" i="9"/>
  <c r="B49" i="9"/>
  <c r="H29" i="9"/>
  <c r="F18" i="9"/>
  <c r="C96" i="9"/>
  <c r="I75" i="9"/>
  <c r="H59" i="9"/>
  <c r="F41" i="9"/>
  <c r="B129" i="9"/>
  <c r="D96" i="9"/>
  <c r="I96" i="9"/>
  <c r="C39" i="9"/>
  <c r="I43" i="9"/>
  <c r="D155" i="9"/>
  <c r="G35" i="9"/>
  <c r="G96" i="9"/>
  <c r="H9" i="9"/>
  <c r="B182" i="9"/>
  <c r="B204" i="9"/>
  <c r="B91" i="9"/>
  <c r="F135" i="9"/>
  <c r="I123" i="9"/>
  <c r="D184" i="9"/>
  <c r="C60" i="9"/>
  <c r="C277" i="9"/>
  <c r="C254" i="9"/>
  <c r="E99" i="9"/>
  <c r="H199" i="9"/>
  <c r="B155" i="9"/>
  <c r="F48" i="9"/>
  <c r="C68" i="9"/>
  <c r="D193" i="9"/>
  <c r="C262" i="9"/>
  <c r="E108" i="9"/>
  <c r="H208" i="9"/>
  <c r="F115" i="9"/>
  <c r="B268" i="9"/>
  <c r="B188" i="9"/>
  <c r="E63" i="9"/>
  <c r="D101" i="9"/>
  <c r="H153" i="9"/>
  <c r="G261" i="9"/>
  <c r="E256" i="9"/>
  <c r="C222" i="9"/>
  <c r="C50" i="9"/>
  <c r="D19" i="9"/>
  <c r="D124" i="9"/>
  <c r="B185" i="9"/>
  <c r="G269" i="9"/>
  <c r="E264" i="9"/>
  <c r="C230" i="9"/>
  <c r="F216" i="9"/>
  <c r="F192" i="9"/>
  <c r="D199" i="9"/>
  <c r="H122" i="9"/>
  <c r="D17" i="9"/>
  <c r="I129" i="9"/>
  <c r="C244" i="9"/>
  <c r="C219" i="9"/>
  <c r="E66" i="9"/>
  <c r="H162" i="9"/>
  <c r="I161" i="9"/>
  <c r="B127" i="9"/>
  <c r="G108" i="9"/>
  <c r="G70" i="9"/>
  <c r="E130" i="9"/>
  <c r="E131" i="9"/>
  <c r="H232" i="9"/>
  <c r="F214" i="9"/>
  <c r="D222" i="9"/>
  <c r="G180" i="9"/>
  <c r="B53" i="9"/>
  <c r="B271" i="9"/>
  <c r="C234" i="9"/>
  <c r="G184" i="9"/>
  <c r="G156" i="9"/>
  <c r="E151" i="9"/>
  <c r="G152" i="9"/>
  <c r="E241" i="9"/>
  <c r="E216" i="9"/>
  <c r="C183" i="9"/>
  <c r="D60" i="9"/>
  <c r="D249" i="9"/>
  <c r="H236" i="9"/>
  <c r="H247" i="9"/>
  <c r="I253" i="9"/>
  <c r="E206" i="9"/>
  <c r="I50" i="9"/>
  <c r="H64" i="9"/>
  <c r="B136" i="9"/>
  <c r="G36" i="9"/>
  <c r="E9" i="9"/>
  <c r="D179" i="9"/>
  <c r="B272" i="9"/>
  <c r="H39" i="9"/>
  <c r="F62" i="9"/>
  <c r="C10" i="9"/>
  <c r="H147" i="9"/>
  <c r="I124" i="9"/>
  <c r="H108" i="9"/>
  <c r="B86" i="9"/>
  <c r="G90" i="9"/>
  <c r="D13" i="9"/>
  <c r="C125" i="9"/>
  <c r="H128" i="9"/>
  <c r="I72" i="9"/>
  <c r="C32" i="9"/>
  <c r="B211" i="9"/>
  <c r="D11" i="9"/>
  <c r="D150" i="9"/>
  <c r="I125" i="9"/>
  <c r="H109" i="9"/>
  <c r="E32" i="9"/>
  <c r="G104" i="9"/>
  <c r="G150" i="9"/>
  <c r="C85" i="9"/>
  <c r="F111" i="9"/>
  <c r="I178" i="9"/>
  <c r="B229" i="9"/>
  <c r="F86" i="9"/>
  <c r="B44" i="9"/>
  <c r="F46" i="9"/>
  <c r="H11" i="9"/>
  <c r="D141" i="9"/>
  <c r="B147" i="9"/>
  <c r="E43" i="9"/>
  <c r="F71" i="9"/>
  <c r="G48" i="9"/>
  <c r="D9" i="9"/>
  <c r="B215" i="9"/>
  <c r="B144" i="9"/>
  <c r="H125" i="9"/>
  <c r="B72" i="9"/>
  <c r="F32" i="9"/>
  <c r="B216" i="9"/>
  <c r="B16" i="9"/>
  <c r="C111" i="9"/>
  <c r="I115" i="9"/>
  <c r="H98" i="9"/>
  <c r="B61" i="9"/>
  <c r="H151" i="9"/>
  <c r="B125" i="9"/>
  <c r="D95" i="9"/>
  <c r="I95" i="9"/>
  <c r="G127" i="9"/>
  <c r="C176" i="9"/>
  <c r="H15" i="9"/>
  <c r="G88" i="9"/>
  <c r="G144" i="9"/>
  <c r="D253" i="9"/>
  <c r="D228" i="9"/>
  <c r="B243" i="9"/>
  <c r="H267" i="9"/>
  <c r="I12" i="9"/>
  <c r="F89" i="9"/>
  <c r="B190" i="9"/>
  <c r="D261" i="9"/>
  <c r="D236" i="9"/>
  <c r="F96" i="9"/>
  <c r="H275" i="9"/>
  <c r="C152" i="9"/>
  <c r="H28" i="9"/>
  <c r="E10" i="9"/>
  <c r="F36" i="9"/>
  <c r="E97" i="9"/>
  <c r="E107" i="9"/>
  <c r="H207" i="9"/>
  <c r="F189" i="9"/>
  <c r="G46" i="9"/>
  <c r="H7" i="9"/>
  <c r="G59" i="9"/>
  <c r="E105" i="9"/>
  <c r="E115" i="9"/>
  <c r="H215" i="9"/>
  <c r="F197" i="9"/>
  <c r="D205" i="9"/>
  <c r="G159" i="9"/>
  <c r="F260" i="9"/>
  <c r="D267" i="9"/>
  <c r="C128" i="9"/>
  <c r="B43" i="9"/>
  <c r="C101" i="9"/>
  <c r="D218" i="9"/>
  <c r="D194" i="9"/>
  <c r="E132" i="9"/>
  <c r="H233" i="9"/>
  <c r="F140" i="9"/>
  <c r="C23" i="9"/>
  <c r="G115" i="9"/>
  <c r="D32" i="9"/>
  <c r="H146" i="9"/>
  <c r="I122" i="9"/>
  <c r="H130" i="9"/>
  <c r="F33" i="9"/>
  <c r="B63" i="9"/>
  <c r="B121" i="9"/>
  <c r="F15" i="9"/>
  <c r="C108" i="9"/>
  <c r="H111" i="9"/>
  <c r="B97" i="9"/>
  <c r="G80" i="9"/>
  <c r="B11" i="4"/>
  <c r="C63" i="9"/>
  <c r="I37" i="9"/>
  <c r="B124" i="9"/>
  <c r="B115" i="9"/>
  <c r="G32" i="9"/>
  <c r="D63" i="9"/>
  <c r="I63" i="9"/>
  <c r="I139" i="9"/>
  <c r="F47" i="9"/>
  <c r="F35" i="9"/>
  <c r="B62" i="9"/>
  <c r="F23" i="9"/>
  <c r="C64" i="9"/>
  <c r="I38" i="9"/>
  <c r="H60" i="9"/>
  <c r="D176" i="9"/>
  <c r="I18" i="9"/>
  <c r="B161" i="9"/>
  <c r="H18" i="9"/>
  <c r="C94" i="9"/>
  <c r="I98" i="9"/>
  <c r="H82" i="9"/>
  <c r="D28" i="9"/>
  <c r="B85" i="9"/>
  <c r="B70" i="9"/>
  <c r="D78" i="9"/>
  <c r="I78" i="9"/>
  <c r="G71" i="9"/>
  <c r="G98" i="9"/>
  <c r="B79" i="9"/>
  <c r="B113" i="9"/>
  <c r="E19" i="9"/>
  <c r="C80" i="9"/>
  <c r="I60" i="9"/>
  <c r="H76" i="9"/>
  <c r="B32" i="9"/>
  <c r="B15" i="9"/>
  <c r="E7" i="9"/>
  <c r="B2" i="12"/>
  <c r="C48" i="9"/>
  <c r="B237" i="9"/>
  <c r="B89" i="9"/>
  <c r="G69" i="9"/>
  <c r="B254" i="9"/>
  <c r="B208" i="9"/>
  <c r="B213" i="9"/>
  <c r="B273" i="9"/>
  <c r="C243" i="9"/>
  <c r="F60" i="9"/>
  <c r="I94" i="9"/>
  <c r="D100" i="9"/>
  <c r="E186" i="9"/>
  <c r="E158" i="9"/>
  <c r="B175" i="9"/>
  <c r="I242" i="9"/>
  <c r="D145" i="9"/>
  <c r="I119" i="9"/>
  <c r="D123" i="9"/>
  <c r="E194" i="9"/>
  <c r="E166" i="9"/>
  <c r="B218" i="9"/>
  <c r="D61" i="9"/>
  <c r="C223" i="9"/>
  <c r="I114" i="9"/>
  <c r="C28" i="9"/>
  <c r="G120" i="9"/>
  <c r="F102" i="9"/>
  <c r="F95" i="9"/>
  <c r="H274" i="9"/>
  <c r="F257" i="9"/>
  <c r="C47" i="9"/>
  <c r="B83" i="9"/>
  <c r="B123" i="9"/>
  <c r="F119" i="9"/>
  <c r="F103" i="9"/>
  <c r="I190" i="9"/>
  <c r="F265" i="9"/>
  <c r="D108" i="9"/>
  <c r="D69" i="9"/>
  <c r="G206" i="9"/>
  <c r="E200" i="9"/>
  <c r="F64" i="9"/>
  <c r="H93" i="9"/>
  <c r="D64" i="9"/>
  <c r="E148" i="9"/>
  <c r="D262" i="9"/>
  <c r="F121" i="9"/>
  <c r="I208" i="9"/>
  <c r="H49" i="9"/>
  <c r="I146" i="9"/>
  <c r="C95" i="9"/>
  <c r="C75" i="9"/>
  <c r="G64" i="9"/>
  <c r="B138" i="9"/>
  <c r="F80" i="9"/>
  <c r="G76" i="9"/>
  <c r="G44" i="9"/>
  <c r="D148" i="9"/>
  <c r="C147" i="9"/>
  <c r="I27" i="9"/>
  <c r="F114" i="9"/>
  <c r="D263" i="9"/>
  <c r="F39" i="9"/>
  <c r="D118" i="9"/>
  <c r="D226" i="9"/>
  <c r="F143" i="9"/>
  <c r="F8" i="9"/>
  <c r="F237" i="9"/>
  <c r="E92" i="9"/>
  <c r="D215" i="9"/>
  <c r="G241" i="9"/>
  <c r="G205" i="9"/>
  <c r="G274" i="9"/>
  <c r="H264" i="9"/>
  <c r="G242" i="9"/>
  <c r="I275" i="9"/>
  <c r="E16" i="9"/>
  <c r="G23" i="9"/>
  <c r="C160" i="9"/>
  <c r="H157" i="9"/>
  <c r="H166" i="9"/>
  <c r="I267" i="9"/>
  <c r="I209" i="9"/>
  <c r="I181" i="9"/>
  <c r="D273" i="9"/>
  <c r="H262" i="9"/>
  <c r="H261" i="9"/>
  <c r="I186" i="9"/>
  <c r="D115" i="9"/>
  <c r="C153" i="9"/>
  <c r="C162" i="9"/>
  <c r="H265" i="9"/>
  <c r="I217" i="9"/>
  <c r="F151" i="9"/>
  <c r="F163" i="9"/>
  <c r="I150" i="9"/>
  <c r="E207" i="9"/>
  <c r="H222" i="9"/>
  <c r="C208" i="9"/>
  <c r="E269" i="9"/>
  <c r="H24" i="9"/>
  <c r="I274" i="9"/>
  <c r="E177" i="9"/>
  <c r="F276" i="9"/>
  <c r="D260" i="9"/>
  <c r="G173" i="9"/>
  <c r="C196" i="9"/>
  <c r="I264" i="9"/>
  <c r="E196" i="9"/>
  <c r="I221" i="9"/>
  <c r="H255" i="9"/>
  <c r="I62" i="9"/>
  <c r="D73" i="9"/>
  <c r="F219" i="9"/>
  <c r="E91" i="9"/>
  <c r="F246" i="9"/>
  <c r="D276" i="9"/>
  <c r="F184" i="9"/>
  <c r="G228" i="9"/>
  <c r="D250" i="9"/>
  <c r="D90" i="9"/>
  <c r="D251" i="9"/>
  <c r="C155" i="9"/>
  <c r="G266" i="9"/>
  <c r="E152" i="9"/>
  <c r="D208" i="9"/>
  <c r="F258" i="9"/>
  <c r="E217" i="9"/>
  <c r="C266" i="9"/>
  <c r="E210" i="9"/>
  <c r="I47" i="9"/>
  <c r="G148" i="9"/>
  <c r="B41" i="9"/>
  <c r="B207" i="9"/>
  <c r="I142" i="9"/>
  <c r="G92" i="9"/>
  <c r="G95" i="9"/>
  <c r="C29" i="9"/>
  <c r="G107" i="9"/>
  <c r="G73" i="9"/>
  <c r="C186" i="9"/>
  <c r="C218" i="9"/>
  <c r="B120" i="9"/>
  <c r="C151" i="9"/>
  <c r="E85" i="9"/>
  <c r="B152" i="9"/>
  <c r="G157" i="9"/>
  <c r="I183" i="9"/>
  <c r="D102" i="9"/>
  <c r="D185" i="9"/>
  <c r="E145" i="9"/>
  <c r="H187" i="9"/>
  <c r="I156" i="9"/>
  <c r="G38" i="9"/>
  <c r="E240" i="9"/>
  <c r="C250" i="9"/>
  <c r="H268" i="9"/>
  <c r="E146" i="9"/>
  <c r="F146" i="9"/>
  <c r="G239" i="9"/>
  <c r="H176" i="9"/>
  <c r="G250" i="9"/>
  <c r="D25" i="9"/>
  <c r="E234" i="9"/>
  <c r="G252" i="9"/>
  <c r="G25" i="9"/>
  <c r="I249" i="9"/>
  <c r="F52" i="9"/>
  <c r="B34" i="9"/>
  <c r="I74" i="9"/>
  <c r="H148" i="9"/>
  <c r="D76" i="9"/>
  <c r="I14" i="9"/>
  <c r="B18" i="9"/>
  <c r="B186" i="9"/>
  <c r="E79" i="9"/>
  <c r="I232" i="9"/>
  <c r="D172" i="9"/>
  <c r="B240" i="9"/>
  <c r="F82" i="9"/>
  <c r="F122" i="9"/>
  <c r="C188" i="9"/>
  <c r="E251" i="9"/>
  <c r="E249" i="9"/>
  <c r="D264" i="9"/>
  <c r="I257" i="9"/>
  <c r="F157" i="9"/>
  <c r="G234" i="9"/>
  <c r="B225" i="9"/>
  <c r="E24" i="9"/>
  <c r="I223" i="9"/>
  <c r="E233" i="9"/>
  <c r="D7" i="9"/>
  <c r="D120" i="9"/>
  <c r="G142" i="9"/>
  <c r="I79" i="9"/>
  <c r="E13" i="9"/>
  <c r="B38" i="9"/>
  <c r="F9" i="9"/>
  <c r="B29" i="9"/>
  <c r="H150" i="9"/>
  <c r="D139" i="9"/>
  <c r="C194" i="9"/>
  <c r="C37" i="9"/>
  <c r="H44" i="9"/>
  <c r="C159" i="9"/>
  <c r="H112" i="9"/>
  <c r="D86" i="9"/>
  <c r="D92" i="9"/>
  <c r="C180" i="9"/>
  <c r="F7" i="9"/>
  <c r="F142" i="9"/>
  <c r="C256" i="9"/>
  <c r="F217" i="9"/>
  <c r="I82" i="9"/>
  <c r="F209" i="9"/>
  <c r="G243" i="9"/>
  <c r="I24" i="9"/>
  <c r="C145" i="9"/>
  <c r="G24" i="9"/>
  <c r="F252" i="9"/>
  <c r="C135" i="9"/>
  <c r="G222" i="9"/>
  <c r="E70" i="9"/>
  <c r="F144" i="9"/>
  <c r="G267" i="9"/>
  <c r="H253" i="9"/>
  <c r="B201" i="9"/>
  <c r="D164" i="9"/>
  <c r="B276" i="9"/>
  <c r="E197" i="9"/>
  <c r="F261" i="9"/>
  <c r="E230" i="9"/>
  <c r="E199" i="9"/>
  <c r="E209" i="9"/>
  <c r="I234" i="9"/>
  <c r="H249" i="9"/>
  <c r="I213" i="9"/>
  <c r="E100" i="9"/>
  <c r="C175" i="9"/>
  <c r="E94" i="9"/>
  <c r="I218" i="9"/>
  <c r="C178" i="9"/>
  <c r="I212" i="9"/>
  <c r="I255" i="9"/>
  <c r="D153" i="9"/>
  <c r="G175" i="9"/>
  <c r="C191" i="9"/>
  <c r="F222" i="9"/>
  <c r="E143" i="9"/>
  <c r="H177" i="9"/>
  <c r="G237" i="9"/>
  <c r="F153" i="9"/>
  <c r="E201" i="9"/>
  <c r="F193" i="9"/>
  <c r="D38" i="9"/>
  <c r="I120" i="9"/>
  <c r="H53" i="9"/>
  <c r="D80" i="9"/>
  <c r="C52" i="9"/>
  <c r="C112" i="9"/>
  <c r="C92" i="9"/>
  <c r="E11" i="9"/>
  <c r="B65" i="9"/>
  <c r="G186" i="9"/>
  <c r="I241" i="9"/>
  <c r="C192" i="9"/>
  <c r="H61" i="9"/>
  <c r="E215" i="9"/>
  <c r="F127" i="9"/>
  <c r="E59" i="9"/>
  <c r="E65" i="9"/>
  <c r="C248" i="9"/>
  <c r="F88" i="9"/>
  <c r="F213" i="9"/>
  <c r="C265" i="9"/>
  <c r="G231" i="9"/>
  <c r="E46" i="9"/>
  <c r="G181" i="9"/>
  <c r="I273" i="9"/>
  <c r="F165" i="9"/>
  <c r="E192" i="9"/>
  <c r="G212" i="9"/>
  <c r="H194" i="9"/>
  <c r="D177" i="9"/>
  <c r="E136" i="9"/>
  <c r="B209" i="9"/>
  <c r="G260" i="9"/>
  <c r="I188" i="9"/>
  <c r="I271" i="9"/>
  <c r="G192" i="9"/>
  <c r="B244" i="9"/>
  <c r="D65" i="9"/>
  <c r="G178" i="9"/>
  <c r="F176" i="9"/>
  <c r="B163" i="9"/>
  <c r="G34" i="9"/>
  <c r="H124" i="9"/>
  <c r="B259" i="9"/>
  <c r="C123" i="9"/>
  <c r="D44" i="9"/>
  <c r="I184" i="9"/>
  <c r="F67" i="9"/>
  <c r="E28" i="9"/>
  <c r="G254" i="9"/>
  <c r="B156" i="9"/>
  <c r="C276" i="9"/>
  <c r="C67" i="9"/>
  <c r="F145" i="9"/>
  <c r="C177" i="9"/>
  <c r="C33" i="9"/>
  <c r="F120" i="9"/>
  <c r="D130" i="9"/>
  <c r="D41" i="9"/>
  <c r="G227" i="9"/>
  <c r="D240" i="9"/>
  <c r="D122" i="9"/>
  <c r="C46" i="9"/>
  <c r="G265" i="9"/>
  <c r="E253" i="9"/>
  <c r="G271" i="9"/>
  <c r="F244" i="9"/>
  <c r="H231" i="9"/>
  <c r="E103" i="9"/>
  <c r="F247" i="9"/>
  <c r="B183" i="9"/>
  <c r="B253" i="9"/>
  <c r="C24" i="9"/>
  <c r="E21" i="9"/>
  <c r="I265" i="9"/>
  <c r="E150" i="9"/>
  <c r="C232" i="9"/>
  <c r="D242" i="9"/>
  <c r="H184" i="9"/>
  <c r="H223" i="9"/>
  <c r="D239" i="9"/>
  <c r="F243" i="9"/>
  <c r="F253" i="9"/>
  <c r="G264" i="9"/>
  <c r="F270" i="9"/>
  <c r="I258" i="9"/>
  <c r="F98" i="9"/>
  <c r="H204" i="9"/>
  <c r="E242" i="9"/>
  <c r="H205" i="9"/>
  <c r="F107" i="9"/>
  <c r="H209" i="9"/>
  <c r="H239" i="9"/>
  <c r="B252" i="9"/>
  <c r="G216" i="9"/>
  <c r="H213" i="9"/>
  <c r="F123" i="9"/>
  <c r="H226" i="9"/>
  <c r="F24" i="9"/>
  <c r="E235" i="9"/>
  <c r="E163" i="9"/>
  <c r="D244" i="9"/>
  <c r="H212" i="9"/>
  <c r="H201" i="9"/>
  <c r="G240" i="9"/>
  <c r="I268" i="9"/>
  <c r="D183" i="9"/>
  <c r="I244" i="9"/>
  <c r="C182" i="9"/>
  <c r="G235" i="9"/>
  <c r="H189" i="9"/>
  <c r="F232" i="9"/>
  <c r="C274" i="9"/>
  <c r="I177" i="9"/>
  <c r="F133" i="9"/>
  <c r="H144" i="9"/>
  <c r="C258" i="9"/>
  <c r="E137" i="9"/>
  <c r="C187" i="9"/>
  <c r="I25" i="9"/>
  <c r="D257" i="9"/>
  <c r="E221" i="9"/>
  <c r="G223" i="9"/>
  <c r="I45" i="9"/>
  <c r="F198" i="9"/>
  <c r="B224" i="9"/>
  <c r="B84" i="9"/>
  <c r="E78" i="9"/>
  <c r="F160" i="9"/>
  <c r="C25" i="9"/>
  <c r="H210" i="9"/>
  <c r="C198" i="9"/>
  <c r="F164" i="9"/>
  <c r="G164" i="9"/>
  <c r="G233" i="9"/>
  <c r="B263" i="9"/>
  <c r="G53" i="9"/>
  <c r="B111" i="9"/>
  <c r="H88" i="9"/>
  <c r="I69" i="9"/>
  <c r="I91" i="9"/>
  <c r="H95" i="9"/>
  <c r="C140" i="9"/>
  <c r="H75" i="9"/>
  <c r="I159" i="9"/>
  <c r="G194" i="9"/>
  <c r="F271" i="9"/>
  <c r="C200" i="9"/>
  <c r="E191" i="9"/>
  <c r="F112" i="9"/>
  <c r="H116" i="9"/>
  <c r="C157" i="9"/>
  <c r="E93" i="9"/>
  <c r="B11" i="9"/>
  <c r="H174" i="9"/>
  <c r="E174" i="9"/>
  <c r="E87" i="9"/>
  <c r="F179" i="9"/>
  <c r="I236" i="9"/>
  <c r="E189" i="9"/>
  <c r="I192" i="9"/>
  <c r="H179" i="9"/>
  <c r="F236" i="9"/>
  <c r="C267" i="9"/>
  <c r="D219" i="9"/>
  <c r="C224" i="9"/>
  <c r="C233" i="9"/>
  <c r="F148" i="9"/>
  <c r="E160" i="9"/>
  <c r="E277" i="9"/>
  <c r="I224" i="9"/>
  <c r="D232" i="9"/>
  <c r="F147" i="9"/>
  <c r="E273" i="9"/>
  <c r="H192" i="9"/>
  <c r="E135" i="9"/>
  <c r="G214" i="9"/>
  <c r="G224" i="9"/>
  <c r="H277" i="9"/>
  <c r="H200" i="9"/>
  <c r="C71" i="9"/>
  <c r="C231" i="9"/>
  <c r="F250" i="9"/>
  <c r="D132" i="9"/>
  <c r="G29" i="9"/>
  <c r="E258" i="9"/>
  <c r="G166" i="9"/>
  <c r="I214" i="9"/>
  <c r="B235" i="9"/>
  <c r="E25" i="9"/>
  <c r="H234" i="9"/>
  <c r="F259" i="9"/>
  <c r="H156" i="9"/>
  <c r="I248" i="9"/>
  <c r="F224" i="9"/>
  <c r="E214" i="9"/>
  <c r="I228" i="9"/>
  <c r="E20" i="9"/>
  <c r="G191" i="9"/>
  <c r="H180" i="9"/>
  <c r="H228" i="9"/>
  <c r="H218" i="9"/>
  <c r="H254" i="9"/>
  <c r="G257" i="9"/>
  <c r="H230" i="9"/>
  <c r="G49" i="9"/>
  <c r="D241" i="9"/>
  <c r="G258" i="9"/>
  <c r="D268" i="9"/>
  <c r="G229" i="9"/>
  <c r="B119" i="9"/>
  <c r="H71" i="9"/>
  <c r="D154" i="9"/>
  <c r="I175" i="9"/>
  <c r="I136" i="9"/>
  <c r="B184" i="9"/>
  <c r="B212" i="9"/>
  <c r="C18" i="9"/>
  <c r="C82" i="9"/>
  <c r="G83" i="9"/>
  <c r="G262" i="9"/>
  <c r="G217" i="9"/>
  <c r="D200" i="9"/>
  <c r="E259" i="9"/>
  <c r="C148" i="9"/>
  <c r="C122" i="9"/>
  <c r="G218" i="9"/>
  <c r="F162" i="9"/>
  <c r="B217" i="9"/>
  <c r="C247" i="9"/>
  <c r="F175" i="9"/>
  <c r="B172" i="9"/>
  <c r="H191" i="9"/>
  <c r="B242" i="9"/>
  <c r="G204" i="9"/>
  <c r="G221" i="9"/>
  <c r="I237" i="9"/>
  <c r="I226" i="9"/>
  <c r="F177" i="9"/>
  <c r="H250" i="9"/>
  <c r="D224" i="9"/>
  <c r="D233" i="9"/>
  <c r="G263" i="9"/>
  <c r="G179" i="9"/>
  <c r="G259" i="9"/>
  <c r="E159" i="9"/>
  <c r="E183" i="9"/>
  <c r="G207" i="9"/>
  <c r="H65" i="9"/>
  <c r="C214" i="9"/>
  <c r="H186" i="9"/>
  <c r="H195" i="9"/>
  <c r="D21" i="9"/>
  <c r="I243" i="9"/>
  <c r="G31" i="9"/>
  <c r="E190" i="9"/>
  <c r="D252" i="9"/>
  <c r="H237" i="9"/>
  <c r="D198" i="9"/>
  <c r="F124" i="9"/>
  <c r="I251" i="9"/>
  <c r="F16" i="9"/>
  <c r="F275" i="9"/>
  <c r="G154" i="9"/>
  <c r="F137" i="9"/>
  <c r="I141" i="9"/>
  <c r="F262" i="9"/>
  <c r="F277" i="9"/>
  <c r="H243" i="9"/>
  <c r="G268" i="9"/>
  <c r="E185" i="9"/>
  <c r="I269" i="9"/>
  <c r="I193" i="9"/>
  <c r="G183" i="9"/>
  <c r="D16" i="9"/>
  <c r="D20" i="9" s="1"/>
  <c r="C190" i="9"/>
  <c r="F241" i="9"/>
  <c r="F251" i="9"/>
  <c r="C259" i="9"/>
  <c r="B140" i="9"/>
  <c r="I153" i="9"/>
  <c r="H217" i="9"/>
  <c r="B179" i="9"/>
  <c r="I246" i="9"/>
  <c r="D259" i="9"/>
  <c r="D206" i="9"/>
  <c r="E111" i="9"/>
  <c r="I261" i="9"/>
  <c r="H203" i="9"/>
  <c r="F155" i="9"/>
  <c r="I197" i="9"/>
  <c r="D272" i="9"/>
  <c r="B13" i="9"/>
  <c r="B78" i="9"/>
  <c r="B118" i="9"/>
  <c r="G102" i="9"/>
  <c r="F43" i="9"/>
  <c r="H74" i="9"/>
  <c r="I34" i="9"/>
  <c r="I165" i="9"/>
  <c r="B50" i="9"/>
  <c r="H100" i="9"/>
  <c r="E53" i="9"/>
  <c r="F248" i="9"/>
  <c r="G155" i="9"/>
  <c r="C154" i="9"/>
  <c r="I198" i="9"/>
  <c r="I101" i="9"/>
  <c r="H161" i="9"/>
  <c r="F233" i="9"/>
  <c r="B261" i="9"/>
  <c r="D221" i="9"/>
  <c r="F242" i="9"/>
  <c r="G143" i="9"/>
  <c r="C264" i="9"/>
  <c r="I185" i="9"/>
  <c r="H227" i="9"/>
  <c r="H235" i="9"/>
  <c r="F182" i="9"/>
  <c r="G256" i="9"/>
  <c r="G232" i="9"/>
  <c r="D229" i="9"/>
  <c r="E175" i="9"/>
  <c r="E184" i="9"/>
  <c r="H276" i="9"/>
  <c r="H214" i="9"/>
  <c r="H272" i="9"/>
  <c r="I233" i="9"/>
  <c r="E275" i="9"/>
  <c r="H263" i="9"/>
  <c r="F178" i="9"/>
  <c r="B264" i="9"/>
  <c r="E182" i="9"/>
  <c r="H270" i="9"/>
  <c r="H271" i="9"/>
  <c r="C16" i="9"/>
  <c r="F174" i="9"/>
  <c r="G132" i="9"/>
  <c r="B164" i="9"/>
  <c r="I266" i="9"/>
  <c r="G162" i="9"/>
  <c r="B177" i="9"/>
  <c r="D266" i="9"/>
  <c r="E227" i="9"/>
  <c r="I239" i="9"/>
  <c r="E154" i="9"/>
  <c r="G225" i="9"/>
  <c r="F116" i="9"/>
  <c r="D274" i="9"/>
  <c r="I189" i="9"/>
  <c r="I240" i="9"/>
  <c r="F161" i="9"/>
  <c r="I227" i="9"/>
  <c r="C273" i="9"/>
  <c r="D24" i="9"/>
  <c r="I256" i="9"/>
  <c r="D275" i="9"/>
  <c r="G255" i="9"/>
  <c r="G199" i="9"/>
  <c r="F17" i="9"/>
  <c r="F21" i="9" s="1"/>
  <c r="B22" i="9"/>
  <c r="B133" i="9"/>
  <c r="H42" i="9"/>
  <c r="B269" i="9"/>
  <c r="B143" i="9"/>
  <c r="F256" i="9"/>
  <c r="F273" i="9"/>
  <c r="D105" i="9"/>
  <c r="D182" i="9"/>
  <c r="C174" i="9"/>
  <c r="C143" i="9"/>
  <c r="E261" i="9"/>
  <c r="H155" i="9"/>
  <c r="F254" i="9"/>
  <c r="F226" i="9"/>
  <c r="G230" i="9"/>
  <c r="I21" i="9"/>
  <c r="G197" i="9"/>
  <c r="F25" i="9"/>
  <c r="D131" i="9"/>
  <c r="F215" i="9"/>
  <c r="B189" i="9"/>
  <c r="E193" i="9"/>
  <c r="C2" i="8"/>
  <c r="I235" i="9"/>
  <c r="E250" i="9"/>
  <c r="H221" i="9"/>
  <c r="I254" i="9"/>
  <c r="F194" i="9"/>
  <c r="F211" i="9"/>
  <c r="E147" i="9"/>
  <c r="I211" i="9"/>
  <c r="C185" i="9"/>
  <c r="F183" i="9"/>
  <c r="I205" i="9"/>
  <c r="D110" i="9"/>
  <c r="I230" i="9"/>
  <c r="F274" i="9"/>
  <c r="D161" i="9"/>
  <c r="I187" i="9"/>
  <c r="G226" i="9"/>
  <c r="H25" i="9"/>
  <c r="C136" i="9"/>
  <c r="G113" i="9"/>
  <c r="B178" i="9"/>
  <c r="G147" i="9"/>
  <c r="G74" i="9"/>
  <c r="D142" i="9"/>
  <c r="I105" i="9"/>
  <c r="C91" i="9"/>
  <c r="I49" i="9"/>
  <c r="C107" i="9"/>
  <c r="E126" i="9"/>
  <c r="G193" i="9"/>
  <c r="D47" i="9"/>
  <c r="C225" i="9"/>
  <c r="D93" i="9"/>
  <c r="C133" i="9"/>
  <c r="I207" i="9"/>
  <c r="D98" i="9"/>
  <c r="D234" i="9"/>
  <c r="E222" i="9"/>
  <c r="D109" i="9"/>
  <c r="C251" i="9"/>
  <c r="E68" i="9"/>
  <c r="E260" i="9"/>
  <c r="I259" i="9"/>
  <c r="I263" i="9"/>
  <c r="I250" i="9"/>
  <c r="H269" i="9"/>
  <c r="D248" i="9"/>
  <c r="H259" i="9"/>
  <c r="E267" i="9"/>
  <c r="E276" i="9"/>
  <c r="E223" i="9"/>
  <c r="I262" i="9"/>
  <c r="G21" i="9"/>
  <c r="D196" i="9"/>
  <c r="F234" i="9"/>
  <c r="G276" i="9"/>
  <c r="I196" i="9"/>
  <c r="D71" i="9"/>
  <c r="F208" i="9"/>
  <c r="D99" i="9"/>
  <c r="I247" i="9"/>
  <c r="F228" i="9"/>
  <c r="G272" i="9"/>
  <c r="F93" i="9"/>
  <c r="C161" i="9"/>
  <c r="H41" i="9"/>
  <c r="H196" i="9"/>
  <c r="I204" i="9"/>
  <c r="F200" i="9"/>
  <c r="H248" i="9"/>
  <c r="E265" i="9"/>
  <c r="I203" i="9"/>
  <c r="D159" i="9"/>
  <c r="G182" i="9"/>
  <c r="F268" i="9"/>
  <c r="H164" i="9"/>
  <c r="H188" i="9"/>
  <c r="H185" i="9"/>
  <c r="I41" i="9"/>
  <c r="G196" i="9"/>
  <c r="H193" i="9"/>
  <c r="D62" i="9"/>
  <c r="F210" i="9"/>
  <c r="E173" i="9"/>
  <c r="I277" i="9"/>
  <c r="F20" i="9"/>
  <c r="I140" i="9"/>
  <c r="F27" i="9"/>
  <c r="B42" i="9"/>
  <c r="B132" i="9"/>
  <c r="H40" i="9"/>
  <c r="D255" i="9"/>
  <c r="C119" i="9"/>
  <c r="B12" i="9"/>
  <c r="E69" i="9"/>
  <c r="F152" i="9"/>
  <c r="D225" i="9"/>
  <c r="F218" i="9"/>
  <c r="I231" i="9"/>
  <c r="G16" i="9"/>
  <c r="G20" i="9" s="1"/>
  <c r="C272" i="9"/>
  <c r="F235" i="9"/>
  <c r="F203" i="9"/>
  <c r="E118" i="9"/>
  <c r="F186" i="9"/>
  <c r="E88" i="9"/>
  <c r="E95" i="9"/>
  <c r="C269" i="9"/>
  <c r="F207" i="9"/>
  <c r="H211" i="9"/>
  <c r="I201" i="9"/>
  <c r="G249" i="9"/>
  <c r="E178" i="9"/>
  <c r="I272" i="9"/>
  <c r="F109" i="9"/>
  <c r="D97" i="9"/>
  <c r="E252" i="9"/>
  <c r="D189" i="9"/>
  <c r="C181" i="9"/>
  <c r="I229" i="9"/>
  <c r="D126" i="9"/>
  <c r="I195" i="9"/>
  <c r="C252" i="9"/>
  <c r="E86" i="9"/>
  <c r="H273" i="9"/>
  <c r="C242" i="9"/>
  <c r="I252" i="9"/>
  <c r="H123" i="9"/>
  <c r="H8" i="9"/>
  <c r="F11" i="9"/>
  <c r="E34" i="9"/>
  <c r="B48" i="9"/>
  <c r="E31" i="9"/>
  <c r="H114" i="9"/>
  <c r="H94" i="9"/>
  <c r="C210" i="9"/>
  <c r="I71" i="9"/>
  <c r="E102" i="9"/>
  <c r="E188" i="9"/>
  <c r="G201" i="9"/>
  <c r="G139" i="9"/>
  <c r="G219" i="9"/>
  <c r="H120" i="9"/>
  <c r="E213" i="9"/>
  <c r="C41" i="9"/>
  <c r="F166" i="9"/>
  <c r="D127" i="9"/>
  <c r="C241" i="9"/>
  <c r="E226" i="9"/>
  <c r="E274" i="9"/>
  <c r="G190" i="9"/>
  <c r="G251" i="9"/>
  <c r="E244" i="9"/>
  <c r="E257" i="9"/>
  <c r="G275" i="9"/>
  <c r="F190" i="9"/>
  <c r="E110" i="9"/>
  <c r="G189" i="9"/>
  <c r="G198" i="9"/>
  <c r="H244" i="9"/>
  <c r="H163" i="9"/>
  <c r="B105" i="9"/>
  <c r="C206" i="9"/>
  <c r="H165" i="9"/>
  <c r="I200" i="9"/>
  <c r="F99" i="9"/>
  <c r="C201" i="9"/>
  <c r="B200" i="9"/>
  <c r="F100" i="9"/>
  <c r="H206" i="9"/>
  <c r="I222" i="9"/>
  <c r="H16" i="9"/>
  <c r="H20" i="9" s="1"/>
  <c r="E82" i="9"/>
  <c r="E208" i="9"/>
  <c r="E246" i="9"/>
  <c r="E36" i="9"/>
  <c r="H252" i="9"/>
  <c r="E112" i="9"/>
  <c r="H181" i="9"/>
  <c r="I270" i="9"/>
  <c r="F185" i="9"/>
  <c r="E164" i="9"/>
  <c r="H160" i="9"/>
  <c r="E120" i="9"/>
  <c r="D243" i="9"/>
  <c r="G161" i="9"/>
  <c r="G195" i="9"/>
  <c r="C199" i="9"/>
  <c r="E225" i="9"/>
  <c r="G208" i="9"/>
  <c r="I182" i="9"/>
  <c r="G158" i="9"/>
  <c r="H257" i="9"/>
  <c r="H173" i="9"/>
  <c r="C20" i="9"/>
  <c r="E181" i="9"/>
  <c r="C275" i="9"/>
  <c r="E156" i="9"/>
  <c r="H240" i="9"/>
  <c r="I260" i="9"/>
  <c r="E218" i="9"/>
  <c r="F231" i="9"/>
  <c r="I76" i="9"/>
  <c r="I276" i="9"/>
  <c r="I16" i="9"/>
  <c r="I20" i="9" s="1"/>
  <c r="F191" i="9"/>
  <c r="E231" i="9"/>
  <c r="E243" i="9"/>
  <c r="D191" i="9"/>
  <c r="D256" i="9"/>
  <c r="E73" i="9"/>
  <c r="H159" i="9"/>
  <c r="D119" i="9"/>
  <c r="H172" i="9"/>
  <c r="G187" i="9"/>
  <c r="F125" i="9"/>
  <c r="I206" i="9"/>
  <c r="D140" i="9"/>
  <c r="G246" i="9"/>
  <c r="I210" i="9"/>
  <c r="B21" i="9"/>
  <c r="C21" i="9"/>
  <c r="D35" i="8" l="1"/>
  <c r="G23" i="8"/>
  <c r="F29" i="8"/>
  <c r="F28" i="8"/>
  <c r="G37" i="8"/>
  <c r="H28" i="8"/>
  <c r="G22" i="8"/>
  <c r="D36" i="8"/>
  <c r="H24" i="8"/>
  <c r="H27" i="8"/>
  <c r="H22" i="8"/>
  <c r="E22" i="8"/>
  <c r="F27" i="8"/>
  <c r="C24" i="8"/>
  <c r="C40" i="8"/>
  <c r="C26" i="8"/>
  <c r="G34" i="8"/>
  <c r="G27" i="8"/>
  <c r="D18" i="8"/>
  <c r="C29" i="8"/>
  <c r="E35" i="8"/>
  <c r="G36" i="8"/>
  <c r="E20" i="8"/>
  <c r="G28" i="8"/>
  <c r="D23" i="8"/>
  <c r="E40" i="8"/>
  <c r="E26" i="8"/>
  <c r="E17" i="8"/>
  <c r="C34" i="8"/>
  <c r="E36" i="8"/>
  <c r="D34" i="8"/>
  <c r="D16" i="8"/>
  <c r="C8" i="8"/>
  <c r="C9" i="8"/>
  <c r="C21" i="8"/>
  <c r="D28" i="8"/>
  <c r="D27" i="8"/>
  <c r="F40" i="8"/>
  <c r="F26" i="8"/>
  <c r="H40" i="8"/>
  <c r="H26" i="8"/>
  <c r="E25" i="8"/>
  <c r="G35" i="8"/>
  <c r="C25" i="8"/>
  <c r="D26" i="8"/>
  <c r="D40" i="8"/>
  <c r="F17" i="8"/>
  <c r="E29" i="8"/>
  <c r="G26" i="8"/>
  <c r="G40" i="8"/>
  <c r="E23" i="8"/>
  <c r="F39" i="8"/>
  <c r="E37" i="8"/>
  <c r="E21" i="8"/>
  <c r="E8" i="8"/>
  <c r="E9" i="8"/>
  <c r="D25" i="8"/>
  <c r="E39" i="8"/>
  <c r="E33" i="8"/>
  <c r="D33" i="8"/>
  <c r="F8" i="8"/>
  <c r="F21" i="8"/>
  <c r="F9" i="8"/>
  <c r="C33" i="8"/>
  <c r="D24" i="8"/>
  <c r="F16" i="8"/>
  <c r="G25" i="8"/>
  <c r="D17" i="8"/>
  <c r="F36" i="8"/>
  <c r="F33" i="8"/>
  <c r="E18" i="8"/>
  <c r="G16" i="8"/>
  <c r="H16" i="8"/>
  <c r="H38" i="8"/>
  <c r="E34" i="8"/>
  <c r="G39" i="8"/>
  <c r="D20" i="8"/>
  <c r="F34" i="8"/>
  <c r="F38" i="8"/>
  <c r="F20" i="8"/>
  <c r="H37" i="8"/>
  <c r="G18" i="8"/>
  <c r="H23" i="8"/>
  <c r="H39" i="8"/>
  <c r="C16" i="8"/>
  <c r="C18" i="8"/>
  <c r="H18" i="8"/>
  <c r="H17" i="8"/>
  <c r="C38" i="8"/>
  <c r="D37" i="8"/>
  <c r="F18" i="8"/>
  <c r="H29" i="8"/>
  <c r="C22" i="8"/>
  <c r="G33" i="8"/>
  <c r="D22" i="8"/>
  <c r="C20" i="8"/>
  <c r="F24" i="8"/>
  <c r="H20" i="8"/>
  <c r="F35" i="8"/>
  <c r="E16" i="8"/>
  <c r="C37" i="8"/>
  <c r="F23" i="8"/>
  <c r="H25" i="8"/>
  <c r="G20" i="8"/>
  <c r="F37" i="8"/>
  <c r="G24" i="8"/>
  <c r="H36" i="8"/>
  <c r="C36" i="8"/>
  <c r="C39" i="8"/>
  <c r="H21" i="8"/>
  <c r="H9" i="8"/>
  <c r="H8" i="8"/>
  <c r="C23" i="8"/>
  <c r="H33" i="8"/>
  <c r="C28" i="8"/>
  <c r="E24" i="8"/>
  <c r="E27" i="8"/>
  <c r="D21" i="8"/>
  <c r="D8" i="8"/>
  <c r="D9" i="8"/>
  <c r="D38" i="8"/>
  <c r="E28" i="8"/>
  <c r="G29" i="8"/>
  <c r="G9" i="8"/>
  <c r="G21" i="8"/>
  <c r="G8" i="8"/>
  <c r="D39" i="8"/>
  <c r="E38" i="8"/>
  <c r="H35" i="8"/>
  <c r="C35" i="8"/>
  <c r="C27" i="8"/>
  <c r="C31" i="8" s="1"/>
  <c r="C17" i="8"/>
  <c r="D29" i="8"/>
  <c r="F22" i="8"/>
  <c r="G17" i="8"/>
  <c r="G38" i="8"/>
  <c r="F25" i="8"/>
  <c r="H34" i="8"/>
  <c r="B20" i="9"/>
  <c r="C30" i="8" l="1"/>
  <c r="H30" i="8"/>
  <c r="D10" i="8"/>
  <c r="F10" i="8"/>
  <c r="E10" i="8"/>
  <c r="G30" i="8"/>
  <c r="G32" i="8"/>
  <c r="G19" i="8"/>
  <c r="H31" i="8" s="1"/>
  <c r="H19" i="8"/>
  <c r="H32" i="8"/>
  <c r="D19" i="8"/>
  <c r="E31" i="8" s="1"/>
  <c r="D32" i="8"/>
  <c r="D6" i="8"/>
  <c r="D5" i="8"/>
  <c r="G7" i="8"/>
  <c r="G13" i="8"/>
  <c r="E13" i="8"/>
  <c r="E7" i="8"/>
  <c r="C32" i="8"/>
  <c r="C19" i="8"/>
  <c r="D31" i="8" s="1"/>
  <c r="C10" i="8"/>
  <c r="H6" i="8"/>
  <c r="H5" i="8"/>
  <c r="H7" i="8"/>
  <c r="H13" i="8"/>
  <c r="H10" i="8"/>
  <c r="F19" i="8"/>
  <c r="G31" i="8" s="1"/>
  <c r="F32" i="8"/>
  <c r="E30" i="8"/>
  <c r="F5" i="8"/>
  <c r="F6" i="8"/>
  <c r="E32" i="8"/>
  <c r="E19" i="8"/>
  <c r="F31" i="8" s="1"/>
  <c r="C5" i="8"/>
  <c r="C6" i="8"/>
  <c r="F13" i="8"/>
  <c r="F7" i="8"/>
  <c r="G10" i="8"/>
  <c r="E6" i="8"/>
  <c r="E5" i="8"/>
  <c r="G6" i="8"/>
  <c r="G5" i="8"/>
  <c r="C13" i="8"/>
  <c r="C7" i="8"/>
  <c r="F30" i="8"/>
  <c r="D7" i="8"/>
  <c r="D13" i="8"/>
  <c r="D30" i="8"/>
  <c r="G15" i="8" l="1"/>
  <c r="G14" i="8"/>
  <c r="E14" i="8"/>
  <c r="E15" i="8"/>
  <c r="F14" i="8"/>
  <c r="F15" i="8"/>
  <c r="D12" i="8"/>
  <c r="D4" i="8"/>
  <c r="D11" i="8"/>
  <c r="H15" i="8"/>
  <c r="H14" i="8"/>
  <c r="D15" i="8"/>
  <c r="D14" i="8"/>
  <c r="E4" i="8"/>
  <c r="E11" i="8"/>
  <c r="H12" i="8"/>
  <c r="H4" i="8"/>
  <c r="H11" i="8"/>
  <c r="F12" i="8"/>
  <c r="F4" i="8"/>
  <c r="F11" i="8"/>
  <c r="C15" i="8"/>
  <c r="C14" i="8"/>
  <c r="C12" i="8"/>
  <c r="C4" i="8"/>
  <c r="C11" i="8"/>
  <c r="E12" i="8"/>
  <c r="G12" i="8"/>
  <c r="G4" i="8"/>
  <c r="G11" i="8"/>
</calcChain>
</file>

<file path=xl/comments1.xml><?xml version="1.0" encoding="utf-8"?>
<comments xmlns="http://schemas.openxmlformats.org/spreadsheetml/2006/main">
  <authors>
    <author>作者</author>
  </authors>
  <commentList>
    <comment ref="A3" authorId="0" shapeId="0">
      <text>
        <r>
          <rPr>
            <b/>
            <sz val="9"/>
            <color indexed="81"/>
            <rFont val="宋体"/>
            <family val="3"/>
            <charset val="134"/>
          </rPr>
          <t>报表类型：主营构成(中国)</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报表类型：财务报表(中国,新准则)</t>
        </r>
      </text>
    </comment>
  </commentList>
</comments>
</file>

<file path=xl/comments3.xml><?xml version="1.0" encoding="utf-8"?>
<comments xmlns="http://schemas.openxmlformats.org/spreadsheetml/2006/main">
  <authors>
    <author>作者</author>
  </authors>
  <commentList>
    <comment ref="B4" authorId="0" shapeId="0">
      <text>
        <r>
          <rPr>
            <b/>
            <sz val="9"/>
            <color indexed="81"/>
            <rFont val="宋体"/>
            <family val="3"/>
            <charset val="134"/>
          </rPr>
          <t>作者:</t>
        </r>
        <r>
          <rPr>
            <sz val="9"/>
            <color indexed="81"/>
            <rFont val="宋体"/>
            <family val="3"/>
            <charset val="134"/>
          </rPr>
          <t xml:space="preserve">
资本结构（全部债务资本化率）
总债务=短期债务+长期债务（下一页标绿的）</t>
        </r>
      </text>
    </comment>
    <comment ref="B5" authorId="0" shapeId="0">
      <text>
        <r>
          <rPr>
            <b/>
            <sz val="9"/>
            <color indexed="81"/>
            <rFont val="宋体"/>
            <family val="3"/>
            <charset val="134"/>
          </rPr>
          <t>作者:</t>
        </r>
        <r>
          <rPr>
            <sz val="9"/>
            <color indexed="81"/>
            <rFont val="宋体"/>
            <family val="3"/>
            <charset val="134"/>
          </rPr>
          <t xml:space="preserve">
盈利能力
比较接近销售净利率的一个指标，分母比净利润多加所得税＋利息＋折旧＋摊销</t>
        </r>
      </text>
    </comment>
    <comment ref="B6" authorId="0" shapeId="0">
      <text>
        <r>
          <rPr>
            <b/>
            <sz val="9"/>
            <color indexed="81"/>
            <rFont val="宋体"/>
            <family val="3"/>
            <charset val="134"/>
          </rPr>
          <t>作者:</t>
        </r>
        <r>
          <rPr>
            <sz val="9"/>
            <color indexed="81"/>
            <rFont val="宋体"/>
            <family val="3"/>
            <charset val="134"/>
          </rPr>
          <t xml:space="preserve">
流动性压力</t>
        </r>
      </text>
    </comment>
    <comment ref="B9" authorId="0" shapeId="0">
      <text>
        <r>
          <rPr>
            <b/>
            <sz val="9"/>
            <color indexed="81"/>
            <rFont val="宋体"/>
            <family val="3"/>
            <charset val="134"/>
          </rPr>
          <t>作者:</t>
        </r>
        <r>
          <rPr>
            <sz val="9"/>
            <color indexed="81"/>
            <rFont val="宋体"/>
            <family val="3"/>
            <charset val="134"/>
          </rPr>
          <t xml:space="preserve">
相比流动比例就是把存货去掉了</t>
        </r>
      </text>
    </comment>
    <comment ref="B12" authorId="0" shapeId="0">
      <text>
        <r>
          <rPr>
            <b/>
            <sz val="9"/>
            <color indexed="81"/>
            <rFont val="宋体"/>
            <family val="3"/>
            <charset val="134"/>
          </rPr>
          <t>作者:</t>
        </r>
        <r>
          <rPr>
            <sz val="9"/>
            <color indexed="81"/>
            <rFont val="宋体"/>
            <family val="3"/>
            <charset val="134"/>
          </rPr>
          <t xml:space="preserve">
长期偿债能力</t>
        </r>
      </text>
    </comment>
    <comment ref="B13" authorId="0" shapeId="0">
      <text>
        <r>
          <rPr>
            <b/>
            <sz val="9"/>
            <color indexed="81"/>
            <rFont val="宋体"/>
            <family val="3"/>
            <charset val="134"/>
          </rPr>
          <t>作者:</t>
        </r>
        <r>
          <rPr>
            <sz val="9"/>
            <color indexed="81"/>
            <rFont val="宋体"/>
            <family val="3"/>
            <charset val="134"/>
          </rPr>
          <t xml:space="preserve">
经营性现金流</t>
        </r>
      </text>
    </comment>
    <comment ref="B14" authorId="0" shapeId="0">
      <text>
        <r>
          <rPr>
            <b/>
            <sz val="9"/>
            <color indexed="81"/>
            <rFont val="宋体"/>
            <family val="3"/>
            <charset val="134"/>
          </rPr>
          <t>作者:</t>
        </r>
        <r>
          <rPr>
            <sz val="9"/>
            <color indexed="81"/>
            <rFont val="宋体"/>
            <family val="3"/>
            <charset val="134"/>
          </rPr>
          <t xml:space="preserve">
净利润</t>
        </r>
        <r>
          <rPr>
            <sz val="9"/>
            <color indexed="81"/>
            <rFont val="Tahoma"/>
            <family val="2"/>
          </rPr>
          <t>+</t>
        </r>
        <r>
          <rPr>
            <sz val="9"/>
            <color indexed="81"/>
            <rFont val="宋体"/>
            <family val="3"/>
            <charset val="134"/>
          </rPr>
          <t>折旧</t>
        </r>
        <r>
          <rPr>
            <sz val="9"/>
            <color indexed="81"/>
            <rFont val="Tahoma"/>
            <family val="2"/>
          </rPr>
          <t>+</t>
        </r>
        <r>
          <rPr>
            <sz val="9"/>
            <color indexed="81"/>
            <rFont val="宋体"/>
            <family val="3"/>
            <charset val="134"/>
          </rPr>
          <t>摊销</t>
        </r>
        <r>
          <rPr>
            <sz val="9"/>
            <color indexed="81"/>
            <rFont val="Tahoma"/>
            <family val="2"/>
          </rPr>
          <t>+</t>
        </r>
        <r>
          <rPr>
            <sz val="9"/>
            <color indexed="81"/>
            <rFont val="宋体"/>
            <family val="3"/>
            <charset val="134"/>
          </rPr>
          <t>延期支付的税金及其他非付现费用</t>
        </r>
        <r>
          <rPr>
            <sz val="9"/>
            <color indexed="81"/>
            <rFont val="Tahoma"/>
            <family val="2"/>
          </rPr>
          <t>=CFO-</t>
        </r>
        <r>
          <rPr>
            <sz val="9"/>
            <color indexed="81"/>
            <rFont val="宋体"/>
            <family val="3"/>
            <charset val="134"/>
          </rPr>
          <t>营运资本的增减变化</t>
        </r>
      </text>
    </comment>
    <comment ref="B15" authorId="0" shapeId="0">
      <text>
        <r>
          <rPr>
            <b/>
            <sz val="9"/>
            <color indexed="81"/>
            <rFont val="Tahoma"/>
            <family val="2"/>
          </rPr>
          <t>作者:</t>
        </r>
        <r>
          <rPr>
            <sz val="9"/>
            <color indexed="81"/>
            <rFont val="Tahoma"/>
            <family val="2"/>
          </rPr>
          <t xml:space="preserve">
FCF=CFO-</t>
        </r>
        <r>
          <rPr>
            <sz val="9"/>
            <color indexed="81"/>
            <rFont val="宋体"/>
            <family val="3"/>
            <charset val="134"/>
          </rPr>
          <t>资本支出</t>
        </r>
      </text>
    </comment>
    <comment ref="B16" authorId="0" shapeId="0">
      <text>
        <r>
          <rPr>
            <b/>
            <sz val="9"/>
            <color indexed="81"/>
            <rFont val="宋体"/>
            <family val="3"/>
            <charset val="134"/>
          </rPr>
          <t>作者:</t>
        </r>
        <r>
          <rPr>
            <sz val="9"/>
            <color indexed="81"/>
            <rFont val="宋体"/>
            <family val="3"/>
            <charset val="134"/>
          </rPr>
          <t xml:space="preserve">
现金类资产=货币资金+交易性金融资产+应收票据</t>
        </r>
      </text>
    </comment>
    <comment ref="B17" authorId="0" shapeId="0">
      <text>
        <r>
          <rPr>
            <b/>
            <sz val="9"/>
            <color indexed="81"/>
            <rFont val="宋体"/>
            <family val="3"/>
            <charset val="134"/>
          </rPr>
          <t>作者:</t>
        </r>
        <r>
          <rPr>
            <sz val="9"/>
            <color indexed="81"/>
            <rFont val="宋体"/>
            <family val="3"/>
            <charset val="134"/>
          </rPr>
          <t xml:space="preserve">
短期债务</t>
        </r>
        <r>
          <rPr>
            <sz val="9"/>
            <color indexed="81"/>
            <rFont val="Tahoma"/>
            <family val="2"/>
          </rPr>
          <t>=</t>
        </r>
        <r>
          <rPr>
            <sz val="9"/>
            <color indexed="81"/>
            <rFont val="宋体"/>
            <family val="3"/>
            <charset val="134"/>
          </rPr>
          <t>短期借款</t>
        </r>
        <r>
          <rPr>
            <sz val="9"/>
            <color indexed="81"/>
            <rFont val="Tahoma"/>
            <family val="2"/>
          </rPr>
          <t>+</t>
        </r>
        <r>
          <rPr>
            <sz val="9"/>
            <color indexed="81"/>
            <rFont val="宋体"/>
            <family val="3"/>
            <charset val="134"/>
          </rPr>
          <t>交易性金融负债</t>
        </r>
        <r>
          <rPr>
            <sz val="9"/>
            <color indexed="81"/>
            <rFont val="Tahoma"/>
            <family val="2"/>
          </rPr>
          <t>+</t>
        </r>
        <r>
          <rPr>
            <sz val="9"/>
            <color indexed="81"/>
            <rFont val="宋体"/>
            <family val="3"/>
            <charset val="134"/>
          </rPr>
          <t>应付票据</t>
        </r>
        <r>
          <rPr>
            <sz val="9"/>
            <color indexed="81"/>
            <rFont val="Tahoma"/>
            <family val="2"/>
          </rPr>
          <t>+</t>
        </r>
        <r>
          <rPr>
            <sz val="9"/>
            <color indexed="81"/>
            <rFont val="宋体"/>
            <family val="3"/>
            <charset val="134"/>
          </rPr>
          <t>一年内到期的非流动负债</t>
        </r>
      </text>
    </comment>
    <comment ref="B18" authorId="0" shapeId="0">
      <text>
        <r>
          <rPr>
            <b/>
            <sz val="9"/>
            <color indexed="81"/>
            <rFont val="宋体"/>
            <family val="3"/>
            <charset val="134"/>
          </rPr>
          <t>作者:</t>
        </r>
        <r>
          <rPr>
            <sz val="9"/>
            <color indexed="81"/>
            <rFont val="宋体"/>
            <family val="3"/>
            <charset val="134"/>
          </rPr>
          <t xml:space="preserve">
长期债务</t>
        </r>
        <r>
          <rPr>
            <sz val="9"/>
            <color indexed="81"/>
            <rFont val="Tahoma"/>
            <family val="2"/>
          </rPr>
          <t>=</t>
        </r>
        <r>
          <rPr>
            <sz val="9"/>
            <color indexed="81"/>
            <rFont val="宋体"/>
            <family val="3"/>
            <charset val="134"/>
          </rPr>
          <t>长期借款</t>
        </r>
        <r>
          <rPr>
            <sz val="9"/>
            <color indexed="81"/>
            <rFont val="Tahoma"/>
            <family val="2"/>
          </rPr>
          <t>+</t>
        </r>
        <r>
          <rPr>
            <sz val="9"/>
            <color indexed="81"/>
            <rFont val="宋体"/>
            <family val="3"/>
            <charset val="134"/>
          </rPr>
          <t>应付债券</t>
        </r>
        <r>
          <rPr>
            <sz val="9"/>
            <color indexed="81"/>
            <rFont val="Tahoma"/>
            <family val="2"/>
          </rPr>
          <t>+</t>
        </r>
        <r>
          <rPr>
            <sz val="9"/>
            <color indexed="81"/>
            <rFont val="宋体"/>
            <family val="3"/>
            <charset val="134"/>
          </rPr>
          <t xml:space="preserve">长期应付款
</t>
        </r>
      </text>
    </comment>
    <comment ref="B19" authorId="0" shapeId="0">
      <text>
        <r>
          <rPr>
            <b/>
            <sz val="9"/>
            <color indexed="81"/>
            <rFont val="宋体"/>
            <family val="3"/>
            <charset val="134"/>
          </rPr>
          <t>作者:</t>
        </r>
        <r>
          <rPr>
            <sz val="9"/>
            <color indexed="81"/>
            <rFont val="宋体"/>
            <family val="3"/>
            <charset val="134"/>
          </rPr>
          <t xml:space="preserve">
总债务</t>
        </r>
        <r>
          <rPr>
            <sz val="9"/>
            <color indexed="81"/>
            <rFont val="Tahoma"/>
            <family val="2"/>
          </rPr>
          <t>=</t>
        </r>
        <r>
          <rPr>
            <sz val="9"/>
            <color indexed="81"/>
            <rFont val="宋体"/>
            <family val="3"/>
            <charset val="134"/>
          </rPr>
          <t>短期债务</t>
        </r>
        <r>
          <rPr>
            <sz val="9"/>
            <color indexed="81"/>
            <rFont val="Tahoma"/>
            <family val="2"/>
          </rPr>
          <t>+</t>
        </r>
        <r>
          <rPr>
            <sz val="9"/>
            <color indexed="81"/>
            <rFont val="宋体"/>
            <family val="3"/>
            <charset val="134"/>
          </rPr>
          <t>长期债务</t>
        </r>
      </text>
    </comment>
    <comment ref="B21" authorId="0" shape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流动资产</t>
        </r>
        <r>
          <rPr>
            <sz val="9"/>
            <color indexed="81"/>
            <rFont val="Tahoma"/>
            <family val="2"/>
          </rPr>
          <t>-</t>
        </r>
        <r>
          <rPr>
            <sz val="9"/>
            <color indexed="81"/>
            <rFont val="宋体"/>
            <family val="3"/>
            <charset val="134"/>
          </rPr>
          <t>流动负债，剔除货币资金变动的影响（可能是注资导致的，也可能是负债导致的，需优化）</t>
        </r>
      </text>
    </comment>
    <comment ref="B22" authorId="0" shapeId="0">
      <text>
        <r>
          <rPr>
            <b/>
            <sz val="9"/>
            <color indexed="81"/>
            <rFont val="宋体"/>
            <family val="3"/>
            <charset val="134"/>
          </rPr>
          <t>作者</t>
        </r>
        <r>
          <rPr>
            <b/>
            <sz val="9"/>
            <color indexed="81"/>
            <rFont val="Tahoma"/>
            <family val="2"/>
          </rPr>
          <t>:</t>
        </r>
        <r>
          <rPr>
            <sz val="9"/>
            <color indexed="81"/>
            <rFont val="Tahoma"/>
            <family val="2"/>
          </rPr>
          <t xml:space="preserve">
=  </t>
        </r>
        <r>
          <rPr>
            <sz val="9"/>
            <color indexed="81"/>
            <rFont val="宋体"/>
            <family val="3"/>
            <charset val="134"/>
          </rPr>
          <t>购建固定资产、无形资产和其他长期资产支付的现金</t>
        </r>
        <r>
          <rPr>
            <sz val="9"/>
            <color indexed="81"/>
            <rFont val="Tahoma"/>
            <family val="2"/>
          </rPr>
          <t>+</t>
        </r>
        <r>
          <rPr>
            <sz val="9"/>
            <color indexed="81"/>
            <rFont val="宋体"/>
            <family val="3"/>
            <charset val="134"/>
          </rPr>
          <t>投资支付的现金（理财资金干扰太大，删除）</t>
        </r>
      </text>
    </comment>
    <comment ref="B25" authorId="0" shapeId="0">
      <text>
        <r>
          <rPr>
            <b/>
            <sz val="9"/>
            <color indexed="81"/>
            <rFont val="宋体"/>
            <family val="3"/>
            <charset val="134"/>
          </rPr>
          <t>作者:</t>
        </r>
        <r>
          <rPr>
            <sz val="9"/>
            <color indexed="81"/>
            <rFont val="宋体"/>
            <family val="3"/>
            <charset val="134"/>
          </rPr>
          <t xml:space="preserve">
营业总收入</t>
        </r>
      </text>
    </comment>
    <comment ref="B26" authorId="0" shapeId="0">
      <text>
        <r>
          <rPr>
            <b/>
            <sz val="9"/>
            <color indexed="81"/>
            <rFont val="Tahoma"/>
            <family val="2"/>
          </rPr>
          <t>作者:</t>
        </r>
        <r>
          <rPr>
            <sz val="9"/>
            <color indexed="81"/>
            <rFont val="Tahoma"/>
            <family val="2"/>
          </rPr>
          <t xml:space="preserve">
EBITDA=</t>
        </r>
        <r>
          <rPr>
            <sz val="9"/>
            <color indexed="81"/>
            <rFont val="宋体"/>
            <family val="3"/>
            <charset val="134"/>
          </rPr>
          <t>利润总额</t>
        </r>
        <r>
          <rPr>
            <sz val="9"/>
            <color indexed="81"/>
            <rFont val="Tahoma"/>
            <family val="2"/>
          </rPr>
          <t>+</t>
        </r>
        <r>
          <rPr>
            <sz val="9"/>
            <color indexed="81"/>
            <rFont val="宋体"/>
            <family val="3"/>
            <charset val="134"/>
          </rPr>
          <t>计入财务费用的利息支出（以财务费用替代）</t>
        </r>
        <r>
          <rPr>
            <sz val="9"/>
            <color indexed="81"/>
            <rFont val="Tahoma"/>
            <family val="2"/>
          </rPr>
          <t>+</t>
        </r>
        <r>
          <rPr>
            <sz val="9"/>
            <color indexed="81"/>
            <rFont val="宋体"/>
            <family val="3"/>
            <charset val="134"/>
          </rPr>
          <t>折旧</t>
        </r>
        <r>
          <rPr>
            <sz val="9"/>
            <color indexed="81"/>
            <rFont val="Tahoma"/>
            <family val="2"/>
          </rPr>
          <t>+</t>
        </r>
        <r>
          <rPr>
            <sz val="9"/>
            <color indexed="81"/>
            <rFont val="宋体"/>
            <family val="3"/>
            <charset val="134"/>
          </rPr>
          <t>无形资产摊销</t>
        </r>
        <r>
          <rPr>
            <sz val="9"/>
            <color indexed="81"/>
            <rFont val="Tahoma"/>
            <family val="2"/>
          </rPr>
          <t>+</t>
        </r>
        <r>
          <rPr>
            <sz val="9"/>
            <color indexed="81"/>
            <rFont val="宋体"/>
            <family val="3"/>
            <charset val="134"/>
          </rPr>
          <t>长期待摊费用摊销</t>
        </r>
      </text>
    </comment>
    <comment ref="B27" authorId="0" shapeId="0">
      <text>
        <r>
          <rPr>
            <b/>
            <sz val="9"/>
            <color indexed="81"/>
            <rFont val="宋体"/>
            <family val="3"/>
            <charset val="134"/>
          </rPr>
          <t>作者:</t>
        </r>
        <r>
          <rPr>
            <sz val="9"/>
            <color indexed="81"/>
            <rFont val="宋体"/>
            <family val="3"/>
            <charset val="134"/>
          </rPr>
          <t xml:space="preserve">
利息支出</t>
        </r>
        <r>
          <rPr>
            <sz val="9"/>
            <color indexed="81"/>
            <rFont val="Tahoma"/>
            <family val="2"/>
          </rPr>
          <t>=</t>
        </r>
        <r>
          <rPr>
            <sz val="9"/>
            <color indexed="81"/>
            <rFont val="宋体"/>
            <family val="3"/>
            <charset val="134"/>
          </rPr>
          <t>计入财务费用的利息支出</t>
        </r>
        <r>
          <rPr>
            <sz val="9"/>
            <color indexed="81"/>
            <rFont val="Tahoma"/>
            <family val="2"/>
          </rPr>
          <t>+</t>
        </r>
        <r>
          <rPr>
            <sz val="9"/>
            <color indexed="81"/>
            <rFont val="宋体"/>
            <family val="3"/>
            <charset val="134"/>
          </rPr>
          <t>资本化利息支出</t>
        </r>
        <r>
          <rPr>
            <sz val="9"/>
            <color indexed="81"/>
            <rFont val="Tahoma"/>
            <family val="2"/>
          </rPr>
          <t>=</t>
        </r>
        <r>
          <rPr>
            <sz val="9"/>
            <color indexed="81"/>
            <rFont val="宋体"/>
            <family val="3"/>
            <charset val="134"/>
          </rPr>
          <t>分配股利、利润或偿付利息支付的现金</t>
        </r>
        <r>
          <rPr>
            <sz val="9"/>
            <color indexed="81"/>
            <rFont val="Tahoma"/>
            <family val="2"/>
          </rPr>
          <t>-</t>
        </r>
        <r>
          <rPr>
            <sz val="9"/>
            <color indexed="81"/>
            <rFont val="宋体"/>
            <family val="3"/>
            <charset val="134"/>
          </rPr>
          <t>其中：子公司支付给少数股东的股利、利润</t>
        </r>
      </text>
    </comment>
    <comment ref="B32" authorId="0" shapeId="0">
      <text>
        <r>
          <rPr>
            <b/>
            <sz val="9"/>
            <color indexed="81"/>
            <rFont val="宋体"/>
            <family val="3"/>
            <charset val="134"/>
          </rPr>
          <t>作者:</t>
        </r>
        <r>
          <rPr>
            <sz val="9"/>
            <color indexed="81"/>
            <rFont val="宋体"/>
            <family val="3"/>
            <charset val="134"/>
          </rPr>
          <t xml:space="preserve">
短期/长期，比例越大短期偿债压力越大
</t>
        </r>
      </text>
    </comment>
  </commentList>
</comments>
</file>

<file path=xl/comments4.xml><?xml version="1.0" encoding="utf-8"?>
<comments xmlns="http://schemas.openxmlformats.org/spreadsheetml/2006/main">
  <authors>
    <author>作者</author>
  </authors>
  <commentList>
    <comment ref="B1" authorId="0" shapeId="0">
      <text>
        <r>
          <rPr>
            <b/>
            <sz val="9"/>
            <color indexed="81"/>
            <rFont val="宋体"/>
            <family val="3"/>
            <charset val="134"/>
          </rPr>
          <t>作者:</t>
        </r>
        <r>
          <rPr>
            <sz val="9"/>
            <color indexed="81"/>
            <rFont val="宋体"/>
            <family val="3"/>
            <charset val="134"/>
          </rPr>
          <t xml:space="preserve">
输入代码</t>
        </r>
      </text>
    </comment>
    <comment ref="A6" authorId="0" shapeId="0">
      <text>
        <r>
          <rPr>
            <b/>
            <sz val="9"/>
            <color indexed="81"/>
            <rFont val="Tahoma"/>
            <family val="2"/>
          </rPr>
          <t>报表类型：财务报表(中国大陆,新准则)
企业类型：一般企业</t>
        </r>
      </text>
    </comment>
    <comment ref="A57" authorId="0" shapeId="0">
      <text>
        <r>
          <rPr>
            <b/>
            <sz val="9"/>
            <color indexed="81"/>
            <rFont val="Tahoma"/>
            <family val="2"/>
          </rPr>
          <t>报表类型：财务报表(中国大陆,新准则)
企业类型：一般企业</t>
        </r>
      </text>
    </comment>
    <comment ref="A170" authorId="0" shapeId="0">
      <text>
        <r>
          <rPr>
            <b/>
            <sz val="9"/>
            <color indexed="81"/>
            <rFont val="Tahoma"/>
            <family val="2"/>
          </rPr>
          <t>报表类型：财务报表(中国大陆,新准则)
企业类型：一般企业</t>
        </r>
      </text>
    </comment>
  </commentList>
</comments>
</file>

<file path=xl/sharedStrings.xml><?xml version="1.0" encoding="utf-8"?>
<sst xmlns="http://schemas.openxmlformats.org/spreadsheetml/2006/main" count="587" uniqueCount="486">
  <si>
    <t>转债代码</t>
    <phoneticPr fontId="1" type="noConversion"/>
  </si>
  <si>
    <t>正股代码</t>
    <phoneticPr fontId="1" type="noConversion"/>
  </si>
  <si>
    <t>转债简称</t>
    <phoneticPr fontId="1" type="noConversion"/>
  </si>
  <si>
    <t>113601.SH</t>
    <phoneticPr fontId="1" type="noConversion"/>
  </si>
  <si>
    <t>正股简称</t>
    <phoneticPr fontId="1" type="noConversion"/>
  </si>
  <si>
    <t>正股名称</t>
    <phoneticPr fontId="1" type="noConversion"/>
  </si>
  <si>
    <t>主营产品类型</t>
    <phoneticPr fontId="1" type="noConversion"/>
  </si>
  <si>
    <t>申万行业</t>
    <phoneticPr fontId="1" type="noConversion"/>
  </si>
  <si>
    <t>实际控制人</t>
    <phoneticPr fontId="1" type="noConversion"/>
  </si>
  <si>
    <t>第一大股东</t>
    <phoneticPr fontId="1" type="noConversion"/>
  </si>
  <si>
    <t>第一大股东持股比例</t>
    <phoneticPr fontId="1" type="noConversion"/>
  </si>
  <si>
    <t>董事长</t>
    <phoneticPr fontId="1" type="noConversion"/>
  </si>
  <si>
    <t>总经理</t>
    <phoneticPr fontId="1" type="noConversion"/>
  </si>
  <si>
    <t>实际控制人属性</t>
    <phoneticPr fontId="1" type="noConversion"/>
  </si>
  <si>
    <t>第二大股东持股比例</t>
    <phoneticPr fontId="1" type="noConversion"/>
  </si>
  <si>
    <t>第一大股东累计质押占持股比例</t>
    <phoneticPr fontId="1" type="noConversion"/>
  </si>
  <si>
    <t>第二大股东累计质押占持股比例</t>
    <phoneticPr fontId="1" type="noConversion"/>
  </si>
  <si>
    <t>第三大股东</t>
    <phoneticPr fontId="1" type="noConversion"/>
  </si>
  <si>
    <t>第三大股东持股比例</t>
    <phoneticPr fontId="1" type="noConversion"/>
  </si>
  <si>
    <t>第三大股东累计质押占持股比例</t>
    <phoneticPr fontId="1" type="noConversion"/>
  </si>
  <si>
    <t>第二大股东</t>
    <phoneticPr fontId="1" type="noConversion"/>
  </si>
  <si>
    <t>实控人持股比例</t>
    <phoneticPr fontId="1" type="noConversion"/>
  </si>
  <si>
    <t>实控人累计质押占持股比例</t>
    <phoneticPr fontId="1" type="noConversion"/>
  </si>
  <si>
    <t>？</t>
    <phoneticPr fontId="1" type="noConversion"/>
  </si>
  <si>
    <t>？</t>
    <phoneticPr fontId="1" type="noConversion"/>
  </si>
  <si>
    <t>指定日之后最近一次解禁日期</t>
    <phoneticPr fontId="1" type="noConversion"/>
  </si>
  <si>
    <t>指定日之后最近一次解禁数据类型</t>
  </si>
  <si>
    <t>指定日之后最近一次解禁股份性质</t>
  </si>
  <si>
    <t>指定日之后最近一次解禁数量占流动股比例</t>
    <phoneticPr fontId="1" type="noConversion"/>
  </si>
  <si>
    <t>信用等级</t>
    <phoneticPr fontId="1" type="noConversion"/>
  </si>
  <si>
    <t>转债上市日期</t>
    <phoneticPr fontId="1" type="noConversion"/>
  </si>
  <si>
    <t>自愿转股起始时间</t>
    <phoneticPr fontId="1" type="noConversion"/>
  </si>
  <si>
    <t>条件回售起始时间</t>
    <phoneticPr fontId="1" type="noConversion"/>
  </si>
  <si>
    <t>发行期限</t>
    <phoneticPr fontId="1" type="noConversion"/>
  </si>
  <si>
    <t>上市天数</t>
    <phoneticPr fontId="1" type="noConversion"/>
  </si>
  <si>
    <t>正股价格</t>
    <phoneticPr fontId="1" type="noConversion"/>
  </si>
  <si>
    <t>正股年化波动率</t>
    <phoneticPr fontId="1" type="noConversion"/>
  </si>
  <si>
    <t>转股价格</t>
    <phoneticPr fontId="1" type="noConversion"/>
  </si>
  <si>
    <t>赎回触发比率</t>
    <phoneticPr fontId="1" type="noConversion"/>
  </si>
  <si>
    <t>赎回触发计算时间区间</t>
  </si>
  <si>
    <t>赎回触发计算最大时间区间</t>
  </si>
  <si>
    <t>回售触发比率</t>
    <phoneticPr fontId="1" type="noConversion"/>
  </si>
  <si>
    <t>回售触发计算时间区间</t>
    <phoneticPr fontId="1" type="noConversion"/>
  </si>
  <si>
    <t>回售触发计算最大时间区间</t>
    <phoneticPr fontId="1" type="noConversion"/>
  </si>
  <si>
    <t>回售条款</t>
    <phoneticPr fontId="1" type="noConversion"/>
  </si>
  <si>
    <t>利率条款</t>
    <phoneticPr fontId="1" type="noConversion"/>
  </si>
  <si>
    <t>利率补偿条款</t>
    <phoneticPr fontId="1" type="noConversion"/>
  </si>
  <si>
    <t>转债余额</t>
    <phoneticPr fontId="1" type="noConversion"/>
  </si>
  <si>
    <t>稀释比率</t>
    <phoneticPr fontId="1" type="noConversion"/>
  </si>
  <si>
    <r>
      <rPr>
        <sz val="9"/>
        <rFont val="宋体"/>
        <family val="2"/>
        <charset val="134"/>
      </rPr>
      <t>证券代码</t>
    </r>
  </si>
  <si>
    <r>
      <rPr>
        <sz val="9"/>
        <rFont val="宋体"/>
        <family val="2"/>
        <charset val="134"/>
      </rPr>
      <t>证券简称</t>
    </r>
  </si>
  <si>
    <t>指标名称</t>
    <phoneticPr fontId="9" type="noConversion"/>
  </si>
  <si>
    <r>
      <rPr>
        <sz val="9"/>
        <rFont val="宋体"/>
        <family val="2"/>
        <charset val="134"/>
      </rPr>
      <t>报告参数</t>
    </r>
  </si>
  <si>
    <t>资本结构</t>
    <phoneticPr fontId="9" type="noConversion"/>
  </si>
  <si>
    <t>总债务/(总债务+所有者权益）</t>
    <phoneticPr fontId="9" type="noConversion"/>
  </si>
  <si>
    <t>盈利能力</t>
    <phoneticPr fontId="9" type="noConversion"/>
  </si>
  <si>
    <t>EBITDA/营业收入</t>
    <phoneticPr fontId="9" type="noConversion"/>
  </si>
  <si>
    <t>流动性</t>
    <phoneticPr fontId="9" type="noConversion"/>
  </si>
  <si>
    <t>EBITDA/利息支出（x）</t>
    <phoneticPr fontId="9" type="noConversion"/>
  </si>
  <si>
    <t>经营性净现金流/流动负债</t>
    <phoneticPr fontId="9" type="noConversion"/>
  </si>
  <si>
    <t>流动比例</t>
    <phoneticPr fontId="9" type="noConversion"/>
  </si>
  <si>
    <t>速动比例</t>
    <phoneticPr fontId="9" type="noConversion"/>
  </si>
  <si>
    <t>现金比率</t>
    <phoneticPr fontId="9" type="noConversion"/>
  </si>
  <si>
    <t>偿债能力</t>
    <phoneticPr fontId="9" type="noConversion"/>
  </si>
  <si>
    <t>货币资金/有息负债</t>
    <phoneticPr fontId="9" type="noConversion"/>
  </si>
  <si>
    <t>EBITDA/总债务（x）</t>
    <phoneticPr fontId="9" type="noConversion"/>
  </si>
  <si>
    <t>现金流</t>
    <phoneticPr fontId="9" type="noConversion"/>
  </si>
  <si>
    <t>CFO(亿元）</t>
    <phoneticPr fontId="9" type="noConversion"/>
  </si>
  <si>
    <t>FFO(亿元）</t>
    <phoneticPr fontId="9" type="noConversion"/>
  </si>
  <si>
    <t>FCF(亿元）</t>
    <phoneticPr fontId="9" type="noConversion"/>
  </si>
  <si>
    <t>财务数据</t>
    <phoneticPr fontId="9" type="noConversion"/>
  </si>
  <si>
    <t>现金类资产</t>
    <phoneticPr fontId="9" type="noConversion"/>
  </si>
  <si>
    <t>短期债务</t>
    <phoneticPr fontId="9" type="noConversion"/>
  </si>
  <si>
    <t>长期债务</t>
    <phoneticPr fontId="9" type="noConversion"/>
  </si>
  <si>
    <t>总债务</t>
    <phoneticPr fontId="9" type="noConversion"/>
  </si>
  <si>
    <t>流动负债</t>
    <phoneticPr fontId="9" type="noConversion"/>
  </si>
  <si>
    <t>营运资本增减变动</t>
    <phoneticPr fontId="9" type="noConversion"/>
  </si>
  <si>
    <t>资本支出</t>
    <phoneticPr fontId="9" type="noConversion"/>
  </si>
  <si>
    <t>所有者权益</t>
    <phoneticPr fontId="9" type="noConversion"/>
  </si>
  <si>
    <t>资产总计</t>
    <phoneticPr fontId="9" type="noConversion"/>
  </si>
  <si>
    <t>营业收入</t>
    <phoneticPr fontId="9" type="noConversion"/>
  </si>
  <si>
    <t>EBITDA</t>
    <phoneticPr fontId="9" type="noConversion"/>
  </si>
  <si>
    <t>利息支出</t>
    <phoneticPr fontId="9" type="noConversion"/>
  </si>
  <si>
    <t>经营性净现金流</t>
    <phoneticPr fontId="9" type="noConversion"/>
  </si>
  <si>
    <t>投资性净现金流</t>
    <phoneticPr fontId="9" type="noConversion"/>
  </si>
  <si>
    <t>资产负债率</t>
    <phoneticPr fontId="9" type="noConversion"/>
  </si>
  <si>
    <t>债务融资成本（估）</t>
    <phoneticPr fontId="9" type="noConversion"/>
  </si>
  <si>
    <t>长短期债务比</t>
    <phoneticPr fontId="9" type="noConversion"/>
  </si>
  <si>
    <t>（应收账款+应收票据）/主营业务收入</t>
    <phoneticPr fontId="9" type="noConversion"/>
  </si>
  <si>
    <t>预付账款/营业成本</t>
    <phoneticPr fontId="9" type="noConversion"/>
  </si>
  <si>
    <t>（应付账款+应付票据）/营业成本</t>
    <phoneticPr fontId="9" type="noConversion"/>
  </si>
  <si>
    <t>（固定资产+在建工程）/总资产</t>
    <phoneticPr fontId="9" type="noConversion"/>
  </si>
  <si>
    <t>（营业收入-销售商品、提供劳务收到的现金）/总资产</t>
    <phoneticPr fontId="9" type="noConversion"/>
  </si>
  <si>
    <t>管理费用/收入</t>
    <phoneticPr fontId="9" type="noConversion"/>
  </si>
  <si>
    <t>财务费用/收入</t>
    <phoneticPr fontId="9" type="noConversion"/>
  </si>
  <si>
    <t>销售费用/收入</t>
    <phoneticPr fontId="9" type="noConversion"/>
  </si>
  <si>
    <r>
      <rPr>
        <sz val="9"/>
        <color theme="1"/>
        <rFont val="宋体"/>
        <family val="2"/>
        <charset val="134"/>
      </rPr>
      <t>证券代码</t>
    </r>
  </si>
  <si>
    <r>
      <rPr>
        <sz val="9"/>
        <color theme="1"/>
        <rFont val="宋体"/>
        <family val="2"/>
        <charset val="134"/>
      </rPr>
      <t>证券简称</t>
    </r>
  </si>
  <si>
    <r>
      <rPr>
        <sz val="9"/>
        <color theme="1"/>
        <rFont val="宋体"/>
        <family val="2"/>
        <charset val="134"/>
      </rPr>
      <t>报告参数</t>
    </r>
  </si>
  <si>
    <r>
      <rPr>
        <sz val="9"/>
        <color theme="1"/>
        <rFont val="宋体"/>
        <family val="2"/>
        <charset val="134"/>
      </rPr>
      <t>报表类型</t>
    </r>
  </si>
  <si>
    <r>
      <rPr>
        <sz val="9"/>
        <color theme="1"/>
        <rFont val="宋体"/>
        <family val="2"/>
        <charset val="134"/>
      </rPr>
      <t>合并报表</t>
    </r>
  </si>
  <si>
    <r>
      <rPr>
        <sz val="9"/>
        <color theme="1"/>
        <rFont val="宋体"/>
        <family val="2"/>
        <charset val="134"/>
      </rPr>
      <t>利润表</t>
    </r>
    <r>
      <rPr>
        <sz val="9"/>
        <color theme="1"/>
        <rFont val="Arial"/>
        <family val="2"/>
      </rPr>
      <t>(</t>
    </r>
    <r>
      <rPr>
        <sz val="9"/>
        <color theme="1"/>
        <rFont val="宋体"/>
        <family val="2"/>
        <charset val="134"/>
      </rPr>
      <t>原始货币</t>
    </r>
    <r>
      <rPr>
        <sz val="9"/>
        <color theme="1"/>
        <rFont val="Arial"/>
        <family val="2"/>
      </rPr>
      <t xml:space="preserve">, </t>
    </r>
    <r>
      <rPr>
        <sz val="9"/>
        <color theme="1"/>
        <rFont val="宋体"/>
        <family val="2"/>
        <charset val="134"/>
      </rPr>
      <t>亿元</t>
    </r>
    <r>
      <rPr>
        <sz val="9"/>
        <color theme="1"/>
        <rFont val="Arial"/>
        <family val="2"/>
      </rPr>
      <t>)</t>
    </r>
  </si>
  <si>
    <r>
      <rPr>
        <b/>
        <sz val="9"/>
        <color rgb="FFFF0000"/>
        <rFont val="宋体"/>
        <family val="2"/>
        <charset val="134"/>
      </rPr>
      <t>一、营业总收入</t>
    </r>
  </si>
  <si>
    <r>
      <t xml:space="preserve">        </t>
    </r>
    <r>
      <rPr>
        <sz val="9"/>
        <color theme="1"/>
        <rFont val="宋体"/>
        <family val="2"/>
        <charset val="134"/>
      </rPr>
      <t>营业收入</t>
    </r>
  </si>
  <si>
    <r>
      <t xml:space="preserve">        </t>
    </r>
    <r>
      <rPr>
        <sz val="9"/>
        <color theme="1"/>
        <rFont val="宋体"/>
        <family val="2"/>
        <charset val="134"/>
      </rPr>
      <t>利息收入</t>
    </r>
  </si>
  <si>
    <r>
      <t xml:space="preserve">        </t>
    </r>
    <r>
      <rPr>
        <sz val="9"/>
        <color theme="1"/>
        <rFont val="宋体"/>
        <family val="2"/>
        <charset val="134"/>
      </rPr>
      <t>已赚保费</t>
    </r>
  </si>
  <si>
    <r>
      <t xml:space="preserve">        </t>
    </r>
    <r>
      <rPr>
        <sz val="9"/>
        <color theme="1"/>
        <rFont val="宋体"/>
        <family val="2"/>
        <charset val="134"/>
      </rPr>
      <t>手续费及佣金收入</t>
    </r>
  </si>
  <si>
    <r>
      <rPr>
        <b/>
        <sz val="9"/>
        <color theme="1"/>
        <rFont val="宋体"/>
        <family val="2"/>
        <charset val="134"/>
      </rPr>
      <t>二、营业总成本</t>
    </r>
  </si>
  <si>
    <r>
      <t xml:space="preserve">        </t>
    </r>
    <r>
      <rPr>
        <sz val="9"/>
        <color theme="1"/>
        <rFont val="宋体"/>
        <family val="2"/>
        <charset val="134"/>
      </rPr>
      <t>营业成本</t>
    </r>
  </si>
  <si>
    <r>
      <t xml:space="preserve">        </t>
    </r>
    <r>
      <rPr>
        <sz val="9"/>
        <color theme="1"/>
        <rFont val="宋体"/>
        <family val="2"/>
        <charset val="134"/>
      </rPr>
      <t>利息支出</t>
    </r>
  </si>
  <si>
    <r>
      <t xml:space="preserve">        </t>
    </r>
    <r>
      <rPr>
        <sz val="9"/>
        <color theme="1"/>
        <rFont val="宋体"/>
        <family val="2"/>
        <charset val="134"/>
      </rPr>
      <t>手续费及佣金支出</t>
    </r>
  </si>
  <si>
    <r>
      <t xml:space="preserve">        </t>
    </r>
    <r>
      <rPr>
        <sz val="9"/>
        <color theme="1"/>
        <rFont val="宋体"/>
        <family val="2"/>
        <charset val="134"/>
      </rPr>
      <t>退保金</t>
    </r>
  </si>
  <si>
    <r>
      <t xml:space="preserve">        </t>
    </r>
    <r>
      <rPr>
        <sz val="9"/>
        <color theme="1"/>
        <rFont val="宋体"/>
        <family val="2"/>
        <charset val="134"/>
      </rPr>
      <t>赔付支出净额</t>
    </r>
  </si>
  <si>
    <r>
      <t xml:space="preserve">        </t>
    </r>
    <r>
      <rPr>
        <sz val="9"/>
        <color theme="1"/>
        <rFont val="宋体"/>
        <family val="2"/>
        <charset val="134"/>
      </rPr>
      <t>提取保险合同准备金净额</t>
    </r>
  </si>
  <si>
    <r>
      <t xml:space="preserve">        </t>
    </r>
    <r>
      <rPr>
        <sz val="9"/>
        <color theme="1"/>
        <rFont val="宋体"/>
        <family val="2"/>
        <charset val="134"/>
      </rPr>
      <t>保单红利支出</t>
    </r>
  </si>
  <si>
    <r>
      <t xml:space="preserve">        </t>
    </r>
    <r>
      <rPr>
        <sz val="9"/>
        <color theme="1"/>
        <rFont val="宋体"/>
        <family val="2"/>
        <charset val="134"/>
      </rPr>
      <t>分保费用</t>
    </r>
  </si>
  <si>
    <r>
      <t xml:space="preserve">        </t>
    </r>
    <r>
      <rPr>
        <sz val="9"/>
        <color theme="1"/>
        <rFont val="宋体"/>
        <family val="2"/>
        <charset val="134"/>
      </rPr>
      <t>营业税金及附加</t>
    </r>
  </si>
  <si>
    <r>
      <t xml:space="preserve">        </t>
    </r>
    <r>
      <rPr>
        <sz val="9"/>
        <color theme="1"/>
        <rFont val="宋体"/>
        <family val="2"/>
        <charset val="134"/>
      </rPr>
      <t>销售费用</t>
    </r>
  </si>
  <si>
    <r>
      <t xml:space="preserve">        </t>
    </r>
    <r>
      <rPr>
        <sz val="9"/>
        <color theme="1"/>
        <rFont val="宋体"/>
        <family val="2"/>
        <charset val="134"/>
      </rPr>
      <t>管理费用</t>
    </r>
  </si>
  <si>
    <r>
      <t xml:space="preserve">        </t>
    </r>
    <r>
      <rPr>
        <sz val="9"/>
        <color rgb="FFFF0000"/>
        <rFont val="宋体"/>
        <family val="2"/>
        <charset val="134"/>
      </rPr>
      <t>财务费用</t>
    </r>
  </si>
  <si>
    <r>
      <t xml:space="preserve">        </t>
    </r>
    <r>
      <rPr>
        <sz val="9"/>
        <color theme="1"/>
        <rFont val="宋体"/>
        <family val="2"/>
        <charset val="134"/>
      </rPr>
      <t>资产减值损失</t>
    </r>
  </si>
  <si>
    <r>
      <rPr>
        <b/>
        <sz val="9"/>
        <color theme="1"/>
        <rFont val="宋体"/>
        <family val="2"/>
        <charset val="134"/>
      </rPr>
      <t>三、其他经营收益</t>
    </r>
  </si>
  <si>
    <r>
      <t xml:space="preserve">        </t>
    </r>
    <r>
      <rPr>
        <sz val="9"/>
        <color theme="1"/>
        <rFont val="宋体"/>
        <family val="2"/>
        <charset val="134"/>
      </rPr>
      <t>公允价值变动净收益</t>
    </r>
  </si>
  <si>
    <r>
      <t xml:space="preserve">        </t>
    </r>
    <r>
      <rPr>
        <sz val="9"/>
        <color theme="1"/>
        <rFont val="宋体"/>
        <family val="2"/>
        <charset val="134"/>
      </rPr>
      <t>投资净收益</t>
    </r>
  </si>
  <si>
    <r>
      <t xml:space="preserve">        </t>
    </r>
    <r>
      <rPr>
        <sz val="9"/>
        <color theme="1"/>
        <rFont val="宋体"/>
        <family val="2"/>
        <charset val="134"/>
      </rPr>
      <t>其中：对联营企业和合营企业的投资收益</t>
    </r>
  </si>
  <si>
    <r>
      <t xml:space="preserve">        </t>
    </r>
    <r>
      <rPr>
        <sz val="9"/>
        <color theme="1"/>
        <rFont val="宋体"/>
        <family val="2"/>
        <charset val="134"/>
      </rPr>
      <t>汇兑净收益</t>
    </r>
  </si>
  <si>
    <r>
      <t xml:space="preserve">        </t>
    </r>
    <r>
      <rPr>
        <sz val="9"/>
        <color theme="1"/>
        <rFont val="宋体"/>
        <family val="2"/>
        <charset val="134"/>
      </rPr>
      <t>加：营业利润差额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</si>
  <si>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加：营业利润差额</t>
    </r>
    <r>
      <rPr>
        <sz val="9"/>
        <color theme="1"/>
        <rFont val="Arial"/>
        <family val="2"/>
      </rPr>
      <t>(</t>
    </r>
    <r>
      <rPr>
        <sz val="9"/>
        <color theme="1"/>
        <rFont val="宋体"/>
        <family val="2"/>
        <charset val="134"/>
      </rPr>
      <t>合计平衡项目</t>
    </r>
    <r>
      <rPr>
        <sz val="9"/>
        <color theme="1"/>
        <rFont val="Arial"/>
        <family val="2"/>
      </rPr>
      <t>)</t>
    </r>
  </si>
  <si>
    <r>
      <rPr>
        <b/>
        <sz val="9"/>
        <color theme="1"/>
        <rFont val="宋体"/>
        <family val="2"/>
        <charset val="134"/>
      </rPr>
      <t>四、营业利润</t>
    </r>
  </si>
  <si>
    <r>
      <t xml:space="preserve">        </t>
    </r>
    <r>
      <rPr>
        <sz val="9"/>
        <color theme="1"/>
        <rFont val="宋体"/>
        <family val="2"/>
        <charset val="134"/>
      </rPr>
      <t>加：营业外收入</t>
    </r>
  </si>
  <si>
    <r>
      <t xml:space="preserve">        </t>
    </r>
    <r>
      <rPr>
        <sz val="9"/>
        <color theme="1"/>
        <rFont val="宋体"/>
        <family val="2"/>
        <charset val="134"/>
      </rPr>
      <t>减：营业外支出</t>
    </r>
  </si>
  <si>
    <r>
      <t xml:space="preserve">        </t>
    </r>
    <r>
      <rPr>
        <sz val="9"/>
        <color theme="1"/>
        <rFont val="宋体"/>
        <family val="2"/>
        <charset val="134"/>
      </rPr>
      <t>其中：非流动资产处置净损失</t>
    </r>
  </si>
  <si>
    <r>
      <t xml:space="preserve">        </t>
    </r>
    <r>
      <rPr>
        <sz val="9"/>
        <color theme="1"/>
        <rFont val="宋体"/>
        <family val="2"/>
        <charset val="134"/>
      </rPr>
      <t>加：利润总额差额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</si>
  <si>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加：利润总额差额</t>
    </r>
    <r>
      <rPr>
        <sz val="9"/>
        <color theme="1"/>
        <rFont val="Arial"/>
        <family val="2"/>
      </rPr>
      <t>(</t>
    </r>
    <r>
      <rPr>
        <sz val="9"/>
        <color theme="1"/>
        <rFont val="宋体"/>
        <family val="2"/>
        <charset val="134"/>
      </rPr>
      <t>合计平衡项目</t>
    </r>
    <r>
      <rPr>
        <sz val="9"/>
        <color theme="1"/>
        <rFont val="Arial"/>
        <family val="2"/>
      </rPr>
      <t>)</t>
    </r>
  </si>
  <si>
    <r>
      <rPr>
        <b/>
        <sz val="9"/>
        <color rgb="FFFF0000"/>
        <rFont val="宋体"/>
        <family val="2"/>
        <charset val="134"/>
      </rPr>
      <t>五、利润总额</t>
    </r>
  </si>
  <si>
    <r>
      <t xml:space="preserve">        </t>
    </r>
    <r>
      <rPr>
        <sz val="9"/>
        <color theme="1"/>
        <rFont val="宋体"/>
        <family val="2"/>
        <charset val="134"/>
      </rPr>
      <t>减：所得税</t>
    </r>
  </si>
  <si>
    <r>
      <t xml:space="preserve">        </t>
    </r>
    <r>
      <rPr>
        <sz val="9"/>
        <color theme="1"/>
        <rFont val="宋体"/>
        <family val="2"/>
        <charset val="134"/>
      </rPr>
      <t>加：未确认的投资损失</t>
    </r>
  </si>
  <si>
    <r>
      <t xml:space="preserve">        </t>
    </r>
    <r>
      <rPr>
        <sz val="9"/>
        <color theme="1"/>
        <rFont val="宋体"/>
        <family val="2"/>
        <charset val="134"/>
      </rPr>
      <t>加：净利润差额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</si>
  <si>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加：净利润差额</t>
    </r>
    <r>
      <rPr>
        <sz val="9"/>
        <color theme="1"/>
        <rFont val="Arial"/>
        <family val="2"/>
      </rPr>
      <t>(</t>
    </r>
    <r>
      <rPr>
        <sz val="9"/>
        <color theme="1"/>
        <rFont val="宋体"/>
        <family val="2"/>
        <charset val="134"/>
      </rPr>
      <t>合计平衡项目</t>
    </r>
    <r>
      <rPr>
        <sz val="9"/>
        <color theme="1"/>
        <rFont val="Arial"/>
        <family val="2"/>
      </rPr>
      <t>)</t>
    </r>
  </si>
  <si>
    <r>
      <rPr>
        <b/>
        <sz val="9"/>
        <color theme="1"/>
        <rFont val="宋体"/>
        <family val="2"/>
        <charset val="134"/>
      </rPr>
      <t>六、净利润</t>
    </r>
  </si>
  <si>
    <r>
      <t xml:space="preserve">        </t>
    </r>
    <r>
      <rPr>
        <sz val="9"/>
        <color theme="1"/>
        <rFont val="宋体"/>
        <family val="2"/>
        <charset val="134"/>
      </rPr>
      <t>减：少数股东损益</t>
    </r>
  </si>
  <si>
    <r>
      <t xml:space="preserve">        </t>
    </r>
    <r>
      <rPr>
        <b/>
        <sz val="9"/>
        <color theme="1"/>
        <rFont val="宋体"/>
        <family val="2"/>
        <charset val="134"/>
      </rPr>
      <t>归属于母公司所有者的净利润</t>
    </r>
  </si>
  <si>
    <r>
      <t xml:space="preserve">        </t>
    </r>
    <r>
      <rPr>
        <sz val="9"/>
        <color theme="1"/>
        <rFont val="宋体"/>
        <family val="2"/>
        <charset val="134"/>
      </rPr>
      <t>加：其他综合收益</t>
    </r>
  </si>
  <si>
    <r>
      <rPr>
        <b/>
        <sz val="9"/>
        <color theme="1"/>
        <rFont val="宋体"/>
        <family val="2"/>
        <charset val="134"/>
      </rPr>
      <t>七、综合收益总额</t>
    </r>
  </si>
  <si>
    <r>
      <t xml:space="preserve">        </t>
    </r>
    <r>
      <rPr>
        <sz val="9"/>
        <color theme="1"/>
        <rFont val="宋体"/>
        <family val="2"/>
        <charset val="134"/>
      </rPr>
      <t>减：归属于少数股东的综合收益总额</t>
    </r>
  </si>
  <si>
    <r>
      <t xml:space="preserve">        </t>
    </r>
    <r>
      <rPr>
        <sz val="9"/>
        <color theme="1"/>
        <rFont val="宋体"/>
        <family val="2"/>
        <charset val="134"/>
      </rPr>
      <t>归属于母公司普通股东综合收益总额</t>
    </r>
  </si>
  <si>
    <r>
      <rPr>
        <b/>
        <sz val="9"/>
        <color theme="1"/>
        <rFont val="宋体"/>
        <family val="2"/>
        <charset val="134"/>
      </rPr>
      <t>八、每股收益：</t>
    </r>
  </si>
  <si>
    <r>
      <t xml:space="preserve">        (</t>
    </r>
    <r>
      <rPr>
        <sz val="9"/>
        <color theme="1"/>
        <rFont val="宋体"/>
        <family val="2"/>
        <charset val="134"/>
      </rPr>
      <t>一</t>
    </r>
    <r>
      <rPr>
        <sz val="9"/>
        <color theme="1"/>
        <rFont val="Arial"/>
        <family val="2"/>
      </rPr>
      <t xml:space="preserve">) </t>
    </r>
    <r>
      <rPr>
        <sz val="9"/>
        <color theme="1"/>
        <rFont val="宋体"/>
        <family val="2"/>
        <charset val="134"/>
      </rPr>
      <t>基本每股收益</t>
    </r>
    <r>
      <rPr>
        <sz val="9"/>
        <color theme="1"/>
        <rFont val="Arial"/>
        <family val="2"/>
      </rPr>
      <t>(</t>
    </r>
    <r>
      <rPr>
        <sz val="9"/>
        <color theme="1"/>
        <rFont val="宋体"/>
        <family val="2"/>
        <charset val="134"/>
      </rPr>
      <t>元</t>
    </r>
    <r>
      <rPr>
        <sz val="9"/>
        <color theme="1"/>
        <rFont val="Arial"/>
        <family val="2"/>
      </rPr>
      <t>)</t>
    </r>
  </si>
  <si>
    <r>
      <t xml:space="preserve">        (</t>
    </r>
    <r>
      <rPr>
        <sz val="9"/>
        <color theme="1"/>
        <rFont val="宋体"/>
        <family val="2"/>
        <charset val="134"/>
      </rPr>
      <t>二</t>
    </r>
    <r>
      <rPr>
        <sz val="9"/>
        <color theme="1"/>
        <rFont val="Arial"/>
        <family val="2"/>
      </rPr>
      <t xml:space="preserve">) </t>
    </r>
    <r>
      <rPr>
        <sz val="9"/>
        <color theme="1"/>
        <rFont val="宋体"/>
        <family val="2"/>
        <charset val="134"/>
      </rPr>
      <t>稀释每股收益</t>
    </r>
    <r>
      <rPr>
        <sz val="9"/>
        <color theme="1"/>
        <rFont val="Arial"/>
        <family val="2"/>
      </rPr>
      <t>(</t>
    </r>
    <r>
      <rPr>
        <sz val="9"/>
        <color theme="1"/>
        <rFont val="宋体"/>
        <family val="2"/>
        <charset val="134"/>
      </rPr>
      <t>元</t>
    </r>
    <r>
      <rPr>
        <sz val="9"/>
        <color theme="1"/>
        <rFont val="Arial"/>
        <family val="2"/>
      </rPr>
      <t>)</t>
    </r>
  </si>
  <si>
    <r>
      <rPr>
        <sz val="9"/>
        <color theme="1"/>
        <rFont val="宋体"/>
        <family val="2"/>
        <charset val="134"/>
      </rPr>
      <t>资产负债表</t>
    </r>
    <r>
      <rPr>
        <sz val="9"/>
        <color theme="1"/>
        <rFont val="Arial"/>
        <family val="2"/>
      </rPr>
      <t>(</t>
    </r>
    <r>
      <rPr>
        <sz val="9"/>
        <color theme="1"/>
        <rFont val="宋体"/>
        <family val="2"/>
        <charset val="134"/>
      </rPr>
      <t>原始货币</t>
    </r>
    <r>
      <rPr>
        <sz val="9"/>
        <color theme="1"/>
        <rFont val="Arial"/>
        <family val="2"/>
      </rPr>
      <t xml:space="preserve">, </t>
    </r>
    <r>
      <rPr>
        <sz val="9"/>
        <color theme="1"/>
        <rFont val="宋体"/>
        <family val="2"/>
        <charset val="134"/>
      </rPr>
      <t>亿元</t>
    </r>
    <r>
      <rPr>
        <sz val="9"/>
        <color theme="1"/>
        <rFont val="Arial"/>
        <family val="2"/>
      </rPr>
      <t>)</t>
    </r>
  </si>
  <si>
    <r>
      <rPr>
        <b/>
        <sz val="9"/>
        <color theme="1"/>
        <rFont val="宋体"/>
        <family val="2"/>
        <charset val="134"/>
      </rPr>
      <t>流动资产：</t>
    </r>
  </si>
  <si>
    <r>
      <t xml:space="preserve">        </t>
    </r>
    <r>
      <rPr>
        <sz val="9"/>
        <color theme="1"/>
        <rFont val="宋体"/>
        <family val="2"/>
        <charset val="134"/>
      </rPr>
      <t>货币资金</t>
    </r>
  </si>
  <si>
    <r>
      <t xml:space="preserve">        </t>
    </r>
    <r>
      <rPr>
        <sz val="9"/>
        <color theme="1"/>
        <rFont val="宋体"/>
        <family val="2"/>
        <charset val="134"/>
      </rPr>
      <t>结算备付金</t>
    </r>
  </si>
  <si>
    <r>
      <t xml:space="preserve">        </t>
    </r>
    <r>
      <rPr>
        <sz val="9"/>
        <color theme="1"/>
        <rFont val="宋体"/>
        <family val="2"/>
        <charset val="134"/>
      </rPr>
      <t>拆出资金</t>
    </r>
  </si>
  <si>
    <r>
      <t xml:space="preserve">        </t>
    </r>
    <r>
      <rPr>
        <sz val="9"/>
        <color theme="1"/>
        <rFont val="宋体"/>
        <family val="2"/>
        <charset val="134"/>
      </rPr>
      <t>交易性金融资产</t>
    </r>
  </si>
  <si>
    <r>
      <t xml:space="preserve">        </t>
    </r>
    <r>
      <rPr>
        <sz val="9"/>
        <color theme="1"/>
        <rFont val="宋体"/>
        <family val="2"/>
        <charset val="134"/>
      </rPr>
      <t>应收票据</t>
    </r>
  </si>
  <si>
    <r>
      <t xml:space="preserve">        </t>
    </r>
    <r>
      <rPr>
        <sz val="9"/>
        <color theme="1"/>
        <rFont val="宋体"/>
        <family val="2"/>
        <charset val="134"/>
      </rPr>
      <t>应收账款</t>
    </r>
  </si>
  <si>
    <r>
      <t xml:space="preserve">        </t>
    </r>
    <r>
      <rPr>
        <sz val="9"/>
        <color theme="1"/>
        <rFont val="宋体"/>
        <family val="2"/>
        <charset val="134"/>
      </rPr>
      <t>预付款项</t>
    </r>
  </si>
  <si>
    <r>
      <t xml:space="preserve">        </t>
    </r>
    <r>
      <rPr>
        <sz val="9"/>
        <color theme="1"/>
        <rFont val="宋体"/>
        <family val="2"/>
        <charset val="134"/>
      </rPr>
      <t>应收保费</t>
    </r>
  </si>
  <si>
    <r>
      <t xml:space="preserve">        </t>
    </r>
    <r>
      <rPr>
        <sz val="9"/>
        <color theme="1"/>
        <rFont val="宋体"/>
        <family val="2"/>
        <charset val="134"/>
      </rPr>
      <t>应收分保账款</t>
    </r>
  </si>
  <si>
    <r>
      <t xml:space="preserve">        </t>
    </r>
    <r>
      <rPr>
        <sz val="9"/>
        <color theme="1"/>
        <rFont val="宋体"/>
        <family val="2"/>
        <charset val="134"/>
      </rPr>
      <t>应收分保合同准备金</t>
    </r>
  </si>
  <si>
    <r>
      <t xml:space="preserve">        </t>
    </r>
    <r>
      <rPr>
        <sz val="9"/>
        <color theme="1"/>
        <rFont val="宋体"/>
        <family val="2"/>
        <charset val="134"/>
      </rPr>
      <t>应收利息</t>
    </r>
  </si>
  <si>
    <r>
      <t xml:space="preserve">        </t>
    </r>
    <r>
      <rPr>
        <sz val="9"/>
        <color theme="1"/>
        <rFont val="宋体"/>
        <family val="2"/>
        <charset val="134"/>
      </rPr>
      <t>其他应收款</t>
    </r>
  </si>
  <si>
    <r>
      <t xml:space="preserve">        </t>
    </r>
    <r>
      <rPr>
        <sz val="9"/>
        <color theme="1"/>
        <rFont val="宋体"/>
        <family val="2"/>
        <charset val="134"/>
      </rPr>
      <t>应收股利</t>
    </r>
  </si>
  <si>
    <r>
      <t xml:space="preserve">        </t>
    </r>
    <r>
      <rPr>
        <sz val="9"/>
        <color theme="1"/>
        <rFont val="宋体"/>
        <family val="2"/>
        <charset val="134"/>
      </rPr>
      <t>买入返售金融资产</t>
    </r>
  </si>
  <si>
    <r>
      <t xml:space="preserve">        </t>
    </r>
    <r>
      <rPr>
        <sz val="9"/>
        <color theme="1"/>
        <rFont val="宋体"/>
        <family val="2"/>
        <charset val="134"/>
      </rPr>
      <t>存货</t>
    </r>
  </si>
  <si>
    <r>
      <t xml:space="preserve">        </t>
    </r>
    <r>
      <rPr>
        <sz val="9"/>
        <color theme="1"/>
        <rFont val="宋体"/>
        <family val="2"/>
        <charset val="134"/>
      </rPr>
      <t>其中：消耗性生物资产</t>
    </r>
  </si>
  <si>
    <r>
      <t xml:space="preserve">        </t>
    </r>
    <r>
      <rPr>
        <sz val="9"/>
        <color theme="1"/>
        <rFont val="宋体"/>
        <family val="2"/>
        <charset val="134"/>
      </rPr>
      <t>一年内到期的非流动资产</t>
    </r>
  </si>
  <si>
    <r>
      <t xml:space="preserve">        </t>
    </r>
    <r>
      <rPr>
        <sz val="9"/>
        <color theme="1"/>
        <rFont val="宋体"/>
        <family val="2"/>
        <charset val="134"/>
      </rPr>
      <t>待摊费用</t>
    </r>
  </si>
  <si>
    <r>
      <t xml:space="preserve">        </t>
    </r>
    <r>
      <rPr>
        <sz val="9"/>
        <color theme="1"/>
        <rFont val="宋体"/>
        <family val="2"/>
        <charset val="134"/>
      </rPr>
      <t>其他流动资产</t>
    </r>
  </si>
  <si>
    <r>
      <t xml:space="preserve">        </t>
    </r>
    <r>
      <rPr>
        <sz val="9"/>
        <color theme="1"/>
        <rFont val="宋体"/>
        <family val="2"/>
        <charset val="134"/>
      </rPr>
      <t>流动资产差额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</si>
  <si>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流动资产差额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</si>
  <si>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流动资产合计</t>
    </r>
  </si>
  <si>
    <r>
      <rPr>
        <b/>
        <sz val="9"/>
        <color theme="1"/>
        <rFont val="宋体"/>
        <family val="2"/>
        <charset val="134"/>
      </rPr>
      <t>非流动资产：</t>
    </r>
  </si>
  <si>
    <r>
      <t xml:space="preserve">        </t>
    </r>
    <r>
      <rPr>
        <sz val="9"/>
        <color theme="1"/>
        <rFont val="宋体"/>
        <family val="2"/>
        <charset val="134"/>
      </rPr>
      <t>发放贷款及垫款</t>
    </r>
  </si>
  <si>
    <r>
      <t xml:space="preserve">        </t>
    </r>
    <r>
      <rPr>
        <sz val="9"/>
        <color theme="1"/>
        <rFont val="宋体"/>
        <family val="2"/>
        <charset val="134"/>
      </rPr>
      <t>可供出售金融资产</t>
    </r>
  </si>
  <si>
    <r>
      <t xml:space="preserve">        </t>
    </r>
    <r>
      <rPr>
        <sz val="9"/>
        <color theme="1"/>
        <rFont val="宋体"/>
        <family val="2"/>
        <charset val="134"/>
      </rPr>
      <t>持有至到期投资</t>
    </r>
  </si>
  <si>
    <r>
      <t xml:space="preserve">        </t>
    </r>
    <r>
      <rPr>
        <sz val="9"/>
        <color theme="1"/>
        <rFont val="宋体"/>
        <family val="2"/>
        <charset val="134"/>
      </rPr>
      <t>长期应收款</t>
    </r>
  </si>
  <si>
    <r>
      <t xml:space="preserve">        </t>
    </r>
    <r>
      <rPr>
        <sz val="9"/>
        <color theme="1"/>
        <rFont val="宋体"/>
        <family val="2"/>
        <charset val="134"/>
      </rPr>
      <t>长期股权投资</t>
    </r>
  </si>
  <si>
    <r>
      <t xml:space="preserve">        </t>
    </r>
    <r>
      <rPr>
        <sz val="9"/>
        <color theme="1"/>
        <rFont val="宋体"/>
        <family val="2"/>
        <charset val="134"/>
      </rPr>
      <t>投资性房地产</t>
    </r>
  </si>
  <si>
    <r>
      <t xml:space="preserve">        </t>
    </r>
    <r>
      <rPr>
        <sz val="9"/>
        <color theme="1"/>
        <rFont val="宋体"/>
        <family val="2"/>
        <charset val="134"/>
      </rPr>
      <t>固定资产</t>
    </r>
  </si>
  <si>
    <r>
      <t xml:space="preserve">        </t>
    </r>
    <r>
      <rPr>
        <sz val="9"/>
        <color theme="1"/>
        <rFont val="宋体"/>
        <family val="2"/>
        <charset val="134"/>
      </rPr>
      <t>在建工程</t>
    </r>
  </si>
  <si>
    <r>
      <t xml:space="preserve">        </t>
    </r>
    <r>
      <rPr>
        <sz val="9"/>
        <color theme="1"/>
        <rFont val="宋体"/>
        <family val="2"/>
        <charset val="134"/>
      </rPr>
      <t>工程物资</t>
    </r>
  </si>
  <si>
    <r>
      <t xml:space="preserve">        </t>
    </r>
    <r>
      <rPr>
        <sz val="9"/>
        <color theme="1"/>
        <rFont val="宋体"/>
        <family val="2"/>
        <charset val="134"/>
      </rPr>
      <t>固定资产清理</t>
    </r>
  </si>
  <si>
    <r>
      <t xml:space="preserve">        </t>
    </r>
    <r>
      <rPr>
        <sz val="9"/>
        <color theme="1"/>
        <rFont val="宋体"/>
        <family val="2"/>
        <charset val="134"/>
      </rPr>
      <t>生产性生物资产</t>
    </r>
  </si>
  <si>
    <r>
      <t xml:space="preserve">        </t>
    </r>
    <r>
      <rPr>
        <sz val="9"/>
        <color theme="1"/>
        <rFont val="宋体"/>
        <family val="2"/>
        <charset val="134"/>
      </rPr>
      <t>油气资产</t>
    </r>
  </si>
  <si>
    <r>
      <t xml:space="preserve">        </t>
    </r>
    <r>
      <rPr>
        <sz val="9"/>
        <color theme="1"/>
        <rFont val="宋体"/>
        <family val="2"/>
        <charset val="134"/>
      </rPr>
      <t>无形资产</t>
    </r>
  </si>
  <si>
    <r>
      <t xml:space="preserve">        </t>
    </r>
    <r>
      <rPr>
        <sz val="9"/>
        <color theme="1"/>
        <rFont val="宋体"/>
        <family val="2"/>
        <charset val="134"/>
      </rPr>
      <t>开发支出</t>
    </r>
  </si>
  <si>
    <r>
      <t xml:space="preserve">        </t>
    </r>
    <r>
      <rPr>
        <sz val="9"/>
        <color theme="1"/>
        <rFont val="宋体"/>
        <family val="2"/>
        <charset val="134"/>
      </rPr>
      <t>商誉</t>
    </r>
  </si>
  <si>
    <r>
      <t xml:space="preserve">        </t>
    </r>
    <r>
      <rPr>
        <sz val="9"/>
        <color theme="1"/>
        <rFont val="宋体"/>
        <family val="2"/>
        <charset val="134"/>
      </rPr>
      <t>长期待摊费用</t>
    </r>
  </si>
  <si>
    <r>
      <t xml:space="preserve">        </t>
    </r>
    <r>
      <rPr>
        <sz val="9"/>
        <color theme="1"/>
        <rFont val="宋体"/>
        <family val="2"/>
        <charset val="134"/>
      </rPr>
      <t>递延所得税资产</t>
    </r>
  </si>
  <si>
    <r>
      <t xml:space="preserve">        </t>
    </r>
    <r>
      <rPr>
        <sz val="9"/>
        <color theme="1"/>
        <rFont val="宋体"/>
        <family val="2"/>
        <charset val="134"/>
      </rPr>
      <t>其他非流动资产</t>
    </r>
  </si>
  <si>
    <r>
      <t xml:space="preserve">        </t>
    </r>
    <r>
      <rPr>
        <sz val="9"/>
        <color theme="1"/>
        <rFont val="宋体"/>
        <family val="2"/>
        <charset val="134"/>
      </rPr>
      <t>非流动资产差额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</si>
  <si>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非流动资产差额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</si>
  <si>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非流动资产合计</t>
    </r>
  </si>
  <si>
    <r>
      <t xml:space="preserve">        </t>
    </r>
    <r>
      <rPr>
        <sz val="9"/>
        <color theme="1"/>
        <rFont val="宋体"/>
        <family val="2"/>
        <charset val="134"/>
      </rPr>
      <t>资产差额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</si>
  <si>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资产差额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</si>
  <si>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资产总计</t>
    </r>
  </si>
  <si>
    <r>
      <rPr>
        <b/>
        <sz val="9"/>
        <color theme="1"/>
        <rFont val="宋体"/>
        <family val="2"/>
        <charset val="134"/>
      </rPr>
      <t>流动负债：</t>
    </r>
  </si>
  <si>
    <r>
      <t xml:space="preserve">        </t>
    </r>
    <r>
      <rPr>
        <b/>
        <sz val="9"/>
        <color rgb="FFFF0000"/>
        <rFont val="宋体"/>
        <family val="2"/>
        <charset val="134"/>
      </rPr>
      <t>短期借款</t>
    </r>
  </si>
  <si>
    <r>
      <t xml:space="preserve">        </t>
    </r>
    <r>
      <rPr>
        <sz val="9"/>
        <color theme="1"/>
        <rFont val="宋体"/>
        <family val="2"/>
        <charset val="134"/>
      </rPr>
      <t>向中央银行借款</t>
    </r>
  </si>
  <si>
    <r>
      <t xml:space="preserve">        </t>
    </r>
    <r>
      <rPr>
        <sz val="9"/>
        <color theme="1"/>
        <rFont val="宋体"/>
        <family val="2"/>
        <charset val="134"/>
      </rPr>
      <t>吸收存款及同业存放</t>
    </r>
  </si>
  <si>
    <r>
      <t xml:space="preserve">        </t>
    </r>
    <r>
      <rPr>
        <sz val="9"/>
        <color theme="1"/>
        <rFont val="宋体"/>
        <family val="2"/>
        <charset val="134"/>
      </rPr>
      <t>拆入资金</t>
    </r>
  </si>
  <si>
    <r>
      <t xml:space="preserve">        </t>
    </r>
    <r>
      <rPr>
        <sz val="9"/>
        <color rgb="FFFF0000"/>
        <rFont val="宋体"/>
        <family val="2"/>
        <charset val="134"/>
      </rPr>
      <t>交易性金融负债</t>
    </r>
  </si>
  <si>
    <r>
      <t xml:space="preserve">        </t>
    </r>
    <r>
      <rPr>
        <b/>
        <sz val="9"/>
        <color rgb="FFFF0000"/>
        <rFont val="宋体"/>
        <family val="2"/>
        <charset val="134"/>
      </rPr>
      <t>应付票据</t>
    </r>
    <phoneticPr fontId="9" type="noConversion"/>
  </si>
  <si>
    <r>
      <t xml:space="preserve">        </t>
    </r>
    <r>
      <rPr>
        <sz val="9"/>
        <color theme="1"/>
        <rFont val="宋体"/>
        <family val="2"/>
        <charset val="134"/>
      </rPr>
      <t>应付账款</t>
    </r>
  </si>
  <si>
    <r>
      <t xml:space="preserve">        </t>
    </r>
    <r>
      <rPr>
        <sz val="9"/>
        <color theme="1"/>
        <rFont val="宋体"/>
        <family val="2"/>
        <charset val="134"/>
      </rPr>
      <t>预收款项</t>
    </r>
  </si>
  <si>
    <r>
      <t xml:space="preserve">        </t>
    </r>
    <r>
      <rPr>
        <sz val="9"/>
        <color theme="1"/>
        <rFont val="宋体"/>
        <family val="2"/>
        <charset val="134"/>
      </rPr>
      <t>卖出回购金融资产款</t>
    </r>
  </si>
  <si>
    <r>
      <t xml:space="preserve">        </t>
    </r>
    <r>
      <rPr>
        <sz val="9"/>
        <color theme="1"/>
        <rFont val="宋体"/>
        <family val="2"/>
        <charset val="134"/>
      </rPr>
      <t>应付手续费及佣金</t>
    </r>
  </si>
  <si>
    <r>
      <t xml:space="preserve">        </t>
    </r>
    <r>
      <rPr>
        <sz val="9"/>
        <color theme="1"/>
        <rFont val="宋体"/>
        <family val="2"/>
        <charset val="134"/>
      </rPr>
      <t>应付职工薪酬</t>
    </r>
  </si>
  <si>
    <r>
      <t xml:space="preserve">        </t>
    </r>
    <r>
      <rPr>
        <sz val="9"/>
        <color theme="1"/>
        <rFont val="宋体"/>
        <family val="2"/>
        <charset val="134"/>
      </rPr>
      <t>应交税费</t>
    </r>
  </si>
  <si>
    <r>
      <t xml:space="preserve">        </t>
    </r>
    <r>
      <rPr>
        <sz val="9"/>
        <color theme="1"/>
        <rFont val="宋体"/>
        <family val="2"/>
        <charset val="134"/>
      </rPr>
      <t>应付利息</t>
    </r>
  </si>
  <si>
    <r>
      <t xml:space="preserve">        </t>
    </r>
    <r>
      <rPr>
        <sz val="9"/>
        <color theme="1"/>
        <rFont val="宋体"/>
        <family val="2"/>
        <charset val="134"/>
      </rPr>
      <t>其他应付款</t>
    </r>
  </si>
  <si>
    <r>
      <t xml:space="preserve">        </t>
    </r>
    <r>
      <rPr>
        <sz val="9"/>
        <color theme="1"/>
        <rFont val="宋体"/>
        <family val="2"/>
        <charset val="134"/>
      </rPr>
      <t>应付分保账款</t>
    </r>
  </si>
  <si>
    <r>
      <t xml:space="preserve">        </t>
    </r>
    <r>
      <rPr>
        <sz val="9"/>
        <color theme="1"/>
        <rFont val="宋体"/>
        <family val="2"/>
        <charset val="134"/>
      </rPr>
      <t>保险合同准备金</t>
    </r>
  </si>
  <si>
    <r>
      <t xml:space="preserve">        </t>
    </r>
    <r>
      <rPr>
        <sz val="9"/>
        <color theme="1"/>
        <rFont val="宋体"/>
        <family val="2"/>
        <charset val="134"/>
      </rPr>
      <t>代理买卖证券款</t>
    </r>
  </si>
  <si>
    <r>
      <t xml:space="preserve">        </t>
    </r>
    <r>
      <rPr>
        <sz val="9"/>
        <color theme="1"/>
        <rFont val="宋体"/>
        <family val="2"/>
        <charset val="134"/>
      </rPr>
      <t>代理承销证券款</t>
    </r>
  </si>
  <si>
    <r>
      <t xml:space="preserve">        </t>
    </r>
    <r>
      <rPr>
        <sz val="9"/>
        <color rgb="FFFF0000"/>
        <rFont val="宋体"/>
        <family val="2"/>
        <charset val="134"/>
      </rPr>
      <t>一年内到期的非流动负债</t>
    </r>
  </si>
  <si>
    <r>
      <t xml:space="preserve">        </t>
    </r>
    <r>
      <rPr>
        <sz val="9"/>
        <color theme="1"/>
        <rFont val="宋体"/>
        <family val="2"/>
        <charset val="134"/>
      </rPr>
      <t>应付股利</t>
    </r>
  </si>
  <si>
    <r>
      <t xml:space="preserve">        </t>
    </r>
    <r>
      <rPr>
        <sz val="9"/>
        <color theme="1"/>
        <rFont val="宋体"/>
        <family val="2"/>
        <charset val="134"/>
      </rPr>
      <t>预提费用</t>
    </r>
  </si>
  <si>
    <r>
      <t xml:space="preserve">        </t>
    </r>
    <r>
      <rPr>
        <sz val="9"/>
        <color theme="1"/>
        <rFont val="宋体"/>
        <family val="2"/>
        <charset val="134"/>
      </rPr>
      <t>递延收益</t>
    </r>
    <r>
      <rPr>
        <sz val="9"/>
        <color theme="1"/>
        <rFont val="Arial"/>
        <family val="2"/>
      </rPr>
      <t>-</t>
    </r>
    <r>
      <rPr>
        <sz val="9"/>
        <color theme="1"/>
        <rFont val="宋体"/>
        <family val="2"/>
        <charset val="134"/>
      </rPr>
      <t>流动负债</t>
    </r>
  </si>
  <si>
    <r>
      <t xml:space="preserve">        </t>
    </r>
    <r>
      <rPr>
        <sz val="9"/>
        <color rgb="FFFF0000"/>
        <rFont val="宋体"/>
        <family val="2"/>
        <charset val="134"/>
      </rPr>
      <t>应付短期债券</t>
    </r>
  </si>
  <si>
    <r>
      <t xml:space="preserve">        </t>
    </r>
    <r>
      <rPr>
        <sz val="9"/>
        <color rgb="FFFF0000"/>
        <rFont val="宋体"/>
        <family val="2"/>
        <charset val="134"/>
      </rPr>
      <t>其他流动负债</t>
    </r>
  </si>
  <si>
    <r>
      <t xml:space="preserve">        </t>
    </r>
    <r>
      <rPr>
        <sz val="9"/>
        <color theme="1"/>
        <rFont val="宋体"/>
        <family val="2"/>
        <charset val="134"/>
      </rPr>
      <t>流动负债差额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</si>
  <si>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流动负债差额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</si>
  <si>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流动负债合计</t>
    </r>
  </si>
  <si>
    <r>
      <rPr>
        <b/>
        <sz val="9"/>
        <color theme="1"/>
        <rFont val="宋体"/>
        <family val="2"/>
        <charset val="134"/>
      </rPr>
      <t>非流动负债：</t>
    </r>
  </si>
  <si>
    <r>
      <t xml:space="preserve">        </t>
    </r>
    <r>
      <rPr>
        <b/>
        <sz val="9"/>
        <color rgb="FFFF0000"/>
        <rFont val="宋体"/>
        <family val="2"/>
        <charset val="134"/>
      </rPr>
      <t>长期借款</t>
    </r>
  </si>
  <si>
    <r>
      <t xml:space="preserve">        </t>
    </r>
    <r>
      <rPr>
        <b/>
        <sz val="9"/>
        <color rgb="FFFF0000"/>
        <rFont val="宋体"/>
        <family val="2"/>
        <charset val="134"/>
      </rPr>
      <t>应付债券</t>
    </r>
  </si>
  <si>
    <r>
      <t xml:space="preserve">        </t>
    </r>
    <r>
      <rPr>
        <sz val="9"/>
        <color theme="1"/>
        <rFont val="宋体"/>
        <family val="2"/>
        <charset val="134"/>
      </rPr>
      <t>长期应付款</t>
    </r>
  </si>
  <si>
    <r>
      <t xml:space="preserve">        </t>
    </r>
    <r>
      <rPr>
        <sz val="9"/>
        <color theme="1"/>
        <rFont val="宋体"/>
        <family val="2"/>
        <charset val="134"/>
      </rPr>
      <t>专项应付款</t>
    </r>
  </si>
  <si>
    <r>
      <t xml:space="preserve">        </t>
    </r>
    <r>
      <rPr>
        <sz val="9"/>
        <color theme="1"/>
        <rFont val="宋体"/>
        <family val="2"/>
        <charset val="134"/>
      </rPr>
      <t>预计负债</t>
    </r>
  </si>
  <si>
    <r>
      <t xml:space="preserve">        </t>
    </r>
    <r>
      <rPr>
        <sz val="9"/>
        <color theme="1"/>
        <rFont val="宋体"/>
        <family val="2"/>
        <charset val="134"/>
      </rPr>
      <t>递延所得税负债</t>
    </r>
  </si>
  <si>
    <r>
      <t xml:space="preserve">        </t>
    </r>
    <r>
      <rPr>
        <sz val="9"/>
        <color theme="1"/>
        <rFont val="宋体"/>
        <family val="2"/>
        <charset val="134"/>
      </rPr>
      <t>递延收益</t>
    </r>
    <r>
      <rPr>
        <sz val="9"/>
        <color theme="1"/>
        <rFont val="Arial"/>
        <family val="2"/>
      </rPr>
      <t>-</t>
    </r>
    <r>
      <rPr>
        <sz val="9"/>
        <color theme="1"/>
        <rFont val="宋体"/>
        <family val="2"/>
        <charset val="134"/>
      </rPr>
      <t>非流动负债</t>
    </r>
  </si>
  <si>
    <r>
      <t xml:space="preserve">        </t>
    </r>
    <r>
      <rPr>
        <sz val="9"/>
        <color theme="1"/>
        <rFont val="宋体"/>
        <family val="2"/>
        <charset val="134"/>
      </rPr>
      <t>其他非流动负债</t>
    </r>
  </si>
  <si>
    <r>
      <t xml:space="preserve">        </t>
    </r>
    <r>
      <rPr>
        <sz val="9"/>
        <color theme="1"/>
        <rFont val="宋体"/>
        <family val="2"/>
        <charset val="134"/>
      </rPr>
      <t>非流动负债差额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</si>
  <si>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非流动负债差额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</si>
  <si>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非流动负债合计</t>
    </r>
  </si>
  <si>
    <r>
      <t xml:space="preserve">        </t>
    </r>
    <r>
      <rPr>
        <sz val="9"/>
        <color theme="1"/>
        <rFont val="宋体"/>
        <family val="2"/>
        <charset val="134"/>
      </rPr>
      <t>负债差额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</si>
  <si>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负债差额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</si>
  <si>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负债合计</t>
    </r>
  </si>
  <si>
    <r>
      <rPr>
        <b/>
        <sz val="9"/>
        <color theme="1"/>
        <rFont val="宋体"/>
        <family val="2"/>
        <charset val="134"/>
      </rPr>
      <t>所有者权益</t>
    </r>
    <r>
      <rPr>
        <b/>
        <sz val="9"/>
        <color theme="1"/>
        <rFont val="Arial"/>
        <family val="2"/>
      </rPr>
      <t>(</t>
    </r>
    <r>
      <rPr>
        <b/>
        <sz val="9"/>
        <color theme="1"/>
        <rFont val="宋体"/>
        <family val="2"/>
        <charset val="134"/>
      </rPr>
      <t>或股东权益</t>
    </r>
    <r>
      <rPr>
        <b/>
        <sz val="9"/>
        <color theme="1"/>
        <rFont val="Arial"/>
        <family val="2"/>
      </rPr>
      <t>)</t>
    </r>
    <r>
      <rPr>
        <b/>
        <sz val="9"/>
        <color theme="1"/>
        <rFont val="宋体"/>
        <family val="2"/>
        <charset val="134"/>
      </rPr>
      <t>：</t>
    </r>
  </si>
  <si>
    <r>
      <t xml:space="preserve">        </t>
    </r>
    <r>
      <rPr>
        <sz val="9"/>
        <color theme="1"/>
        <rFont val="宋体"/>
        <family val="2"/>
        <charset val="134"/>
      </rPr>
      <t>实收资本</t>
    </r>
    <r>
      <rPr>
        <sz val="9"/>
        <color theme="1"/>
        <rFont val="Arial"/>
        <family val="2"/>
      </rPr>
      <t>(</t>
    </r>
    <r>
      <rPr>
        <sz val="9"/>
        <color theme="1"/>
        <rFont val="宋体"/>
        <family val="2"/>
        <charset val="134"/>
      </rPr>
      <t>或股本</t>
    </r>
    <r>
      <rPr>
        <sz val="9"/>
        <color theme="1"/>
        <rFont val="Arial"/>
        <family val="2"/>
      </rPr>
      <t>)</t>
    </r>
  </si>
  <si>
    <r>
      <t xml:space="preserve">        </t>
    </r>
    <r>
      <rPr>
        <sz val="9"/>
        <color theme="1"/>
        <rFont val="宋体"/>
        <family val="2"/>
        <charset val="134"/>
      </rPr>
      <t>资本公积金</t>
    </r>
  </si>
  <si>
    <r>
      <t xml:space="preserve">        </t>
    </r>
    <r>
      <rPr>
        <sz val="9"/>
        <color theme="1"/>
        <rFont val="宋体"/>
        <family val="2"/>
        <charset val="134"/>
      </rPr>
      <t>减：库存股</t>
    </r>
  </si>
  <si>
    <r>
      <t xml:space="preserve">        </t>
    </r>
    <r>
      <rPr>
        <sz val="9"/>
        <color theme="1"/>
        <rFont val="宋体"/>
        <family val="2"/>
        <charset val="134"/>
      </rPr>
      <t>专项储备</t>
    </r>
  </si>
  <si>
    <r>
      <t xml:space="preserve">        </t>
    </r>
    <r>
      <rPr>
        <sz val="9"/>
        <color theme="1"/>
        <rFont val="宋体"/>
        <family val="2"/>
        <charset val="134"/>
      </rPr>
      <t>盈余公积金</t>
    </r>
  </si>
  <si>
    <r>
      <t xml:space="preserve">        </t>
    </r>
    <r>
      <rPr>
        <sz val="9"/>
        <color theme="1"/>
        <rFont val="宋体"/>
        <family val="2"/>
        <charset val="134"/>
      </rPr>
      <t>一般风险准备</t>
    </r>
  </si>
  <si>
    <r>
      <t xml:space="preserve">        </t>
    </r>
    <r>
      <rPr>
        <sz val="9"/>
        <color theme="1"/>
        <rFont val="宋体"/>
        <family val="2"/>
        <charset val="134"/>
      </rPr>
      <t>未分配利润</t>
    </r>
  </si>
  <si>
    <r>
      <t xml:space="preserve">        </t>
    </r>
    <r>
      <rPr>
        <sz val="9"/>
        <color theme="1"/>
        <rFont val="宋体"/>
        <family val="2"/>
        <charset val="134"/>
      </rPr>
      <t>外币报表折算差额</t>
    </r>
  </si>
  <si>
    <r>
      <t xml:space="preserve">        </t>
    </r>
    <r>
      <rPr>
        <sz val="9"/>
        <color theme="1"/>
        <rFont val="宋体"/>
        <family val="2"/>
        <charset val="134"/>
      </rPr>
      <t>未确认的投资损失</t>
    </r>
  </si>
  <si>
    <r>
      <t xml:space="preserve">        </t>
    </r>
    <r>
      <rPr>
        <sz val="9"/>
        <color theme="1"/>
        <rFont val="宋体"/>
        <family val="2"/>
        <charset val="134"/>
      </rPr>
      <t>少数股东权益</t>
    </r>
  </si>
  <si>
    <r>
      <t xml:space="preserve">        </t>
    </r>
    <r>
      <rPr>
        <sz val="9"/>
        <color theme="1"/>
        <rFont val="宋体"/>
        <family val="2"/>
        <charset val="134"/>
      </rPr>
      <t>股东权益差额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</si>
  <si>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股权权益差额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</si>
  <si>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归属于母公司所有者权益合计</t>
    </r>
  </si>
  <si>
    <r>
      <t xml:space="preserve">        </t>
    </r>
    <r>
      <rPr>
        <b/>
        <sz val="9"/>
        <color rgb="FFFF0000"/>
        <rFont val="宋体"/>
        <family val="2"/>
        <charset val="134"/>
      </rPr>
      <t>所有者权益合计</t>
    </r>
  </si>
  <si>
    <r>
      <t xml:space="preserve">        </t>
    </r>
    <r>
      <rPr>
        <sz val="9"/>
        <color theme="1"/>
        <rFont val="宋体"/>
        <family val="2"/>
        <charset val="134"/>
      </rPr>
      <t>负债及股东权益差额</t>
    </r>
    <r>
      <rPr>
        <sz val="9"/>
        <color theme="1"/>
        <rFont val="Arial"/>
        <family val="2"/>
      </rPr>
      <t>(</t>
    </r>
    <r>
      <rPr>
        <sz val="9"/>
        <color theme="1"/>
        <rFont val="宋体"/>
        <family val="2"/>
        <charset val="134"/>
      </rPr>
      <t>特殊报表项目</t>
    </r>
    <r>
      <rPr>
        <sz val="9"/>
        <color theme="1"/>
        <rFont val="Arial"/>
        <family val="2"/>
      </rPr>
      <t>)</t>
    </r>
  </si>
  <si>
    <r>
      <t xml:space="preserve">        </t>
    </r>
    <r>
      <rPr>
        <sz val="9"/>
        <color theme="1"/>
        <rFont val="宋体"/>
        <family val="2"/>
        <charset val="134"/>
      </rPr>
      <t>负债及股东权益差额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</si>
  <si>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负债和所有者权益总计</t>
    </r>
  </si>
  <si>
    <r>
      <rPr>
        <sz val="9"/>
        <color theme="1"/>
        <rFont val="宋体"/>
        <family val="2"/>
        <charset val="134"/>
      </rPr>
      <t>现金流量表</t>
    </r>
    <r>
      <rPr>
        <sz val="9"/>
        <color theme="1"/>
        <rFont val="Arial"/>
        <family val="2"/>
      </rPr>
      <t>(</t>
    </r>
    <r>
      <rPr>
        <sz val="9"/>
        <color theme="1"/>
        <rFont val="宋体"/>
        <family val="2"/>
        <charset val="134"/>
      </rPr>
      <t>原始货币</t>
    </r>
    <r>
      <rPr>
        <sz val="9"/>
        <color theme="1"/>
        <rFont val="Arial"/>
        <family val="2"/>
      </rPr>
      <t xml:space="preserve">, </t>
    </r>
    <r>
      <rPr>
        <sz val="9"/>
        <color theme="1"/>
        <rFont val="宋体"/>
        <family val="2"/>
        <charset val="134"/>
      </rPr>
      <t>亿元</t>
    </r>
    <r>
      <rPr>
        <sz val="9"/>
        <color theme="1"/>
        <rFont val="Arial"/>
        <family val="2"/>
      </rPr>
      <t>)</t>
    </r>
  </si>
  <si>
    <r>
      <rPr>
        <b/>
        <sz val="9"/>
        <color theme="1"/>
        <rFont val="宋体"/>
        <family val="2"/>
        <charset val="134"/>
      </rPr>
      <t>一、经营活动产生的现金流量：</t>
    </r>
  </si>
  <si>
    <r>
      <t xml:space="preserve">        </t>
    </r>
    <r>
      <rPr>
        <sz val="9"/>
        <color theme="1"/>
        <rFont val="宋体"/>
        <family val="2"/>
        <charset val="134"/>
      </rPr>
      <t>销售商品、提供劳务收到的现金</t>
    </r>
  </si>
  <si>
    <r>
      <t xml:space="preserve">        </t>
    </r>
    <r>
      <rPr>
        <sz val="9"/>
        <color theme="1"/>
        <rFont val="宋体"/>
        <family val="2"/>
        <charset val="134"/>
      </rPr>
      <t>收到的税费返还</t>
    </r>
  </si>
  <si>
    <r>
      <t xml:space="preserve">        </t>
    </r>
    <r>
      <rPr>
        <sz val="9"/>
        <color theme="1"/>
        <rFont val="宋体"/>
        <family val="2"/>
        <charset val="134"/>
      </rPr>
      <t>收到其他与经营活动有关的现金</t>
    </r>
  </si>
  <si>
    <r>
      <t xml:space="preserve">        </t>
    </r>
    <r>
      <rPr>
        <sz val="9"/>
        <color theme="1"/>
        <rFont val="宋体"/>
        <family val="2"/>
        <charset val="134"/>
      </rPr>
      <t>保户储金净增加额</t>
    </r>
  </si>
  <si>
    <r>
      <t xml:space="preserve">        </t>
    </r>
    <r>
      <rPr>
        <sz val="9"/>
        <color theme="1"/>
        <rFont val="宋体"/>
        <family val="2"/>
        <charset val="134"/>
      </rPr>
      <t>客户存款和同业存放款项净增加额</t>
    </r>
  </si>
  <si>
    <r>
      <t xml:space="preserve">        </t>
    </r>
    <r>
      <rPr>
        <sz val="9"/>
        <color theme="1"/>
        <rFont val="宋体"/>
        <family val="2"/>
        <charset val="134"/>
      </rPr>
      <t>向中央银行借款净增加额</t>
    </r>
  </si>
  <si>
    <r>
      <t xml:space="preserve">        </t>
    </r>
    <r>
      <rPr>
        <sz val="9"/>
        <color theme="1"/>
        <rFont val="宋体"/>
        <family val="2"/>
        <charset val="134"/>
      </rPr>
      <t>向其他金融机构拆入资金净增加额</t>
    </r>
  </si>
  <si>
    <r>
      <t xml:space="preserve">        </t>
    </r>
    <r>
      <rPr>
        <sz val="9"/>
        <color theme="1"/>
        <rFont val="宋体"/>
        <family val="2"/>
        <charset val="134"/>
      </rPr>
      <t>收取利息和手续费净增加额</t>
    </r>
  </si>
  <si>
    <r>
      <t xml:space="preserve">        </t>
    </r>
    <r>
      <rPr>
        <sz val="9"/>
        <color theme="1"/>
        <rFont val="宋体"/>
        <family val="2"/>
        <charset val="134"/>
      </rPr>
      <t>收到的原保险合同保费取得的现金</t>
    </r>
  </si>
  <si>
    <r>
      <t xml:space="preserve">        </t>
    </r>
    <r>
      <rPr>
        <sz val="9"/>
        <color theme="1"/>
        <rFont val="宋体"/>
        <family val="2"/>
        <charset val="134"/>
      </rPr>
      <t>收到的再保业务现金净额</t>
    </r>
  </si>
  <si>
    <r>
      <t xml:space="preserve">        </t>
    </r>
    <r>
      <rPr>
        <sz val="9"/>
        <color theme="1"/>
        <rFont val="宋体"/>
        <family val="2"/>
        <charset val="134"/>
      </rPr>
      <t>处置交易性金融资产净增加额</t>
    </r>
  </si>
  <si>
    <r>
      <t xml:space="preserve">        </t>
    </r>
    <r>
      <rPr>
        <sz val="9"/>
        <color theme="1"/>
        <rFont val="宋体"/>
        <family val="2"/>
        <charset val="134"/>
      </rPr>
      <t>拆入资金净增加额</t>
    </r>
  </si>
  <si>
    <r>
      <t xml:space="preserve">        </t>
    </r>
    <r>
      <rPr>
        <sz val="9"/>
        <color theme="1"/>
        <rFont val="宋体"/>
        <family val="2"/>
        <charset val="134"/>
      </rPr>
      <t>回购业务资金净增加额</t>
    </r>
  </si>
  <si>
    <r>
      <t xml:space="preserve">        </t>
    </r>
    <r>
      <rPr>
        <sz val="9"/>
        <color theme="1"/>
        <rFont val="宋体"/>
        <family val="2"/>
        <charset val="134"/>
      </rPr>
      <t>经营活动现金流入差额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</si>
  <si>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经营活动现金流入差额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</si>
  <si>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经营活动现金流入小计</t>
    </r>
  </si>
  <si>
    <r>
      <t xml:space="preserve">        </t>
    </r>
    <r>
      <rPr>
        <sz val="9"/>
        <color theme="1"/>
        <rFont val="宋体"/>
        <family val="2"/>
        <charset val="134"/>
      </rPr>
      <t>购买商品、接受劳务支付的现金</t>
    </r>
  </si>
  <si>
    <r>
      <t xml:space="preserve">        </t>
    </r>
    <r>
      <rPr>
        <sz val="9"/>
        <color theme="1"/>
        <rFont val="宋体"/>
        <family val="2"/>
        <charset val="134"/>
      </rPr>
      <t>支付给职工以及为职工支付的现金</t>
    </r>
  </si>
  <si>
    <r>
      <t xml:space="preserve">        </t>
    </r>
    <r>
      <rPr>
        <sz val="9"/>
        <color theme="1"/>
        <rFont val="宋体"/>
        <family val="2"/>
        <charset val="134"/>
      </rPr>
      <t>支付的各项税费</t>
    </r>
  </si>
  <si>
    <r>
      <t xml:space="preserve">        </t>
    </r>
    <r>
      <rPr>
        <sz val="9"/>
        <color theme="1"/>
        <rFont val="宋体"/>
        <family val="2"/>
        <charset val="134"/>
      </rPr>
      <t>支付其他与经营活动有关的现金</t>
    </r>
  </si>
  <si>
    <r>
      <t xml:space="preserve">        </t>
    </r>
    <r>
      <rPr>
        <sz val="9"/>
        <color theme="1"/>
        <rFont val="宋体"/>
        <family val="2"/>
        <charset val="134"/>
      </rPr>
      <t>客户贷款及垫款净增加额</t>
    </r>
  </si>
  <si>
    <r>
      <t xml:space="preserve">        </t>
    </r>
    <r>
      <rPr>
        <sz val="9"/>
        <color theme="1"/>
        <rFont val="宋体"/>
        <family val="2"/>
        <charset val="134"/>
      </rPr>
      <t>存放央行和同业款项净增加额</t>
    </r>
  </si>
  <si>
    <r>
      <t xml:space="preserve">        </t>
    </r>
    <r>
      <rPr>
        <sz val="9"/>
        <color theme="1"/>
        <rFont val="宋体"/>
        <family val="2"/>
        <charset val="134"/>
      </rPr>
      <t>支付原保险合同赔付款项的现金</t>
    </r>
  </si>
  <si>
    <r>
      <t xml:space="preserve">        </t>
    </r>
    <r>
      <rPr>
        <sz val="9"/>
        <color theme="1"/>
        <rFont val="宋体"/>
        <family val="2"/>
        <charset val="134"/>
      </rPr>
      <t>支付手续费的现金</t>
    </r>
  </si>
  <si>
    <r>
      <t xml:space="preserve">        </t>
    </r>
    <r>
      <rPr>
        <sz val="9"/>
        <color theme="1"/>
        <rFont val="宋体"/>
        <family val="2"/>
        <charset val="134"/>
      </rPr>
      <t>支付保单红利的现金</t>
    </r>
  </si>
  <si>
    <r>
      <t xml:space="preserve">        </t>
    </r>
    <r>
      <rPr>
        <sz val="9"/>
        <color theme="1"/>
        <rFont val="宋体"/>
        <family val="2"/>
        <charset val="134"/>
      </rPr>
      <t>经营活动现金流出差额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</si>
  <si>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经营活动现金流出差额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</si>
  <si>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经营活动现金流出小计</t>
    </r>
  </si>
  <si>
    <r>
      <t xml:space="preserve">        </t>
    </r>
    <r>
      <rPr>
        <sz val="9"/>
        <color theme="1"/>
        <rFont val="宋体"/>
        <family val="2"/>
        <charset val="134"/>
      </rPr>
      <t>经营活动产生的现金流量净额差额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</si>
  <si>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经营活动产生的现金流量净额</t>
    </r>
  </si>
  <si>
    <r>
      <rPr>
        <b/>
        <sz val="9"/>
        <color theme="1"/>
        <rFont val="宋体"/>
        <family val="2"/>
        <charset val="134"/>
      </rPr>
      <t>二、投资活动产生的现金流量：</t>
    </r>
  </si>
  <si>
    <r>
      <t xml:space="preserve">        </t>
    </r>
    <r>
      <rPr>
        <sz val="9"/>
        <color theme="1"/>
        <rFont val="宋体"/>
        <family val="2"/>
        <charset val="134"/>
      </rPr>
      <t>收回投资收到的现金</t>
    </r>
  </si>
  <si>
    <r>
      <t xml:space="preserve">        </t>
    </r>
    <r>
      <rPr>
        <sz val="9"/>
        <color theme="1"/>
        <rFont val="宋体"/>
        <family val="2"/>
        <charset val="134"/>
      </rPr>
      <t>取得投资收益收到的现金</t>
    </r>
  </si>
  <si>
    <r>
      <t xml:space="preserve">        </t>
    </r>
    <r>
      <rPr>
        <sz val="9"/>
        <color theme="1"/>
        <rFont val="宋体"/>
        <family val="2"/>
        <charset val="134"/>
      </rPr>
      <t>处置固定资产、无形资产和其他长期资产收回的现金净额</t>
    </r>
  </si>
  <si>
    <r>
      <t xml:space="preserve">        </t>
    </r>
    <r>
      <rPr>
        <sz val="9"/>
        <color theme="1"/>
        <rFont val="宋体"/>
        <family val="2"/>
        <charset val="134"/>
      </rPr>
      <t>处置子公司及其他营业单位收到的现金净额</t>
    </r>
  </si>
  <si>
    <r>
      <t xml:space="preserve">        </t>
    </r>
    <r>
      <rPr>
        <sz val="9"/>
        <color theme="1"/>
        <rFont val="宋体"/>
        <family val="2"/>
        <charset val="134"/>
      </rPr>
      <t>收到其他与投资活动有关的现金</t>
    </r>
  </si>
  <si>
    <r>
      <t xml:space="preserve">        </t>
    </r>
    <r>
      <rPr>
        <sz val="9"/>
        <color theme="1"/>
        <rFont val="宋体"/>
        <family val="2"/>
        <charset val="134"/>
      </rPr>
      <t>投资活动现金流入差额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</si>
  <si>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投资活动现金流入差额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</si>
  <si>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投资活动现金流入小计</t>
    </r>
  </si>
  <si>
    <r>
      <t xml:space="preserve">        </t>
    </r>
    <r>
      <rPr>
        <b/>
        <sz val="9"/>
        <color rgb="FFFF0000"/>
        <rFont val="宋体"/>
        <family val="2"/>
        <charset val="134"/>
      </rPr>
      <t>购建固定资产、无形资产和其他长期资产支付的现金</t>
    </r>
    <phoneticPr fontId="9" type="noConversion"/>
  </si>
  <si>
    <r>
      <t xml:space="preserve">        </t>
    </r>
    <r>
      <rPr>
        <b/>
        <sz val="9"/>
        <color rgb="FFFF0000"/>
        <rFont val="宋体"/>
        <family val="2"/>
        <charset val="134"/>
      </rPr>
      <t>投资支付的现金</t>
    </r>
  </si>
  <si>
    <r>
      <t xml:space="preserve">        </t>
    </r>
    <r>
      <rPr>
        <sz val="9"/>
        <color theme="1"/>
        <rFont val="宋体"/>
        <family val="2"/>
        <charset val="134"/>
      </rPr>
      <t>取得子公司及其他营业单位支付的现金净额</t>
    </r>
  </si>
  <si>
    <r>
      <t xml:space="preserve">        </t>
    </r>
    <r>
      <rPr>
        <sz val="9"/>
        <color theme="1"/>
        <rFont val="宋体"/>
        <family val="2"/>
        <charset val="134"/>
      </rPr>
      <t>支付其他与投资活动有关的现金</t>
    </r>
  </si>
  <si>
    <r>
      <t xml:space="preserve">        </t>
    </r>
    <r>
      <rPr>
        <sz val="9"/>
        <color theme="1"/>
        <rFont val="宋体"/>
        <family val="2"/>
        <charset val="134"/>
      </rPr>
      <t>投资活动现金流出差额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</si>
  <si>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投资活动现金流出差额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</si>
  <si>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投资活动现金流出小计</t>
    </r>
  </si>
  <si>
    <r>
      <t xml:space="preserve">        </t>
    </r>
    <r>
      <rPr>
        <sz val="9"/>
        <color theme="1"/>
        <rFont val="宋体"/>
        <family val="2"/>
        <charset val="134"/>
      </rPr>
      <t>投资活动产生的现金流量净额差额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</si>
  <si>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投资活动产生的现金流量净额</t>
    </r>
  </si>
  <si>
    <r>
      <rPr>
        <b/>
        <sz val="9"/>
        <color theme="1"/>
        <rFont val="宋体"/>
        <family val="2"/>
        <charset val="134"/>
      </rPr>
      <t>三、筹资活动产生的现金流量：</t>
    </r>
  </si>
  <si>
    <r>
      <t xml:space="preserve">        </t>
    </r>
    <r>
      <rPr>
        <sz val="9"/>
        <color theme="1"/>
        <rFont val="宋体"/>
        <family val="2"/>
        <charset val="134"/>
      </rPr>
      <t>吸收投资收到的现金</t>
    </r>
  </si>
  <si>
    <r>
      <t xml:space="preserve">        </t>
    </r>
    <r>
      <rPr>
        <sz val="9"/>
        <color theme="1"/>
        <rFont val="宋体"/>
        <family val="2"/>
        <charset val="134"/>
      </rPr>
      <t>其中：子公司吸收少数股东投资收到的现金</t>
    </r>
  </si>
  <si>
    <r>
      <t xml:space="preserve">        </t>
    </r>
    <r>
      <rPr>
        <sz val="9"/>
        <color theme="1"/>
        <rFont val="宋体"/>
        <family val="2"/>
        <charset val="134"/>
      </rPr>
      <t>取得借款收到的现金</t>
    </r>
  </si>
  <si>
    <r>
      <t xml:space="preserve">        </t>
    </r>
    <r>
      <rPr>
        <sz val="9"/>
        <color theme="1"/>
        <rFont val="宋体"/>
        <family val="2"/>
        <charset val="134"/>
      </rPr>
      <t>收到其他与筹资活动有关的现金</t>
    </r>
  </si>
  <si>
    <r>
      <t xml:space="preserve">        </t>
    </r>
    <r>
      <rPr>
        <sz val="9"/>
        <color theme="1"/>
        <rFont val="宋体"/>
        <family val="2"/>
        <charset val="134"/>
      </rPr>
      <t>发行债券收到的现金</t>
    </r>
  </si>
  <si>
    <r>
      <t xml:space="preserve">        </t>
    </r>
    <r>
      <rPr>
        <sz val="9"/>
        <color theme="1"/>
        <rFont val="宋体"/>
        <family val="2"/>
        <charset val="134"/>
      </rPr>
      <t>筹资活动现金流入差额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</si>
  <si>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筹资活动现金流入差额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</si>
  <si>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筹资活动现金流入小计</t>
    </r>
  </si>
  <si>
    <r>
      <t xml:space="preserve">        </t>
    </r>
    <r>
      <rPr>
        <sz val="9"/>
        <color theme="1"/>
        <rFont val="宋体"/>
        <family val="2"/>
        <charset val="134"/>
      </rPr>
      <t>偿还债务支付的现金</t>
    </r>
  </si>
  <si>
    <r>
      <t xml:space="preserve">        </t>
    </r>
    <r>
      <rPr>
        <sz val="9"/>
        <color theme="1"/>
        <rFont val="宋体"/>
        <family val="2"/>
        <charset val="134"/>
      </rPr>
      <t>分配股利、利润或偿付利息支付的现金</t>
    </r>
  </si>
  <si>
    <r>
      <t xml:space="preserve">        </t>
    </r>
    <r>
      <rPr>
        <sz val="9"/>
        <color theme="1"/>
        <rFont val="宋体"/>
        <family val="2"/>
        <charset val="134"/>
      </rPr>
      <t>其中：子公司支付给少数股东的股利、利润</t>
    </r>
  </si>
  <si>
    <r>
      <t xml:space="preserve">        </t>
    </r>
    <r>
      <rPr>
        <sz val="9"/>
        <color theme="1"/>
        <rFont val="宋体"/>
        <family val="2"/>
        <charset val="134"/>
      </rPr>
      <t>支付其他与筹资活动有关的现金</t>
    </r>
  </si>
  <si>
    <r>
      <t xml:space="preserve">        </t>
    </r>
    <r>
      <rPr>
        <sz val="9"/>
        <color theme="1"/>
        <rFont val="宋体"/>
        <family val="2"/>
        <charset val="134"/>
      </rPr>
      <t>筹资活动现金流出差额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</si>
  <si>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筹资活动现金流出差额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</si>
  <si>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筹资活动现金流出小计</t>
    </r>
  </si>
  <si>
    <r>
      <t xml:space="preserve">        </t>
    </r>
    <r>
      <rPr>
        <sz val="9"/>
        <color theme="1"/>
        <rFont val="宋体"/>
        <family val="2"/>
        <charset val="134"/>
      </rPr>
      <t>筹资活动产生的现金流量净额差额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</si>
  <si>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theme="1"/>
        <rFont val="宋体"/>
        <family val="2"/>
        <charset val="134"/>
      </rPr>
      <t>筹资活动产生的现金流量净额</t>
    </r>
  </si>
  <si>
    <r>
      <rPr>
        <b/>
        <sz val="9"/>
        <color theme="1"/>
        <rFont val="宋体"/>
        <family val="2"/>
        <charset val="134"/>
      </rPr>
      <t>四、现金及现金等价物净增加：</t>
    </r>
  </si>
  <si>
    <r>
      <t xml:space="preserve">        </t>
    </r>
    <r>
      <rPr>
        <sz val="9"/>
        <color theme="1"/>
        <rFont val="宋体"/>
        <family val="2"/>
        <charset val="134"/>
      </rPr>
      <t>汇率变动对现金的影响</t>
    </r>
  </si>
  <si>
    <r>
      <t xml:space="preserve">        </t>
    </r>
    <r>
      <rPr>
        <sz val="9"/>
        <color theme="1"/>
        <rFont val="宋体"/>
        <family val="2"/>
        <charset val="134"/>
      </rPr>
      <t>直接法</t>
    </r>
    <r>
      <rPr>
        <sz val="9"/>
        <color theme="1"/>
        <rFont val="Arial"/>
        <family val="2"/>
      </rPr>
      <t>-</t>
    </r>
    <r>
      <rPr>
        <sz val="9"/>
        <color theme="1"/>
        <rFont val="宋体"/>
        <family val="2"/>
        <charset val="134"/>
      </rPr>
      <t>现金及现金等价物净增加额差额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</si>
  <si>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直接法</t>
    </r>
    <r>
      <rPr>
        <sz val="9"/>
        <color theme="1"/>
        <rFont val="Arial"/>
        <family val="2"/>
      </rPr>
      <t>-</t>
    </r>
    <r>
      <rPr>
        <sz val="9"/>
        <color theme="1"/>
        <rFont val="宋体"/>
        <family val="2"/>
        <charset val="134"/>
      </rPr>
      <t>现金及现金等价物净增加额差额</t>
    </r>
    <r>
      <rPr>
        <sz val="9"/>
        <color theme="1"/>
        <rFont val="Arial"/>
        <family val="2"/>
      </rPr>
      <t>(</t>
    </r>
    <r>
      <rPr>
        <sz val="9"/>
        <color theme="1"/>
        <rFont val="宋体"/>
        <family val="2"/>
        <charset val="134"/>
      </rPr>
      <t>合计平衡项目</t>
    </r>
    <r>
      <rPr>
        <sz val="9"/>
        <color theme="1"/>
        <rFont val="Arial"/>
        <family val="2"/>
      </rPr>
      <t>)</t>
    </r>
  </si>
  <si>
    <r>
      <t xml:space="preserve">        </t>
    </r>
    <r>
      <rPr>
        <b/>
        <sz val="9"/>
        <color rgb="FFFF0000"/>
        <rFont val="宋体"/>
        <family val="2"/>
        <charset val="134"/>
      </rPr>
      <t>现金及现金等价物净增加额</t>
    </r>
  </si>
  <si>
    <r>
      <t xml:space="preserve">        </t>
    </r>
    <r>
      <rPr>
        <sz val="9"/>
        <color theme="1"/>
        <rFont val="宋体"/>
        <family val="2"/>
        <charset val="134"/>
      </rPr>
      <t>期初现金及现金等价物余额</t>
    </r>
  </si>
  <si>
    <r>
      <t xml:space="preserve">        </t>
    </r>
    <r>
      <rPr>
        <sz val="9"/>
        <color theme="1"/>
        <rFont val="宋体"/>
        <family val="2"/>
        <charset val="134"/>
      </rPr>
      <t>期末现金及现金等价物余额</t>
    </r>
  </si>
  <si>
    <r>
      <rPr>
        <b/>
        <sz val="9"/>
        <color theme="1"/>
        <rFont val="宋体"/>
        <family val="2"/>
        <charset val="134"/>
      </rPr>
      <t>补充资料：</t>
    </r>
  </si>
  <si>
    <r>
      <t xml:space="preserve">        </t>
    </r>
    <r>
      <rPr>
        <sz val="9"/>
        <color theme="1"/>
        <rFont val="宋体"/>
        <family val="2"/>
        <charset val="134"/>
      </rPr>
      <t>净利润</t>
    </r>
  </si>
  <si>
    <r>
      <t xml:space="preserve">        </t>
    </r>
    <r>
      <rPr>
        <sz val="9"/>
        <color theme="1"/>
        <rFont val="宋体"/>
        <family val="2"/>
        <charset val="134"/>
      </rPr>
      <t>加：资产减值准备</t>
    </r>
  </si>
  <si>
    <r>
      <t xml:space="preserve">        </t>
    </r>
    <r>
      <rPr>
        <sz val="9"/>
        <color rgb="FFFF0000"/>
        <rFont val="宋体"/>
        <family val="2"/>
        <charset val="134"/>
      </rPr>
      <t>固定资产折旧、油气资产折耗、生产性生物资产折旧</t>
    </r>
  </si>
  <si>
    <r>
      <t xml:space="preserve">        </t>
    </r>
    <r>
      <rPr>
        <sz val="9"/>
        <color theme="1"/>
        <rFont val="宋体"/>
        <family val="2"/>
        <charset val="134"/>
      </rPr>
      <t>无形资产摊销</t>
    </r>
  </si>
  <si>
    <r>
      <t xml:space="preserve">        </t>
    </r>
    <r>
      <rPr>
        <sz val="9"/>
        <color theme="1"/>
        <rFont val="宋体"/>
        <family val="2"/>
        <charset val="134"/>
      </rPr>
      <t>长期待摊费用摊销</t>
    </r>
  </si>
  <si>
    <r>
      <t xml:space="preserve">        </t>
    </r>
    <r>
      <rPr>
        <sz val="9"/>
        <color theme="1"/>
        <rFont val="宋体"/>
        <family val="2"/>
        <charset val="134"/>
      </rPr>
      <t>待摊费用减少</t>
    </r>
  </si>
  <si>
    <r>
      <t xml:space="preserve">        </t>
    </r>
    <r>
      <rPr>
        <sz val="9"/>
        <color theme="1"/>
        <rFont val="宋体"/>
        <family val="2"/>
        <charset val="134"/>
      </rPr>
      <t>预提费用增加</t>
    </r>
  </si>
  <si>
    <r>
      <t xml:space="preserve">        </t>
    </r>
    <r>
      <rPr>
        <sz val="9"/>
        <color theme="1"/>
        <rFont val="宋体"/>
        <family val="2"/>
        <charset val="134"/>
      </rPr>
      <t>处置固定资产、无形资产和其他长期资产的损失</t>
    </r>
  </si>
  <si>
    <r>
      <t xml:space="preserve">        </t>
    </r>
    <r>
      <rPr>
        <sz val="9"/>
        <color theme="1"/>
        <rFont val="宋体"/>
        <family val="2"/>
        <charset val="134"/>
      </rPr>
      <t>固定资产报废损失</t>
    </r>
  </si>
  <si>
    <r>
      <t xml:space="preserve">        </t>
    </r>
    <r>
      <rPr>
        <sz val="9"/>
        <color theme="1"/>
        <rFont val="宋体"/>
        <family val="2"/>
        <charset val="134"/>
      </rPr>
      <t>公允价值变动损失</t>
    </r>
  </si>
  <si>
    <r>
      <t xml:space="preserve">        </t>
    </r>
    <r>
      <rPr>
        <sz val="9"/>
        <color theme="1"/>
        <rFont val="宋体"/>
        <family val="2"/>
        <charset val="134"/>
      </rPr>
      <t>财务费用</t>
    </r>
  </si>
  <si>
    <r>
      <t xml:space="preserve">        </t>
    </r>
    <r>
      <rPr>
        <sz val="9"/>
        <color theme="1"/>
        <rFont val="宋体"/>
        <family val="2"/>
        <charset val="134"/>
      </rPr>
      <t>投资损失</t>
    </r>
  </si>
  <si>
    <r>
      <t xml:space="preserve">        </t>
    </r>
    <r>
      <rPr>
        <sz val="9"/>
        <color theme="1"/>
        <rFont val="宋体"/>
        <family val="2"/>
        <charset val="134"/>
      </rPr>
      <t>递延所得税资产减少</t>
    </r>
  </si>
  <si>
    <r>
      <t xml:space="preserve">        </t>
    </r>
    <r>
      <rPr>
        <sz val="9"/>
        <color theme="1"/>
        <rFont val="宋体"/>
        <family val="2"/>
        <charset val="134"/>
      </rPr>
      <t>递延所得税负债增加</t>
    </r>
  </si>
  <si>
    <r>
      <t xml:space="preserve">        </t>
    </r>
    <r>
      <rPr>
        <sz val="9"/>
        <color theme="1"/>
        <rFont val="宋体"/>
        <family val="2"/>
        <charset val="134"/>
      </rPr>
      <t>存货的减少</t>
    </r>
  </si>
  <si>
    <r>
      <t xml:space="preserve">        </t>
    </r>
    <r>
      <rPr>
        <sz val="9"/>
        <color theme="1"/>
        <rFont val="宋体"/>
        <family val="2"/>
        <charset val="134"/>
      </rPr>
      <t>经营性应收项目的减少</t>
    </r>
  </si>
  <si>
    <r>
      <t xml:space="preserve">        </t>
    </r>
    <r>
      <rPr>
        <sz val="9"/>
        <color theme="1"/>
        <rFont val="宋体"/>
        <family val="2"/>
        <charset val="134"/>
      </rPr>
      <t>经营性应付项目的增加</t>
    </r>
  </si>
  <si>
    <r>
      <t xml:space="preserve">        </t>
    </r>
    <r>
      <rPr>
        <sz val="9"/>
        <color theme="1"/>
        <rFont val="宋体"/>
        <family val="2"/>
        <charset val="134"/>
      </rPr>
      <t>其他</t>
    </r>
  </si>
  <si>
    <r>
      <t xml:space="preserve">        </t>
    </r>
    <r>
      <rPr>
        <sz val="9"/>
        <color theme="1"/>
        <rFont val="宋体"/>
        <family val="2"/>
        <charset val="134"/>
      </rPr>
      <t>间接法</t>
    </r>
    <r>
      <rPr>
        <sz val="9"/>
        <color theme="1"/>
        <rFont val="Arial"/>
        <family val="2"/>
      </rPr>
      <t>-</t>
    </r>
    <r>
      <rPr>
        <sz val="9"/>
        <color theme="1"/>
        <rFont val="宋体"/>
        <family val="2"/>
        <charset val="134"/>
      </rPr>
      <t>经营活动现金流量净额差额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</si>
  <si>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间接法</t>
    </r>
    <r>
      <rPr>
        <sz val="9"/>
        <color theme="1"/>
        <rFont val="Arial"/>
        <family val="2"/>
      </rPr>
      <t>-</t>
    </r>
    <r>
      <rPr>
        <sz val="9"/>
        <color theme="1"/>
        <rFont val="宋体"/>
        <family val="2"/>
        <charset val="134"/>
      </rPr>
      <t>经营活动现金流量净额差额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</si>
  <si>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经营活动产生的现金流量净额</t>
    </r>
  </si>
  <si>
    <r>
      <t xml:space="preserve">        </t>
    </r>
    <r>
      <rPr>
        <sz val="9"/>
        <color theme="1"/>
        <rFont val="宋体"/>
        <family val="2"/>
        <charset val="134"/>
      </rPr>
      <t>债务转为资本</t>
    </r>
  </si>
  <si>
    <r>
      <t xml:space="preserve">        </t>
    </r>
    <r>
      <rPr>
        <sz val="9"/>
        <color theme="1"/>
        <rFont val="宋体"/>
        <family val="2"/>
        <charset val="134"/>
      </rPr>
      <t>一年内到期的可转换公司债券</t>
    </r>
  </si>
  <si>
    <r>
      <t xml:space="preserve">        </t>
    </r>
    <r>
      <rPr>
        <sz val="9"/>
        <color theme="1"/>
        <rFont val="宋体"/>
        <family val="2"/>
        <charset val="134"/>
      </rPr>
      <t>融资租入固定资产</t>
    </r>
  </si>
  <si>
    <r>
      <t xml:space="preserve">        </t>
    </r>
    <r>
      <rPr>
        <sz val="9"/>
        <color theme="1"/>
        <rFont val="宋体"/>
        <family val="2"/>
        <charset val="134"/>
      </rPr>
      <t>现金的期末余额</t>
    </r>
  </si>
  <si>
    <r>
      <t xml:space="preserve">        </t>
    </r>
    <r>
      <rPr>
        <sz val="9"/>
        <color theme="1"/>
        <rFont val="宋体"/>
        <family val="2"/>
        <charset val="134"/>
      </rPr>
      <t>减：现金的期初余额</t>
    </r>
  </si>
  <si>
    <r>
      <t xml:space="preserve">        </t>
    </r>
    <r>
      <rPr>
        <sz val="9"/>
        <color theme="1"/>
        <rFont val="宋体"/>
        <family val="2"/>
        <charset val="134"/>
      </rPr>
      <t>加：现金等价物的期末余额</t>
    </r>
  </si>
  <si>
    <r>
      <t xml:space="preserve">        </t>
    </r>
    <r>
      <rPr>
        <sz val="9"/>
        <color theme="1"/>
        <rFont val="宋体"/>
        <family val="2"/>
        <charset val="134"/>
      </rPr>
      <t>减：现金等价物的期初余额</t>
    </r>
  </si>
  <si>
    <r>
      <t xml:space="preserve">        </t>
    </r>
    <r>
      <rPr>
        <sz val="9"/>
        <color theme="1"/>
        <rFont val="宋体"/>
        <family val="2"/>
        <charset val="134"/>
      </rPr>
      <t>加：间接法</t>
    </r>
    <r>
      <rPr>
        <sz val="9"/>
        <color theme="1"/>
        <rFont val="Arial"/>
        <family val="2"/>
      </rPr>
      <t>-</t>
    </r>
    <r>
      <rPr>
        <sz val="9"/>
        <color theme="1"/>
        <rFont val="宋体"/>
        <family val="2"/>
        <charset val="134"/>
      </rPr>
      <t>现金净增加额差额</t>
    </r>
    <r>
      <rPr>
        <sz val="9"/>
        <color theme="1"/>
        <rFont val="Arial"/>
        <family val="2"/>
      </rPr>
      <t>(</t>
    </r>
    <r>
      <rPr>
        <sz val="9"/>
        <color theme="1"/>
        <rFont val="宋体"/>
        <family val="2"/>
        <charset val="134"/>
      </rPr>
      <t>特殊报表科目</t>
    </r>
    <r>
      <rPr>
        <sz val="9"/>
        <color theme="1"/>
        <rFont val="Arial"/>
        <family val="2"/>
      </rPr>
      <t>)</t>
    </r>
  </si>
  <si>
    <r>
      <t xml:space="preserve">        </t>
    </r>
    <r>
      <rPr>
        <sz val="9"/>
        <color theme="1"/>
        <rFont val="宋体"/>
        <family val="2"/>
        <charset val="134"/>
      </rPr>
      <t>加：间接法</t>
    </r>
    <r>
      <rPr>
        <sz val="9"/>
        <color theme="1"/>
        <rFont val="Arial"/>
        <family val="2"/>
      </rPr>
      <t>-</t>
    </r>
    <r>
      <rPr>
        <sz val="9"/>
        <color theme="1"/>
        <rFont val="宋体"/>
        <family val="2"/>
        <charset val="134"/>
      </rPr>
      <t>现金净增加额差额</t>
    </r>
    <r>
      <rPr>
        <sz val="9"/>
        <color theme="1"/>
        <rFont val="Arial"/>
        <family val="2"/>
      </rPr>
      <t>(</t>
    </r>
    <r>
      <rPr>
        <sz val="9"/>
        <color theme="1"/>
        <rFont val="宋体"/>
        <family val="2"/>
        <charset val="134"/>
      </rPr>
      <t>合计平衡项目</t>
    </r>
    <r>
      <rPr>
        <sz val="9"/>
        <color theme="1"/>
        <rFont val="Arial"/>
        <family val="2"/>
      </rPr>
      <t>)</t>
    </r>
  </si>
  <si>
    <r>
      <t xml:space="preserve">        </t>
    </r>
    <r>
      <rPr>
        <sz val="9"/>
        <color theme="1"/>
        <rFont val="宋体"/>
        <family val="2"/>
        <charset val="134"/>
      </rPr>
      <t>间接法</t>
    </r>
    <r>
      <rPr>
        <sz val="9"/>
        <color theme="1"/>
        <rFont val="Arial"/>
        <family val="2"/>
      </rPr>
      <t>-</t>
    </r>
    <r>
      <rPr>
        <sz val="9"/>
        <color theme="1"/>
        <rFont val="宋体"/>
        <family val="2"/>
        <charset val="134"/>
      </rPr>
      <t>现金及现金等价物净增加额</t>
    </r>
  </si>
  <si>
    <r>
      <rPr>
        <sz val="9"/>
        <color theme="1"/>
        <rFont val="等线"/>
        <family val="2"/>
      </rPr>
      <t>证券代码</t>
    </r>
  </si>
  <si>
    <r>
      <rPr>
        <sz val="9"/>
        <color theme="1"/>
        <rFont val="等线"/>
        <family val="2"/>
      </rPr>
      <t>证券简称</t>
    </r>
  </si>
  <si>
    <t xml:space="preserve">        报告期</t>
  </si>
  <si>
    <t xml:space="preserve">        报表类型</t>
  </si>
  <si>
    <t xml:space="preserve">        营业总收入</t>
  </si>
  <si>
    <t xml:space="preserve">        显示币种</t>
  </si>
  <si>
    <t xml:space="preserve">        原始币种</t>
  </si>
  <si>
    <t xml:space="preserve">        转换汇率</t>
  </si>
  <si>
    <t xml:space="preserve">        利率类型</t>
  </si>
  <si>
    <t xml:space="preserve">        数据来源</t>
  </si>
  <si>
    <t xml:space="preserve">        透视报表类型</t>
  </si>
  <si>
    <t>年报</t>
  </si>
  <si>
    <t>合并报表</t>
  </si>
  <si>
    <t>CNY</t>
  </si>
  <si>
    <t>财务摘要(ORIG,亿元)</t>
  </si>
  <si>
    <t xml:space="preserve">        利润表摘要</t>
  </si>
  <si>
    <t xml:space="preserve">                营业总收入</t>
  </si>
  <si>
    <t xml:space="preserve">                增长率</t>
  </si>
  <si>
    <t xml:space="preserve">                营业总成本</t>
  </si>
  <si>
    <t xml:space="preserve">                营业利润</t>
  </si>
  <si>
    <t xml:space="preserve">                利润总额</t>
  </si>
  <si>
    <t xml:space="preserve">                净利润</t>
  </si>
  <si>
    <t xml:space="preserve">                归属母公司股东的净利润</t>
  </si>
  <si>
    <t xml:space="preserve">                非经常性损益</t>
  </si>
  <si>
    <t xml:space="preserve">                扣非后归属母公司股东的净利润</t>
  </si>
  <si>
    <t xml:space="preserve">                研发支出</t>
  </si>
  <si>
    <t xml:space="preserve">                EBIT</t>
  </si>
  <si>
    <t xml:space="preserve">                EBITDA</t>
  </si>
  <si>
    <t xml:space="preserve">        资产负债表摘要</t>
  </si>
  <si>
    <t xml:space="preserve">                流动资产</t>
  </si>
  <si>
    <t xml:space="preserve">                固定资产</t>
  </si>
  <si>
    <t xml:space="preserve">                长期股权投资</t>
  </si>
  <si>
    <t xml:space="preserve">                资产总计</t>
  </si>
  <si>
    <t xml:space="preserve">                流动负债</t>
  </si>
  <si>
    <t xml:space="preserve">                非流动负债</t>
  </si>
  <si>
    <t xml:space="preserve">                负债合计</t>
  </si>
  <si>
    <t xml:space="preserve">                股东权益</t>
  </si>
  <si>
    <t xml:space="preserve">                归属母公司股东的权益</t>
  </si>
  <si>
    <t xml:space="preserve">                资本公积金</t>
  </si>
  <si>
    <t xml:space="preserve">                盈余公积金</t>
  </si>
  <si>
    <t xml:space="preserve">                未分配利润</t>
  </si>
  <si>
    <t xml:space="preserve">        现金流量表摘要</t>
  </si>
  <si>
    <t xml:space="preserve">                销售商品提供劳务收到的现金</t>
  </si>
  <si>
    <t xml:space="preserve">                经营活动现金净流量</t>
  </si>
  <si>
    <t xml:space="preserve">                购建固定无形长期资产支付的现金</t>
  </si>
  <si>
    <t xml:space="preserve">                投资支付的现金</t>
  </si>
  <si>
    <t xml:space="preserve">                投资活动现金净流量</t>
  </si>
  <si>
    <t xml:space="preserve">                吸收投资收到的现金</t>
  </si>
  <si>
    <t xml:space="preserve">                取得借款收到的现金</t>
  </si>
  <si>
    <t xml:space="preserve">                筹资活动现金净流量</t>
  </si>
  <si>
    <t xml:space="preserve">                现金净增加额</t>
  </si>
  <si>
    <t xml:space="preserve">                期末现金余额</t>
  </si>
  <si>
    <t xml:space="preserve">                折旧与摊销</t>
  </si>
  <si>
    <t xml:space="preserve">        关键比率</t>
  </si>
  <si>
    <t xml:space="preserve">                ROE(摊薄)(%)</t>
  </si>
  <si>
    <t xml:space="preserve">                ROE(加权)(%)</t>
  </si>
  <si>
    <t xml:space="preserve">                扣非后ROE(摊薄)(%)</t>
  </si>
  <si>
    <t xml:space="preserve">                ROA(%)</t>
  </si>
  <si>
    <t xml:space="preserve">                ROIC(%)</t>
  </si>
  <si>
    <t xml:space="preserve">                销售毛利率(%)</t>
  </si>
  <si>
    <t xml:space="preserve">                销售净利率(%)</t>
  </si>
  <si>
    <t xml:space="preserve">                EBIT Margin(%)</t>
  </si>
  <si>
    <t xml:space="preserve">                EBITDA Margin(%)</t>
  </si>
  <si>
    <t xml:space="preserve">                资产负债率(%)</t>
  </si>
  <si>
    <t xml:space="preserve">                资产周转率(倍)</t>
  </si>
  <si>
    <t xml:space="preserve">                销售商品和劳务收到现金/营业收入(%)</t>
  </si>
  <si>
    <t xml:space="preserve">        每股指标</t>
  </si>
  <si>
    <t xml:space="preserve">                EPS(基本)</t>
  </si>
  <si>
    <t xml:space="preserve">                EPS(稀释)</t>
  </si>
  <si>
    <t xml:space="preserve">                EPS(摊薄)</t>
  </si>
  <si>
    <t xml:space="preserve">                扣非后EPS(基本)</t>
  </si>
  <si>
    <t xml:space="preserve">                每股净资产BPS</t>
  </si>
  <si>
    <t xml:space="preserve">                每股销售额SPS</t>
  </si>
  <si>
    <t xml:space="preserve">                每股经营现金流OCFPS</t>
  </si>
  <si>
    <t xml:space="preserve">                每股现金净流量CFPS</t>
  </si>
  <si>
    <t xml:space="preserve">                P/E(TTM)</t>
  </si>
  <si>
    <t xml:space="preserve">                P/E(LYR)</t>
  </si>
  <si>
    <t xml:space="preserve">                P/B(MRQ)</t>
  </si>
  <si>
    <t xml:space="preserve">                P/S(TTM)</t>
  </si>
  <si>
    <t xml:space="preserve">        其他</t>
  </si>
  <si>
    <t xml:space="preserve">                员工总数(人)</t>
  </si>
  <si>
    <t/>
  </si>
  <si>
    <t>合并报表</t>
    <phoneticPr fontId="1" type="noConversion"/>
  </si>
  <si>
    <t>期末汇率</t>
    <phoneticPr fontId="1" type="noConversion"/>
  </si>
  <si>
    <t>主营构成(按指标)(ORIG,亿元)</t>
  </si>
  <si>
    <t xml:space="preserve">                产品</t>
  </si>
  <si>
    <t xml:space="preserve">                        其他业务</t>
  </si>
  <si>
    <t xml:space="preserve">                地区</t>
  </si>
  <si>
    <t xml:space="preserve">                        中国大陆</t>
  </si>
  <si>
    <t xml:space="preserve">                        其他业务(地区)</t>
  </si>
  <si>
    <t xml:space="preserve">        营业成本</t>
  </si>
  <si>
    <t xml:space="preserve">        毛利</t>
  </si>
  <si>
    <t xml:space="preserve">        毛利率(%)</t>
  </si>
  <si>
    <t xml:space="preserve">                        诊断试剂及耗材</t>
  </si>
  <si>
    <t xml:space="preserve">                        体外诊断仪器设备</t>
  </si>
  <si>
    <t xml:space="preserve">                        医疗检验集约化营销及服务业务</t>
  </si>
  <si>
    <t xml:space="preserve">                        体外诊断产品销售业务</t>
  </si>
  <si>
    <t>value</t>
    <phoneticPr fontId="1" type="noConversion"/>
  </si>
  <si>
    <t>主体评级</t>
    <phoneticPr fontId="1" type="noConversion"/>
  </si>
  <si>
    <t>评级机构</t>
    <phoneticPr fontId="1" type="noConversion"/>
  </si>
  <si>
    <t>合并报表</t>
    <phoneticPr fontId="1" type="noConversion"/>
  </si>
  <si>
    <t>中报</t>
    <phoneticPr fontId="1" type="noConversion"/>
  </si>
  <si>
    <t>CNY</t>
    <phoneticPr fontId="1" type="noConversion"/>
  </si>
  <si>
    <t>CNY</t>
    <phoneticPr fontId="1" type="noConversion"/>
  </si>
  <si>
    <t>期末汇率</t>
    <phoneticPr fontId="1" type="noConversion"/>
  </si>
  <si>
    <t>期末汇率</t>
    <phoneticPr fontId="1" type="noConversion"/>
  </si>
  <si>
    <t>期末汇率</t>
    <phoneticPr fontId="1" type="noConversion"/>
  </si>
  <si>
    <t>合并报表</t>
    <phoneticPr fontId="1" type="noConversion"/>
  </si>
  <si>
    <t>CNY</t>
    <phoneticPr fontId="1" type="noConversion"/>
  </si>
  <si>
    <t>期末汇率</t>
    <phoneticPr fontId="1" type="noConversion"/>
  </si>
  <si>
    <t>合并报表</t>
    <phoneticPr fontId="1" type="noConversion"/>
  </si>
  <si>
    <t>期末汇率</t>
    <phoneticPr fontId="1" type="noConversion"/>
  </si>
  <si>
    <t>期末汇率</t>
    <phoneticPr fontId="1" type="noConversion"/>
  </si>
  <si>
    <t>合并报表</t>
    <phoneticPr fontId="1" type="noConversion"/>
  </si>
  <si>
    <t>col</t>
    <phoneticPr fontId="1" type="noConversion"/>
  </si>
  <si>
    <t>value</t>
    <phoneticPr fontId="1" type="noConversion"/>
  </si>
  <si>
    <t>最新报告期</t>
    <phoneticPr fontId="1" type="noConversion"/>
  </si>
  <si>
    <t>基金持股比例合计</t>
    <phoneticPr fontId="1" type="noConversion"/>
  </si>
  <si>
    <r>
      <t xml:space="preserve">                </t>
    </r>
    <r>
      <rPr>
        <sz val="9"/>
        <color theme="1"/>
        <rFont val="宋体"/>
        <family val="3"/>
        <charset val="134"/>
      </rPr>
      <t>产品</t>
    </r>
    <phoneticPr fontId="1" type="noConversion"/>
  </si>
  <si>
    <r>
      <t xml:space="preserve">                </t>
    </r>
    <r>
      <rPr>
        <sz val="9"/>
        <color theme="1"/>
        <rFont val="宋体"/>
        <family val="3"/>
        <charset val="134"/>
      </rPr>
      <t>地区</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</si>
</sst>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00"/>
    <numFmt numFmtId="177" formatCode="0_);[Red]\(0\)"/>
    <numFmt numFmtId="178" formatCode="###,###,##0.00000"/>
    <numFmt numFmtId="179" formatCode="###,###,##0"/>
    <numFmt numFmtId="180" formatCode="yyyy\-mm\-dd"/>
    <numFmt numFmtId="181" formatCode="#,##0.00_ "/>
    <numFmt numFmtId="182" formatCode="0.00_);[Red]\(0.00\)"/>
    <numFmt numFmtId="183" formatCode="#,##0.00_ ;[Red]\-#,##0.00\ "/>
    <numFmt numFmtId="184" formatCode="[Blue]#,##0.00;[Red]\-#,##0.00"/>
    <numFmt numFmtId="185" formatCode="#,##0.0000"/>
    <numFmt numFmtId="187" formatCode="0.00_ "/>
    <numFmt numFmtId="188" formatCode="#,##0.0000_ "/>
  </numFmts>
  <fonts count="26" x14ac:knownFonts="1">
    <font>
      <sz val="11"/>
      <color theme="1"/>
      <name val="等线"/>
      <family val="2"/>
      <scheme val="minor"/>
    </font>
    <font>
      <sz val="9"/>
      <name val="等线"/>
      <family val="3"/>
      <charset val="134"/>
      <scheme val="minor"/>
    </font>
    <font>
      <sz val="11"/>
      <color theme="1"/>
      <name val="等线"/>
      <family val="2"/>
      <charset val="134"/>
      <scheme val="minor"/>
    </font>
    <font>
      <b/>
      <sz val="9"/>
      <color indexed="81"/>
      <name val="宋体"/>
      <family val="3"/>
      <charset val="134"/>
    </font>
    <font>
      <sz val="9"/>
      <color indexed="81"/>
      <name val="宋体"/>
      <family val="3"/>
      <charset val="134"/>
    </font>
    <font>
      <sz val="11"/>
      <name val="等线"/>
      <family val="2"/>
      <charset val="134"/>
      <scheme val="minor"/>
    </font>
    <font>
      <sz val="9"/>
      <name val="Arial"/>
      <family val="2"/>
    </font>
    <font>
      <sz val="9"/>
      <name val="宋体"/>
      <family val="2"/>
      <charset val="134"/>
    </font>
    <font>
      <sz val="11"/>
      <name val="等线"/>
      <family val="3"/>
      <charset val="134"/>
      <scheme val="minor"/>
    </font>
    <font>
      <sz val="9"/>
      <name val="等线"/>
      <family val="2"/>
      <charset val="134"/>
      <scheme val="minor"/>
    </font>
    <font>
      <b/>
      <sz val="9"/>
      <name val="Arial"/>
      <family val="2"/>
    </font>
    <font>
      <b/>
      <sz val="11"/>
      <name val="等线"/>
      <family val="3"/>
      <charset val="134"/>
      <scheme val="minor"/>
    </font>
    <font>
      <b/>
      <sz val="11"/>
      <color rgb="FFFF0000"/>
      <name val="等线"/>
      <family val="3"/>
      <charset val="134"/>
      <scheme val="minor"/>
    </font>
    <font>
      <sz val="9"/>
      <color indexed="81"/>
      <name val="Tahoma"/>
      <family val="2"/>
    </font>
    <font>
      <b/>
      <sz val="9"/>
      <color indexed="81"/>
      <name val="Tahoma"/>
      <family val="2"/>
    </font>
    <font>
      <sz val="9"/>
      <color theme="1"/>
      <name val="Arial"/>
      <family val="2"/>
    </font>
    <font>
      <sz val="9"/>
      <color theme="1"/>
      <name val="宋体"/>
      <family val="2"/>
      <charset val="134"/>
    </font>
    <font>
      <sz val="11"/>
      <color theme="1"/>
      <name val="Arial"/>
      <family val="2"/>
    </font>
    <font>
      <b/>
      <sz val="9"/>
      <color rgb="FFFF0000"/>
      <name val="Arial"/>
      <family val="2"/>
    </font>
    <font>
      <b/>
      <sz val="9"/>
      <color rgb="FFFF0000"/>
      <name val="宋体"/>
      <family val="2"/>
      <charset val="134"/>
    </font>
    <font>
      <b/>
      <sz val="9"/>
      <color theme="1"/>
      <name val="Arial"/>
      <family val="2"/>
    </font>
    <font>
      <b/>
      <sz val="9"/>
      <color theme="1"/>
      <name val="宋体"/>
      <family val="2"/>
      <charset val="134"/>
    </font>
    <font>
      <sz val="9"/>
      <color rgb="FFFF0000"/>
      <name val="宋体"/>
      <family val="2"/>
      <charset val="134"/>
    </font>
    <font>
      <sz val="9"/>
      <color rgb="FFFF0000"/>
      <name val="Arial"/>
      <family val="2"/>
    </font>
    <font>
      <sz val="9"/>
      <color theme="1"/>
      <name val="等线"/>
      <family val="2"/>
    </font>
    <font>
      <sz val="9"/>
      <color theme="1"/>
      <name val="宋体"/>
      <family val="3"/>
      <charset val="134"/>
    </font>
  </fonts>
  <fills count="11">
    <fill>
      <patternFill patternType="none"/>
    </fill>
    <fill>
      <patternFill patternType="gray125"/>
    </fill>
    <fill>
      <patternFill patternType="solid">
        <fgColor rgb="FFFFFF00"/>
        <bgColor indexed="64"/>
      </patternFill>
    </fill>
    <fill>
      <patternFill patternType="solid">
        <fgColor rgb="FFFDE9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DBE5F1"/>
        <bgColor indexed="64"/>
      </patternFill>
    </fill>
    <fill>
      <patternFill patternType="solid">
        <fgColor rgb="FF92D050"/>
        <bgColor indexed="64"/>
      </patternFill>
    </fill>
    <fill>
      <patternFill patternType="solid">
        <fgColor rgb="FFC4DEF7"/>
        <bgColor indexed="64"/>
      </patternFill>
    </fill>
    <fill>
      <patternFill patternType="solid">
        <fgColor rgb="FFECF4FD"/>
        <bgColor indexed="64"/>
      </patternFill>
    </fill>
    <fill>
      <patternFill patternType="solid">
        <fgColor rgb="FFF2F2F2"/>
        <bgColor indexed="64"/>
      </patternFill>
    </fill>
  </fills>
  <borders count="22">
    <border>
      <left/>
      <right/>
      <top/>
      <bottom/>
      <diagonal/>
    </border>
    <border>
      <left/>
      <right style="thin">
        <color indexed="64"/>
      </right>
      <top/>
      <bottom/>
      <diagonal/>
    </border>
    <border>
      <left style="thin">
        <color rgb="FFFAC090"/>
      </left>
      <right style="thin">
        <color rgb="FFFAC090"/>
      </right>
      <top style="thin">
        <color rgb="FFFAC090"/>
      </top>
      <bottom style="thin">
        <color rgb="FFFAC090"/>
      </bottom>
      <diagonal/>
    </border>
    <border>
      <left style="thin">
        <color auto="1"/>
      </left>
      <right style="hair">
        <color auto="1"/>
      </right>
      <top style="thin">
        <color auto="1"/>
      </top>
      <bottom/>
      <diagonal/>
    </border>
    <border>
      <left style="hair">
        <color auto="1"/>
      </left>
      <right style="dotted">
        <color auto="1"/>
      </right>
      <top style="thin">
        <color auto="1"/>
      </top>
      <bottom style="dotted">
        <color auto="1"/>
      </bottom>
      <diagonal/>
    </border>
    <border>
      <left style="dotted">
        <color auto="1"/>
      </left>
      <right style="dotted">
        <color auto="1"/>
      </right>
      <top style="thin">
        <color auto="1"/>
      </top>
      <bottom style="dotted">
        <color auto="1"/>
      </bottom>
      <diagonal/>
    </border>
    <border>
      <left style="dotted">
        <color auto="1"/>
      </left>
      <right style="thin">
        <color auto="1"/>
      </right>
      <top style="thin">
        <color auto="1"/>
      </top>
      <bottom style="dotted">
        <color auto="1"/>
      </bottom>
      <diagonal/>
    </border>
    <border>
      <left style="thin">
        <color auto="1"/>
      </left>
      <right style="hair">
        <color auto="1"/>
      </right>
      <top style="dotted">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hair">
        <color auto="1"/>
      </bottom>
      <diagonal/>
    </border>
    <border>
      <left style="thin">
        <color auto="1"/>
      </left>
      <right style="hair">
        <color auto="1"/>
      </right>
      <top/>
      <bottom style="thin">
        <color auto="1"/>
      </bottom>
      <diagonal/>
    </border>
    <border>
      <left style="hair">
        <color auto="1"/>
      </left>
      <right style="thin">
        <color auto="1"/>
      </right>
      <top style="hair">
        <color auto="1"/>
      </top>
      <bottom style="thin">
        <color auto="1"/>
      </bottom>
      <diagonal/>
    </border>
    <border>
      <left/>
      <right style="thin">
        <color indexed="64"/>
      </right>
      <top/>
      <bottom style="medium">
        <color indexed="64"/>
      </bottom>
      <diagonal/>
    </border>
    <border>
      <left/>
      <right/>
      <top style="thin">
        <color rgb="FFFAC090"/>
      </top>
      <bottom style="medium">
        <color indexed="64"/>
      </bottom>
      <diagonal/>
    </border>
    <border>
      <left style="thin">
        <color rgb="FFFFFFFF"/>
      </left>
      <right style="thin">
        <color rgb="FFFFFFFF"/>
      </right>
      <top style="thin">
        <color rgb="FFFFFFFF"/>
      </top>
      <bottom style="thin">
        <color rgb="FFFFFFFF"/>
      </bottom>
      <diagonal/>
    </border>
  </borders>
  <cellStyleXfs count="2">
    <xf numFmtId="0" fontId="0" fillId="0" borderId="0"/>
    <xf numFmtId="0" fontId="2" fillId="0" borderId="0">
      <alignment vertical="center"/>
    </xf>
  </cellStyleXfs>
  <cellXfs count="97">
    <xf numFmtId="0" fontId="0" fillId="0" borderId="0" xfId="0"/>
    <xf numFmtId="0" fontId="0" fillId="0" borderId="0" xfId="0" applyAlignment="1">
      <alignment horizontal="center"/>
    </xf>
    <xf numFmtId="0" fontId="0" fillId="0" borderId="0" xfId="0" applyAlignment="1">
      <alignment horizontal="center" wrapText="1"/>
    </xf>
    <xf numFmtId="0" fontId="0" fillId="2" borderId="0" xfId="0" applyFill="1" applyAlignment="1">
      <alignment horizontal="center"/>
    </xf>
    <xf numFmtId="0" fontId="0" fillId="0" borderId="0" xfId="0" applyAlignment="1">
      <alignment horizontal="left"/>
    </xf>
    <xf numFmtId="176" fontId="0" fillId="0" borderId="0" xfId="0" applyNumberFormat="1" applyAlignment="1">
      <alignment horizontal="center"/>
    </xf>
    <xf numFmtId="177" fontId="0" fillId="0" borderId="0" xfId="0" applyNumberFormat="1" applyAlignment="1">
      <alignment horizontal="center"/>
    </xf>
    <xf numFmtId="178" fontId="0" fillId="0" borderId="0" xfId="0" applyNumberFormat="1" applyAlignment="1">
      <alignment horizontal="center"/>
    </xf>
    <xf numFmtId="179" fontId="0" fillId="0" borderId="0" xfId="0" applyNumberFormat="1" applyAlignment="1">
      <alignment horizontal="center"/>
    </xf>
    <xf numFmtId="0" fontId="0" fillId="0" borderId="0" xfId="0" applyNumberFormat="1" applyAlignment="1">
      <alignment horizontal="center"/>
    </xf>
    <xf numFmtId="0" fontId="5" fillId="0" borderId="0" xfId="1" applyFont="1">
      <alignment vertical="center"/>
    </xf>
    <xf numFmtId="0" fontId="6" fillId="3" borderId="2" xfId="1" applyFont="1" applyFill="1" applyBorder="1" applyAlignment="1">
      <alignment horizontal="center" vertical="center"/>
    </xf>
    <xf numFmtId="0" fontId="6" fillId="0" borderId="0" xfId="1" applyFont="1" applyAlignment="1">
      <alignment horizontal="center" vertical="center"/>
    </xf>
    <xf numFmtId="0" fontId="6" fillId="0" borderId="4" xfId="1" applyFont="1" applyBorder="1" applyAlignment="1">
      <alignment horizontal="center" vertical="center"/>
    </xf>
    <xf numFmtId="180" fontId="10" fillId="0" borderId="5" xfId="1" applyNumberFormat="1" applyFont="1" applyBorder="1" applyAlignment="1">
      <alignment horizontal="center" vertical="center"/>
    </xf>
    <xf numFmtId="180" fontId="10" fillId="0" borderId="6" xfId="1" applyNumberFormat="1" applyFont="1" applyBorder="1" applyAlignment="1">
      <alignment horizontal="center" vertical="center"/>
    </xf>
    <xf numFmtId="0" fontId="11" fillId="4" borderId="7" xfId="1" applyFont="1" applyFill="1" applyBorder="1" applyAlignment="1">
      <alignment horizontal="center" vertical="center" wrapText="1"/>
    </xf>
    <xf numFmtId="0" fontId="11" fillId="5" borderId="8" xfId="1" applyFont="1" applyFill="1" applyBorder="1" applyAlignment="1">
      <alignment horizontal="center" vertical="center" wrapText="1"/>
    </xf>
    <xf numFmtId="10" fontId="11" fillId="0" borderId="8" xfId="1" applyNumberFormat="1" applyFont="1" applyBorder="1" applyAlignment="1">
      <alignment horizontal="center" vertical="center" wrapText="1"/>
    </xf>
    <xf numFmtId="10" fontId="11" fillId="0" borderId="9" xfId="1" applyNumberFormat="1" applyFont="1" applyBorder="1" applyAlignment="1">
      <alignment horizontal="center" vertical="center" wrapText="1"/>
    </xf>
    <xf numFmtId="0" fontId="5" fillId="0" borderId="0" xfId="1" applyFont="1" applyAlignment="1">
      <alignment vertical="center" wrapText="1"/>
    </xf>
    <xf numFmtId="0" fontId="11" fillId="4" borderId="10" xfId="1" applyFont="1" applyFill="1" applyBorder="1" applyAlignment="1">
      <alignment horizontal="center" vertical="center" wrapText="1"/>
    </xf>
    <xf numFmtId="181" fontId="11" fillId="0" borderId="8" xfId="1" applyNumberFormat="1" applyFont="1" applyBorder="1" applyAlignment="1">
      <alignment horizontal="center" vertical="center" wrapText="1"/>
    </xf>
    <xf numFmtId="181" fontId="11" fillId="0" borderId="9" xfId="1" applyNumberFormat="1" applyFont="1" applyBorder="1" applyAlignment="1">
      <alignment horizontal="center" vertical="center" wrapText="1"/>
    </xf>
    <xf numFmtId="0" fontId="11" fillId="0" borderId="8" xfId="1" applyFont="1" applyBorder="1" applyAlignment="1">
      <alignment horizontal="center" vertical="center" wrapText="1"/>
    </xf>
    <xf numFmtId="182" fontId="11" fillId="0" borderId="8" xfId="1" applyNumberFormat="1" applyFont="1" applyBorder="1" applyAlignment="1">
      <alignment horizontal="center" vertical="center" wrapText="1"/>
    </xf>
    <xf numFmtId="182" fontId="11" fillId="0" borderId="9" xfId="1" applyNumberFormat="1" applyFont="1" applyBorder="1" applyAlignment="1">
      <alignment horizontal="center" vertical="center" wrapText="1"/>
    </xf>
    <xf numFmtId="0" fontId="11" fillId="4" borderId="8" xfId="1" applyFont="1" applyFill="1" applyBorder="1" applyAlignment="1">
      <alignment horizontal="center" vertical="center" wrapText="1"/>
    </xf>
    <xf numFmtId="181" fontId="11" fillId="4" borderId="8" xfId="1" applyNumberFormat="1" applyFont="1" applyFill="1" applyBorder="1" applyAlignment="1">
      <alignment horizontal="center" vertical="center" wrapText="1"/>
    </xf>
    <xf numFmtId="0" fontId="11" fillId="4" borderId="15" xfId="1" applyFont="1" applyFill="1" applyBorder="1" applyAlignment="1">
      <alignment horizontal="center" vertical="center" wrapText="1"/>
    </xf>
    <xf numFmtId="181" fontId="11" fillId="4" borderId="15" xfId="1" applyNumberFormat="1" applyFont="1" applyFill="1" applyBorder="1" applyAlignment="1">
      <alignment horizontal="center" vertical="center" wrapText="1"/>
    </xf>
    <xf numFmtId="0" fontId="5" fillId="0" borderId="16" xfId="1" applyFont="1" applyBorder="1" applyAlignment="1">
      <alignment horizontal="center" vertical="center" wrapText="1"/>
    </xf>
    <xf numFmtId="181" fontId="8" fillId="0" borderId="16" xfId="1" applyNumberFormat="1" applyFont="1" applyBorder="1" applyAlignment="1">
      <alignment horizontal="center" vertical="center" wrapText="1"/>
    </xf>
    <xf numFmtId="0" fontId="5" fillId="0" borderId="8" xfId="1" applyFont="1" applyBorder="1" applyAlignment="1">
      <alignment horizontal="center" vertical="center" wrapText="1"/>
    </xf>
    <xf numFmtId="181" fontId="8" fillId="0" borderId="8" xfId="1" applyNumberFormat="1" applyFont="1" applyBorder="1" applyAlignment="1">
      <alignment horizontal="center" vertical="center" wrapText="1"/>
    </xf>
    <xf numFmtId="181" fontId="8" fillId="0" borderId="9" xfId="1" applyNumberFormat="1" applyFont="1" applyBorder="1" applyAlignment="1">
      <alignment horizontal="center" vertical="center" wrapText="1"/>
    </xf>
    <xf numFmtId="181" fontId="12" fillId="2" borderId="9" xfId="1" applyNumberFormat="1" applyFont="1" applyFill="1" applyBorder="1" applyAlignment="1">
      <alignment horizontal="center" vertical="center" wrapText="1"/>
    </xf>
    <xf numFmtId="10" fontId="8" fillId="0" borderId="8" xfId="1" applyNumberFormat="1" applyFont="1" applyBorder="1" applyAlignment="1">
      <alignment horizontal="center" vertical="center" wrapText="1"/>
    </xf>
    <xf numFmtId="10" fontId="8" fillId="2" borderId="8" xfId="1" applyNumberFormat="1" applyFont="1" applyFill="1" applyBorder="1" applyAlignment="1">
      <alignment horizontal="center" vertical="center" wrapText="1"/>
    </xf>
    <xf numFmtId="0" fontId="5" fillId="0" borderId="15" xfId="1" applyFont="1" applyBorder="1" applyAlignment="1">
      <alignment horizontal="center" vertical="center" wrapText="1"/>
    </xf>
    <xf numFmtId="10" fontId="8" fillId="0" borderId="15" xfId="1" applyNumberFormat="1" applyFont="1" applyBorder="1" applyAlignment="1">
      <alignment horizontal="center" vertical="center" wrapText="1"/>
    </xf>
    <xf numFmtId="10" fontId="8" fillId="0" borderId="18" xfId="1" applyNumberFormat="1" applyFont="1" applyBorder="1" applyAlignment="1">
      <alignment horizontal="center" vertical="center" wrapText="1"/>
    </xf>
    <xf numFmtId="10" fontId="8" fillId="0" borderId="0" xfId="1" applyNumberFormat="1" applyFont="1" applyAlignment="1">
      <alignment horizontal="right" vertical="center" wrapText="1"/>
    </xf>
    <xf numFmtId="0" fontId="15" fillId="0" borderId="1" xfId="1" applyFont="1" applyBorder="1" applyAlignment="1">
      <alignment horizontal="right" vertical="center"/>
    </xf>
    <xf numFmtId="0" fontId="17" fillId="0" borderId="0" xfId="1" applyFont="1" applyAlignment="1">
      <alignment horizontal="center" vertical="center"/>
    </xf>
    <xf numFmtId="0" fontId="2" fillId="0" borderId="0" xfId="1">
      <alignment vertical="center"/>
    </xf>
    <xf numFmtId="0" fontId="15" fillId="0" borderId="0" xfId="1" applyFont="1" applyAlignment="1">
      <alignment horizontal="center" vertical="center"/>
    </xf>
    <xf numFmtId="180" fontId="15" fillId="3" borderId="2" xfId="1" applyNumberFormat="1" applyFont="1" applyFill="1" applyBorder="1" applyAlignment="1">
      <alignment horizontal="center" vertical="center"/>
    </xf>
    <xf numFmtId="0" fontId="15" fillId="0" borderId="19" xfId="1" applyFont="1" applyBorder="1" applyAlignment="1">
      <alignment horizontal="right" vertical="center"/>
    </xf>
    <xf numFmtId="0" fontId="15" fillId="0" borderId="20" xfId="1" applyFont="1" applyBorder="1" applyAlignment="1">
      <alignment horizontal="center" vertical="center"/>
    </xf>
    <xf numFmtId="0" fontId="15" fillId="6" borderId="1" xfId="1" applyFont="1" applyFill="1" applyBorder="1">
      <alignment vertical="center"/>
    </xf>
    <xf numFmtId="0" fontId="2" fillId="6" borderId="0" xfId="1" applyFill="1">
      <alignment vertical="center"/>
    </xf>
    <xf numFmtId="0" fontId="18" fillId="0" borderId="1" xfId="1" applyFont="1" applyBorder="1">
      <alignment vertical="center"/>
    </xf>
    <xf numFmtId="183" fontId="18" fillId="0" borderId="0" xfId="1" applyNumberFormat="1" applyFont="1">
      <alignment vertical="center"/>
    </xf>
    <xf numFmtId="0" fontId="15" fillId="7" borderId="1" xfId="1" applyFont="1" applyFill="1" applyBorder="1">
      <alignment vertical="center"/>
    </xf>
    <xf numFmtId="0" fontId="15" fillId="0" borderId="1" xfId="1" applyFont="1" applyBorder="1">
      <alignment vertical="center"/>
    </xf>
    <xf numFmtId="0" fontId="20" fillId="0" borderId="1" xfId="1" applyFont="1" applyBorder="1">
      <alignment vertical="center"/>
    </xf>
    <xf numFmtId="183" fontId="15" fillId="0" borderId="0" xfId="1" applyNumberFormat="1" applyFont="1">
      <alignment vertical="center"/>
    </xf>
    <xf numFmtId="183" fontId="20" fillId="0" borderId="0" xfId="1" applyNumberFormat="1" applyFont="1">
      <alignment vertical="center"/>
    </xf>
    <xf numFmtId="0" fontId="15" fillId="2" borderId="1" xfId="1" applyFont="1" applyFill="1" applyBorder="1">
      <alignment vertical="center"/>
    </xf>
    <xf numFmtId="0" fontId="23" fillId="7" borderId="1" xfId="1" applyFont="1" applyFill="1" applyBorder="1">
      <alignment vertical="center"/>
    </xf>
    <xf numFmtId="183" fontId="23" fillId="0" borderId="0" xfId="1" applyNumberFormat="1" applyFont="1">
      <alignment vertical="center"/>
    </xf>
    <xf numFmtId="0" fontId="2" fillId="0" borderId="1" xfId="1" applyBorder="1">
      <alignment vertical="center"/>
    </xf>
    <xf numFmtId="0" fontId="8" fillId="0" borderId="3" xfId="1" applyFont="1" applyBorder="1" applyAlignment="1">
      <alignment horizontal="center" vertical="center" wrapText="1"/>
    </xf>
    <xf numFmtId="0" fontId="5" fillId="0" borderId="0" xfId="1" applyFont="1" applyAlignment="1">
      <alignment horizontal="center" vertical="center"/>
    </xf>
    <xf numFmtId="0" fontId="6" fillId="0" borderId="1" xfId="1" applyFont="1" applyBorder="1" applyAlignment="1">
      <alignment horizontal="center" vertical="center"/>
    </xf>
    <xf numFmtId="0" fontId="5" fillId="0" borderId="0" xfId="1" applyFont="1" applyAlignment="1">
      <alignment horizontal="center" vertical="center" wrapText="1"/>
    </xf>
    <xf numFmtId="0" fontId="11" fillId="5" borderId="0" xfId="1" applyFont="1" applyFill="1" applyAlignment="1">
      <alignment horizontal="center" vertical="center" wrapText="1"/>
    </xf>
    <xf numFmtId="10" fontId="8" fillId="0" borderId="0" xfId="1" applyNumberFormat="1" applyFont="1" applyAlignment="1">
      <alignment horizontal="center" vertical="center" wrapText="1"/>
    </xf>
    <xf numFmtId="0" fontId="15" fillId="0" borderId="0" xfId="0" applyFont="1" applyAlignment="1">
      <alignment horizontal="right"/>
    </xf>
    <xf numFmtId="0" fontId="15" fillId="0" borderId="0" xfId="0" applyFont="1" applyAlignment="1">
      <alignment horizontal="center"/>
    </xf>
    <xf numFmtId="0" fontId="15" fillId="3" borderId="2" xfId="0" applyFont="1" applyFill="1" applyBorder="1" applyAlignment="1">
      <alignment horizontal="center"/>
    </xf>
    <xf numFmtId="0" fontId="0" fillId="6" borderId="21" xfId="0" applyFill="1" applyBorder="1"/>
    <xf numFmtId="0" fontId="20" fillId="6" borderId="21" xfId="0" applyFont="1" applyFill="1" applyBorder="1"/>
    <xf numFmtId="49" fontId="15" fillId="8" borderId="21" xfId="0" applyNumberFormat="1" applyFont="1" applyFill="1" applyBorder="1" applyAlignment="1">
      <alignment horizontal="left"/>
    </xf>
    <xf numFmtId="49" fontId="15" fillId="9" borderId="21" xfId="0" applyNumberFormat="1" applyFont="1" applyFill="1" applyBorder="1" applyAlignment="1">
      <alignment horizontal="left"/>
    </xf>
    <xf numFmtId="0" fontId="20" fillId="0" borderId="0" xfId="0" applyFont="1"/>
    <xf numFmtId="180" fontId="15" fillId="8" borderId="21" xfId="0" applyNumberFormat="1" applyFont="1" applyFill="1" applyBorder="1" applyAlignment="1">
      <alignment horizontal="right"/>
    </xf>
    <xf numFmtId="184" fontId="15" fillId="10" borderId="21" xfId="0" applyNumberFormat="1" applyFont="1" applyFill="1" applyBorder="1" applyAlignment="1">
      <alignment horizontal="right"/>
    </xf>
    <xf numFmtId="184" fontId="15" fillId="0" borderId="0" xfId="0" applyNumberFormat="1" applyFont="1" applyAlignment="1">
      <alignment horizontal="right"/>
    </xf>
    <xf numFmtId="185" fontId="15" fillId="10" borderId="21" xfId="0" applyNumberFormat="1" applyFont="1" applyFill="1" applyBorder="1" applyAlignment="1">
      <alignment horizontal="right"/>
    </xf>
    <xf numFmtId="185" fontId="15" fillId="0" borderId="0" xfId="0" applyNumberFormat="1" applyFont="1" applyAlignment="1">
      <alignment horizontal="right"/>
    </xf>
    <xf numFmtId="180" fontId="15" fillId="0" borderId="0" xfId="0" applyNumberFormat="1" applyFont="1" applyAlignment="1">
      <alignment horizontal="right"/>
    </xf>
    <xf numFmtId="180" fontId="15" fillId="10" borderId="21" xfId="0" applyNumberFormat="1" applyFont="1" applyFill="1" applyBorder="1" applyAlignment="1">
      <alignment horizontal="right"/>
    </xf>
    <xf numFmtId="0" fontId="11" fillId="4" borderId="11" xfId="1" applyFont="1" applyFill="1" applyBorder="1" applyAlignment="1">
      <alignment horizontal="center" vertical="center" wrapText="1"/>
    </xf>
    <xf numFmtId="0" fontId="11" fillId="4" borderId="12" xfId="1" applyFont="1" applyFill="1" applyBorder="1" applyAlignment="1">
      <alignment horizontal="center" vertical="center" wrapText="1"/>
    </xf>
    <xf numFmtId="0" fontId="5" fillId="0" borderId="13" xfId="1" applyFont="1" applyBorder="1" applyAlignment="1">
      <alignment horizontal="center" vertical="center" wrapText="1"/>
    </xf>
    <xf numFmtId="0" fontId="11" fillId="4" borderId="13" xfId="1" applyFont="1" applyFill="1" applyBorder="1" applyAlignment="1">
      <alignment horizontal="center" vertical="center" wrapText="1"/>
    </xf>
    <xf numFmtId="0" fontId="11" fillId="4" borderId="10" xfId="1" applyFont="1" applyFill="1" applyBorder="1" applyAlignment="1">
      <alignment horizontal="center" vertical="center" wrapText="1"/>
    </xf>
    <xf numFmtId="0" fontId="11" fillId="4" borderId="14" xfId="1" applyFont="1" applyFill="1" applyBorder="1" applyAlignment="1">
      <alignment horizontal="center" vertical="center" wrapText="1"/>
    </xf>
    <xf numFmtId="0" fontId="5" fillId="0" borderId="12" xfId="1" applyFont="1" applyBorder="1" applyAlignment="1">
      <alignment horizontal="center" vertical="center" wrapText="1"/>
    </xf>
    <xf numFmtId="0" fontId="5" fillId="0" borderId="17" xfId="1" applyFont="1" applyBorder="1" applyAlignment="1">
      <alignment horizontal="center" vertical="center" wrapText="1"/>
    </xf>
    <xf numFmtId="14" fontId="0" fillId="0" borderId="0" xfId="0" applyNumberFormat="1"/>
    <xf numFmtId="184" fontId="15" fillId="2" borderId="21" xfId="0" applyNumberFormat="1" applyFont="1" applyFill="1" applyBorder="1" applyAlignment="1">
      <alignment horizontal="right"/>
    </xf>
    <xf numFmtId="10" fontId="0" fillId="0" borderId="0" xfId="0" applyNumberFormat="1"/>
    <xf numFmtId="187" fontId="0" fillId="0" borderId="0" xfId="0" applyNumberFormat="1"/>
    <xf numFmtId="188" fontId="8" fillId="0" borderId="9" xfId="1" applyNumberFormat="1" applyFont="1" applyBorder="1" applyAlignment="1">
      <alignment horizontal="center" vertical="center" wrapText="1"/>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Wind.NET.Client\WindNET\DataBrowse\XLA\WindFunc.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21516;&#27493;\&#25105;&#30340;&#22362;&#26524;&#20113;\&#21487;&#36716;&#20538;\&#37327;&#21270;&#23450;&#20215;\&#36716;&#20538;&#25968;&#25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info_outstandingbalance"/>
      <definedName name="b_rate_creditratingagency"/>
      <definedName name="cb_anal_diluterate"/>
      <definedName name="cb_clause_calloption_redeemmaxspan"/>
      <definedName name="cb_clause_calloption_redeemspan"/>
      <definedName name="cb_clause_calloption_triggerproportion"/>
      <definedName name="cb_clause_conversion_2_swapsharestartdate"/>
      <definedName name="cb_clause_conversion2_swapshareprice"/>
      <definedName name="cb_clause_interest"/>
      <definedName name="cb_clause_putoption_conditionalputbackstartenddate"/>
      <definedName name="cb_clause_putoption_putbacktriggermaxspan"/>
      <definedName name="cb_clause_putoption_putbacktriggerspan"/>
      <definedName name="cb_clause_putoption_redeem_triggerproportion"/>
      <definedName name="cb_clause_putoption_resellingpriceexplaination"/>
      <definedName name="cb_info_creditrating"/>
      <definedName name="cb_info_listeddate"/>
      <definedName name="cb_info_name"/>
      <definedName name="cb_info_term"/>
      <definedName name="cb_info_underlyingcode"/>
      <definedName name="cb_info_underlyingname"/>
      <definedName name="issuerrating"/>
      <definedName name="s_dq_close"/>
      <definedName name="s_holder_controller"/>
      <definedName name="s_holder_controllerattr"/>
      <definedName name="s_holder_name"/>
      <definedName name="s_holder_pct"/>
      <definedName name="s_holder_pctbyfund"/>
      <definedName name="s_info_boardchairmen"/>
      <definedName name="s_info_ceo"/>
      <definedName name="s_info_compname"/>
      <definedName name="s_info_industry_sw"/>
      <definedName name="s_info_majorproducttype"/>
      <definedName name="s_info_name"/>
      <definedName name="s_ipo_listdays"/>
      <definedName name="s_risk_stdevr100"/>
      <definedName name="s_share_freeshares"/>
      <definedName name="s_share_pledgeda_pct_holder"/>
      <definedName name="s_share_rtd_datatype_fwd"/>
      <definedName name="s_share_rtd_unlockingdate_fwd"/>
      <definedName name="s_share_tradable_current_fwd"/>
      <definedName name="s_share_tradable_sharetype_fwd"/>
      <definedName name="s_stm07_bs"/>
      <definedName name="S_Stm07_BS_158"/>
      <definedName name="S_STM07_CS"/>
      <definedName name="S_Stm07_CS_12"/>
      <definedName name="S_Stm07_CS_121"/>
      <definedName name="S_Stm07_CS_13"/>
      <definedName name="S_Stm07_CS_14"/>
      <definedName name="S_Stm07_CS_15"/>
      <definedName name="S_Stm07_CS_16"/>
      <definedName name="S_Stm07_CS_17"/>
      <definedName name="S_Stm07_CS_18"/>
      <definedName name="S_Stm07_CS_20"/>
      <definedName name="S_Stm07_CS_21"/>
      <definedName name="S_Stm07_CS_30"/>
      <definedName name="S_Stm07_CS_31"/>
      <definedName name="S_Stm07_CS_32"/>
      <definedName name="S_Stm07_CS_33"/>
      <definedName name="S_Stm07_CS_64"/>
      <definedName name="S_STM07_IS"/>
      <definedName name="WFR"/>
    </defined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日期"/>
      <sheetName val="条款"/>
      <sheetName val="利率"/>
      <sheetName val="转债上市"/>
      <sheetName val="转债赎回"/>
      <sheetName val="转债下修"/>
    </sheetNames>
    <sheetDataSet>
      <sheetData sheetId="0">
        <row r="2">
          <cell r="A2">
            <v>44067</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F12" sqref="F12"/>
    </sheetView>
  </sheetViews>
  <sheetFormatPr defaultRowHeight="13.8" x14ac:dyDescent="0.25"/>
  <cols>
    <col min="1" max="1" width="14.21875" customWidth="1"/>
    <col min="2" max="2" width="10.109375" bestFit="1" customWidth="1"/>
  </cols>
  <sheetData>
    <row r="1" spans="1:2" x14ac:dyDescent="0.25">
      <c r="A1" t="s">
        <v>480</v>
      </c>
      <c r="B1" t="s">
        <v>481</v>
      </c>
    </row>
    <row r="2" spans="1:2" x14ac:dyDescent="0.25">
      <c r="A2" t="s">
        <v>482</v>
      </c>
      <c r="B2" s="92">
        <v>44012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77"/>
  <sheetViews>
    <sheetView zoomScale="70" zoomScaleNormal="70" workbookViewId="0">
      <pane ySplit="4" topLeftCell="A5" activePane="bottomLeft" state="frozen"/>
      <selection pane="bottomLeft" activeCell="F266" sqref="F266"/>
    </sheetView>
  </sheetViews>
  <sheetFormatPr defaultColWidth="8.6640625" defaultRowHeight="13.8" x14ac:dyDescent="0.25"/>
  <cols>
    <col min="1" max="1" width="41.6640625" style="62" bestFit="1" customWidth="1"/>
    <col min="2" max="2" width="10.21875" style="45" bestFit="1" customWidth="1"/>
    <col min="3" max="3" width="14.44140625" style="45" customWidth="1"/>
    <col min="4" max="4" width="11.44140625" style="45" customWidth="1"/>
    <col min="5" max="5" width="13.77734375" style="45" customWidth="1"/>
    <col min="6" max="6" width="11.109375" style="45" customWidth="1"/>
    <col min="7" max="8" width="10.77734375" style="45" customWidth="1"/>
    <col min="9" max="9" width="10.44140625" style="45" customWidth="1"/>
    <col min="10" max="11" width="8.6640625" style="45" bestFit="1" customWidth="1"/>
    <col min="12" max="16384" width="8.6640625" style="45"/>
  </cols>
  <sheetData>
    <row r="1" spans="1:9" x14ac:dyDescent="0.25">
      <c r="A1" s="43" t="s">
        <v>96</v>
      </c>
      <c r="B1" s="44" t="str">
        <f>简介!B4</f>
        <v>603716.SH</v>
      </c>
    </row>
    <row r="2" spans="1:9" x14ac:dyDescent="0.25">
      <c r="A2" s="43" t="s">
        <v>97</v>
      </c>
      <c r="B2" s="46" t="str">
        <f>[1]!s_info_name($B$1)</f>
        <v>塞力斯</v>
      </c>
    </row>
    <row r="3" spans="1:9" x14ac:dyDescent="0.25">
      <c r="A3" s="43" t="s">
        <v>98</v>
      </c>
      <c r="B3" s="47">
        <v>41639</v>
      </c>
      <c r="C3" s="47">
        <v>42004</v>
      </c>
      <c r="D3" s="47">
        <v>42369</v>
      </c>
      <c r="E3" s="47">
        <v>42735</v>
      </c>
      <c r="F3" s="47">
        <v>43100</v>
      </c>
      <c r="G3" s="47">
        <v>43465</v>
      </c>
      <c r="H3" s="47">
        <v>43830</v>
      </c>
      <c r="I3" s="47">
        <v>44012</v>
      </c>
    </row>
    <row r="4" spans="1:9" ht="14.4" thickBot="1" x14ac:dyDescent="0.3">
      <c r="A4" s="48" t="s">
        <v>99</v>
      </c>
      <c r="B4" s="49" t="s">
        <v>100</v>
      </c>
      <c r="C4" s="49" t="s">
        <v>100</v>
      </c>
      <c r="D4" s="49" t="s">
        <v>100</v>
      </c>
      <c r="E4" s="49" t="s">
        <v>100</v>
      </c>
      <c r="F4" s="49" t="s">
        <v>100</v>
      </c>
      <c r="G4" s="49" t="s">
        <v>100</v>
      </c>
      <c r="H4" s="49" t="s">
        <v>100</v>
      </c>
      <c r="I4" s="49" t="s">
        <v>100</v>
      </c>
    </row>
    <row r="6" spans="1:9" x14ac:dyDescent="0.25">
      <c r="A6" s="50" t="s">
        <v>101</v>
      </c>
      <c r="B6" s="51"/>
      <c r="C6" s="51"/>
      <c r="D6" s="51"/>
      <c r="E6" s="51"/>
      <c r="F6" s="51"/>
      <c r="G6" s="51"/>
      <c r="H6" s="51"/>
      <c r="I6" s="51"/>
    </row>
    <row r="7" spans="1:9" x14ac:dyDescent="0.25">
      <c r="A7" s="52" t="s">
        <v>102</v>
      </c>
      <c r="B7" s="53">
        <f>[1]!S_STM07_IS($B$1,"W02501648",B3,1)/100000000</f>
        <v>3.9218001776999998</v>
      </c>
      <c r="C7" s="53">
        <f>[1]!S_STM07_IS($B$1,"W02501648",C3,1)/100000000</f>
        <v>4.4504520171999999</v>
      </c>
      <c r="D7" s="53">
        <f>[1]!S_STM07_IS($B$1,"W02501648",D3,1)/100000000</f>
        <v>5.2965970250999996</v>
      </c>
      <c r="E7" s="53">
        <f>[1]!S_STM07_IS($B$1,"W02501648",E3,1)/100000000</f>
        <v>6.2732805688999997</v>
      </c>
      <c r="F7" s="53">
        <f>[1]!S_STM07_IS($B$1,"W02501648",F3,1)/100000000</f>
        <v>9.2051654408000001</v>
      </c>
      <c r="G7" s="53">
        <f>[1]!S_STM07_IS($B$1,"W02501648",G3,1)/100000000</f>
        <v>13.1744605216</v>
      </c>
      <c r="H7" s="53">
        <f>[1]!S_STM07_IS($B$1,"W02501648",H3,1)/100000000</f>
        <v>18.3077161609</v>
      </c>
      <c r="I7" s="53">
        <f>[1]!S_STM07_IS($B$1,"W02501648",I3,1)/100000000</f>
        <v>7.7164648614999996</v>
      </c>
    </row>
    <row r="8" spans="1:9" x14ac:dyDescent="0.25">
      <c r="A8" s="54" t="s">
        <v>103</v>
      </c>
      <c r="B8" s="53">
        <f>[1]!S_STM07_IS($B$1,"W07448690",B3,1)/100000000</f>
        <v>3.9218001776999998</v>
      </c>
      <c r="C8" s="53">
        <f>[1]!S_STM07_IS($B$1,"W07448690",C3,1)/100000000</f>
        <v>4.4504520171999999</v>
      </c>
      <c r="D8" s="53">
        <f>[1]!S_STM07_IS($B$1,"W07448690",D3,1)/100000000</f>
        <v>5.2965970250999996</v>
      </c>
      <c r="E8" s="53">
        <f>[1]!S_STM07_IS($B$1,"W07448690",E3,1)/100000000</f>
        <v>6.2732805688999997</v>
      </c>
      <c r="F8" s="53">
        <f>[1]!S_STM07_IS($B$1,"W07448690",F3,1)/100000000</f>
        <v>9.2051654408000001</v>
      </c>
      <c r="G8" s="53">
        <f>[1]!S_STM07_IS($B$1,"W07448690",G3,1)/100000000</f>
        <v>13.1744605216</v>
      </c>
      <c r="H8" s="53">
        <f>[1]!S_STM07_IS($B$1,"W07448690",H3,1)/100000000</f>
        <v>18.3077161609</v>
      </c>
      <c r="I8" s="53">
        <f>[1]!S_STM07_IS($B$1,"W07448690",I3,1)/100000000</f>
        <v>7.7164648614999996</v>
      </c>
    </row>
    <row r="9" spans="1:9" x14ac:dyDescent="0.25">
      <c r="A9" s="55" t="s">
        <v>104</v>
      </c>
      <c r="B9" s="53">
        <f>[1]!S_STM07_IS($B$1,"W03339940",B3,1)/100000000</f>
        <v>0</v>
      </c>
      <c r="C9" s="53">
        <f>[1]!S_STM07_IS($B$1,"W03339940",C3,1)/100000000</f>
        <v>0</v>
      </c>
      <c r="D9" s="53">
        <f>[1]!S_STM07_IS($B$1,"W03339940",D3,1)/100000000</f>
        <v>0</v>
      </c>
      <c r="E9" s="53">
        <f>[1]!S_STM07_IS($B$1,"W03339940",E3,1)/100000000</f>
        <v>0</v>
      </c>
      <c r="F9" s="53">
        <f>[1]!S_STM07_IS($B$1,"W03339940",F3,1)/100000000</f>
        <v>0</v>
      </c>
      <c r="G9" s="53">
        <f>[1]!S_STM07_IS($B$1,"W03339940",G3,1)/100000000</f>
        <v>0</v>
      </c>
      <c r="H9" s="53">
        <f>[1]!S_STM07_IS($B$1,"W03339940",H3,1)/100000000</f>
        <v>0</v>
      </c>
      <c r="I9" s="53">
        <f>[1]!S_STM07_IS($B$1,"W03339940",I3,1)/100000000</f>
        <v>0</v>
      </c>
    </row>
    <row r="10" spans="1:9" x14ac:dyDescent="0.25">
      <c r="A10" s="55" t="s">
        <v>105</v>
      </c>
      <c r="B10" s="53">
        <f>[1]!S_STM07_IS($B$1,"W02016825",B3,1)/100000000</f>
        <v>0</v>
      </c>
      <c r="C10" s="53">
        <f>[1]!S_STM07_IS($B$1,"W02016825",C3,1)/100000000</f>
        <v>0</v>
      </c>
      <c r="D10" s="53">
        <f>[1]!S_STM07_IS($B$1,"W02016825",D3,1)/100000000</f>
        <v>0</v>
      </c>
      <c r="E10" s="53">
        <f>[1]!S_STM07_IS($B$1,"W02016825",E3,1)/100000000</f>
        <v>0</v>
      </c>
      <c r="F10" s="53">
        <f>[1]!S_STM07_IS($B$1,"W02016825",F3,1)/100000000</f>
        <v>0</v>
      </c>
      <c r="G10" s="53">
        <f>[1]!S_STM07_IS($B$1,"W02016825",G3,1)/100000000</f>
        <v>0</v>
      </c>
      <c r="H10" s="53">
        <f>[1]!S_STM07_IS($B$1,"W02016825",H3,1)/100000000</f>
        <v>0</v>
      </c>
      <c r="I10" s="53">
        <f>[1]!S_STM07_IS($B$1,"W02016825",I3,1)/100000000</f>
        <v>0</v>
      </c>
    </row>
    <row r="11" spans="1:9" x14ac:dyDescent="0.25">
      <c r="A11" s="55" t="s">
        <v>106</v>
      </c>
      <c r="B11" s="53">
        <f>[1]!S_STM07_IS($B$1,"W02826074",B3,1)/100000000</f>
        <v>0</v>
      </c>
      <c r="C11" s="53">
        <f>[1]!S_STM07_IS($B$1,"W02826074",C3,1)/100000000</f>
        <v>0</v>
      </c>
      <c r="D11" s="53">
        <f>[1]!S_STM07_IS($B$1,"W02826074",D3,1)/100000000</f>
        <v>0</v>
      </c>
      <c r="E11" s="53">
        <f>[1]!S_STM07_IS($B$1,"W02826074",E3,1)/100000000</f>
        <v>0</v>
      </c>
      <c r="F11" s="53">
        <f>[1]!S_STM07_IS($B$1,"W02826074",F3,1)/100000000</f>
        <v>0</v>
      </c>
      <c r="G11" s="53">
        <f>[1]!S_STM07_IS($B$1,"W02826074",G3,1)/100000000</f>
        <v>0</v>
      </c>
      <c r="H11" s="53">
        <f>[1]!S_STM07_IS($B$1,"W02826074",H3,1)/100000000</f>
        <v>0</v>
      </c>
      <c r="I11" s="53">
        <f>[1]!S_STM07_IS($B$1,"W02826074",I3,1)/100000000</f>
        <v>0</v>
      </c>
    </row>
    <row r="12" spans="1:9" x14ac:dyDescent="0.25">
      <c r="A12" s="56" t="s">
        <v>107</v>
      </c>
      <c r="B12" s="53">
        <f>[1]!S_STM07_IS($B$1,"W02189123",B3,1)/100000000</f>
        <v>3.2561760398000001</v>
      </c>
      <c r="C12" s="53">
        <f>[1]!S_STM07_IS($B$1,"W02189123",C3,1)/100000000</f>
        <v>3.6890767671</v>
      </c>
      <c r="D12" s="53">
        <f>[1]!S_STM07_IS($B$1,"W02189123",D3,1)/100000000</f>
        <v>4.4653157097000005</v>
      </c>
      <c r="E12" s="53">
        <f>[1]!S_STM07_IS($B$1,"W02189123",E3,1)/100000000</f>
        <v>5.3248194646</v>
      </c>
      <c r="F12" s="53">
        <f>[1]!S_STM07_IS($B$1,"W02189123",F3,1)/100000000</f>
        <v>7.9117204259000005</v>
      </c>
      <c r="G12" s="53">
        <f>[1]!S_STM07_IS($B$1,"W02189123",G3,1)/100000000</f>
        <v>11.585361959</v>
      </c>
      <c r="H12" s="53">
        <f>[1]!S_STM07_IS($B$1,"W02189123",H3,1)/100000000</f>
        <v>16.482441006400002</v>
      </c>
      <c r="I12" s="53">
        <f>[1]!S_STM07_IS($B$1,"W02189123",I3,1)/100000000</f>
        <v>7.4835349142999998</v>
      </c>
    </row>
    <row r="13" spans="1:9" x14ac:dyDescent="0.25">
      <c r="A13" s="54" t="s">
        <v>108</v>
      </c>
      <c r="B13" s="53">
        <f>[1]!S_STM07_IS($B$1,"W08295454",B3,1)/100000000</f>
        <v>2.4643213332</v>
      </c>
      <c r="C13" s="53">
        <f>[1]!S_STM07_IS($B$1,"W08295454",C3,1)/100000000</f>
        <v>2.8145096867000001</v>
      </c>
      <c r="D13" s="53">
        <f>[1]!S_STM07_IS($B$1,"W08295454",D3,1)/100000000</f>
        <v>3.4241434481000002</v>
      </c>
      <c r="E13" s="53">
        <f>[1]!S_STM07_IS($B$1,"W08295454",E3,1)/100000000</f>
        <v>4.0884703597000005</v>
      </c>
      <c r="F13" s="53">
        <f>[1]!S_STM07_IS($B$1,"W08295454",F3,1)/100000000</f>
        <v>6.1044146361000005</v>
      </c>
      <c r="G13" s="53">
        <f>[1]!S_STM07_IS($B$1,"W08295454",G3,1)/100000000</f>
        <v>8.9945148595000006</v>
      </c>
      <c r="H13" s="53">
        <f>[1]!S_STM07_IS($B$1,"W08295454",H3,1)/100000000</f>
        <v>13.095612490399999</v>
      </c>
      <c r="I13" s="53">
        <f>[1]!S_STM07_IS($B$1,"W08295454",I3,1)/100000000</f>
        <v>5.7743947959000002</v>
      </c>
    </row>
    <row r="14" spans="1:9" x14ac:dyDescent="0.25">
      <c r="A14" s="55" t="s">
        <v>109</v>
      </c>
      <c r="B14" s="53">
        <f>[1]!S_STM07_IS($B$1,"W06025254",B3,1)/100000000</f>
        <v>0</v>
      </c>
      <c r="C14" s="53">
        <f>[1]!S_STM07_IS($B$1,"W06025254",C3,1)/100000000</f>
        <v>0</v>
      </c>
      <c r="D14" s="53">
        <f>[1]!S_STM07_IS($B$1,"W06025254",D3,1)/100000000</f>
        <v>0</v>
      </c>
      <c r="E14" s="53">
        <f>[1]!S_STM07_IS($B$1,"W06025254",E3,1)/100000000</f>
        <v>0</v>
      </c>
      <c r="F14" s="53">
        <f>[1]!S_STM07_IS($B$1,"W06025254",F3,1)/100000000</f>
        <v>0</v>
      </c>
      <c r="G14" s="53">
        <f>[1]!S_STM07_IS($B$1,"W06025254",G3,1)/100000000</f>
        <v>0</v>
      </c>
      <c r="H14" s="53">
        <f>[1]!S_STM07_IS($B$1,"W06025254",H3,1)/100000000</f>
        <v>0</v>
      </c>
      <c r="I14" s="53">
        <f>[1]!S_STM07_IS($B$1,"W06025254",I3,1)/100000000</f>
        <v>0</v>
      </c>
    </row>
    <row r="15" spans="1:9" x14ac:dyDescent="0.25">
      <c r="A15" s="55" t="s">
        <v>110</v>
      </c>
      <c r="B15" s="53">
        <f>[1]!S_STM07_IS($B$1,"W06535286",B3,1)/100000000</f>
        <v>0</v>
      </c>
      <c r="C15" s="53">
        <f>[1]!S_STM07_IS($B$1,"W06535286",C3,1)/100000000</f>
        <v>0</v>
      </c>
      <c r="D15" s="53">
        <f>[1]!S_STM07_IS($B$1,"W06535286",D3,1)/100000000</f>
        <v>0</v>
      </c>
      <c r="E15" s="53">
        <f>[1]!S_STM07_IS($B$1,"W06535286",E3,1)/100000000</f>
        <v>0</v>
      </c>
      <c r="F15" s="53">
        <f>[1]!S_STM07_IS($B$1,"W06535286",F3,1)/100000000</f>
        <v>0</v>
      </c>
      <c r="G15" s="53">
        <f>[1]!S_STM07_IS($B$1,"W06535286",G3,1)/100000000</f>
        <v>0</v>
      </c>
      <c r="H15" s="53">
        <f>[1]!S_STM07_IS($B$1,"W06535286",H3,1)/100000000</f>
        <v>0</v>
      </c>
      <c r="I15" s="53">
        <f>[1]!S_STM07_IS($B$1,"W06535286",I3,1)/100000000</f>
        <v>0</v>
      </c>
    </row>
    <row r="16" spans="1:9" x14ac:dyDescent="0.25">
      <c r="A16" s="55" t="s">
        <v>111</v>
      </c>
      <c r="B16" s="53">
        <f>[1]!S_STM07_IS($B$1,"W02069417",B3,1)/100000000</f>
        <v>0</v>
      </c>
      <c r="C16" s="53">
        <f>[1]!S_STM07_IS($B$1,"W02069417",C3,1)/100000000</f>
        <v>0</v>
      </c>
      <c r="D16" s="53">
        <f>[1]!S_STM07_IS($B$1,"W02069417",D3,1)/100000000</f>
        <v>0</v>
      </c>
      <c r="E16" s="53">
        <f>[1]!S_STM07_IS($B$1,"W02069417",E3,1)/100000000</f>
        <v>0</v>
      </c>
      <c r="F16" s="53">
        <f>[1]!S_STM07_IS($B$1,"W02069417",F3,1)/100000000</f>
        <v>0</v>
      </c>
      <c r="G16" s="53">
        <f>[1]!S_STM07_IS($B$1,"W02069417",G3,1)/100000000</f>
        <v>0</v>
      </c>
      <c r="H16" s="53">
        <f>[1]!S_STM07_IS($B$1,"W02069417",H3,1)/100000000</f>
        <v>0</v>
      </c>
      <c r="I16" s="53">
        <f>[1]!S_STM07_IS($B$1,"W02069417",I3,1)/100000000</f>
        <v>0</v>
      </c>
    </row>
    <row r="17" spans="1:9" x14ac:dyDescent="0.25">
      <c r="A17" s="55" t="s">
        <v>112</v>
      </c>
      <c r="B17" s="53">
        <f>[1]!S_STM07_IS($B$1,"W01782669",B3,1)/100000000</f>
        <v>0</v>
      </c>
      <c r="C17" s="53">
        <f>[1]!S_STM07_IS($B$1,"W01782669",C3,1)/100000000</f>
        <v>0</v>
      </c>
      <c r="D17" s="53">
        <f>[1]!S_STM07_IS($B$1,"W01782669",D3,1)/100000000</f>
        <v>0</v>
      </c>
      <c r="E17" s="53">
        <f>[1]!S_STM07_IS($B$1,"W01782669",E3,1)/100000000</f>
        <v>0</v>
      </c>
      <c r="F17" s="53">
        <f>[1]!S_STM07_IS($B$1,"W01782669",F3,1)/100000000</f>
        <v>0</v>
      </c>
      <c r="G17" s="53">
        <f>[1]!S_STM07_IS($B$1,"W01782669",G3,1)/100000000</f>
        <v>0</v>
      </c>
      <c r="H17" s="53">
        <f>[1]!S_STM07_IS($B$1,"W01782669",H3,1)/100000000</f>
        <v>0</v>
      </c>
      <c r="I17" s="53">
        <f>[1]!S_STM07_IS($B$1,"W01782669",I3,1)/100000000</f>
        <v>0</v>
      </c>
    </row>
    <row r="18" spans="1:9" x14ac:dyDescent="0.25">
      <c r="A18" s="55" t="s">
        <v>113</v>
      </c>
      <c r="B18" s="53">
        <f>[1]!S_STM07_IS($B$1,"W08721246",B3,1)/100000000</f>
        <v>0</v>
      </c>
      <c r="C18" s="53">
        <f>[1]!S_STM07_IS($B$1,"W08721246",C3,1)/100000000</f>
        <v>0</v>
      </c>
      <c r="D18" s="53">
        <f>[1]!S_STM07_IS($B$1,"W08721246",D3,1)/100000000</f>
        <v>0</v>
      </c>
      <c r="E18" s="53">
        <f>[1]!S_STM07_IS($B$1,"W08721246",E3,1)/100000000</f>
        <v>0</v>
      </c>
      <c r="F18" s="53">
        <f>[1]!S_STM07_IS($B$1,"W08721246",F3,1)/100000000</f>
        <v>0</v>
      </c>
      <c r="G18" s="53">
        <f>[1]!S_STM07_IS($B$1,"W08721246",G3,1)/100000000</f>
        <v>0</v>
      </c>
      <c r="H18" s="53">
        <f>[1]!S_STM07_IS($B$1,"W08721246",H3,1)/100000000</f>
        <v>0</v>
      </c>
      <c r="I18" s="53">
        <f>[1]!S_STM07_IS($B$1,"W08721246",I3,1)/100000000</f>
        <v>0</v>
      </c>
    </row>
    <row r="19" spans="1:9" x14ac:dyDescent="0.25">
      <c r="A19" s="55" t="s">
        <v>114</v>
      </c>
      <c r="B19" s="53">
        <f>[1]!S_STM07_IS($B$1,"W09816192",B3,1)/100000000</f>
        <v>0</v>
      </c>
      <c r="C19" s="53">
        <f>[1]!S_STM07_IS($B$1,"W09816192",C3,1)/100000000</f>
        <v>0</v>
      </c>
      <c r="D19" s="53">
        <f>[1]!S_STM07_IS($B$1,"W09816192",D3,1)/100000000</f>
        <v>0</v>
      </c>
      <c r="E19" s="53">
        <f>[1]!S_STM07_IS($B$1,"W09816192",E3,1)/100000000</f>
        <v>0</v>
      </c>
      <c r="F19" s="53">
        <f>[1]!S_STM07_IS($B$1,"W09816192",F3,1)/100000000</f>
        <v>0</v>
      </c>
      <c r="G19" s="53">
        <f>[1]!S_STM07_IS($B$1,"W09816192",G3,1)/100000000</f>
        <v>0</v>
      </c>
      <c r="H19" s="53">
        <f>[1]!S_STM07_IS($B$1,"W09816192",H3,1)/100000000</f>
        <v>0</v>
      </c>
      <c r="I19" s="53">
        <f>[1]!S_STM07_IS($B$1,"W09816192",I3,1)/100000000</f>
        <v>0</v>
      </c>
    </row>
    <row r="20" spans="1:9" x14ac:dyDescent="0.25">
      <c r="A20" s="55" t="s">
        <v>115</v>
      </c>
      <c r="B20" s="53">
        <f>[1]!S_STM07_IS($B$1,"W33865145",B16,1)/100000000</f>
        <v>0</v>
      </c>
      <c r="C20" s="53">
        <f>[1]!S_STM07_IS($B$1,"W33865145",C16,1)/100000000</f>
        <v>0</v>
      </c>
      <c r="D20" s="53">
        <f>[1]!S_STM07_IS($B$1,"W33865145",D16,1)/100000000</f>
        <v>0</v>
      </c>
      <c r="E20" s="53">
        <f>[1]!S_STM07_IS($B$1,"W33865145",E16,1)/100000000</f>
        <v>0</v>
      </c>
      <c r="F20" s="53">
        <f>[1]!S_STM07_IS($B$1,"W33865145",F16,1)/100000000</f>
        <v>0</v>
      </c>
      <c r="G20" s="53">
        <f>[1]!S_STM07_IS($B$1,"W33865145",G16,1)/100000000</f>
        <v>0</v>
      </c>
      <c r="H20" s="53">
        <f>[1]!S_STM07_IS($B$1,"W33865145",H16,1)/100000000</f>
        <v>0</v>
      </c>
      <c r="I20" s="53">
        <f>[1]!S_STM07_IS($B$1,"W33865145",I16,1)/100000000</f>
        <v>0</v>
      </c>
    </row>
    <row r="21" spans="1:9" x14ac:dyDescent="0.25">
      <c r="A21" s="55" t="s">
        <v>116</v>
      </c>
      <c r="B21" s="53">
        <f>[1]!S_STM07_IS($B$1,"W33865145",B17,1)/100000000</f>
        <v>0</v>
      </c>
      <c r="C21" s="53">
        <f>[1]!S_STM07_IS($B$1,"W33865145",C17,1)/100000000</f>
        <v>0</v>
      </c>
      <c r="D21" s="53">
        <f>[1]!S_STM07_IS($B$1,"W33865145",D17,1)/100000000</f>
        <v>0</v>
      </c>
      <c r="E21" s="53">
        <f>[1]!S_STM07_IS($B$1,"W33865145",E17,1)/100000000</f>
        <v>0</v>
      </c>
      <c r="F21" s="53">
        <f>[1]!S_STM07_IS($B$1,"W33865145",F17,1)/100000000</f>
        <v>0</v>
      </c>
      <c r="G21" s="53">
        <f>[1]!S_STM07_IS($B$1,"W33865145",G17,1)/100000000</f>
        <v>0</v>
      </c>
      <c r="H21" s="53">
        <f>[1]!S_STM07_IS($B$1,"W33865145",H17,1)/100000000</f>
        <v>0</v>
      </c>
      <c r="I21" s="53">
        <f>[1]!S_STM07_IS($B$1,"W33865145",I17,1)/100000000</f>
        <v>0</v>
      </c>
    </row>
    <row r="22" spans="1:9" x14ac:dyDescent="0.25">
      <c r="A22" s="54" t="s">
        <v>117</v>
      </c>
      <c r="B22" s="53">
        <f>[1]!S_STM07_IS($B$1,"W02316270",B3,1)/100000000</f>
        <v>0.29446048479999998</v>
      </c>
      <c r="C22" s="53">
        <f>[1]!S_STM07_IS($B$1,"W02316270",C3,1)/100000000</f>
        <v>0.35705045700000004</v>
      </c>
      <c r="D22" s="53">
        <f>[1]!S_STM07_IS($B$1,"W02316270",D3,1)/100000000</f>
        <v>0.43178162009999999</v>
      </c>
      <c r="E22" s="53">
        <f>[1]!S_STM07_IS($B$1,"W02316270",E3,1)/100000000</f>
        <v>0.50945948270000008</v>
      </c>
      <c r="F22" s="53">
        <f>[1]!S_STM07_IS($B$1,"W02316270",F3,1)/100000000</f>
        <v>0.8091846290000001</v>
      </c>
      <c r="G22" s="53">
        <f>[1]!S_STM07_IS($B$1,"W02316270",G3,1)/100000000</f>
        <v>0.97269960389999999</v>
      </c>
      <c r="H22" s="53">
        <f>[1]!S_STM07_IS($B$1,"W02316270",H3,1)/100000000</f>
        <v>1.1675246856000001</v>
      </c>
      <c r="I22" s="53">
        <f>[1]!S_STM07_IS($B$1,"W02316270",I3,1)/100000000</f>
        <v>0.47474269909999994</v>
      </c>
    </row>
    <row r="23" spans="1:9" x14ac:dyDescent="0.25">
      <c r="A23" s="54" t="s">
        <v>118</v>
      </c>
      <c r="B23" s="53">
        <f>[1]!S_STM07_IS($B$1,"W03785497",B3,1)/100000000</f>
        <v>0.34752150090000006</v>
      </c>
      <c r="C23" s="53">
        <f>[1]!S_STM07_IS($B$1,"W03785497",C3,1)/100000000</f>
        <v>0.39151881060000004</v>
      </c>
      <c r="D23" s="53">
        <f>[1]!S_STM07_IS($B$1,"W03785497",D3,1)/100000000</f>
        <v>0.44703743590000006</v>
      </c>
      <c r="E23" s="53">
        <f>[1]!S_STM07_IS($B$1,"W03785497",E3,1)/100000000</f>
        <v>0.50237144810000001</v>
      </c>
      <c r="F23" s="53">
        <f>[1]!S_STM07_IS($B$1,"W03785497",F3,1)/100000000</f>
        <v>0.72429689480000004</v>
      </c>
      <c r="G23" s="53">
        <f>[1]!S_STM07_IS($B$1,"W03785497",G3,1)/100000000</f>
        <v>1.0346442607999999</v>
      </c>
      <c r="H23" s="53">
        <f>[1]!S_STM07_IS($B$1,"W03785497",H3,1)/100000000</f>
        <v>1.396151932</v>
      </c>
      <c r="I23" s="53">
        <f>[1]!S_STM07_IS($B$1,"W03785497",I3,1)/100000000</f>
        <v>0.76592973249999996</v>
      </c>
    </row>
    <row r="24" spans="1:9" x14ac:dyDescent="0.25">
      <c r="A24" s="54" t="s">
        <v>119</v>
      </c>
      <c r="B24" s="53">
        <f>[1]!S_STM07_IS($B$1,"W07988296",B3,1)/100000000</f>
        <v>4.0209270700000001E-2</v>
      </c>
      <c r="C24" s="53">
        <f>[1]!S_STM07_IS($B$1,"W07988296",C3,1)/100000000</f>
        <v>4.1183854999999998E-2</v>
      </c>
      <c r="D24" s="53">
        <f>[1]!S_STM07_IS($B$1,"W07988296",D3,1)/100000000</f>
        <v>7.4245938499999997E-2</v>
      </c>
      <c r="E24" s="53">
        <f>[1]!S_STM07_IS($B$1,"W07988296",E3,1)/100000000</f>
        <v>8.2324280499999999E-2</v>
      </c>
      <c r="F24" s="53">
        <f>[1]!S_STM07_IS($B$1,"W07988296",F3,1)/100000000</f>
        <v>9.8078505900000001E-2</v>
      </c>
      <c r="G24" s="53">
        <f>[1]!S_STM07_IS($B$1,"W07988296",G3,1)/100000000</f>
        <v>0.25430341680000002</v>
      </c>
      <c r="H24" s="53">
        <f>[1]!S_STM07_IS($B$1,"W07988296",H3,1)/100000000</f>
        <v>0.41828554179999999</v>
      </c>
      <c r="I24" s="53">
        <f>[1]!S_STM07_IS($B$1,"W07988296",I3,1)/100000000</f>
        <v>0.22794350269999999</v>
      </c>
    </row>
    <row r="25" spans="1:9" x14ac:dyDescent="0.25">
      <c r="A25" s="55" t="s">
        <v>120</v>
      </c>
      <c r="B25" s="53">
        <f>[1]!S_STM07_IS($B$1,"W09624070",B3,1)/100000000</f>
        <v>7.4332975999999995E-2</v>
      </c>
      <c r="C25" s="53">
        <f>[1]!S_STM07_IS($B$1,"W09624070",C3,1)/100000000</f>
        <v>4.3623139900000003E-2</v>
      </c>
      <c r="D25" s="53">
        <f>[1]!S_STM07_IS($B$1,"W09624070",D3,1)/100000000</f>
        <v>5.0000215399999999E-2</v>
      </c>
      <c r="E25" s="53">
        <f>[1]!S_STM07_IS($B$1,"W09624070",E3,1)/100000000</f>
        <v>9.9424398900000002E-2</v>
      </c>
      <c r="F25" s="53">
        <f>[1]!S_STM07_IS($B$1,"W09624070",F3,1)/100000000</f>
        <v>0.1244370657</v>
      </c>
      <c r="G25" s="53">
        <f>[1]!S_STM07_IS($B$1,"W09624070",G3,1)/100000000</f>
        <v>0.1646357893</v>
      </c>
      <c r="H25" s="53">
        <f>[1]!S_STM07_IS($B$1,"W09624070",H3,1)/100000000</f>
        <v>-1.3804235500000001E-2</v>
      </c>
      <c r="I25" s="53">
        <f>[1]!S_STM07_IS($B$1,"W09624070",I3,1)/100000000</f>
        <v>0</v>
      </c>
    </row>
    <row r="26" spans="1:9" x14ac:dyDescent="0.25">
      <c r="A26" s="54" t="s">
        <v>121</v>
      </c>
    </row>
    <row r="27" spans="1:9" x14ac:dyDescent="0.25">
      <c r="A27" s="55" t="s">
        <v>122</v>
      </c>
      <c r="B27" s="57">
        <f>[1]!S_STM07_IS($B$1,"W31420562",B3,1)/100000000</f>
        <v>0</v>
      </c>
      <c r="C27" s="57">
        <f>[1]!S_STM07_IS($B$1,"W31420562",C3,1)/100000000</f>
        <v>0</v>
      </c>
      <c r="D27" s="57">
        <f>[1]!S_STM07_IS($B$1,"W31420562",D3,1)/100000000</f>
        <v>0</v>
      </c>
      <c r="E27" s="57">
        <f>[1]!S_STM07_IS($B$1,"W31420562",E3,1)/100000000</f>
        <v>0</v>
      </c>
      <c r="F27" s="57">
        <f>[1]!S_STM07_IS($B$1,"W31420562",F3,1)/100000000</f>
        <v>0</v>
      </c>
      <c r="G27" s="57">
        <f>[1]!S_STM07_IS($B$1,"W31420562",G3,1)/100000000</f>
        <v>0</v>
      </c>
      <c r="H27" s="57">
        <f>[1]!S_STM07_IS($B$1,"W31420562",H3,1)/100000000</f>
        <v>0</v>
      </c>
      <c r="I27" s="57">
        <f>[1]!S_STM07_IS($B$1,"W31420562",I3,1)/100000000</f>
        <v>0</v>
      </c>
    </row>
    <row r="28" spans="1:9" x14ac:dyDescent="0.25">
      <c r="A28" s="55" t="s">
        <v>123</v>
      </c>
      <c r="B28" s="57">
        <f>[1]!S_STM07_IS($B$1,"W31122667",B3,1)/100000000</f>
        <v>1.0811193600000001E-2</v>
      </c>
      <c r="C28" s="57">
        <f>[1]!S_STM07_IS($B$1,"W31122667",C3,1)/100000000</f>
        <v>0</v>
      </c>
      <c r="D28" s="57">
        <f>[1]!S_STM07_IS($B$1,"W31122667",D3,1)/100000000</f>
        <v>0</v>
      </c>
      <c r="E28" s="57">
        <f>[1]!S_STM07_IS($B$1,"W31122667",E3,1)/100000000</f>
        <v>0</v>
      </c>
      <c r="F28" s="57">
        <f>[1]!S_STM07_IS($B$1,"W31122667",F3,1)/100000000</f>
        <v>1.0307044899999999E-2</v>
      </c>
      <c r="G28" s="57">
        <f>[1]!S_STM07_IS($B$1,"W31122667",G3,1)/100000000</f>
        <v>-6.3094565999999999E-3</v>
      </c>
      <c r="H28" s="57">
        <f>[1]!S_STM07_IS($B$1,"W31122667",H3,1)/100000000</f>
        <v>3.4463384999999999E-3</v>
      </c>
      <c r="I28" s="57">
        <f>[1]!S_STM07_IS($B$1,"W31122667",I3,1)/100000000</f>
        <v>-3.0578882E-3</v>
      </c>
    </row>
    <row r="29" spans="1:9" x14ac:dyDescent="0.25">
      <c r="A29" s="55" t="s">
        <v>124</v>
      </c>
      <c r="B29" s="57">
        <f>[1]!S_STM07_IS($B$1,"W38990249",B3,1)/100000000</f>
        <v>0</v>
      </c>
      <c r="C29" s="57">
        <f>[1]!S_STM07_IS($B$1,"W38990249",C3,1)/100000000</f>
        <v>0</v>
      </c>
      <c r="D29" s="57">
        <f>[1]!S_STM07_IS($B$1,"W38990249",D3,1)/100000000</f>
        <v>0</v>
      </c>
      <c r="E29" s="57">
        <f>[1]!S_STM07_IS($B$1,"W38990249",E3,1)/100000000</f>
        <v>0</v>
      </c>
      <c r="F29" s="57">
        <f>[1]!S_STM07_IS($B$1,"W38990249",F3,1)/100000000</f>
        <v>0</v>
      </c>
      <c r="G29" s="57">
        <f>[1]!S_STM07_IS($B$1,"W38990249",G3,1)/100000000</f>
        <v>-6.6854671999999997E-3</v>
      </c>
      <c r="H29" s="57">
        <f>[1]!S_STM07_IS($B$1,"W38990249",H3,1)/100000000</f>
        <v>0</v>
      </c>
      <c r="I29" s="57">
        <f>[1]!S_STM07_IS($B$1,"W38990249",I3,1)/100000000</f>
        <v>0</v>
      </c>
    </row>
    <row r="30" spans="1:9" x14ac:dyDescent="0.25">
      <c r="A30" s="55" t="s">
        <v>125</v>
      </c>
      <c r="B30" s="57">
        <f>[1]!S_STM07_IS($B$1,"W37206156",B3,1)/100000000</f>
        <v>0</v>
      </c>
      <c r="C30" s="57">
        <f>[1]!S_STM07_IS($B$1,"W37206156",C3,1)/100000000</f>
        <v>0</v>
      </c>
      <c r="D30" s="57">
        <f>[1]!S_STM07_IS($B$1,"W37206156",D3,1)/100000000</f>
        <v>0</v>
      </c>
      <c r="E30" s="57">
        <f>[1]!S_STM07_IS($B$1,"W37206156",E3,1)/100000000</f>
        <v>0</v>
      </c>
      <c r="F30" s="57">
        <f>[1]!S_STM07_IS($B$1,"W37206156",F3,1)/100000000</f>
        <v>0</v>
      </c>
      <c r="G30" s="57">
        <f>[1]!S_STM07_IS($B$1,"W37206156",G3,1)/100000000</f>
        <v>0</v>
      </c>
      <c r="H30" s="57">
        <f>[1]!S_STM07_IS($B$1,"W37206156",H3,1)/100000000</f>
        <v>0</v>
      </c>
      <c r="I30" s="57">
        <f>[1]!S_STM07_IS($B$1,"W37206156",I3,1)/100000000</f>
        <v>0</v>
      </c>
    </row>
    <row r="31" spans="1:9" x14ac:dyDescent="0.25">
      <c r="A31" s="55" t="s">
        <v>126</v>
      </c>
      <c r="B31" s="57">
        <f>[1]!S_STM07_IS($B$1,"W35750937",B3,1)/100000000</f>
        <v>0</v>
      </c>
      <c r="C31" s="57">
        <f>[1]!S_STM07_IS($B$1,"W35750937",C3,1)/100000000</f>
        <v>0</v>
      </c>
      <c r="D31" s="57">
        <f>[1]!S_STM07_IS($B$1,"W35750937",D3,1)/100000000</f>
        <v>0</v>
      </c>
      <c r="E31" s="57">
        <f>[1]!S_STM07_IS($B$1,"W35750937",E3,1)/100000000</f>
        <v>0</v>
      </c>
      <c r="F31" s="57">
        <f>[1]!S_STM07_IS($B$1,"W35750937",F3,1)/100000000</f>
        <v>0</v>
      </c>
      <c r="G31" s="57">
        <f>[1]!S_STM07_IS($B$1,"W35750937",G3,1)/100000000</f>
        <v>0</v>
      </c>
      <c r="H31" s="57">
        <f>[1]!S_STM07_IS($B$1,"W35750937",H3,1)/100000000</f>
        <v>0</v>
      </c>
      <c r="I31" s="57">
        <f>[1]!S_STM07_IS($B$1,"W35750937",I3,1)/100000000</f>
        <v>0</v>
      </c>
    </row>
    <row r="32" spans="1:9" x14ac:dyDescent="0.25">
      <c r="A32" s="55" t="s">
        <v>127</v>
      </c>
      <c r="B32" s="57">
        <f>[1]!S_STM07_IS($B$1,"W35802851",B3,1)/100000000</f>
        <v>0</v>
      </c>
      <c r="C32" s="57">
        <f>[1]!S_STM07_IS($B$1,"W35802851",C3,1)/100000000</f>
        <v>0</v>
      </c>
      <c r="D32" s="57">
        <f>[1]!S_STM07_IS($B$1,"W35802851",D3,1)/100000000</f>
        <v>0</v>
      </c>
      <c r="E32" s="57">
        <f>[1]!S_STM07_IS($B$1,"W35802851",E3,1)/100000000</f>
        <v>0</v>
      </c>
      <c r="F32" s="57">
        <f>[1]!S_STM07_IS($B$1,"W35802851",F3,1)/100000000</f>
        <v>0</v>
      </c>
      <c r="G32" s="57">
        <f>[1]!S_STM07_IS($B$1,"W35802851",G3,1)/100000000</f>
        <v>0</v>
      </c>
      <c r="H32" s="57">
        <f>[1]!S_STM07_IS($B$1,"W35802851",H3,1)/100000000</f>
        <v>0</v>
      </c>
      <c r="I32" s="57">
        <f>[1]!S_STM07_IS($B$1,"W35802851",I3,1)/100000000</f>
        <v>0</v>
      </c>
    </row>
    <row r="33" spans="1:9" x14ac:dyDescent="0.25">
      <c r="A33" s="54" t="s">
        <v>128</v>
      </c>
      <c r="B33" s="58">
        <f>[1]!S_STM07_IS($B$1,"W30485361",B3,1)/100000000</f>
        <v>0.67643533150000001</v>
      </c>
      <c r="C33" s="58">
        <f>[1]!S_STM07_IS($B$1,"W30485361",C3,1)/100000000</f>
        <v>0.76137525010000007</v>
      </c>
      <c r="D33" s="58">
        <f>[1]!S_STM07_IS($B$1,"W30485361",D3,1)/100000000</f>
        <v>0.83128131540000005</v>
      </c>
      <c r="E33" s="58">
        <f>[1]!S_STM07_IS($B$1,"W30485361",E3,1)/100000000</f>
        <v>0.94846110430000008</v>
      </c>
      <c r="F33" s="58">
        <f>[1]!S_STM07_IS($B$1,"W30485361",F3,1)/100000000</f>
        <v>1.3880675113000001</v>
      </c>
      <c r="G33" s="58">
        <f>[1]!S_STM07_IS($B$1,"W30485361",G3,1)/100000000</f>
        <v>1.5863595394999999</v>
      </c>
      <c r="H33" s="58">
        <f>[1]!S_STM07_IS($B$1,"W30485361",H3,1)/100000000</f>
        <v>1.8745878796000002</v>
      </c>
      <c r="I33" s="58">
        <f>[1]!S_STM07_IS($B$1,"W30485361",I3,1)/100000000</f>
        <v>0.23838945070000001</v>
      </c>
    </row>
    <row r="34" spans="1:9" x14ac:dyDescent="0.25">
      <c r="A34" s="54" t="s">
        <v>129</v>
      </c>
      <c r="B34" s="57">
        <f>[1]!S_STM07_IS($B$1,"W31067616",B3,1)/100000000</f>
        <v>2.4808371699999998E-2</v>
      </c>
      <c r="C34" s="57">
        <f>[1]!S_STM07_IS($B$1,"W31067616",C3,1)/100000000</f>
        <v>3.7962427E-2</v>
      </c>
      <c r="D34" s="57">
        <f>[1]!S_STM07_IS($B$1,"W31067616",D3,1)/100000000</f>
        <v>3.4884761299999997E-2</v>
      </c>
      <c r="E34" s="57">
        <f>[1]!S_STM07_IS($B$1,"W31067616",E3,1)/100000000</f>
        <v>2.4486635600000001E-2</v>
      </c>
      <c r="F34" s="57">
        <f>[1]!S_STM07_IS($B$1,"W31067616",F3,1)/100000000</f>
        <v>4.8230151000000004E-3</v>
      </c>
      <c r="G34" s="57">
        <f>[1]!S_STM07_IS($B$1,"W31067616",G3,1)/100000000</f>
        <v>8.0963429999999993E-4</v>
      </c>
      <c r="H34" s="57">
        <f>[1]!S_STM07_IS($B$1,"W31067616",H3,1)/100000000</f>
        <v>1.1913242E-3</v>
      </c>
      <c r="I34" s="57">
        <f>[1]!S_STM07_IS($B$1,"W31067616",I3,1)/100000000</f>
        <v>4.579036E-4</v>
      </c>
    </row>
    <row r="35" spans="1:9" x14ac:dyDescent="0.25">
      <c r="A35" s="54" t="s">
        <v>130</v>
      </c>
      <c r="B35" s="57">
        <f>[1]!S_STM07_IS($B$1,"W38468877",B3,1)/100000000</f>
        <v>5.6026325000000004E-3</v>
      </c>
      <c r="C35" s="57">
        <f>[1]!S_STM07_IS($B$1,"W38468877",C3,1)/100000000</f>
        <v>3.0625871499999999E-2</v>
      </c>
      <c r="D35" s="57">
        <f>[1]!S_STM07_IS($B$1,"W38468877",D3,1)/100000000</f>
        <v>1.0634110400000001E-2</v>
      </c>
      <c r="E35" s="57">
        <f>[1]!S_STM07_IS($B$1,"W38468877",E3,1)/100000000</f>
        <v>3.6139354999999997E-3</v>
      </c>
      <c r="F35" s="57">
        <f>[1]!S_STM07_IS($B$1,"W38468877",F3,1)/100000000</f>
        <v>5.9420049999999998E-4</v>
      </c>
      <c r="G35" s="57">
        <f>[1]!S_STM07_IS($B$1,"W38468877",G3,1)/100000000</f>
        <v>2.2718935099999997E-2</v>
      </c>
      <c r="H35" s="57">
        <f>[1]!S_STM07_IS($B$1,"W38468877",H3,1)/100000000</f>
        <v>1.3324741299999998E-2</v>
      </c>
      <c r="I35" s="57">
        <f>[1]!S_STM07_IS($B$1,"W38468877",I3,1)/100000000</f>
        <v>0.10581485359999999</v>
      </c>
    </row>
    <row r="36" spans="1:9" x14ac:dyDescent="0.25">
      <c r="A36" s="55" t="s">
        <v>131</v>
      </c>
      <c r="B36" s="57">
        <f>[1]!S_STM07_IS($B$1,"W32544360",B3,1)/100000000</f>
        <v>4.4248040000000001E-3</v>
      </c>
      <c r="C36" s="57">
        <f>[1]!S_STM07_IS($B$1,"W32544360",C3,1)/100000000</f>
        <v>1.42683176E-2</v>
      </c>
      <c r="D36" s="57">
        <f>[1]!S_STM07_IS($B$1,"W32544360",D3,1)/100000000</f>
        <v>6.7159196999999997E-3</v>
      </c>
      <c r="E36" s="57">
        <f>[1]!S_STM07_IS($B$1,"W32544360",E3,1)/100000000</f>
        <v>3.3782995000000001E-3</v>
      </c>
      <c r="F36" s="57">
        <f>[1]!S_STM07_IS($B$1,"W32544360",F3,1)/100000000</f>
        <v>0</v>
      </c>
      <c r="G36" s="57">
        <f>[1]!S_STM07_IS($B$1,"W32544360",G3,1)/100000000</f>
        <v>0</v>
      </c>
      <c r="H36" s="57">
        <f>[1]!S_STM07_IS($B$1,"W32544360",H3,1)/100000000</f>
        <v>0</v>
      </c>
      <c r="I36" s="57">
        <f>[1]!S_STM07_IS($B$1,"W32544360",I3,1)/100000000</f>
        <v>0</v>
      </c>
    </row>
    <row r="37" spans="1:9" x14ac:dyDescent="0.25">
      <c r="A37" s="55" t="s">
        <v>132</v>
      </c>
      <c r="B37" s="57">
        <f>[1]!S_STM07_IS($B$1,"W34664222",B3,1)/100000000</f>
        <v>0</v>
      </c>
      <c r="C37" s="57">
        <f>[1]!S_STM07_IS($B$1,"W34664222",C3,1)/100000000</f>
        <v>0</v>
      </c>
      <c r="D37" s="57">
        <f>[1]!S_STM07_IS($B$1,"W34664222",D3,1)/100000000</f>
        <v>0</v>
      </c>
      <c r="E37" s="57">
        <f>[1]!S_STM07_IS($B$1,"W34664222",E3,1)/100000000</f>
        <v>0</v>
      </c>
      <c r="F37" s="57">
        <f>[1]!S_STM07_IS($B$1,"W34664222",F3,1)/100000000</f>
        <v>0</v>
      </c>
      <c r="G37" s="57">
        <f>[1]!S_STM07_IS($B$1,"W34664222",G3,1)/100000000</f>
        <v>0</v>
      </c>
      <c r="H37" s="57">
        <f>[1]!S_STM07_IS($B$1,"W34664222",H3,1)/100000000</f>
        <v>0</v>
      </c>
      <c r="I37" s="57">
        <f>[1]!S_STM07_IS($B$1,"W34664222",I3,1)/100000000</f>
        <v>0</v>
      </c>
    </row>
    <row r="38" spans="1:9" x14ac:dyDescent="0.25">
      <c r="A38" s="55" t="s">
        <v>133</v>
      </c>
      <c r="B38" s="57">
        <f>[1]!S_STM07_IS($B$1,"W32938327",B3,1)/100000000</f>
        <v>0</v>
      </c>
      <c r="C38" s="57">
        <f>[1]!S_STM07_IS($B$1,"W32938327",C3,1)/100000000</f>
        <v>0</v>
      </c>
      <c r="D38" s="57">
        <f>[1]!S_STM07_IS($B$1,"W32938327",D3,1)/100000000</f>
        <v>0</v>
      </c>
      <c r="E38" s="57">
        <f>[1]!S_STM07_IS($B$1,"W32938327",E3,1)/100000000</f>
        <v>0</v>
      </c>
      <c r="F38" s="57">
        <f>[1]!S_STM07_IS($B$1,"W32938327",F3,1)/100000000</f>
        <v>0</v>
      </c>
      <c r="G38" s="57">
        <f>[1]!S_STM07_IS($B$1,"W32938327",G3,1)/100000000</f>
        <v>0</v>
      </c>
      <c r="H38" s="57">
        <f>[1]!S_STM07_IS($B$1,"W32938327",H3,1)/100000000</f>
        <v>0</v>
      </c>
      <c r="I38" s="57">
        <f>[1]!S_STM07_IS($B$1,"W32938327",I3,1)/100000000</f>
        <v>0</v>
      </c>
    </row>
    <row r="39" spans="1:9" x14ac:dyDescent="0.25">
      <c r="A39" s="54" t="s">
        <v>134</v>
      </c>
      <c r="B39" s="53">
        <f>[1]!S_STM07_IS($B$1,"W34181641",B3,1)/100000000</f>
        <v>0.69564107069999992</v>
      </c>
      <c r="C39" s="53">
        <f>[1]!S_STM07_IS($B$1,"W34181641",C3,1)/100000000</f>
        <v>0.76871180560000008</v>
      </c>
      <c r="D39" s="53">
        <f>[1]!S_STM07_IS($B$1,"W34181641",D3,1)/100000000</f>
        <v>0.85553196629999995</v>
      </c>
      <c r="E39" s="53">
        <f>[1]!S_STM07_IS($B$1,"W34181641",E3,1)/100000000</f>
        <v>0.96933380439999994</v>
      </c>
      <c r="F39" s="53">
        <f>[1]!S_STM07_IS($B$1,"W34181641",F3,1)/100000000</f>
        <v>1.3922963259000001</v>
      </c>
      <c r="G39" s="53">
        <f>[1]!S_STM07_IS($B$1,"W34181641",G3,1)/100000000</f>
        <v>1.5644502387000001</v>
      </c>
      <c r="H39" s="53">
        <f>[1]!S_STM07_IS($B$1,"W34181641",H3,1)/100000000</f>
        <v>1.8624544624999999</v>
      </c>
      <c r="I39" s="53">
        <f>[1]!S_STM07_IS($B$1,"W34181641",I3,1)/100000000</f>
        <v>0.1330325007</v>
      </c>
    </row>
    <row r="40" spans="1:9" x14ac:dyDescent="0.25">
      <c r="A40" s="54" t="s">
        <v>135</v>
      </c>
      <c r="B40" s="57">
        <f>[1]!S_STM07_IS($B$1,"W34245281",B3,1)/100000000</f>
        <v>0.18709044309999998</v>
      </c>
      <c r="C40" s="57">
        <f>[1]!S_STM07_IS($B$1,"W34245281",C3,1)/100000000</f>
        <v>0.19295919820000001</v>
      </c>
      <c r="D40" s="57">
        <f>[1]!S_STM07_IS($B$1,"W34245281",D3,1)/100000000</f>
        <v>0.2124724771</v>
      </c>
      <c r="E40" s="57">
        <f>[1]!S_STM07_IS($B$1,"W34245281",E3,1)/100000000</f>
        <v>0.23385589579999999</v>
      </c>
      <c r="F40" s="57">
        <f>[1]!S_STM07_IS($B$1,"W34245281",F3,1)/100000000</f>
        <v>0.32648926960000002</v>
      </c>
      <c r="G40" s="57">
        <f>[1]!S_STM07_IS($B$1,"W34245281",G3,1)/100000000</f>
        <v>0.40017260119999998</v>
      </c>
      <c r="H40" s="57">
        <f>[1]!S_STM07_IS($B$1,"W34245281",H3,1)/100000000</f>
        <v>0.43804590060000004</v>
      </c>
      <c r="I40" s="57">
        <f>[1]!S_STM07_IS($B$1,"W34245281",I3,1)/100000000</f>
        <v>8.8529012000000008E-3</v>
      </c>
    </row>
    <row r="41" spans="1:9" x14ac:dyDescent="0.25">
      <c r="A41" s="55" t="s">
        <v>136</v>
      </c>
      <c r="B41" s="57">
        <f>[1]!S_STM07_IS($B$1,"W38179625",B3,1)/100000000</f>
        <v>0</v>
      </c>
      <c r="C41" s="57">
        <f>[1]!S_STM07_IS($B$1,"W38179625",C3,1)/100000000</f>
        <v>0</v>
      </c>
      <c r="D41" s="57">
        <f>[1]!S_STM07_IS($B$1,"W38179625",D3,1)/100000000</f>
        <v>0</v>
      </c>
      <c r="E41" s="57">
        <f>[1]!S_STM07_IS($B$1,"W38179625",E3,1)/100000000</f>
        <v>0</v>
      </c>
      <c r="F41" s="57">
        <f>[1]!S_STM07_IS($B$1,"W38179625",F3,1)/100000000</f>
        <v>0</v>
      </c>
      <c r="G41" s="57">
        <f>[1]!S_STM07_IS($B$1,"W38179625",G3,1)/100000000</f>
        <v>0</v>
      </c>
      <c r="H41" s="57">
        <f>[1]!S_STM07_IS($B$1,"W38179625",H3,1)/100000000</f>
        <v>0</v>
      </c>
      <c r="I41" s="57">
        <f>[1]!S_STM07_IS($B$1,"W38179625",I3,1)/100000000</f>
        <v>0</v>
      </c>
    </row>
    <row r="42" spans="1:9" x14ac:dyDescent="0.25">
      <c r="A42" s="55" t="s">
        <v>137</v>
      </c>
      <c r="B42" s="57">
        <f>[1]!S_STM07_IS($B$1,"W34724985",B3,1)/100000000</f>
        <v>0</v>
      </c>
      <c r="C42" s="57">
        <f>[1]!S_STM07_IS($B$1,"W34724985",C3,1)/100000000</f>
        <v>0</v>
      </c>
      <c r="D42" s="57">
        <f>[1]!S_STM07_IS($B$1,"W34724985",D3,1)/100000000</f>
        <v>0</v>
      </c>
      <c r="E42" s="57">
        <f>[1]!S_STM07_IS($B$1,"W34724985",E3,1)/100000000</f>
        <v>0</v>
      </c>
      <c r="F42" s="57">
        <f>[1]!S_STM07_IS($B$1,"W34724985",F3,1)/100000000</f>
        <v>0</v>
      </c>
      <c r="G42" s="57">
        <f>[1]!S_STM07_IS($B$1,"W34724985",G3,1)/100000000</f>
        <v>0</v>
      </c>
      <c r="H42" s="57">
        <f>[1]!S_STM07_IS($B$1,"W34724985",H3,1)/100000000</f>
        <v>0</v>
      </c>
      <c r="I42" s="57">
        <f>[1]!S_STM07_IS($B$1,"W34724985",I3,1)/100000000</f>
        <v>0</v>
      </c>
    </row>
    <row r="43" spans="1:9" x14ac:dyDescent="0.25">
      <c r="A43" s="55" t="s">
        <v>138</v>
      </c>
      <c r="B43" s="57">
        <f>[1]!S_STM07_IS($B$1,"W31912976",B3,1)/100000000</f>
        <v>0</v>
      </c>
      <c r="C43" s="57">
        <f>[1]!S_STM07_IS($B$1,"W31912976",C3,1)/100000000</f>
        <v>0</v>
      </c>
      <c r="D43" s="57">
        <f>[1]!S_STM07_IS($B$1,"W31912976",D3,1)/100000000</f>
        <v>0</v>
      </c>
      <c r="E43" s="57">
        <f>[1]!S_STM07_IS($B$1,"W31912976",E3,1)/100000000</f>
        <v>0</v>
      </c>
      <c r="F43" s="57">
        <f>[1]!S_STM07_IS($B$1,"W31912976",F3,1)/100000000</f>
        <v>0</v>
      </c>
      <c r="G43" s="57">
        <f>[1]!S_STM07_IS($B$1,"W31912976",G3,1)/100000000</f>
        <v>0</v>
      </c>
      <c r="H43" s="57">
        <f>[1]!S_STM07_IS($B$1,"W31912976",H3,1)/100000000</f>
        <v>0</v>
      </c>
      <c r="I43" s="57">
        <f>[1]!S_STM07_IS($B$1,"W31912976",I3,1)/100000000</f>
        <v>0</v>
      </c>
    </row>
    <row r="44" spans="1:9" x14ac:dyDescent="0.25">
      <c r="A44" s="54" t="s">
        <v>139</v>
      </c>
      <c r="B44" s="58">
        <f>[1]!S_STM07_IS($B$1,"W33736906",B3,1)/100000000</f>
        <v>0.50855062760000003</v>
      </c>
      <c r="C44" s="58">
        <f>[1]!S_STM07_IS($B$1,"W33736906",C3,1)/100000000</f>
        <v>0.5757526074</v>
      </c>
      <c r="D44" s="58">
        <f>[1]!S_STM07_IS($B$1,"W33736906",D3,1)/100000000</f>
        <v>0.6430594892</v>
      </c>
      <c r="E44" s="58">
        <f>[1]!S_STM07_IS($B$1,"W33736906",E3,1)/100000000</f>
        <v>0.73547790859999995</v>
      </c>
      <c r="F44" s="58">
        <f>[1]!S_STM07_IS($B$1,"W33736906",F3,1)/100000000</f>
        <v>1.0658070562999999</v>
      </c>
      <c r="G44" s="58">
        <f>[1]!S_STM07_IS($B$1,"W33736906",G3,1)/100000000</f>
        <v>1.1642776374999999</v>
      </c>
      <c r="H44" s="58">
        <f>[1]!S_STM07_IS($B$1,"W33736906",H3,1)/100000000</f>
        <v>1.4244085619</v>
      </c>
      <c r="I44" s="58">
        <f>[1]!S_STM07_IS($B$1,"W33736906",I3,1)/100000000</f>
        <v>0.12417959949999999</v>
      </c>
    </row>
    <row r="45" spans="1:9" x14ac:dyDescent="0.25">
      <c r="A45" s="55" t="s">
        <v>140</v>
      </c>
      <c r="B45" s="57">
        <f>[1]!S_STM07_IS($B$1,"W38322998",B3,1)/100000000</f>
        <v>1.7906385900000002E-2</v>
      </c>
      <c r="C45" s="57">
        <f>[1]!S_STM07_IS($B$1,"W38322998",C3,1)/100000000</f>
        <v>1.0571550900000001E-2</v>
      </c>
      <c r="D45" s="57">
        <f>[1]!S_STM07_IS($B$1,"W38322998",D3,1)/100000000</f>
        <v>2.84662187E-2</v>
      </c>
      <c r="E45" s="57">
        <f>[1]!S_STM07_IS($B$1,"W38322998",E3,1)/100000000</f>
        <v>4.6299260000000002E-2</v>
      </c>
      <c r="F45" s="57">
        <f>[1]!S_STM07_IS($B$1,"W38322998",F3,1)/100000000</f>
        <v>0.1273332063</v>
      </c>
      <c r="G45" s="57">
        <f>[1]!S_STM07_IS($B$1,"W38322998",G3,1)/100000000</f>
        <v>0.22268668129999999</v>
      </c>
      <c r="H45" s="57">
        <f>[1]!S_STM07_IS($B$1,"W38322998",H3,1)/100000000</f>
        <v>0.32020461249999999</v>
      </c>
      <c r="I45" s="57">
        <f>[1]!S_STM07_IS($B$1,"W38322998",I3,1)/100000000</f>
        <v>4.7111810999999996E-2</v>
      </c>
    </row>
    <row r="46" spans="1:9" x14ac:dyDescent="0.25">
      <c r="A46" s="54" t="s">
        <v>141</v>
      </c>
      <c r="B46" s="58">
        <f>[1]!S_STM07_IS($B$1,"W30028333",B3,1)/100000000</f>
        <v>0.49064424170000004</v>
      </c>
      <c r="C46" s="58">
        <f>[1]!S_STM07_IS($B$1,"W30028333",C3,1)/100000000</f>
        <v>0.56518105649999995</v>
      </c>
      <c r="D46" s="58">
        <f>[1]!S_STM07_IS($B$1,"W30028333",D3,1)/100000000</f>
        <v>0.61459327050000001</v>
      </c>
      <c r="E46" s="58">
        <f>[1]!S_STM07_IS($B$1,"W30028333",E3,1)/100000000</f>
        <v>0.6891786486</v>
      </c>
      <c r="F46" s="58">
        <f>[1]!S_STM07_IS($B$1,"W30028333",F3,1)/100000000</f>
        <v>0.93847385000000005</v>
      </c>
      <c r="G46" s="58">
        <f>[1]!S_STM07_IS($B$1,"W30028333",G3,1)/100000000</f>
        <v>0.9415909562</v>
      </c>
      <c r="H46" s="58">
        <f>[1]!S_STM07_IS($B$1,"W30028333",H3,1)/100000000</f>
        <v>1.1042039494</v>
      </c>
      <c r="I46" s="58">
        <f>[1]!S_STM07_IS($B$1,"W30028333",I3,1)/100000000</f>
        <v>7.7067788499999998E-2</v>
      </c>
    </row>
    <row r="47" spans="1:9" x14ac:dyDescent="0.25">
      <c r="A47" s="55" t="s">
        <v>142</v>
      </c>
      <c r="B47" s="57">
        <f>[1]!S_STM07_IS($B$1,"W38535463",B3,1)/100000000</f>
        <v>0</v>
      </c>
      <c r="C47" s="57">
        <f>[1]!S_STM07_IS($B$1,"W38535463",C3,1)/100000000</f>
        <v>0</v>
      </c>
      <c r="D47" s="57">
        <f>[1]!S_STM07_IS($B$1,"W38535463",D3,1)/100000000</f>
        <v>0</v>
      </c>
      <c r="E47" s="57">
        <f>[1]!S_STM07_IS($B$1,"W38535463",E3,1)/100000000</f>
        <v>0</v>
      </c>
      <c r="F47" s="57">
        <f>[1]!S_STM07_IS($B$1,"W38535463",F3,1)/100000000</f>
        <v>0</v>
      </c>
      <c r="G47" s="57">
        <f>[1]!S_STM07_IS($B$1,"W38535463",G3,1)/100000000</f>
        <v>0</v>
      </c>
      <c r="H47" s="57">
        <f>[1]!S_STM07_IS($B$1,"W38535463",H3,1)/100000000</f>
        <v>1.2868954699999999E-2</v>
      </c>
      <c r="I47" s="57">
        <f>[1]!S_STM07_IS($B$1,"W38535463",I3,1)/100000000</f>
        <v>1.4992485000000001E-3</v>
      </c>
    </row>
    <row r="48" spans="1:9" x14ac:dyDescent="0.25">
      <c r="A48" s="56" t="s">
        <v>143</v>
      </c>
      <c r="B48" s="58">
        <f>[1]!S_STM07_IS($B$1,"W34819543",B3,1)/100000000</f>
        <v>0.50855062760000003</v>
      </c>
      <c r="C48" s="58">
        <f>[1]!S_STM07_IS($B$1,"W34819543",C3,1)/100000000</f>
        <v>0.5757526074</v>
      </c>
      <c r="D48" s="58">
        <f>[1]!S_STM07_IS($B$1,"W34819543",D3,1)/100000000</f>
        <v>0.6430594892</v>
      </c>
      <c r="E48" s="58">
        <f>[1]!S_STM07_IS($B$1,"W34819543",E3,1)/100000000</f>
        <v>0.73547790859999995</v>
      </c>
      <c r="F48" s="58">
        <f>[1]!S_STM07_IS($B$1,"W34819543",F3,1)/100000000</f>
        <v>1.0658070562999999</v>
      </c>
      <c r="G48" s="58">
        <f>[1]!S_STM07_IS($B$1,"W34819543",G3,1)/100000000</f>
        <v>1.1642776374999999</v>
      </c>
      <c r="H48" s="58">
        <f>[1]!S_STM07_IS($B$1,"W34819543",H3,1)/100000000</f>
        <v>1.4372775166</v>
      </c>
      <c r="I48" s="58">
        <f>[1]!S_STM07_IS($B$1,"W34819543",I3,1)/100000000</f>
        <v>0.12567884800000001</v>
      </c>
    </row>
    <row r="49" spans="1:9" x14ac:dyDescent="0.25">
      <c r="A49" s="55" t="s">
        <v>144</v>
      </c>
      <c r="B49" s="57">
        <f>[1]!S_STM07_IS($B$1,"W34954132",B3,1)/100000000</f>
        <v>1.7906385900000002E-2</v>
      </c>
      <c r="C49" s="57">
        <f>[1]!S_STM07_IS($B$1,"W34954132",C3,1)/100000000</f>
        <v>1.0571550900000001E-2</v>
      </c>
      <c r="D49" s="57">
        <f>[1]!S_STM07_IS($B$1,"W34954132",D3,1)/100000000</f>
        <v>2.84662187E-2</v>
      </c>
      <c r="E49" s="57">
        <f>[1]!S_STM07_IS($B$1,"W34954132",E3,1)/100000000</f>
        <v>4.6299260000000002E-2</v>
      </c>
      <c r="F49" s="57">
        <f>[1]!S_STM07_IS($B$1,"W34954132",F3,1)/100000000</f>
        <v>0.1273332063</v>
      </c>
      <c r="G49" s="57">
        <f>[1]!S_STM07_IS($B$1,"W34954132",G3,1)/100000000</f>
        <v>0.22268668129999999</v>
      </c>
      <c r="H49" s="57">
        <f>[1]!S_STM07_IS($B$1,"W34954132",H3,1)/100000000</f>
        <v>0.32020461249999999</v>
      </c>
      <c r="I49" s="57">
        <f>[1]!S_STM07_IS($B$1,"W34954132",I3,1)/100000000</f>
        <v>4.7111810999999996E-2</v>
      </c>
    </row>
    <row r="50" spans="1:9" x14ac:dyDescent="0.25">
      <c r="A50" s="55" t="s">
        <v>145</v>
      </c>
      <c r="B50" s="57">
        <f>[1]!S_STM07_IS($B$1,"W32012759",B3,1)/100000000</f>
        <v>0.49064424170000004</v>
      </c>
      <c r="C50" s="57">
        <f>[1]!S_STM07_IS($B$1,"W32012759",C3,1)/100000000</f>
        <v>0.56518105649999995</v>
      </c>
      <c r="D50" s="57">
        <f>[1]!S_STM07_IS($B$1,"W32012759",D3,1)/100000000</f>
        <v>0.61459327050000001</v>
      </c>
      <c r="E50" s="57">
        <f>[1]!S_STM07_IS($B$1,"W32012759",E3,1)/100000000</f>
        <v>0.6891786486</v>
      </c>
      <c r="F50" s="57">
        <f>[1]!S_STM07_IS($B$1,"W32012759",F3,1)/100000000</f>
        <v>0.93847385000000005</v>
      </c>
      <c r="G50" s="57">
        <f>[1]!S_STM07_IS($B$1,"W32012759",G3,1)/100000000</f>
        <v>0.9415909562</v>
      </c>
      <c r="H50" s="57">
        <f>[1]!S_STM07_IS($B$1,"W32012759",H3,1)/100000000</f>
        <v>1.1170729041</v>
      </c>
      <c r="I50" s="57">
        <f>[1]!S_STM07_IS($B$1,"W32012759",I3,1)/100000000</f>
        <v>7.8567037000000006E-2</v>
      </c>
    </row>
    <row r="51" spans="1:9" x14ac:dyDescent="0.25">
      <c r="A51" s="56" t="s">
        <v>146</v>
      </c>
    </row>
    <row r="52" spans="1:9" x14ac:dyDescent="0.25">
      <c r="A52" s="55" t="s">
        <v>147</v>
      </c>
      <c r="B52" s="57">
        <f>[1]!S_STM07_IS($B$1,"W38882281",B3,1)</f>
        <v>1.28</v>
      </c>
      <c r="C52" s="57">
        <f>[1]!S_STM07_IS($B$1,"W38882281",C3,1)</f>
        <v>1.48</v>
      </c>
      <c r="D52" s="57">
        <f>[1]!S_STM07_IS($B$1,"W38882281",D3,1)</f>
        <v>1.61</v>
      </c>
      <c r="E52" s="57">
        <f>[1]!S_STM07_IS($B$1,"W38882281",E3,1)</f>
        <v>1.71</v>
      </c>
      <c r="F52" s="57">
        <f>[1]!S_STM07_IS($B$1,"W38882281",F3,1)</f>
        <v>1.32</v>
      </c>
      <c r="G52" s="57">
        <f>[1]!S_STM07_IS($B$1,"W38882281",G3,1)</f>
        <v>0.49</v>
      </c>
      <c r="H52" s="57">
        <f>[1]!S_STM07_IS($B$1,"W38882281",H3,1)</f>
        <v>0.56000000000000005</v>
      </c>
      <c r="I52" s="57">
        <f>[1]!S_STM07_IS($B$1,"W38882281",I3,1)</f>
        <v>0.04</v>
      </c>
    </row>
    <row r="53" spans="1:9" x14ac:dyDescent="0.25">
      <c r="A53" s="55" t="s">
        <v>148</v>
      </c>
      <c r="B53" s="57">
        <f>[1]!S_STM07_IS($B$1,"W30639741",B3,1)</f>
        <v>1.28</v>
      </c>
      <c r="C53" s="57">
        <f>[1]!S_STM07_IS($B$1,"W30639741",C3,1)</f>
        <v>1.48</v>
      </c>
      <c r="D53" s="57">
        <f>[1]!S_STM07_IS($B$1,"W30639741",D3,1)</f>
        <v>1.61</v>
      </c>
      <c r="E53" s="57">
        <f>[1]!S_STM07_IS($B$1,"W30639741",E3,1)</f>
        <v>1.71</v>
      </c>
      <c r="F53" s="57">
        <f>[1]!S_STM07_IS($B$1,"W30639741",F3,1)</f>
        <v>1.32</v>
      </c>
      <c r="G53" s="57">
        <f>[1]!S_STM07_IS($B$1,"W30639741",G3,1)</f>
        <v>0.49</v>
      </c>
      <c r="H53" s="57">
        <f>[1]!S_STM07_IS($B$1,"W30639741",H3,1)</f>
        <v>0.56000000000000005</v>
      </c>
      <c r="I53" s="57">
        <f>[1]!S_STM07_IS($B$1,"W30639741",I3,1)</f>
        <v>0.04</v>
      </c>
    </row>
    <row r="57" spans="1:9" x14ac:dyDescent="0.25">
      <c r="A57" s="50" t="s">
        <v>149</v>
      </c>
      <c r="B57" s="51"/>
      <c r="C57" s="51"/>
      <c r="D57" s="51"/>
      <c r="E57" s="51"/>
      <c r="F57" s="51"/>
      <c r="G57" s="51"/>
      <c r="H57" s="51"/>
      <c r="I57" s="51"/>
    </row>
    <row r="58" spans="1:9" x14ac:dyDescent="0.25">
      <c r="A58" s="56" t="s">
        <v>150</v>
      </c>
    </row>
    <row r="59" spans="1:9" x14ac:dyDescent="0.25">
      <c r="A59" s="54" t="s">
        <v>151</v>
      </c>
      <c r="B59" s="57">
        <f>[1]!s_stm07_bs($B$1,"W34103815",B3,1)/100000000</f>
        <v>0.50158721319999999</v>
      </c>
      <c r="C59" s="57">
        <f>[1]!s_stm07_bs($B$1,"W34103815",C3,1)/100000000</f>
        <v>0.66491689090000006</v>
      </c>
      <c r="D59" s="57">
        <f>[1]!s_stm07_bs($B$1,"W34103815",D3,1)/100000000</f>
        <v>0.96717889719999994</v>
      </c>
      <c r="E59" s="57">
        <f>[1]!s_stm07_bs($B$1,"W34103815",E3,1)/100000000</f>
        <v>3.5378426689999998</v>
      </c>
      <c r="F59" s="57">
        <f>[1]!s_stm07_bs($B$1,"W34103815",F3,1)/100000000</f>
        <v>1.9649984065999999</v>
      </c>
      <c r="G59" s="57">
        <f>[1]!s_stm07_bs($B$1,"W34103815",G3,1)/100000000</f>
        <v>7.0287941557000009</v>
      </c>
      <c r="H59" s="57">
        <f>[1]!s_stm07_bs($B$1,"W34103815",H3,1)/100000000</f>
        <v>5.0811170619999997</v>
      </c>
      <c r="I59" s="57">
        <f>[1]!s_stm07_bs($B$1,"W34103815",I3,1)/100000000</f>
        <v>4.1034389761999996</v>
      </c>
    </row>
    <row r="60" spans="1:9" x14ac:dyDescent="0.25">
      <c r="A60" s="55" t="s">
        <v>152</v>
      </c>
      <c r="B60" s="57">
        <f>[1]!s_stm07_bs($B$1,"W30093542",B3,1)/100000000</f>
        <v>0</v>
      </c>
      <c r="C60" s="57">
        <f>[1]!s_stm07_bs($B$1,"W30093542",C3,1)/100000000</f>
        <v>0</v>
      </c>
      <c r="D60" s="57">
        <f>[1]!s_stm07_bs($B$1,"W30093542",D3,1)/100000000</f>
        <v>0</v>
      </c>
      <c r="E60" s="57">
        <f>[1]!s_stm07_bs($B$1,"W30093542",E3,1)/100000000</f>
        <v>0</v>
      </c>
      <c r="F60" s="57">
        <f>[1]!s_stm07_bs($B$1,"W30093542",F3,1)/100000000</f>
        <v>0</v>
      </c>
      <c r="G60" s="57">
        <f>[1]!s_stm07_bs($B$1,"W30093542",G3,1)/100000000</f>
        <v>0</v>
      </c>
      <c r="H60" s="57">
        <f>[1]!s_stm07_bs($B$1,"W30093542",H3,1)/100000000</f>
        <v>0</v>
      </c>
      <c r="I60" s="57">
        <f>[1]!s_stm07_bs($B$1,"W30093542",I3,1)/100000000</f>
        <v>0</v>
      </c>
    </row>
    <row r="61" spans="1:9" x14ac:dyDescent="0.25">
      <c r="A61" s="55" t="s">
        <v>153</v>
      </c>
      <c r="B61" s="57">
        <f>[1]!s_stm07_bs($B$1,"W32441899",B3,1)/100000000</f>
        <v>0</v>
      </c>
      <c r="C61" s="57">
        <f>[1]!s_stm07_bs($B$1,"W32441899",C3,1)/100000000</f>
        <v>0</v>
      </c>
      <c r="D61" s="57">
        <f>[1]!s_stm07_bs($B$1,"W32441899",D3,1)/100000000</f>
        <v>0</v>
      </c>
      <c r="E61" s="57">
        <f>[1]!s_stm07_bs($B$1,"W32441899",E3,1)/100000000</f>
        <v>0</v>
      </c>
      <c r="F61" s="57">
        <f>[1]!s_stm07_bs($B$1,"W32441899",F3,1)/100000000</f>
        <v>0</v>
      </c>
      <c r="G61" s="57">
        <f>[1]!s_stm07_bs($B$1,"W32441899",G3,1)/100000000</f>
        <v>0</v>
      </c>
      <c r="H61" s="57">
        <f>[1]!s_stm07_bs($B$1,"W32441899",H3,1)/100000000</f>
        <v>0</v>
      </c>
      <c r="I61" s="57">
        <f>[1]!s_stm07_bs($B$1,"W32441899",I3,1)/100000000</f>
        <v>0</v>
      </c>
    </row>
    <row r="62" spans="1:9" x14ac:dyDescent="0.25">
      <c r="A62" s="55" t="s">
        <v>154</v>
      </c>
      <c r="B62" s="57">
        <f>[1]!s_stm07_bs($B$1,"W35569527",B3,1)/100000000</f>
        <v>0</v>
      </c>
      <c r="C62" s="57">
        <f>[1]!s_stm07_bs($B$1,"W35569527",C3,1)/100000000</f>
        <v>0</v>
      </c>
      <c r="D62" s="57">
        <f>[1]!s_stm07_bs($B$1,"W35569527",D3,1)/100000000</f>
        <v>0</v>
      </c>
      <c r="E62" s="57">
        <f>[1]!s_stm07_bs($B$1,"W35569527",E3,1)/100000000</f>
        <v>0</v>
      </c>
      <c r="F62" s="57">
        <f>[1]!s_stm07_bs($B$1,"W35569527",F3,1)/100000000</f>
        <v>0</v>
      </c>
      <c r="G62" s="57">
        <f>[1]!s_stm07_bs($B$1,"W35569527",G3,1)/100000000</f>
        <v>0</v>
      </c>
      <c r="H62" s="57">
        <f>[1]!s_stm07_bs($B$1,"W35569527",H3,1)/100000000</f>
        <v>0.02</v>
      </c>
      <c r="I62" s="57">
        <f>[1]!s_stm07_bs($B$1,"W35569527",I3,1)/100000000</f>
        <v>0</v>
      </c>
    </row>
    <row r="63" spans="1:9" x14ac:dyDescent="0.25">
      <c r="A63" s="54" t="s">
        <v>155</v>
      </c>
      <c r="B63" s="57">
        <f>[1]!s_stm07_bs($B$1,"W38752582",B3,1)/100000000</f>
        <v>0.10056085529999999</v>
      </c>
      <c r="C63" s="57">
        <f>[1]!s_stm07_bs($B$1,"W38752582",C3,1)/100000000</f>
        <v>0.1223883347</v>
      </c>
      <c r="D63" s="57">
        <f>[1]!s_stm07_bs($B$1,"W38752582",D3,1)/100000000</f>
        <v>0.209043427</v>
      </c>
      <c r="E63" s="57">
        <f>[1]!s_stm07_bs($B$1,"W38752582",E3,1)/100000000</f>
        <v>0.25403014359999998</v>
      </c>
      <c r="F63" s="57">
        <f>[1]!s_stm07_bs($B$1,"W38752582",F3,1)/100000000</f>
        <v>0.1801305533</v>
      </c>
      <c r="G63" s="57">
        <f>[1]!s_stm07_bs($B$1,"W38752582",G3,1)/100000000</f>
        <v>0.15715626599999999</v>
      </c>
      <c r="H63" s="57">
        <f>[1]!s_stm07_bs($B$1,"W38752582",H3,1)/100000000</f>
        <v>0</v>
      </c>
      <c r="I63" s="57">
        <f>[1]!s_stm07_bs($B$1,"W38752582",I3,1)/100000000</f>
        <v>0</v>
      </c>
    </row>
    <row r="64" spans="1:9" x14ac:dyDescent="0.25">
      <c r="A64" s="54" t="s">
        <v>156</v>
      </c>
      <c r="B64" s="57">
        <f>[1]!s_stm07_bs($B$1,"W32652316",B3,1)/100000000</f>
        <v>1.8370408773</v>
      </c>
      <c r="C64" s="57">
        <f>[1]!s_stm07_bs($B$1,"W32652316",C3,1)/100000000</f>
        <v>2.4112130511000003</v>
      </c>
      <c r="D64" s="57">
        <f>[1]!s_stm07_bs($B$1,"W32652316",D3,1)/100000000</f>
        <v>2.7293025917000002</v>
      </c>
      <c r="E64" s="57">
        <f>[1]!s_stm07_bs($B$1,"W32652316",E3,1)/100000000</f>
        <v>3.5976531701999996</v>
      </c>
      <c r="F64" s="57">
        <f>[1]!s_stm07_bs($B$1,"W32652316",F3,1)/100000000</f>
        <v>5.7684226299999999</v>
      </c>
      <c r="G64" s="57">
        <f>[1]!s_stm07_bs($B$1,"W32652316",G3,1)/100000000</f>
        <v>8.5170106680999993</v>
      </c>
      <c r="H64" s="57">
        <f>[1]!s_stm07_bs($B$1,"W32652316",H3,1)/100000000</f>
        <v>11.425921056300002</v>
      </c>
      <c r="I64" s="57">
        <f>[1]!s_stm07_bs($B$1,"W32652316",I3,1)/100000000</f>
        <v>12.6893952177</v>
      </c>
    </row>
    <row r="65" spans="1:9" x14ac:dyDescent="0.25">
      <c r="A65" s="55" t="s">
        <v>157</v>
      </c>
      <c r="B65" s="57">
        <f>[1]!s_stm07_bs($B$1,"W33385698",B3,1)/100000000</f>
        <v>0.18525571219999998</v>
      </c>
      <c r="C65" s="57">
        <f>[1]!s_stm07_bs($B$1,"W33385698",C3,1)/100000000</f>
        <v>0.23576792199999999</v>
      </c>
      <c r="D65" s="57">
        <f>[1]!s_stm07_bs($B$1,"W33385698",D3,1)/100000000</f>
        <v>0.32647622859999997</v>
      </c>
      <c r="E65" s="57">
        <f>[1]!s_stm07_bs($B$1,"W33385698",E3,1)/100000000</f>
        <v>0.56380135630000006</v>
      </c>
      <c r="F65" s="57">
        <f>[1]!s_stm07_bs($B$1,"W33385698",F3,1)/100000000</f>
        <v>0.88287065180000002</v>
      </c>
      <c r="G65" s="57">
        <f>[1]!s_stm07_bs($B$1,"W33385698",G3,1)/100000000</f>
        <v>0.60302769979999993</v>
      </c>
      <c r="H65" s="57">
        <f>[1]!s_stm07_bs($B$1,"W33385698",H3,1)/100000000</f>
        <v>0.76538033769999991</v>
      </c>
      <c r="I65" s="57">
        <f>[1]!s_stm07_bs($B$1,"W33385698",I3,1)/100000000</f>
        <v>0.72129652249999998</v>
      </c>
    </row>
    <row r="66" spans="1:9" x14ac:dyDescent="0.25">
      <c r="A66" s="55" t="s">
        <v>158</v>
      </c>
      <c r="B66" s="57">
        <f>[1]!s_stm07_bs($B$1,"W35412837",B3,1)/100000000</f>
        <v>0</v>
      </c>
      <c r="C66" s="57">
        <f>[1]!s_stm07_bs($B$1,"W35412837",C3,1)/100000000</f>
        <v>0</v>
      </c>
      <c r="D66" s="57">
        <f>[1]!s_stm07_bs($B$1,"W35412837",D3,1)/100000000</f>
        <v>0</v>
      </c>
      <c r="E66" s="57">
        <f>[1]!s_stm07_bs($B$1,"W35412837",E3,1)/100000000</f>
        <v>0</v>
      </c>
      <c r="F66" s="57">
        <f>[1]!s_stm07_bs($B$1,"W35412837",F3,1)/100000000</f>
        <v>0</v>
      </c>
      <c r="G66" s="57">
        <f>[1]!s_stm07_bs($B$1,"W35412837",G3,1)/100000000</f>
        <v>0</v>
      </c>
      <c r="H66" s="57">
        <f>[1]!s_stm07_bs($B$1,"W35412837",H3,1)/100000000</f>
        <v>0</v>
      </c>
      <c r="I66" s="57">
        <f>[1]!s_stm07_bs($B$1,"W35412837",I3,1)/100000000</f>
        <v>0</v>
      </c>
    </row>
    <row r="67" spans="1:9" x14ac:dyDescent="0.25">
      <c r="A67" s="55" t="s">
        <v>159</v>
      </c>
      <c r="B67" s="57">
        <f>[1]!s_stm07_bs($B$1,"W38323358",B3,1)/100000000</f>
        <v>0</v>
      </c>
      <c r="C67" s="57">
        <f>[1]!s_stm07_bs($B$1,"W38323358",C3,1)/100000000</f>
        <v>0</v>
      </c>
      <c r="D67" s="57">
        <f>[1]!s_stm07_bs($B$1,"W38323358",D3,1)/100000000</f>
        <v>0</v>
      </c>
      <c r="E67" s="57">
        <f>[1]!s_stm07_bs($B$1,"W38323358",E3,1)/100000000</f>
        <v>0</v>
      </c>
      <c r="F67" s="57">
        <f>[1]!s_stm07_bs($B$1,"W38323358",F3,1)/100000000</f>
        <v>0</v>
      </c>
      <c r="G67" s="57">
        <f>[1]!s_stm07_bs($B$1,"W38323358",G3,1)/100000000</f>
        <v>0</v>
      </c>
      <c r="H67" s="57">
        <f>[1]!s_stm07_bs($B$1,"W38323358",H3,1)/100000000</f>
        <v>0</v>
      </c>
      <c r="I67" s="57">
        <f>[1]!s_stm07_bs($B$1,"W38323358",I3,1)/100000000</f>
        <v>0</v>
      </c>
    </row>
    <row r="68" spans="1:9" x14ac:dyDescent="0.25">
      <c r="A68" s="55" t="s">
        <v>160</v>
      </c>
      <c r="B68" s="57">
        <f>[1]!s_stm07_bs($B$1,152,B3,1)/100000000</f>
        <v>0</v>
      </c>
      <c r="C68" s="57">
        <f>[1]!s_stm07_bs($B$1,152,C3,1)/100000000</f>
        <v>0</v>
      </c>
      <c r="D68" s="57">
        <f>[1]!s_stm07_bs($B$1,152,D3,1)/100000000</f>
        <v>0</v>
      </c>
      <c r="E68" s="57">
        <f>[1]!s_stm07_bs($B$1,152,E3,1)/100000000</f>
        <v>0</v>
      </c>
      <c r="F68" s="57">
        <f>[1]!s_stm07_bs($B$1,152,F3,1)/100000000</f>
        <v>0</v>
      </c>
      <c r="G68" s="57">
        <f>[1]!s_stm07_bs($B$1,152,G3,1)/100000000</f>
        <v>0</v>
      </c>
      <c r="H68" s="57">
        <f>[1]!s_stm07_bs($B$1,152,H3,1)/100000000</f>
        <v>0</v>
      </c>
      <c r="I68" s="57">
        <f>[1]!s_stm07_bs($B$1,152,I3,1)/100000000</f>
        <v>0</v>
      </c>
    </row>
    <row r="69" spans="1:9" x14ac:dyDescent="0.25">
      <c r="A69" s="55" t="s">
        <v>161</v>
      </c>
      <c r="B69" s="57">
        <f>[1]!s_stm07_bs($B$1,"W33402888",B3,1)/100000000</f>
        <v>0</v>
      </c>
      <c r="C69" s="57">
        <f>[1]!s_stm07_bs($B$1,"W33402888",C3,1)/100000000</f>
        <v>0</v>
      </c>
      <c r="D69" s="57">
        <f>[1]!s_stm07_bs($B$1,"W33402888",D3,1)/100000000</f>
        <v>0</v>
      </c>
      <c r="E69" s="57">
        <f>[1]!s_stm07_bs($B$1,"W33402888",E3,1)/100000000</f>
        <v>0</v>
      </c>
      <c r="F69" s="57">
        <f>[1]!s_stm07_bs($B$1,"W33402888",F3,1)/100000000</f>
        <v>0</v>
      </c>
      <c r="G69" s="57">
        <f>[1]!s_stm07_bs($B$1,"W33402888",G3,1)/100000000</f>
        <v>2.0000000000000001E-4</v>
      </c>
      <c r="H69" s="57">
        <f>[1]!s_stm07_bs($B$1,"W33402888",H3,1)/100000000</f>
        <v>0</v>
      </c>
      <c r="I69" s="57">
        <f>[1]!s_stm07_bs($B$1,"W33402888",I3,1)/100000000</f>
        <v>0</v>
      </c>
    </row>
    <row r="70" spans="1:9" x14ac:dyDescent="0.25">
      <c r="A70" s="54" t="s">
        <v>162</v>
      </c>
      <c r="B70" s="57">
        <f>[1]!s_stm07_bs($B$1,"W34417966",B3,1)/100000000</f>
        <v>7.0061314100000008E-2</v>
      </c>
      <c r="C70" s="57">
        <f>[1]!s_stm07_bs($B$1,"W34417966",C3,1)/100000000</f>
        <v>6.9044609000000007E-2</v>
      </c>
      <c r="D70" s="57">
        <f>[1]!s_stm07_bs($B$1,"W34417966",D3,1)/100000000</f>
        <v>0.16535999099999998</v>
      </c>
      <c r="E70" s="57">
        <f>[1]!s_stm07_bs($B$1,"W34417966",E3,1)/100000000</f>
        <v>0.18371481340000001</v>
      </c>
      <c r="F70" s="57">
        <f>[1]!s_stm07_bs($B$1,"W34417966",F3,1)/100000000</f>
        <v>0.1751419977</v>
      </c>
      <c r="G70" s="57">
        <f>[1]!s_stm07_bs($B$1,"W34417966",G3,1)/100000000</f>
        <v>0.3131779858</v>
      </c>
      <c r="H70" s="57">
        <f>[1]!s_stm07_bs($B$1,"W34417966",H3,1)/100000000</f>
        <v>1.2291105626000001</v>
      </c>
      <c r="I70" s="57">
        <f>[1]!s_stm07_bs($B$1,"W34417966",I3,1)/100000000</f>
        <v>1.2422204056000001</v>
      </c>
    </row>
    <row r="71" spans="1:9" x14ac:dyDescent="0.25">
      <c r="A71" s="55" t="s">
        <v>163</v>
      </c>
      <c r="B71" s="57">
        <f>[1]!s_stm07_bs($B$1,"W35248336",B3,1)/100000000</f>
        <v>0</v>
      </c>
      <c r="C71" s="57">
        <f>[1]!s_stm07_bs($B$1,"W35248336",C3,1)/100000000</f>
        <v>0</v>
      </c>
      <c r="D71" s="57">
        <f>[1]!s_stm07_bs($B$1,"W35248336",D3,1)/100000000</f>
        <v>0</v>
      </c>
      <c r="E71" s="57">
        <f>[1]!s_stm07_bs($B$1,"W35248336",E3,1)/100000000</f>
        <v>0</v>
      </c>
      <c r="F71" s="57">
        <f>[1]!s_stm07_bs($B$1,"W35248336",F3,1)/100000000</f>
        <v>0</v>
      </c>
      <c r="G71" s="57">
        <f>[1]!s_stm07_bs($B$1,"W35248336",G3,1)/100000000</f>
        <v>0</v>
      </c>
      <c r="H71" s="57">
        <f>[1]!s_stm07_bs($B$1,"W35248336",H3,1)/100000000</f>
        <v>0</v>
      </c>
      <c r="I71" s="57">
        <f>[1]!s_stm07_bs($B$1,"W35248336",I3,1)/100000000</f>
        <v>0</v>
      </c>
    </row>
    <row r="72" spans="1:9" x14ac:dyDescent="0.25">
      <c r="A72" s="55" t="s">
        <v>164</v>
      </c>
      <c r="B72" s="57">
        <f>[1]!s_stm07_bs($B$1,"W31183711",B3,1)/100000000</f>
        <v>0</v>
      </c>
      <c r="C72" s="57">
        <f>[1]!s_stm07_bs($B$1,"W31183711",C3,1)/100000000</f>
        <v>0</v>
      </c>
      <c r="D72" s="57">
        <f>[1]!s_stm07_bs($B$1,"W31183711",D3,1)/100000000</f>
        <v>0</v>
      </c>
      <c r="E72" s="57">
        <f>[1]!s_stm07_bs($B$1,"W31183711",E3,1)/100000000</f>
        <v>0</v>
      </c>
      <c r="F72" s="57">
        <f>[1]!s_stm07_bs($B$1,"W31183711",F3,1)/100000000</f>
        <v>0</v>
      </c>
      <c r="G72" s="57">
        <f>[1]!s_stm07_bs($B$1,"W31183711",G3,1)/100000000</f>
        <v>0</v>
      </c>
      <c r="H72" s="57">
        <f>[1]!s_stm07_bs($B$1,"W31183711",H3,1)/100000000</f>
        <v>0</v>
      </c>
      <c r="I72" s="57">
        <f>[1]!s_stm07_bs($B$1,"W31183711",I3,1)/100000000</f>
        <v>0</v>
      </c>
    </row>
    <row r="73" spans="1:9" x14ac:dyDescent="0.25">
      <c r="A73" s="54" t="s">
        <v>165</v>
      </c>
      <c r="B73" s="57">
        <f>[1]!s_stm07_bs($B$1,"W30499081",B3,1)/100000000</f>
        <v>0.60852924460000002</v>
      </c>
      <c r="C73" s="57">
        <f>[1]!s_stm07_bs($B$1,"W30499081",C3,1)/100000000</f>
        <v>0.55850832539999995</v>
      </c>
      <c r="D73" s="57">
        <f>[1]!s_stm07_bs($B$1,"W30499081",D3,1)/100000000</f>
        <v>0.65984942079999997</v>
      </c>
      <c r="E73" s="57">
        <f>[1]!s_stm07_bs($B$1,"W30499081",E3,1)/100000000</f>
        <v>0.76051400719999995</v>
      </c>
      <c r="F73" s="57">
        <f>[1]!s_stm07_bs($B$1,"W30499081",F3,1)/100000000</f>
        <v>2.0153844496</v>
      </c>
      <c r="G73" s="57">
        <f>[1]!s_stm07_bs($B$1,"W30499081",G3,1)/100000000</f>
        <v>2.7434474083999998</v>
      </c>
      <c r="H73" s="57">
        <f>[1]!s_stm07_bs($B$1,"W30499081",H3,1)/100000000</f>
        <v>3.4897733782999998</v>
      </c>
      <c r="I73" s="57">
        <f>[1]!s_stm07_bs($B$1,"W30499081",I3,1)/100000000</f>
        <v>3.9280526936000002</v>
      </c>
    </row>
    <row r="74" spans="1:9" x14ac:dyDescent="0.25">
      <c r="A74" s="55" t="s">
        <v>166</v>
      </c>
      <c r="B74" s="57">
        <f>[1]!s_stm07_bs($B$1,"W33545503",B3,1)/100000000</f>
        <v>0</v>
      </c>
      <c r="C74" s="57">
        <f>[1]!s_stm07_bs($B$1,"W33545503",C3,1)/100000000</f>
        <v>0</v>
      </c>
      <c r="D74" s="57">
        <f>[1]!s_stm07_bs($B$1,"W33545503",D3,1)/100000000</f>
        <v>0</v>
      </c>
      <c r="E74" s="57">
        <f>[1]!s_stm07_bs($B$1,"W33545503",E3,1)/100000000</f>
        <v>0</v>
      </c>
      <c r="F74" s="57">
        <f>[1]!s_stm07_bs($B$1,"W33545503",F3,1)/100000000</f>
        <v>0</v>
      </c>
      <c r="G74" s="57">
        <f>[1]!s_stm07_bs($B$1,"W33545503",G3,1)/100000000</f>
        <v>0</v>
      </c>
      <c r="H74" s="57">
        <f>[1]!s_stm07_bs($B$1,"W33545503",H3,1)/100000000</f>
        <v>0</v>
      </c>
      <c r="I74" s="57">
        <f>[1]!s_stm07_bs($B$1,"W33545503",I3,1)/100000000</f>
        <v>0</v>
      </c>
    </row>
    <row r="75" spans="1:9" x14ac:dyDescent="0.25">
      <c r="A75" s="55" t="s">
        <v>167</v>
      </c>
      <c r="B75" s="57">
        <f>[1]!s_stm07_bs($B$1,"W32138489",B3,1)/100000000</f>
        <v>0</v>
      </c>
      <c r="C75" s="57">
        <f>[1]!s_stm07_bs($B$1,"W32138489",C3,1)/100000000</f>
        <v>0</v>
      </c>
      <c r="D75" s="57">
        <f>[1]!s_stm07_bs($B$1,"W32138489",D3,1)/100000000</f>
        <v>0</v>
      </c>
      <c r="E75" s="57">
        <f>[1]!s_stm07_bs($B$1,"W32138489",E3,1)/100000000</f>
        <v>0</v>
      </c>
      <c r="F75" s="57">
        <f>[1]!s_stm07_bs($B$1,"W32138489",F3,1)/100000000</f>
        <v>0</v>
      </c>
      <c r="G75" s="57">
        <f>[1]!s_stm07_bs($B$1,"W32138489",G3,1)/100000000</f>
        <v>0</v>
      </c>
      <c r="H75" s="57">
        <f>[1]!s_stm07_bs($B$1,"W32138489",H3,1)/100000000</f>
        <v>0</v>
      </c>
      <c r="I75" s="57">
        <f>[1]!s_stm07_bs($B$1,"W32138489",I3,1)/100000000</f>
        <v>0</v>
      </c>
    </row>
    <row r="76" spans="1:9" x14ac:dyDescent="0.25">
      <c r="A76" s="55" t="s">
        <v>168</v>
      </c>
      <c r="B76" s="57">
        <f>[1]!s_stm07_bs($B$1,"W38011820",B3,1)/100000000</f>
        <v>0</v>
      </c>
      <c r="C76" s="57">
        <f>[1]!s_stm07_bs($B$1,"W38011820",C3,1)/100000000</f>
        <v>0</v>
      </c>
      <c r="D76" s="57">
        <f>[1]!s_stm07_bs($B$1,"W38011820",D3,1)/100000000</f>
        <v>0</v>
      </c>
      <c r="E76" s="57">
        <f>[1]!s_stm07_bs($B$1,"W38011820",E3,1)/100000000</f>
        <v>0</v>
      </c>
      <c r="F76" s="57">
        <f>[1]!s_stm07_bs($B$1,"W38011820",F3,1)/100000000</f>
        <v>0</v>
      </c>
      <c r="G76" s="57">
        <f>[1]!s_stm07_bs($B$1,"W38011820",G3,1)/100000000</f>
        <v>0</v>
      </c>
      <c r="H76" s="57">
        <f>[1]!s_stm07_bs($B$1,"W38011820",H3,1)/100000000</f>
        <v>0</v>
      </c>
      <c r="I76" s="57">
        <f>[1]!s_stm07_bs($B$1,"W38011820",I3,1)/100000000</f>
        <v>0</v>
      </c>
    </row>
    <row r="77" spans="1:9" x14ac:dyDescent="0.25">
      <c r="A77" s="55" t="s">
        <v>169</v>
      </c>
      <c r="B77" s="57">
        <f>[1]!s_stm07_bs($B$1,"W35119685",B3,1)/100000000</f>
        <v>0</v>
      </c>
      <c r="C77" s="57">
        <f>[1]!s_stm07_bs($B$1,"W35119685",C3,1)/100000000</f>
        <v>0</v>
      </c>
      <c r="D77" s="57">
        <f>[1]!s_stm07_bs($B$1,"W35119685",D3,1)/100000000</f>
        <v>0</v>
      </c>
      <c r="E77" s="57">
        <f>[1]!s_stm07_bs($B$1,"W35119685",E3,1)/100000000</f>
        <v>3.214607E-4</v>
      </c>
      <c r="F77" s="57">
        <f>[1]!s_stm07_bs($B$1,"W35119685",F3,1)/100000000</f>
        <v>0.1062797607</v>
      </c>
      <c r="G77" s="57">
        <f>[1]!s_stm07_bs($B$1,"W35119685",G3,1)/100000000</f>
        <v>0.14746617679999999</v>
      </c>
      <c r="H77" s="57">
        <f>[1]!s_stm07_bs($B$1,"W35119685",H3,1)/100000000</f>
        <v>0.13868321150000001</v>
      </c>
      <c r="I77" s="57">
        <f>[1]!s_stm07_bs($B$1,"W35119685",I3,1)/100000000</f>
        <v>5.4990885499999996E-2</v>
      </c>
    </row>
    <row r="78" spans="1:9" x14ac:dyDescent="0.25">
      <c r="A78" s="55" t="s">
        <v>170</v>
      </c>
      <c r="B78" s="57">
        <f>[1]!s_stm07_bs($B$1,"W33850647",B3,1)/100000000</f>
        <v>0</v>
      </c>
      <c r="C78" s="57">
        <f>[1]!s_stm07_bs($B$1,"W33850647",C3,1)/100000000</f>
        <v>0</v>
      </c>
      <c r="D78" s="57">
        <f>[1]!s_stm07_bs($B$1,"W33850647",D3,1)/100000000</f>
        <v>0</v>
      </c>
      <c r="E78" s="57">
        <f>[1]!s_stm07_bs($B$1,"W33850647",E3,1)/100000000</f>
        <v>0</v>
      </c>
      <c r="F78" s="57">
        <f>[1]!s_stm07_bs($B$1,"W33850647",F3,1)/100000000</f>
        <v>0</v>
      </c>
      <c r="G78" s="57">
        <f>[1]!s_stm07_bs($B$1,"W33850647",G3,1)/100000000</f>
        <v>0</v>
      </c>
      <c r="H78" s="57">
        <f>[1]!s_stm07_bs($B$1,"W33850647",H3,1)/100000000</f>
        <v>0</v>
      </c>
      <c r="I78" s="57">
        <f>[1]!s_stm07_bs($B$1,"W33850647",I3,1)/100000000</f>
        <v>0</v>
      </c>
    </row>
    <row r="79" spans="1:9" x14ac:dyDescent="0.25">
      <c r="A79" s="55" t="s">
        <v>171</v>
      </c>
      <c r="B79" s="57">
        <f>[1]!s_stm07_bs($B$1,"W35986337",B3,1)/100000000</f>
        <v>0</v>
      </c>
      <c r="C79" s="57">
        <f>[1]!s_stm07_bs($B$1,"W35986337",C3,1)/100000000</f>
        <v>0</v>
      </c>
      <c r="D79" s="57">
        <f>[1]!s_stm07_bs($B$1,"W35986337",D3,1)/100000000</f>
        <v>0</v>
      </c>
      <c r="E79" s="57">
        <f>[1]!s_stm07_bs($B$1,"W35986337",E3,1)/100000000</f>
        <v>0</v>
      </c>
      <c r="F79" s="57">
        <f>[1]!s_stm07_bs($B$1,"W35986337",F3,1)/100000000</f>
        <v>0</v>
      </c>
      <c r="G79" s="57">
        <f>[1]!s_stm07_bs($B$1,"W35986337",G3,1)/100000000</f>
        <v>0</v>
      </c>
      <c r="H79" s="57">
        <f>[1]!s_stm07_bs($B$1,"W35986337",H3,1)/100000000</f>
        <v>0</v>
      </c>
      <c r="I79" s="57">
        <f>[1]!s_stm07_bs($B$1,"W35986337",I3,1)/100000000</f>
        <v>0</v>
      </c>
    </row>
    <row r="80" spans="1:9" x14ac:dyDescent="0.25">
      <c r="A80" s="54" t="s">
        <v>172</v>
      </c>
      <c r="B80" s="58">
        <f>[1]!s_stm07_bs($B$1,"W34009641",B3,1)/100000000</f>
        <v>3.3030352167000001</v>
      </c>
      <c r="C80" s="58">
        <f>[1]!s_stm07_bs($B$1,"W34009641",C3,1)/100000000</f>
        <v>4.0618391331000003</v>
      </c>
      <c r="D80" s="58">
        <f>[1]!s_stm07_bs($B$1,"W34009641",D3,1)/100000000</f>
        <v>5.0572105563000003</v>
      </c>
      <c r="E80" s="58">
        <f>[1]!s_stm07_bs($B$1,"W34009641",E3,1)/100000000</f>
        <v>8.8978776203999992</v>
      </c>
      <c r="F80" s="58">
        <f>[1]!s_stm07_bs($B$1,"W34009641",F3,1)/100000000</f>
        <v>11.0932284497</v>
      </c>
      <c r="G80" s="58">
        <f>[1]!s_stm07_bs($B$1,"W34009641",G3,1)/100000000</f>
        <v>19.510280360599999</v>
      </c>
      <c r="H80" s="58">
        <f>[1]!s_stm07_bs($B$1,"W34009641",H3,1)/100000000</f>
        <v>22.2912022358</v>
      </c>
      <c r="I80" s="58">
        <f>[1]!s_stm07_bs($B$1,"W34009641",I3,1)/100000000</f>
        <v>22.864715713100001</v>
      </c>
    </row>
    <row r="81" spans="1:9" x14ac:dyDescent="0.25">
      <c r="A81" s="56" t="s">
        <v>173</v>
      </c>
    </row>
    <row r="82" spans="1:9" x14ac:dyDescent="0.25">
      <c r="A82" s="55" t="s">
        <v>174</v>
      </c>
      <c r="B82" s="57">
        <f>[1]!s_stm07_bs($B$1,"W36621438",B3,1)/100000000</f>
        <v>0</v>
      </c>
      <c r="C82" s="57">
        <f>[1]!s_stm07_bs($B$1,"W36621438",C3,1)/100000000</f>
        <v>0</v>
      </c>
      <c r="D82" s="57">
        <f>[1]!s_stm07_bs($B$1,"W36621438",D3,1)/100000000</f>
        <v>0</v>
      </c>
      <c r="E82" s="57">
        <f>[1]!s_stm07_bs($B$1,"W36621438",E3,1)/100000000</f>
        <v>0</v>
      </c>
      <c r="F82" s="57">
        <f>[1]!s_stm07_bs($B$1,"W36621438",F3,1)/100000000</f>
        <v>0</v>
      </c>
      <c r="G82" s="57">
        <f>[1]!s_stm07_bs($B$1,"W36621438",G3,1)/100000000</f>
        <v>0</v>
      </c>
      <c r="H82" s="57">
        <f>[1]!s_stm07_bs($B$1,"W36621438",H3,1)/100000000</f>
        <v>0</v>
      </c>
      <c r="I82" s="57">
        <f>[1]!s_stm07_bs($B$1,"W36621438",I3,1)/100000000</f>
        <v>0</v>
      </c>
    </row>
    <row r="83" spans="1:9" x14ac:dyDescent="0.25">
      <c r="A83" s="54" t="s">
        <v>175</v>
      </c>
      <c r="B83" s="57">
        <f>[1]!s_stm07_bs($B$1,"W35878810",B3,1)/100000000</f>
        <v>0</v>
      </c>
      <c r="C83" s="57">
        <f>[1]!s_stm07_bs($B$1,"W35878810",C3,1)/100000000</f>
        <v>0.17799999999999999</v>
      </c>
      <c r="D83" s="57">
        <f>[1]!s_stm07_bs($B$1,"W35878810",D3,1)/100000000</f>
        <v>0.17799999999999999</v>
      </c>
      <c r="E83" s="57">
        <f>[1]!s_stm07_bs($B$1,"W35878810",E3,1)/100000000</f>
        <v>0.17799999999999999</v>
      </c>
      <c r="F83" s="57">
        <f>[1]!s_stm07_bs($B$1,"W35878810",F3,1)/100000000</f>
        <v>0.75300999999999996</v>
      </c>
      <c r="G83" s="57">
        <f>[1]!s_stm07_bs($B$1,"W35878810",G3,1)/100000000</f>
        <v>0.75300999999999996</v>
      </c>
      <c r="H83" s="57">
        <f>[1]!s_stm07_bs($B$1,"W35878810",H3,1)/100000000</f>
        <v>0</v>
      </c>
      <c r="I83" s="57">
        <f>[1]!s_stm07_bs($B$1,"W35878810",I3,1)/100000000</f>
        <v>0</v>
      </c>
    </row>
    <row r="84" spans="1:9" x14ac:dyDescent="0.25">
      <c r="A84" s="54" t="s">
        <v>176</v>
      </c>
      <c r="B84" s="57">
        <f>[1]!s_stm07_bs($B$1,"W32365168",B3,1)/100000000</f>
        <v>0</v>
      </c>
      <c r="C84" s="57">
        <f>[1]!s_stm07_bs($B$1,"W32365168",C3,1)/100000000</f>
        <v>0</v>
      </c>
      <c r="D84" s="57">
        <f>[1]!s_stm07_bs($B$1,"W32365168",D3,1)/100000000</f>
        <v>0</v>
      </c>
      <c r="E84" s="57">
        <f>[1]!s_stm07_bs($B$1,"W32365168",E3,1)/100000000</f>
        <v>0</v>
      </c>
      <c r="F84" s="57">
        <f>[1]!s_stm07_bs($B$1,"W32365168",F3,1)/100000000</f>
        <v>0</v>
      </c>
      <c r="G84" s="57">
        <f>[1]!s_stm07_bs($B$1,"W32365168",G3,1)/100000000</f>
        <v>0</v>
      </c>
      <c r="H84" s="57">
        <f>[1]!s_stm07_bs($B$1,"W32365168",H3,1)/100000000</f>
        <v>0</v>
      </c>
      <c r="I84" s="57">
        <f>[1]!s_stm07_bs($B$1,"W32365168",I3,1)/100000000</f>
        <v>0</v>
      </c>
    </row>
    <row r="85" spans="1:9" x14ac:dyDescent="0.25">
      <c r="A85" s="55" t="s">
        <v>177</v>
      </c>
      <c r="B85" s="57">
        <f>[1]!s_stm07_bs($B$1,"W34685293",B3,1)/100000000</f>
        <v>0</v>
      </c>
      <c r="C85" s="57">
        <f>[1]!s_stm07_bs($B$1,"W34685293",C3,1)/100000000</f>
        <v>0</v>
      </c>
      <c r="D85" s="57">
        <f>[1]!s_stm07_bs($B$1,"W34685293",D3,1)/100000000</f>
        <v>0</v>
      </c>
      <c r="E85" s="57">
        <f>[1]!s_stm07_bs($B$1,"W34685293",E3,1)/100000000</f>
        <v>0</v>
      </c>
      <c r="F85" s="57">
        <f>[1]!s_stm07_bs($B$1,"W34685293",F3,1)/100000000</f>
        <v>0</v>
      </c>
      <c r="G85" s="57">
        <f>[1]!s_stm07_bs($B$1,"W34685293",G3,1)/100000000</f>
        <v>0.74878736140000002</v>
      </c>
      <c r="H85" s="57">
        <f>[1]!s_stm07_bs($B$1,"W34685293",H3,1)/100000000</f>
        <v>0.74872625170000007</v>
      </c>
      <c r="I85" s="57">
        <f>[1]!s_stm07_bs($B$1,"W34685293",I3,1)/100000000</f>
        <v>0.65119048319999995</v>
      </c>
    </row>
    <row r="86" spans="1:9" x14ac:dyDescent="0.25">
      <c r="A86" s="55" t="s">
        <v>178</v>
      </c>
      <c r="B86" s="57">
        <f>[1]!s_stm07_bs($B$1,"W32575411",B3,1)/100000000</f>
        <v>0</v>
      </c>
      <c r="C86" s="57">
        <f>[1]!s_stm07_bs($B$1,"W32575411",C3,1)/100000000</f>
        <v>0</v>
      </c>
      <c r="D86" s="57">
        <f>[1]!s_stm07_bs($B$1,"W32575411",D3,1)/100000000</f>
        <v>0</v>
      </c>
      <c r="E86" s="57">
        <f>[1]!s_stm07_bs($B$1,"W32575411",E3,1)/100000000</f>
        <v>0</v>
      </c>
      <c r="F86" s="57">
        <f>[1]!s_stm07_bs($B$1,"W32575411",F3,1)/100000000</f>
        <v>0</v>
      </c>
      <c r="G86" s="57">
        <f>[1]!s_stm07_bs($B$1,"W32575411",G3,1)/100000000</f>
        <v>0.2648145328</v>
      </c>
      <c r="H86" s="57">
        <f>[1]!s_stm07_bs($B$1,"W32575411",H3,1)/100000000</f>
        <v>0.62440254049999999</v>
      </c>
      <c r="I86" s="57">
        <f>[1]!s_stm07_bs($B$1,"W32575411",I3,1)/100000000</f>
        <v>0.62134465230000002</v>
      </c>
    </row>
    <row r="87" spans="1:9" x14ac:dyDescent="0.25">
      <c r="A87" s="54" t="s">
        <v>179</v>
      </c>
      <c r="B87" s="57">
        <f>[1]!s_stm07_bs($B$1,"W36666399",B3,1)/100000000</f>
        <v>0</v>
      </c>
      <c r="C87" s="57">
        <f>[1]!s_stm07_bs($B$1,"W36666399",C3,1)/100000000</f>
        <v>0</v>
      </c>
      <c r="D87" s="57">
        <f>[1]!s_stm07_bs($B$1,"W36666399",D3,1)/100000000</f>
        <v>0</v>
      </c>
      <c r="E87" s="57">
        <f>[1]!s_stm07_bs($B$1,"W36666399",E3,1)/100000000</f>
        <v>0</v>
      </c>
      <c r="F87" s="57">
        <f>[1]!s_stm07_bs($B$1,"W36666399",F3,1)/100000000</f>
        <v>0</v>
      </c>
      <c r="G87" s="57">
        <f>[1]!s_stm07_bs($B$1,"W36666399",G3,1)/100000000</f>
        <v>0</v>
      </c>
      <c r="H87" s="57">
        <f>[1]!s_stm07_bs($B$1,"W36666399",H3,1)/100000000</f>
        <v>0</v>
      </c>
      <c r="I87" s="57">
        <f>[1]!s_stm07_bs($B$1,"W36666399",I3,1)/100000000</f>
        <v>0</v>
      </c>
    </row>
    <row r="88" spans="1:9" x14ac:dyDescent="0.25">
      <c r="A88" s="54" t="s">
        <v>180</v>
      </c>
      <c r="B88" s="57">
        <f>[1]!s_stm07_bs($B$1,"W33507207",B3,1)/100000000</f>
        <v>0.95013281780000003</v>
      </c>
      <c r="C88" s="57">
        <f>[1]!s_stm07_bs($B$1,"W33507207",C3,1)/100000000</f>
        <v>1.0031214249</v>
      </c>
      <c r="D88" s="57">
        <f>[1]!s_stm07_bs($B$1,"W33507207",D3,1)/100000000</f>
        <v>1.2338467113</v>
      </c>
      <c r="E88" s="57">
        <f>[1]!s_stm07_bs($B$1,"W33507207",E3,1)/100000000</f>
        <v>1.6023690283000001</v>
      </c>
      <c r="F88" s="57">
        <f>[1]!s_stm07_bs($B$1,"W33507207",F3,1)/100000000</f>
        <v>2.0350382158000002</v>
      </c>
      <c r="G88" s="57">
        <f>[1]!s_stm07_bs($B$1,"W33507207",G3,1)/100000000</f>
        <v>2.3705936666</v>
      </c>
      <c r="H88" s="57">
        <f>[1]!s_stm07_bs($B$1,"W33507207",H3,1)/100000000</f>
        <v>2.360762925</v>
      </c>
      <c r="I88" s="57">
        <f>[1]!s_stm07_bs($B$1,"W33507207",I3,1)/100000000</f>
        <v>2.4051877633999998</v>
      </c>
    </row>
    <row r="89" spans="1:9" x14ac:dyDescent="0.25">
      <c r="A89" s="54" t="s">
        <v>181</v>
      </c>
      <c r="B89" s="57">
        <f>[1]!s_stm07_bs($B$1,"W30426870",B3,1)/100000000</f>
        <v>0</v>
      </c>
      <c r="C89" s="57">
        <f>[1]!s_stm07_bs($B$1,"W30426870",C3,1)/100000000</f>
        <v>0</v>
      </c>
      <c r="D89" s="57">
        <f>[1]!s_stm07_bs($B$1,"W30426870",D3,1)/100000000</f>
        <v>0</v>
      </c>
      <c r="E89" s="57">
        <f>[1]!s_stm07_bs($B$1,"W30426870",E3,1)/100000000</f>
        <v>9.1933868999999994E-3</v>
      </c>
      <c r="F89" s="57">
        <f>[1]!s_stm07_bs($B$1,"W30426870",F3,1)/100000000</f>
        <v>7.39699048E-2</v>
      </c>
      <c r="G89" s="57">
        <f>[1]!s_stm07_bs($B$1,"W30426870",G3,1)/100000000</f>
        <v>2.2294535600000002E-2</v>
      </c>
      <c r="H89" s="57">
        <f>[1]!s_stm07_bs($B$1,"W30426870",H3,1)/100000000</f>
        <v>0.10707902279999999</v>
      </c>
      <c r="I89" s="57">
        <f>[1]!s_stm07_bs($B$1,"W30426870",I3,1)/100000000</f>
        <v>9.7331450199999989E-2</v>
      </c>
    </row>
    <row r="90" spans="1:9" x14ac:dyDescent="0.25">
      <c r="A90" s="55" t="s">
        <v>182</v>
      </c>
      <c r="B90" s="57">
        <f>[1]!s_stm07_bs($B$1,"W33588208",B3,1)/100000000</f>
        <v>0</v>
      </c>
      <c r="C90" s="57">
        <f>[1]!s_stm07_bs($B$1,"W33588208",C3,1)/100000000</f>
        <v>0</v>
      </c>
      <c r="D90" s="57">
        <f>[1]!s_stm07_bs($B$1,"W33588208",D3,1)/100000000</f>
        <v>0</v>
      </c>
      <c r="E90" s="57">
        <f>[1]!s_stm07_bs($B$1,"W33588208",E3,1)/100000000</f>
        <v>0</v>
      </c>
      <c r="F90" s="57">
        <f>[1]!s_stm07_bs($B$1,"W33588208",F3,1)/100000000</f>
        <v>0</v>
      </c>
      <c r="G90" s="57">
        <f>[1]!s_stm07_bs($B$1,"W33588208",G3,1)/100000000</f>
        <v>0</v>
      </c>
      <c r="H90" s="57">
        <f>[1]!s_stm07_bs($B$1,"W33588208",H3,1)/100000000</f>
        <v>0</v>
      </c>
      <c r="I90" s="57">
        <f>[1]!s_stm07_bs($B$1,"W33588208",I3,1)/100000000</f>
        <v>0</v>
      </c>
    </row>
    <row r="91" spans="1:9" x14ac:dyDescent="0.25">
      <c r="A91" s="55" t="s">
        <v>183</v>
      </c>
      <c r="B91" s="57">
        <f>[1]!s_stm07_bs($B$1,"W38718075",B3,1)/100000000</f>
        <v>0</v>
      </c>
      <c r="C91" s="57">
        <f>[1]!s_stm07_bs($B$1,"W38718075",C3,1)/100000000</f>
        <v>0</v>
      </c>
      <c r="D91" s="57">
        <f>[1]!s_stm07_bs($B$1,"W38718075",D3,1)/100000000</f>
        <v>0</v>
      </c>
      <c r="E91" s="57">
        <f>[1]!s_stm07_bs($B$1,"W38718075",E3,1)/100000000</f>
        <v>0</v>
      </c>
      <c r="F91" s="57">
        <f>[1]!s_stm07_bs($B$1,"W38718075",F3,1)/100000000</f>
        <v>0</v>
      </c>
      <c r="G91" s="57">
        <f>[1]!s_stm07_bs($B$1,"W38718075",G3,1)/100000000</f>
        <v>0</v>
      </c>
      <c r="H91" s="57">
        <f>[1]!s_stm07_bs($B$1,"W38718075",H3,1)/100000000</f>
        <v>0</v>
      </c>
      <c r="I91" s="57">
        <f>[1]!s_stm07_bs($B$1,"W38718075",I3,1)/100000000</f>
        <v>0</v>
      </c>
    </row>
    <row r="92" spans="1:9" x14ac:dyDescent="0.25">
      <c r="A92" s="55" t="s">
        <v>184</v>
      </c>
      <c r="B92" s="57">
        <f>[1]!s_stm07_bs($B$1,"W34050934",B3,1)/100000000</f>
        <v>0</v>
      </c>
      <c r="C92" s="57">
        <f>[1]!s_stm07_bs($B$1,"W34050934",C3,1)/100000000</f>
        <v>0</v>
      </c>
      <c r="D92" s="57">
        <f>[1]!s_stm07_bs($B$1,"W34050934",D3,1)/100000000</f>
        <v>0</v>
      </c>
      <c r="E92" s="57">
        <f>[1]!s_stm07_bs($B$1,"W34050934",E3,1)/100000000</f>
        <v>0</v>
      </c>
      <c r="F92" s="57">
        <f>[1]!s_stm07_bs($B$1,"W34050934",F3,1)/100000000</f>
        <v>0</v>
      </c>
      <c r="G92" s="57">
        <f>[1]!s_stm07_bs($B$1,"W34050934",G3,1)/100000000</f>
        <v>0</v>
      </c>
      <c r="H92" s="57">
        <f>[1]!s_stm07_bs($B$1,"W34050934",H3,1)/100000000</f>
        <v>0</v>
      </c>
      <c r="I92" s="57">
        <f>[1]!s_stm07_bs($B$1,"W34050934",I3,1)/100000000</f>
        <v>0</v>
      </c>
    </row>
    <row r="93" spans="1:9" x14ac:dyDescent="0.25">
      <c r="A93" s="55" t="s">
        <v>185</v>
      </c>
      <c r="B93" s="57">
        <f>[1]!s_stm07_bs($B$1,"W33238853",B3,1)/100000000</f>
        <v>0</v>
      </c>
      <c r="C93" s="57">
        <f>[1]!s_stm07_bs($B$1,"W33238853",C3,1)/100000000</f>
        <v>0</v>
      </c>
      <c r="D93" s="57">
        <f>[1]!s_stm07_bs($B$1,"W33238853",D3,1)/100000000</f>
        <v>0</v>
      </c>
      <c r="E93" s="57">
        <f>[1]!s_stm07_bs($B$1,"W33238853",E3,1)/100000000</f>
        <v>0</v>
      </c>
      <c r="F93" s="57">
        <f>[1]!s_stm07_bs($B$1,"W33238853",F3,1)/100000000</f>
        <v>0</v>
      </c>
      <c r="G93" s="57">
        <f>[1]!s_stm07_bs($B$1,"W33238853",G3,1)/100000000</f>
        <v>0</v>
      </c>
      <c r="H93" s="57">
        <f>[1]!s_stm07_bs($B$1,"W33238853",H3,1)/100000000</f>
        <v>0</v>
      </c>
      <c r="I93" s="57">
        <f>[1]!s_stm07_bs($B$1,"W33238853",I3,1)/100000000</f>
        <v>0</v>
      </c>
    </row>
    <row r="94" spans="1:9" x14ac:dyDescent="0.25">
      <c r="A94" s="54" t="s">
        <v>186</v>
      </c>
      <c r="B94" s="57">
        <f>[1]!s_stm07_bs($B$1,"W35522601",B3,1)/100000000</f>
        <v>8.1485840000000004E-2</v>
      </c>
      <c r="C94" s="57">
        <f>[1]!s_stm07_bs($B$1,"W35522601",C3,1)/100000000</f>
        <v>7.9948314100000001E-2</v>
      </c>
      <c r="D94" s="57">
        <f>[1]!s_stm07_bs($B$1,"W35522601",D3,1)/100000000</f>
        <v>7.7523978100000002E-2</v>
      </c>
      <c r="E94" s="57">
        <f>[1]!s_stm07_bs($B$1,"W35522601",E3,1)/100000000</f>
        <v>7.601104639999999E-2</v>
      </c>
      <c r="F94" s="57">
        <f>[1]!s_stm07_bs($B$1,"W35522601",F3,1)/100000000</f>
        <v>7.4263700099999996E-2</v>
      </c>
      <c r="G94" s="57">
        <f>[1]!s_stm07_bs($B$1,"W35522601",G3,1)/100000000</f>
        <v>9.0455350899999995E-2</v>
      </c>
      <c r="H94" s="57">
        <f>[1]!s_stm07_bs($B$1,"W35522601",H3,1)/100000000</f>
        <v>0.11327646539999998</v>
      </c>
      <c r="I94" s="57">
        <f>[1]!s_stm07_bs($B$1,"W35522601",I3,1)/100000000</f>
        <v>0.10686529779999999</v>
      </c>
    </row>
    <row r="95" spans="1:9" x14ac:dyDescent="0.25">
      <c r="A95" s="55" t="s">
        <v>187</v>
      </c>
      <c r="B95" s="57">
        <f>[1]!s_stm07_bs($B$1,"W33661636",B3,1)/100000000</f>
        <v>0</v>
      </c>
      <c r="C95" s="57">
        <f>[1]!s_stm07_bs($B$1,"W33661636",C3,1)/100000000</f>
        <v>0</v>
      </c>
      <c r="D95" s="57">
        <f>[1]!s_stm07_bs($B$1,"W33661636",D3,1)/100000000</f>
        <v>0</v>
      </c>
      <c r="E95" s="57">
        <f>[1]!s_stm07_bs($B$1,"W33661636",E3,1)/100000000</f>
        <v>0</v>
      </c>
      <c r="F95" s="57">
        <f>[1]!s_stm07_bs($B$1,"W33661636",F3,1)/100000000</f>
        <v>0</v>
      </c>
      <c r="G95" s="57">
        <f>[1]!s_stm07_bs($B$1,"W33661636",G3,1)/100000000</f>
        <v>0</v>
      </c>
      <c r="H95" s="57">
        <f>[1]!s_stm07_bs($B$1,"W33661636",H3,1)/100000000</f>
        <v>0</v>
      </c>
      <c r="I95" s="57">
        <f>[1]!s_stm07_bs($B$1,"W33661636",I3,1)/100000000</f>
        <v>0</v>
      </c>
    </row>
    <row r="96" spans="1:9" x14ac:dyDescent="0.25">
      <c r="A96" s="59" t="s">
        <v>188</v>
      </c>
      <c r="B96" s="57">
        <f>[1]!s_stm07_bs($B$1,"W30158336",B3,1)/100000000</f>
        <v>0</v>
      </c>
      <c r="C96" s="57">
        <f>[1]!s_stm07_bs($B$1,"W30158336",C3,1)/100000000</f>
        <v>0</v>
      </c>
      <c r="D96" s="57">
        <f>[1]!s_stm07_bs($B$1,"W30158336",D3,1)/100000000</f>
        <v>0</v>
      </c>
      <c r="E96" s="57">
        <f>[1]!s_stm07_bs($B$1,"W30158336",E3,1)/100000000</f>
        <v>0</v>
      </c>
      <c r="F96" s="57">
        <f>[1]!s_stm07_bs($B$1,"W30158336",F3,1)/100000000</f>
        <v>1.1291185590999999</v>
      </c>
      <c r="G96" s="57">
        <f>[1]!s_stm07_bs($B$1,"W30158336",G3,1)/100000000</f>
        <v>1.2103100349</v>
      </c>
      <c r="H96" s="57">
        <f>[1]!s_stm07_bs($B$1,"W30158336",H3,1)/100000000</f>
        <v>1.5426109753999999</v>
      </c>
      <c r="I96" s="57">
        <f>[1]!s_stm07_bs($B$1,"W30158336",I3,1)/100000000</f>
        <v>1.5426109753999999</v>
      </c>
    </row>
    <row r="97" spans="1:9" x14ac:dyDescent="0.25">
      <c r="A97" s="55" t="s">
        <v>189</v>
      </c>
      <c r="B97" s="57">
        <f>[1]!s_stm07_bs($B$1,"W38676876",B3,1)/100000000</f>
        <v>5.3505520999999993E-3</v>
      </c>
      <c r="C97" s="57">
        <f>[1]!s_stm07_bs($B$1,"W38676876",C3,1)/100000000</f>
        <v>3.225E-3</v>
      </c>
      <c r="D97" s="57">
        <f>[1]!s_stm07_bs($B$1,"W38676876",D3,1)/100000000</f>
        <v>2.2878094700000001E-2</v>
      </c>
      <c r="E97" s="57">
        <f>[1]!s_stm07_bs($B$1,"W38676876",E3,1)/100000000</f>
        <v>7.3447539300000003E-2</v>
      </c>
      <c r="F97" s="57">
        <f>[1]!s_stm07_bs($B$1,"W38676876",F3,1)/100000000</f>
        <v>0.30622184299999999</v>
      </c>
      <c r="G97" s="57">
        <f>[1]!s_stm07_bs($B$1,"W38676876",G3,1)/100000000</f>
        <v>0.34586753609999998</v>
      </c>
      <c r="H97" s="57">
        <f>[1]!s_stm07_bs($B$1,"W38676876",H3,1)/100000000</f>
        <v>0.46316741710000003</v>
      </c>
      <c r="I97" s="57">
        <f>[1]!s_stm07_bs($B$1,"W38676876",I3,1)/100000000</f>
        <v>0.46302238149999997</v>
      </c>
    </row>
    <row r="98" spans="1:9" x14ac:dyDescent="0.25">
      <c r="A98" s="55" t="s">
        <v>190</v>
      </c>
      <c r="B98" s="57">
        <f>[1]!s_stm07_bs($B$1,"W34792155",B3,1)/100000000</f>
        <v>3.7907828300000002E-2</v>
      </c>
      <c r="C98" s="57">
        <f>[1]!s_stm07_bs($B$1,"W34792155",C3,1)/100000000</f>
        <v>4.9591835399999999E-2</v>
      </c>
      <c r="D98" s="57">
        <f>[1]!s_stm07_bs($B$1,"W34792155",D3,1)/100000000</f>
        <v>6.3207336099999997E-2</v>
      </c>
      <c r="E98" s="57">
        <f>[1]!s_stm07_bs($B$1,"W34792155",E3,1)/100000000</f>
        <v>8.7910582400000006E-2</v>
      </c>
      <c r="F98" s="57">
        <f>[1]!s_stm07_bs($B$1,"W34792155",F3,1)/100000000</f>
        <v>0.13241206680000001</v>
      </c>
      <c r="G98" s="57">
        <f>[1]!s_stm07_bs($B$1,"W34792155",G3,1)/100000000</f>
        <v>0.2117970441</v>
      </c>
      <c r="H98" s="57">
        <f>[1]!s_stm07_bs($B$1,"W34792155",H3,1)/100000000</f>
        <v>0.33267587799999998</v>
      </c>
      <c r="I98" s="57">
        <f>[1]!s_stm07_bs($B$1,"W34792155",I3,1)/100000000</f>
        <v>0.39884297790000001</v>
      </c>
    </row>
    <row r="99" spans="1:9" x14ac:dyDescent="0.25">
      <c r="A99" s="54" t="s">
        <v>191</v>
      </c>
      <c r="B99" s="57">
        <f>[1]!s_stm07_bs($B$1,"W34904184",B3,1)/100000000</f>
        <v>0</v>
      </c>
      <c r="C99" s="57">
        <f>[1]!s_stm07_bs($B$1,"W34904184",C3,1)/100000000</f>
        <v>0</v>
      </c>
      <c r="D99" s="57">
        <f>[1]!s_stm07_bs($B$1,"W34904184",D3,1)/100000000</f>
        <v>0</v>
      </c>
      <c r="E99" s="57">
        <f>[1]!s_stm07_bs($B$1,"W34904184",E3,1)/100000000</f>
        <v>0</v>
      </c>
      <c r="F99" s="57">
        <f>[1]!s_stm07_bs($B$1,"W34904184",F3,1)/100000000</f>
        <v>9.6643796699999993E-2</v>
      </c>
      <c r="G99" s="57">
        <f>[1]!s_stm07_bs($B$1,"W34904184",G3,1)/100000000</f>
        <v>0.29991336839999999</v>
      </c>
      <c r="H99" s="57">
        <f>[1]!s_stm07_bs($B$1,"W34904184",H3,1)/100000000</f>
        <v>0.80586313610000004</v>
      </c>
      <c r="I99" s="57">
        <f>[1]!s_stm07_bs($B$1,"W34904184",I3,1)/100000000</f>
        <v>0.7609134381999999</v>
      </c>
    </row>
    <row r="100" spans="1:9" x14ac:dyDescent="0.25">
      <c r="A100" s="55" t="s">
        <v>192</v>
      </c>
      <c r="B100" s="57">
        <f>[1]!s_stm07_bs($B$1,"W35432029",B3,1)/100000000</f>
        <v>0</v>
      </c>
      <c r="C100" s="57">
        <f>[1]!s_stm07_bs($B$1,"W35432029",C3,1)/100000000</f>
        <v>0</v>
      </c>
      <c r="D100" s="57">
        <f>[1]!s_stm07_bs($B$1,"W35432029",D3,1)/100000000</f>
        <v>0</v>
      </c>
      <c r="E100" s="57">
        <f>[1]!s_stm07_bs($B$1,"W35432029",E3,1)/100000000</f>
        <v>0</v>
      </c>
      <c r="F100" s="57">
        <f>[1]!s_stm07_bs($B$1,"W35432029",F3,1)/100000000</f>
        <v>0</v>
      </c>
      <c r="G100" s="57">
        <f>[1]!s_stm07_bs($B$1,"W35432029",G3,1)/100000000</f>
        <v>0</v>
      </c>
      <c r="H100" s="57">
        <f>[1]!s_stm07_bs($B$1,"W35432029",H3,1)/100000000</f>
        <v>0</v>
      </c>
      <c r="I100" s="57">
        <f>[1]!s_stm07_bs($B$1,"W35432029",I3,1)/100000000</f>
        <v>0</v>
      </c>
    </row>
    <row r="101" spans="1:9" x14ac:dyDescent="0.25">
      <c r="A101" s="55" t="s">
        <v>193</v>
      </c>
      <c r="B101" s="57">
        <f>[1]!s_stm07_bs($B$1,"W33913290",B3,1)/100000000</f>
        <v>0</v>
      </c>
      <c r="C101" s="57">
        <f>[1]!s_stm07_bs($B$1,"W33913290",C3,1)/100000000</f>
        <v>0</v>
      </c>
      <c r="D101" s="57">
        <f>[1]!s_stm07_bs($B$1,"W33913290",D3,1)/100000000</f>
        <v>0</v>
      </c>
      <c r="E101" s="57">
        <f>[1]!s_stm07_bs($B$1,"W33913290",E3,1)/100000000</f>
        <v>0</v>
      </c>
      <c r="F101" s="57">
        <f>[1]!s_stm07_bs($B$1,"W33913290",F3,1)/100000000</f>
        <v>0</v>
      </c>
      <c r="G101" s="57">
        <f>[1]!s_stm07_bs($B$1,"W33913290",G3,1)/100000000</f>
        <v>0</v>
      </c>
      <c r="H101" s="57">
        <f>[1]!s_stm07_bs($B$1,"W33913290",H3,1)/100000000</f>
        <v>0</v>
      </c>
      <c r="I101" s="57">
        <f>[1]!s_stm07_bs($B$1,"W33913290",I3,1)/100000000</f>
        <v>0</v>
      </c>
    </row>
    <row r="102" spans="1:9" x14ac:dyDescent="0.25">
      <c r="A102" s="56" t="s">
        <v>194</v>
      </c>
      <c r="B102" s="58">
        <f>[1]!s_stm07_bs($B$1,"W36002326",B3,1)/100000000</f>
        <v>1.0748770381999999</v>
      </c>
      <c r="C102" s="58">
        <f>[1]!s_stm07_bs($B$1,"W36002326",C3,1)/100000000</f>
        <v>1.3138865743999999</v>
      </c>
      <c r="D102" s="58">
        <f>[1]!s_stm07_bs($B$1,"W36002326",D3,1)/100000000</f>
        <v>1.5754561202000001</v>
      </c>
      <c r="E102" s="58">
        <f>[1]!s_stm07_bs($B$1,"W36002326",E3,1)/100000000</f>
        <v>2.0269315833000001</v>
      </c>
      <c r="F102" s="58">
        <f>[1]!s_stm07_bs($B$1,"W36002326",F3,1)/100000000</f>
        <v>4.6006780863000003</v>
      </c>
      <c r="G102" s="58">
        <f>[1]!s_stm07_bs($B$1,"W36002326",G3,1)/100000000</f>
        <v>6.3178434308</v>
      </c>
      <c r="H102" s="58">
        <f>[1]!s_stm07_bs($B$1,"W36002326",H3,1)/100000000</f>
        <v>7.7793626229999999</v>
      </c>
      <c r="I102" s="58">
        <f>[1]!s_stm07_bs($B$1,"W36002326",I3,1)/100000000</f>
        <v>7.7301064289000001</v>
      </c>
    </row>
    <row r="103" spans="1:9" x14ac:dyDescent="0.25">
      <c r="A103" s="55" t="s">
        <v>195</v>
      </c>
      <c r="B103" s="57">
        <f>[1]!s_stm07_bs($B$1,"W39758255",B3,1)/100000000</f>
        <v>0</v>
      </c>
      <c r="C103" s="57">
        <f>[1]!s_stm07_bs($B$1,"W39758255",C3,1)/100000000</f>
        <v>0</v>
      </c>
      <c r="D103" s="57">
        <f>[1]!s_stm07_bs($B$1,"W39758255",D3,1)/100000000</f>
        <v>0</v>
      </c>
      <c r="E103" s="57">
        <f>[1]!s_stm07_bs($B$1,"W39758255",E3,1)/100000000</f>
        <v>0</v>
      </c>
      <c r="F103" s="57">
        <f>[1]!s_stm07_bs($B$1,"W39758255",F3,1)/100000000</f>
        <v>0</v>
      </c>
      <c r="G103" s="57">
        <f>[1]!s_stm07_bs($B$1,"W39758255",G3,1)/100000000</f>
        <v>0</v>
      </c>
      <c r="H103" s="57">
        <f>[1]!s_stm07_bs($B$1,"W39758255",H3,1)/100000000</f>
        <v>0</v>
      </c>
      <c r="I103" s="57">
        <f>[1]!s_stm07_bs($B$1,"W39758255",I3,1)/100000000</f>
        <v>0</v>
      </c>
    </row>
    <row r="104" spans="1:9" x14ac:dyDescent="0.25">
      <c r="A104" s="55" t="s">
        <v>196</v>
      </c>
      <c r="B104" s="57">
        <f>[1]!s_stm07_bs($B$1,"W37646225",B3,1)/100000000</f>
        <v>0</v>
      </c>
      <c r="C104" s="57">
        <f>[1]!s_stm07_bs($B$1,"W37646225",C3,1)/100000000</f>
        <v>0</v>
      </c>
      <c r="D104" s="57">
        <f>[1]!s_stm07_bs($B$1,"W37646225",D3,1)/100000000</f>
        <v>0</v>
      </c>
      <c r="E104" s="57">
        <f>[1]!s_stm07_bs($B$1,"W37646225",E3,1)/100000000</f>
        <v>0</v>
      </c>
      <c r="F104" s="57">
        <f>[1]!s_stm07_bs($B$1,"W37646225",F3,1)/100000000</f>
        <v>0</v>
      </c>
      <c r="G104" s="57">
        <f>[1]!s_stm07_bs($B$1,"W37646225",G3,1)/100000000</f>
        <v>0</v>
      </c>
      <c r="H104" s="57">
        <f>[1]!s_stm07_bs($B$1,"W37646225",H3,1)/100000000</f>
        <v>0</v>
      </c>
      <c r="I104" s="57">
        <f>[1]!s_stm07_bs($B$1,"W37646225",I3,1)/100000000</f>
        <v>0</v>
      </c>
    </row>
    <row r="105" spans="1:9" x14ac:dyDescent="0.25">
      <c r="A105" s="54" t="s">
        <v>197</v>
      </c>
      <c r="B105" s="58">
        <f>[1]!s_stm07_bs($B$1,"W34853906",B3,1)/100000000</f>
        <v>4.3779122549</v>
      </c>
      <c r="C105" s="58">
        <f>[1]!s_stm07_bs($B$1,"W34853906",C3,1)/100000000</f>
        <v>5.3757257075</v>
      </c>
      <c r="D105" s="58">
        <f>[1]!s_stm07_bs($B$1,"W34853906",D3,1)/100000000</f>
        <v>6.6326666764999995</v>
      </c>
      <c r="E105" s="58">
        <f>[1]!s_stm07_bs($B$1,"W34853906",E3,1)/100000000</f>
        <v>10.924809203699999</v>
      </c>
      <c r="F105" s="58">
        <f>[1]!s_stm07_bs($B$1,"W34853906",F3,1)/100000000</f>
        <v>15.693906535999998</v>
      </c>
      <c r="G105" s="58">
        <f>[1]!s_stm07_bs($B$1,"W34853906",G3,1)/100000000</f>
        <v>25.828123791399999</v>
      </c>
      <c r="H105" s="58">
        <f>[1]!s_stm07_bs($B$1,"W34853906",H3,1)/100000000</f>
        <v>30.070564858800001</v>
      </c>
      <c r="I105" s="58">
        <f>[1]!s_stm07_bs($B$1,"W34853906",I3,1)/100000000</f>
        <v>30.594822141999998</v>
      </c>
    </row>
    <row r="106" spans="1:9" x14ac:dyDescent="0.25">
      <c r="A106" s="56" t="s">
        <v>198</v>
      </c>
    </row>
    <row r="107" spans="1:9" x14ac:dyDescent="0.25">
      <c r="A107" s="54" t="s">
        <v>199</v>
      </c>
      <c r="B107" s="53">
        <f>[1]!s_stm07_bs($B$1,"W30595498",B3,1)/100000000</f>
        <v>0.24640000000000001</v>
      </c>
      <c r="C107" s="53">
        <f>[1]!s_stm07_bs($B$1,"W30595498",C3,1)/100000000</f>
        <v>0.61</v>
      </c>
      <c r="D107" s="53">
        <f>[1]!s_stm07_bs($B$1,"W30595498",D3,1)/100000000</f>
        <v>0.98</v>
      </c>
      <c r="E107" s="53">
        <f>[1]!s_stm07_bs($B$1,"W30595498",E3,1)/100000000</f>
        <v>1.4139999999999999</v>
      </c>
      <c r="F107" s="53">
        <f>[1]!s_stm07_bs($B$1,"W30595498",F3,1)/100000000</f>
        <v>2.8662399999999999</v>
      </c>
      <c r="G107" s="53">
        <f>[1]!s_stm07_bs($B$1,"W30595498",G3,1)/100000000</f>
        <v>6.7053500000000001</v>
      </c>
      <c r="H107" s="53">
        <f>[1]!s_stm07_bs($B$1,"W30595498",H3,1)/100000000</f>
        <v>8.0921002075999997</v>
      </c>
      <c r="I107" s="53">
        <f>[1]!s_stm07_bs($B$1,"W30595498",I3,1)/100000000</f>
        <v>7.5934124638</v>
      </c>
    </row>
    <row r="108" spans="1:9" x14ac:dyDescent="0.25">
      <c r="A108" s="55" t="s">
        <v>200</v>
      </c>
      <c r="B108" s="57">
        <f>[1]!s_stm07_bs($B$1,"W34318154",B3,1)/100000000</f>
        <v>0</v>
      </c>
      <c r="C108" s="57">
        <f>[1]!s_stm07_bs($B$1,"W34318154",C3,1)/100000000</f>
        <v>0</v>
      </c>
      <c r="D108" s="57">
        <f>[1]!s_stm07_bs($B$1,"W34318154",D3,1)/100000000</f>
        <v>0</v>
      </c>
      <c r="E108" s="57">
        <f>[1]!s_stm07_bs($B$1,"W34318154",E3,1)/100000000</f>
        <v>0</v>
      </c>
      <c r="F108" s="57">
        <f>[1]!s_stm07_bs($B$1,"W34318154",F3,1)/100000000</f>
        <v>0</v>
      </c>
      <c r="G108" s="57">
        <f>[1]!s_stm07_bs($B$1,"W34318154",G3,1)/100000000</f>
        <v>0</v>
      </c>
      <c r="H108" s="57">
        <f>[1]!s_stm07_bs($B$1,"W34318154",H3,1)/100000000</f>
        <v>0</v>
      </c>
      <c r="I108" s="57">
        <f>[1]!s_stm07_bs($B$1,"W34318154",I3,1)/100000000</f>
        <v>0</v>
      </c>
    </row>
    <row r="109" spans="1:9" x14ac:dyDescent="0.25">
      <c r="A109" s="55" t="s">
        <v>201</v>
      </c>
      <c r="B109" s="57">
        <f>[1]!s_stm07_bs($B$1,153,B3,1)/100000000</f>
        <v>0</v>
      </c>
      <c r="C109" s="57">
        <f>[1]!s_stm07_bs($B$1,153,C3,1)/100000000</f>
        <v>0</v>
      </c>
      <c r="D109" s="57">
        <f>[1]!s_stm07_bs($B$1,153,D3,1)/100000000</f>
        <v>0</v>
      </c>
      <c r="E109" s="57">
        <f>[1]!s_stm07_bs($B$1,153,E3,1)/100000000</f>
        <v>0</v>
      </c>
      <c r="F109" s="57">
        <f>[1]!s_stm07_bs($B$1,153,F3,1)/100000000</f>
        <v>0</v>
      </c>
      <c r="G109" s="57">
        <f>[1]!s_stm07_bs($B$1,153,G3,1)/100000000</f>
        <v>0</v>
      </c>
      <c r="H109" s="57">
        <f>[1]!s_stm07_bs($B$1,153,H3,1)/100000000</f>
        <v>0</v>
      </c>
      <c r="I109" s="57">
        <f>[1]!s_stm07_bs($B$1,153,I3,1)/100000000</f>
        <v>0</v>
      </c>
    </row>
    <row r="110" spans="1:9" x14ac:dyDescent="0.25">
      <c r="A110" s="55" t="s">
        <v>202</v>
      </c>
      <c r="B110" s="57">
        <f>[1]!s_stm07_bs($B$1,"W35864935",B3,1)/100000000</f>
        <v>0</v>
      </c>
      <c r="C110" s="57">
        <f>[1]!s_stm07_bs($B$1,"W35864935",C3,1)/100000000</f>
        <v>0</v>
      </c>
      <c r="D110" s="57">
        <f>[1]!s_stm07_bs($B$1,"W35864935",D3,1)/100000000</f>
        <v>0</v>
      </c>
      <c r="E110" s="57">
        <f>[1]!s_stm07_bs($B$1,"W35864935",E3,1)/100000000</f>
        <v>0</v>
      </c>
      <c r="F110" s="57">
        <f>[1]!s_stm07_bs($B$1,"W35864935",F3,1)/100000000</f>
        <v>0</v>
      </c>
      <c r="G110" s="57">
        <f>[1]!s_stm07_bs($B$1,"W35864935",G3,1)/100000000</f>
        <v>0</v>
      </c>
      <c r="H110" s="57">
        <f>[1]!s_stm07_bs($B$1,"W35864935",H3,1)/100000000</f>
        <v>0</v>
      </c>
      <c r="I110" s="57">
        <f>[1]!s_stm07_bs($B$1,"W35864935",I3,1)/100000000</f>
        <v>0</v>
      </c>
    </row>
    <row r="111" spans="1:9" x14ac:dyDescent="0.25">
      <c r="A111" s="54" t="s">
        <v>203</v>
      </c>
      <c r="B111" s="53">
        <f>[1]!s_stm07_bs($B$1,"W33067720",B3,1)/100000000</f>
        <v>0</v>
      </c>
      <c r="C111" s="53">
        <f>[1]!s_stm07_bs($B$1,"W33067720",C3,1)/100000000</f>
        <v>0</v>
      </c>
      <c r="D111" s="53">
        <f>[1]!s_stm07_bs($B$1,"W33067720",D3,1)/100000000</f>
        <v>0</v>
      </c>
      <c r="E111" s="53">
        <f>[1]!s_stm07_bs($B$1,"W33067720",E3,1)/100000000</f>
        <v>0</v>
      </c>
      <c r="F111" s="53">
        <f>[1]!s_stm07_bs($B$1,"W33067720",F3,1)/100000000</f>
        <v>0</v>
      </c>
      <c r="G111" s="53">
        <f>[1]!s_stm07_bs($B$1,"W33067720",G3,1)/100000000</f>
        <v>0</v>
      </c>
      <c r="H111" s="53">
        <f>[1]!s_stm07_bs($B$1,"W33067720",H3,1)/100000000</f>
        <v>0</v>
      </c>
      <c r="I111" s="53">
        <f>[1]!s_stm07_bs($B$1,"W33067720",I3,1)/100000000</f>
        <v>0</v>
      </c>
    </row>
    <row r="112" spans="1:9" x14ac:dyDescent="0.25">
      <c r="A112" s="54" t="s">
        <v>204</v>
      </c>
      <c r="B112" s="53">
        <f>[1]!s_stm07_bs($B$1,"W33594194",B3,1)/100000000</f>
        <v>0</v>
      </c>
      <c r="C112" s="53">
        <f>[1]!s_stm07_bs($B$1,"W33594194",C3,1)/100000000</f>
        <v>0</v>
      </c>
      <c r="D112" s="53">
        <f>[1]!s_stm07_bs($B$1,"W33594194",D3,1)/100000000</f>
        <v>0</v>
      </c>
      <c r="E112" s="53">
        <f>[1]!s_stm07_bs($B$1,"W33594194",E3,1)/100000000</f>
        <v>0</v>
      </c>
      <c r="F112" s="53">
        <f>[1]!s_stm07_bs($B$1,"W33594194",F3,1)/100000000</f>
        <v>0</v>
      </c>
      <c r="G112" s="53">
        <f>[1]!s_stm07_bs($B$1,"W33594194",G3,1)/100000000</f>
        <v>0</v>
      </c>
      <c r="H112" s="53">
        <f>[1]!s_stm07_bs($B$1,"W33594194",H3,1)/100000000</f>
        <v>0</v>
      </c>
      <c r="I112" s="53">
        <f>[1]!s_stm07_bs($B$1,"W33594194",I3,1)/100000000</f>
        <v>0</v>
      </c>
    </row>
    <row r="113" spans="1:9" x14ac:dyDescent="0.25">
      <c r="A113" s="55" t="s">
        <v>205</v>
      </c>
      <c r="B113" s="57">
        <f>[1]!s_stm07_bs($B$1,"W34090919",B3,1)/100000000</f>
        <v>0.1466149511</v>
      </c>
      <c r="C113" s="57">
        <f>[1]!s_stm07_bs($B$1,"W34090919",C3,1)/100000000</f>
        <v>0.19182223760000003</v>
      </c>
      <c r="D113" s="57">
        <f>[1]!s_stm07_bs($B$1,"W34090919",D3,1)/100000000</f>
        <v>0.2582452368</v>
      </c>
      <c r="E113" s="57">
        <f>[1]!s_stm07_bs($B$1,"W34090919",E3,1)/100000000</f>
        <v>8.4596286800000003E-2</v>
      </c>
      <c r="F113" s="57">
        <f>[1]!s_stm07_bs($B$1,"W34090919",F3,1)/100000000</f>
        <v>0.55956937130000006</v>
      </c>
      <c r="G113" s="57">
        <f>[1]!s_stm07_bs($B$1,"W34090919",G3,1)/100000000</f>
        <v>0.99309080090000001</v>
      </c>
      <c r="H113" s="57">
        <f>[1]!s_stm07_bs($B$1,"W34090919",H3,1)/100000000</f>
        <v>2.3573114046999999</v>
      </c>
      <c r="I113" s="57">
        <f>[1]!s_stm07_bs($B$1,"W34090919",I3,1)/100000000</f>
        <v>2.0131068889999999</v>
      </c>
    </row>
    <row r="114" spans="1:9" x14ac:dyDescent="0.25">
      <c r="A114" s="55" t="s">
        <v>206</v>
      </c>
      <c r="B114" s="57">
        <f>[1]!s_stm07_bs($B$1,"W34170699",B3,1)/100000000</f>
        <v>6.0638021299999997E-2</v>
      </c>
      <c r="C114" s="57">
        <f>[1]!s_stm07_bs($B$1,"W34170699",C3,1)/100000000</f>
        <v>7.9786425499999994E-2</v>
      </c>
      <c r="D114" s="57">
        <f>[1]!s_stm07_bs($B$1,"W34170699",D3,1)/100000000</f>
        <v>6.4135374500000009E-2</v>
      </c>
      <c r="E114" s="57">
        <f>[1]!s_stm07_bs($B$1,"W34170699",E3,1)/100000000</f>
        <v>0.1355163335</v>
      </c>
      <c r="F114" s="57">
        <f>[1]!s_stm07_bs($B$1,"W34170699",F3,1)/100000000</f>
        <v>0.18928217949999998</v>
      </c>
      <c r="G114" s="57">
        <f>[1]!s_stm07_bs($B$1,"W34170699",G3,1)/100000000</f>
        <v>0.29296264989999998</v>
      </c>
      <c r="H114" s="57">
        <f>[1]!s_stm07_bs($B$1,"W34170699",H3,1)/100000000</f>
        <v>0.34955591460000002</v>
      </c>
      <c r="I114" s="57">
        <f>[1]!s_stm07_bs($B$1,"W34170699",I3,1)/100000000</f>
        <v>0.33708245209999999</v>
      </c>
    </row>
    <row r="115" spans="1:9" x14ac:dyDescent="0.25">
      <c r="A115" s="55" t="s">
        <v>207</v>
      </c>
      <c r="B115" s="57">
        <f>[1]!s_stm07_bs($B$1,"W35220663",B3,1)/100000000</f>
        <v>0</v>
      </c>
      <c r="C115" s="57">
        <f>[1]!s_stm07_bs($B$1,"W35220663",C3,1)/100000000</f>
        <v>0</v>
      </c>
      <c r="D115" s="57">
        <f>[1]!s_stm07_bs($B$1,"W35220663",D3,1)/100000000</f>
        <v>0</v>
      </c>
      <c r="E115" s="57">
        <f>[1]!s_stm07_bs($B$1,"W35220663",E3,1)/100000000</f>
        <v>0</v>
      </c>
      <c r="F115" s="57">
        <f>[1]!s_stm07_bs($B$1,"W35220663",F3,1)/100000000</f>
        <v>0</v>
      </c>
      <c r="G115" s="57">
        <f>[1]!s_stm07_bs($B$1,"W35220663",G3,1)/100000000</f>
        <v>0</v>
      </c>
      <c r="H115" s="57">
        <f>[1]!s_stm07_bs($B$1,"W35220663",H3,1)/100000000</f>
        <v>0</v>
      </c>
      <c r="I115" s="57">
        <f>[1]!s_stm07_bs($B$1,"W35220663",I3,1)/100000000</f>
        <v>0</v>
      </c>
    </row>
    <row r="116" spans="1:9" x14ac:dyDescent="0.25">
      <c r="A116" s="55" t="s">
        <v>208</v>
      </c>
      <c r="B116" s="57">
        <f>[1]!s_stm07_bs($B$1,"W34882227",B3,1)/100000000</f>
        <v>0</v>
      </c>
      <c r="C116" s="57">
        <f>[1]!s_stm07_bs($B$1,"W34882227",C3,1)/100000000</f>
        <v>0</v>
      </c>
      <c r="D116" s="57">
        <f>[1]!s_stm07_bs($B$1,"W34882227",D3,1)/100000000</f>
        <v>0</v>
      </c>
      <c r="E116" s="57">
        <f>[1]!s_stm07_bs($B$1,"W34882227",E3,1)/100000000</f>
        <v>0</v>
      </c>
      <c r="F116" s="57">
        <f>[1]!s_stm07_bs($B$1,"W34882227",F3,1)/100000000</f>
        <v>0</v>
      </c>
      <c r="G116" s="57">
        <f>[1]!s_stm07_bs($B$1,"W34882227",G3,1)/100000000</f>
        <v>0</v>
      </c>
      <c r="H116" s="57">
        <f>[1]!s_stm07_bs($B$1,"W34882227",H3,1)/100000000</f>
        <v>0</v>
      </c>
      <c r="I116" s="57">
        <f>[1]!s_stm07_bs($B$1,"W34882227",I3,1)/100000000</f>
        <v>0</v>
      </c>
    </row>
    <row r="117" spans="1:9" x14ac:dyDescent="0.25">
      <c r="A117" s="55" t="s">
        <v>209</v>
      </c>
      <c r="B117" s="57">
        <f>[1]!s_stm07_bs($B$1,"W32438225",B3,1)/100000000</f>
        <v>4.3551416399999994E-2</v>
      </c>
      <c r="C117" s="57">
        <f>[1]!s_stm07_bs($B$1,"W32438225",C3,1)/100000000</f>
        <v>7.9589292800000003E-2</v>
      </c>
      <c r="D117" s="57">
        <f>[1]!s_stm07_bs($B$1,"W32438225",D3,1)/100000000</f>
        <v>0.1271836167</v>
      </c>
      <c r="E117" s="57">
        <f>[1]!s_stm07_bs($B$1,"W32438225",E3,1)/100000000</f>
        <v>0.18334525879999999</v>
      </c>
      <c r="F117" s="57">
        <f>[1]!s_stm07_bs($B$1,"W32438225",F3,1)/100000000</f>
        <v>0.25382698730000003</v>
      </c>
      <c r="G117" s="57">
        <f>[1]!s_stm07_bs($B$1,"W32438225",G3,1)/100000000</f>
        <v>0.23211313089999999</v>
      </c>
      <c r="H117" s="57">
        <f>[1]!s_stm07_bs($B$1,"W32438225",H3,1)/100000000</f>
        <v>0.29771940299999999</v>
      </c>
      <c r="I117" s="57">
        <f>[1]!s_stm07_bs($B$1,"W32438225",I3,1)/100000000</f>
        <v>0.2033740829</v>
      </c>
    </row>
    <row r="118" spans="1:9" x14ac:dyDescent="0.25">
      <c r="A118" s="55" t="s">
        <v>210</v>
      </c>
      <c r="B118" s="57">
        <f>[1]!s_stm07_bs($B$1,"W34539228",B3,1)/100000000</f>
        <v>8.0861271499999998E-2</v>
      </c>
      <c r="C118" s="57">
        <f>[1]!s_stm07_bs($B$1,"W34539228",C3,1)/100000000</f>
        <v>6.5380221799999999E-2</v>
      </c>
      <c r="D118" s="57">
        <f>[1]!s_stm07_bs($B$1,"W34539228",D3,1)/100000000</f>
        <v>9.7382382799999986E-2</v>
      </c>
      <c r="E118" s="57">
        <f>[1]!s_stm07_bs($B$1,"W34539228",E3,1)/100000000</f>
        <v>9.5452783999999999E-2</v>
      </c>
      <c r="F118" s="57">
        <f>[1]!s_stm07_bs($B$1,"W34539228",F3,1)/100000000</f>
        <v>0.2400715182</v>
      </c>
      <c r="G118" s="57">
        <f>[1]!s_stm07_bs($B$1,"W34539228",G3,1)/100000000</f>
        <v>0.30692036049999999</v>
      </c>
      <c r="H118" s="57">
        <f>[1]!s_stm07_bs($B$1,"W34539228",H3,1)/100000000</f>
        <v>0.37793356310000004</v>
      </c>
      <c r="I118" s="57">
        <f>[1]!s_stm07_bs($B$1,"W34539228",I3,1)/100000000</f>
        <v>0.12867815599999999</v>
      </c>
    </row>
    <row r="119" spans="1:9" x14ac:dyDescent="0.25">
      <c r="A119" s="55" t="s">
        <v>211</v>
      </c>
      <c r="B119" s="57">
        <f>[1]!s_stm07_bs($B$1,"W34318374",B3,1)/100000000</f>
        <v>0</v>
      </c>
      <c r="C119" s="57">
        <f>[1]!s_stm07_bs($B$1,"W34318374",C3,1)/100000000</f>
        <v>0</v>
      </c>
      <c r="D119" s="57">
        <f>[1]!s_stm07_bs($B$1,"W34318374",D3,1)/100000000</f>
        <v>0</v>
      </c>
      <c r="E119" s="57">
        <f>[1]!s_stm07_bs($B$1,"W34318374",E3,1)/100000000</f>
        <v>0</v>
      </c>
      <c r="F119" s="57">
        <f>[1]!s_stm07_bs($B$1,"W34318374",F3,1)/100000000</f>
        <v>9.1325E-4</v>
      </c>
      <c r="G119" s="57">
        <f>[1]!s_stm07_bs($B$1,"W34318374",G3,1)/100000000</f>
        <v>9.4126712999999997E-3</v>
      </c>
      <c r="H119" s="57">
        <f>[1]!s_stm07_bs($B$1,"W34318374",H3,1)/100000000</f>
        <v>0</v>
      </c>
      <c r="I119" s="57">
        <f>[1]!s_stm07_bs($B$1,"W34318374",I3,1)/100000000</f>
        <v>0</v>
      </c>
    </row>
    <row r="120" spans="1:9" x14ac:dyDescent="0.25">
      <c r="A120" s="55" t="s">
        <v>212</v>
      </c>
      <c r="B120" s="57">
        <f>[1]!s_stm07_bs($B$1,"W32063369",B3,1)/100000000</f>
        <v>6.80264857E-2</v>
      </c>
      <c r="C120" s="57">
        <f>[1]!s_stm07_bs($B$1,"W32063369",C3,1)/100000000</f>
        <v>5.14779104E-2</v>
      </c>
      <c r="D120" s="57">
        <f>[1]!s_stm07_bs($B$1,"W32063369",D3,1)/100000000</f>
        <v>7.1408638099999991E-2</v>
      </c>
      <c r="E120" s="57">
        <f>[1]!s_stm07_bs($B$1,"W32063369",E3,1)/100000000</f>
        <v>9.1938610700000006E-2</v>
      </c>
      <c r="F120" s="57">
        <f>[1]!s_stm07_bs($B$1,"W32063369",F3,1)/100000000</f>
        <v>0.88653780730000009</v>
      </c>
      <c r="G120" s="57">
        <f>[1]!s_stm07_bs($B$1,"W32063369",G3,1)/100000000</f>
        <v>0.54490112670000002</v>
      </c>
      <c r="H120" s="57">
        <f>[1]!s_stm07_bs($B$1,"W32063369",H3,1)/100000000</f>
        <v>1.3287854869</v>
      </c>
      <c r="I120" s="57">
        <f>[1]!s_stm07_bs($B$1,"W32063369",I3,1)/100000000</f>
        <v>1.3113532682</v>
      </c>
    </row>
    <row r="121" spans="1:9" x14ac:dyDescent="0.25">
      <c r="A121" s="55" t="s">
        <v>213</v>
      </c>
      <c r="B121" s="57">
        <f>[1]!s_stm07_bs($B$1,"W30275961",B3,1)/100000000</f>
        <v>0</v>
      </c>
      <c r="C121" s="57">
        <f>[1]!s_stm07_bs($B$1,"W30275961",C3,1)/100000000</f>
        <v>0</v>
      </c>
      <c r="D121" s="57">
        <f>[1]!s_stm07_bs($B$1,"W30275961",D3,1)/100000000</f>
        <v>0</v>
      </c>
      <c r="E121" s="57">
        <f>[1]!s_stm07_bs($B$1,"W30275961",E3,1)/100000000</f>
        <v>0</v>
      </c>
      <c r="F121" s="57">
        <f>[1]!s_stm07_bs($B$1,"W30275961",F3,1)/100000000</f>
        <v>0</v>
      </c>
      <c r="G121" s="57">
        <f>[1]!s_stm07_bs($B$1,"W30275961",G3,1)/100000000</f>
        <v>0</v>
      </c>
      <c r="H121" s="57">
        <f>[1]!s_stm07_bs($B$1,"W30275961",H3,1)/100000000</f>
        <v>0</v>
      </c>
      <c r="I121" s="57">
        <f>[1]!s_stm07_bs($B$1,"W30275961",I3,1)/100000000</f>
        <v>0</v>
      </c>
    </row>
    <row r="122" spans="1:9" x14ac:dyDescent="0.25">
      <c r="A122" s="55" t="s">
        <v>214</v>
      </c>
      <c r="B122" s="57">
        <f>[1]!s_stm07_bs($B$1,154,B3,1)/100000000</f>
        <v>0</v>
      </c>
      <c r="C122" s="57">
        <f>[1]!s_stm07_bs($B$1,154,C3,1)/100000000</f>
        <v>0</v>
      </c>
      <c r="D122" s="57">
        <f>[1]!s_stm07_bs($B$1,154,D3,1)/100000000</f>
        <v>0</v>
      </c>
      <c r="E122" s="57">
        <f>[1]!s_stm07_bs($B$1,154,E3,1)/100000000</f>
        <v>0</v>
      </c>
      <c r="F122" s="57">
        <f>[1]!s_stm07_bs($B$1,154,F3,1)/100000000</f>
        <v>0</v>
      </c>
      <c r="G122" s="57">
        <f>[1]!s_stm07_bs($B$1,154,G3,1)/100000000</f>
        <v>0</v>
      </c>
      <c r="H122" s="57">
        <f>[1]!s_stm07_bs($B$1,154,H3,1)/100000000</f>
        <v>0</v>
      </c>
      <c r="I122" s="57">
        <f>[1]!s_stm07_bs($B$1,154,I3,1)/100000000</f>
        <v>0</v>
      </c>
    </row>
    <row r="123" spans="1:9" x14ac:dyDescent="0.25">
      <c r="A123" s="55" t="s">
        <v>215</v>
      </c>
      <c r="B123" s="57">
        <f>[1]!s_stm07_bs($B$1,"W35138639",B3,1)/100000000</f>
        <v>0</v>
      </c>
      <c r="C123" s="57">
        <f>[1]!s_stm07_bs($B$1,"W35138639",C3,1)/100000000</f>
        <v>0</v>
      </c>
      <c r="D123" s="57">
        <f>[1]!s_stm07_bs($B$1,"W35138639",D3,1)/100000000</f>
        <v>0</v>
      </c>
      <c r="E123" s="57">
        <f>[1]!s_stm07_bs($B$1,"W35138639",E3,1)/100000000</f>
        <v>0</v>
      </c>
      <c r="F123" s="57">
        <f>[1]!s_stm07_bs($B$1,"W35138639",F3,1)/100000000</f>
        <v>0</v>
      </c>
      <c r="G123" s="57">
        <f>[1]!s_stm07_bs($B$1,"W35138639",G3,1)/100000000</f>
        <v>0</v>
      </c>
      <c r="H123" s="57">
        <f>[1]!s_stm07_bs($B$1,"W35138639",H3,1)/100000000</f>
        <v>0</v>
      </c>
      <c r="I123" s="57">
        <f>[1]!s_stm07_bs($B$1,"W35138639",I3,1)/100000000</f>
        <v>0</v>
      </c>
    </row>
    <row r="124" spans="1:9" x14ac:dyDescent="0.25">
      <c r="A124" s="55" t="s">
        <v>216</v>
      </c>
      <c r="B124" s="57">
        <f>[1]!s_stm07_bs($B$1,"W39565823",B3,1)/100000000</f>
        <v>0</v>
      </c>
      <c r="C124" s="57">
        <f>[1]!s_stm07_bs($B$1,"W39565823",C3,1)/100000000</f>
        <v>0</v>
      </c>
      <c r="D124" s="57">
        <f>[1]!s_stm07_bs($B$1,"W39565823",D3,1)/100000000</f>
        <v>0</v>
      </c>
      <c r="E124" s="57">
        <f>[1]!s_stm07_bs($B$1,"W39565823",E3,1)/100000000</f>
        <v>0</v>
      </c>
      <c r="F124" s="57">
        <f>[1]!s_stm07_bs($B$1,"W39565823",F3,1)/100000000</f>
        <v>0</v>
      </c>
      <c r="G124" s="57">
        <f>[1]!s_stm07_bs($B$1,"W39565823",G3,1)/100000000</f>
        <v>0</v>
      </c>
      <c r="H124" s="57">
        <f>[1]!s_stm07_bs($B$1,"W39565823",H3,1)/100000000</f>
        <v>0</v>
      </c>
      <c r="I124" s="57">
        <f>[1]!s_stm07_bs($B$1,"W39565823",I3,1)/100000000</f>
        <v>0</v>
      </c>
    </row>
    <row r="125" spans="1:9" x14ac:dyDescent="0.25">
      <c r="A125" s="54" t="s">
        <v>217</v>
      </c>
      <c r="B125" s="53">
        <f>[1]!s_stm07_bs($B$1,"W32519333",B3,1)/100000000</f>
        <v>5.7059714900000003E-2</v>
      </c>
      <c r="C125" s="53">
        <f>[1]!s_stm07_bs($B$1,"W32519333",C3,1)/100000000</f>
        <v>2.2796526000000003E-3</v>
      </c>
      <c r="D125" s="53">
        <f>[1]!s_stm07_bs($B$1,"W32519333",D3,1)/100000000</f>
        <v>0.22198217719999999</v>
      </c>
      <c r="E125" s="53">
        <f>[1]!s_stm07_bs($B$1,"W32519333",E3,1)/100000000</f>
        <v>6.3772800000000004E-2</v>
      </c>
      <c r="F125" s="53">
        <f>[1]!s_stm07_bs($B$1,"W32519333",F3,1)/100000000</f>
        <v>0.2360839961</v>
      </c>
      <c r="G125" s="53">
        <f>[1]!s_stm07_bs($B$1,"W32519333",G3,1)/100000000</f>
        <v>0.10463160210000001</v>
      </c>
      <c r="H125" s="53">
        <f>[1]!s_stm07_bs($B$1,"W32519333",H3,1)/100000000</f>
        <v>0.22309889239999997</v>
      </c>
      <c r="I125" s="53">
        <f>[1]!s_stm07_bs($B$1,"W32519333",I3,1)/100000000</f>
        <v>0.10642062839999999</v>
      </c>
    </row>
    <row r="126" spans="1:9" x14ac:dyDescent="0.25">
      <c r="A126" s="55" t="s">
        <v>218</v>
      </c>
      <c r="B126" s="57">
        <f>[1]!s_stm07_bs($B$1,"W36339965",B3,1)/100000000</f>
        <v>0</v>
      </c>
      <c r="C126" s="57">
        <f>[1]!s_stm07_bs($B$1,"W36339965",C3,1)/100000000</f>
        <v>0</v>
      </c>
      <c r="D126" s="57">
        <f>[1]!s_stm07_bs($B$1,"W36339965",D3,1)/100000000</f>
        <v>0</v>
      </c>
      <c r="E126" s="57">
        <f>[1]!s_stm07_bs($B$1,"W36339965",E3,1)/100000000</f>
        <v>0</v>
      </c>
      <c r="F126" s="57">
        <f>[1]!s_stm07_bs($B$1,"W36339965",F3,1)/100000000</f>
        <v>9.1481999999999994E-2</v>
      </c>
      <c r="G126" s="57">
        <f>[1]!s_stm07_bs($B$1,"W36339965",G3,1)/100000000</f>
        <v>6.6960000000000006E-2</v>
      </c>
      <c r="H126" s="57">
        <f>[1]!s_stm07_bs($B$1,"W36339965",H3,1)/100000000</f>
        <v>6.2153808399999996E-2</v>
      </c>
      <c r="I126" s="57">
        <f>[1]!s_stm07_bs($B$1,"W36339965",I3,1)/100000000</f>
        <v>6.2153808399999996E-2</v>
      </c>
    </row>
    <row r="127" spans="1:9" x14ac:dyDescent="0.25">
      <c r="A127" s="55" t="s">
        <v>219</v>
      </c>
      <c r="B127" s="57">
        <f>[1]!s_stm07_bs($B$1,"W39861763",B3,1)/100000000</f>
        <v>0</v>
      </c>
      <c r="C127" s="57">
        <f>[1]!s_stm07_bs($B$1,"W39861763",C3,1)/100000000</f>
        <v>0</v>
      </c>
      <c r="D127" s="57">
        <f>[1]!s_stm07_bs($B$1,"W39861763",D3,1)/100000000</f>
        <v>0</v>
      </c>
      <c r="E127" s="57">
        <f>[1]!s_stm07_bs($B$1,"W39861763",E3,1)/100000000</f>
        <v>0</v>
      </c>
      <c r="F127" s="57">
        <f>[1]!s_stm07_bs($B$1,"W39861763",F3,1)/100000000</f>
        <v>0</v>
      </c>
      <c r="G127" s="57">
        <f>[1]!s_stm07_bs($B$1,"W39861763",G3,1)/100000000</f>
        <v>0</v>
      </c>
      <c r="H127" s="57">
        <f>[1]!s_stm07_bs($B$1,"W39861763",H3,1)/100000000</f>
        <v>0</v>
      </c>
      <c r="I127" s="57">
        <f>[1]!s_stm07_bs($B$1,"W39861763",I3,1)/100000000</f>
        <v>0</v>
      </c>
    </row>
    <row r="128" spans="1:9" x14ac:dyDescent="0.25">
      <c r="A128" s="55" t="s">
        <v>220</v>
      </c>
      <c r="B128" s="57">
        <f>[1]!s_stm07_bs($B$1,"W32937522",B3,1)/100000000</f>
        <v>0</v>
      </c>
      <c r="C128" s="57">
        <f>[1]!s_stm07_bs($B$1,"W32937522",C3,1)/100000000</f>
        <v>0</v>
      </c>
      <c r="D128" s="57">
        <f>[1]!s_stm07_bs($B$1,"W32937522",D3,1)/100000000</f>
        <v>0</v>
      </c>
      <c r="E128" s="57">
        <f>[1]!s_stm07_bs($B$1,"W32937522",E3,1)/100000000</f>
        <v>0</v>
      </c>
      <c r="F128" s="57">
        <f>[1]!s_stm07_bs($B$1,"W32937522",F3,1)/100000000</f>
        <v>0</v>
      </c>
      <c r="G128" s="57">
        <f>[1]!s_stm07_bs($B$1,"W32937522",G3,1)/100000000</f>
        <v>0</v>
      </c>
      <c r="H128" s="57">
        <f>[1]!s_stm07_bs($B$1,"W32937522",H3,1)/100000000</f>
        <v>0</v>
      </c>
      <c r="I128" s="57">
        <f>[1]!s_stm07_bs($B$1,"W32937522",I3,1)/100000000</f>
        <v>0</v>
      </c>
    </row>
    <row r="129" spans="1:9" x14ac:dyDescent="0.25">
      <c r="A129" s="60" t="s">
        <v>221</v>
      </c>
      <c r="B129" s="57">
        <f>[1]!s_stm07_bs($B$1,"W36832801",B3,1)/100000000</f>
        <v>0</v>
      </c>
      <c r="C129" s="57">
        <f>[1]!s_stm07_bs($B$1,"W36832801",C3,1)/100000000</f>
        <v>0</v>
      </c>
      <c r="D129" s="57">
        <f>[1]!s_stm07_bs($B$1,"W36832801",D3,1)/100000000</f>
        <v>0</v>
      </c>
      <c r="E129" s="57">
        <f>[1]!s_stm07_bs($B$1,"W36832801",E3,1)/100000000</f>
        <v>0</v>
      </c>
      <c r="F129" s="57">
        <f>[1]!s_stm07_bs($B$1,"W36832801",F3,1)/100000000</f>
        <v>0</v>
      </c>
      <c r="G129" s="57">
        <f>[1]!s_stm07_bs($B$1,"W36832801",G3,1)/100000000</f>
        <v>0</v>
      </c>
      <c r="H129" s="57">
        <f>[1]!s_stm07_bs($B$1,"W36832801",H3,1)/100000000</f>
        <v>0</v>
      </c>
      <c r="I129" s="57">
        <f>[1]!s_stm07_bs($B$1,"W36832801",I3,1)/100000000</f>
        <v>0</v>
      </c>
    </row>
    <row r="130" spans="1:9" x14ac:dyDescent="0.25">
      <c r="A130" s="60" t="s">
        <v>222</v>
      </c>
      <c r="B130" s="57">
        <f>[1]!s_stm07_bs($B$1,"W35786000",B3,1)/100000000</f>
        <v>0</v>
      </c>
      <c r="C130" s="57">
        <f>[1]!s_stm07_bs($B$1,"W35786000",C3,1)/100000000</f>
        <v>0</v>
      </c>
      <c r="D130" s="57">
        <f>[1]!s_stm07_bs($B$1,"W35786000",D3,1)/100000000</f>
        <v>0</v>
      </c>
      <c r="E130" s="57">
        <f>[1]!s_stm07_bs($B$1,"W35786000",E3,1)/100000000</f>
        <v>0</v>
      </c>
      <c r="F130" s="57">
        <f>[1]!s_stm07_bs($B$1,"W35786000",F3,1)/100000000</f>
        <v>0</v>
      </c>
      <c r="G130" s="57">
        <f>[1]!s_stm07_bs($B$1,"W35786000",G3,1)/100000000</f>
        <v>8.6824741999999996E-2</v>
      </c>
      <c r="H130" s="57">
        <f>[1]!s_stm07_bs($B$1,"W35786000",H3,1)/100000000</f>
        <v>0.11241529369999999</v>
      </c>
      <c r="I130" s="57">
        <f>[1]!s_stm07_bs($B$1,"W35786000",I3,1)/100000000</f>
        <v>9.8040562799999995E-2</v>
      </c>
    </row>
    <row r="131" spans="1:9" x14ac:dyDescent="0.25">
      <c r="A131" s="55" t="s">
        <v>223</v>
      </c>
      <c r="B131" s="57">
        <f>[1]!s_stm07_bs($B$1,"W39457254",B3,1)/100000000</f>
        <v>0</v>
      </c>
      <c r="C131" s="57">
        <f>[1]!s_stm07_bs($B$1,"W39457254",C3,1)/100000000</f>
        <v>0</v>
      </c>
      <c r="D131" s="57">
        <f>[1]!s_stm07_bs($B$1,"W39457254",D3,1)/100000000</f>
        <v>0</v>
      </c>
      <c r="E131" s="57">
        <f>[1]!s_stm07_bs($B$1,"W39457254",E3,1)/100000000</f>
        <v>0</v>
      </c>
      <c r="F131" s="57">
        <f>[1]!s_stm07_bs($B$1,"W39457254",F3,1)/100000000</f>
        <v>0</v>
      </c>
      <c r="G131" s="57">
        <f>[1]!s_stm07_bs($B$1,"W39457254",G3,1)/100000000</f>
        <v>0</v>
      </c>
      <c r="H131" s="57">
        <f>[1]!s_stm07_bs($B$1,"W39457254",H3,1)/100000000</f>
        <v>0</v>
      </c>
      <c r="I131" s="57">
        <f>[1]!s_stm07_bs($B$1,"W39457254",I3,1)/100000000</f>
        <v>0</v>
      </c>
    </row>
    <row r="132" spans="1:9" x14ac:dyDescent="0.25">
      <c r="A132" s="55" t="s">
        <v>224</v>
      </c>
      <c r="B132" s="57">
        <f>[1]!s_stm07_bs($B$1,"W34416569",B3,1)/100000000</f>
        <v>0</v>
      </c>
      <c r="C132" s="57">
        <f>[1]!s_stm07_bs($B$1,"W34416569",C3,1)/100000000</f>
        <v>0</v>
      </c>
      <c r="D132" s="57">
        <f>[1]!s_stm07_bs($B$1,"W34416569",D3,1)/100000000</f>
        <v>0</v>
      </c>
      <c r="E132" s="57">
        <f>[1]!s_stm07_bs($B$1,"W34416569",E3,1)/100000000</f>
        <v>0</v>
      </c>
      <c r="F132" s="57">
        <f>[1]!s_stm07_bs($B$1,"W34416569",F3,1)/100000000</f>
        <v>0</v>
      </c>
      <c r="G132" s="57">
        <f>[1]!s_stm07_bs($B$1,"W34416569",G3,1)/100000000</f>
        <v>0</v>
      </c>
      <c r="H132" s="57">
        <f>[1]!s_stm07_bs($B$1,"W34416569",H3,1)/100000000</f>
        <v>0</v>
      </c>
      <c r="I132" s="57">
        <f>[1]!s_stm07_bs($B$1,"W34416569",I3,1)/100000000</f>
        <v>0</v>
      </c>
    </row>
    <row r="133" spans="1:9" x14ac:dyDescent="0.25">
      <c r="A133" s="54" t="s">
        <v>225</v>
      </c>
      <c r="B133" s="58">
        <f>[1]!s_stm07_bs($B$1,"W33099499",B3,1)/100000000</f>
        <v>0.70315186090000004</v>
      </c>
      <c r="C133" s="58">
        <f>[1]!s_stm07_bs($B$1,"W33099499",C3,1)/100000000</f>
        <v>1.0803357406999998</v>
      </c>
      <c r="D133" s="58">
        <f>[1]!s_stm07_bs($B$1,"W33099499",D3,1)/100000000</f>
        <v>1.8203374261</v>
      </c>
      <c r="E133" s="58">
        <f>[1]!s_stm07_bs($B$1,"W33099499",E3,1)/100000000</f>
        <v>2.0686220737999998</v>
      </c>
      <c r="F133" s="58">
        <f>[1]!s_stm07_bs($B$1,"W33099499",F3,1)/100000000</f>
        <v>5.3240071097000001</v>
      </c>
      <c r="G133" s="58">
        <f>[1]!s_stm07_bs($B$1,"W33099499",G3,1)/100000000</f>
        <v>9.3431670842999992</v>
      </c>
      <c r="H133" s="58">
        <f>[1]!s_stm07_bs($B$1,"W33099499",H3,1)/100000000</f>
        <v>13.2010739744</v>
      </c>
      <c r="I133" s="58">
        <f>[1]!s_stm07_bs($B$1,"W33099499",I3,1)/100000000</f>
        <v>11.853622311600001</v>
      </c>
    </row>
    <row r="134" spans="1:9" x14ac:dyDescent="0.25">
      <c r="A134" s="56" t="s">
        <v>226</v>
      </c>
    </row>
    <row r="135" spans="1:9" x14ac:dyDescent="0.25">
      <c r="A135" s="54" t="s">
        <v>227</v>
      </c>
      <c r="B135" s="53">
        <f>[1]!s_stm07_bs($B$1,"W36483130",B3,1)/100000000</f>
        <v>0.19500000000000001</v>
      </c>
      <c r="C135" s="53">
        <f>[1]!s_stm07_bs($B$1,"W36483130",C3,1)/100000000</f>
        <v>0.22655</v>
      </c>
      <c r="D135" s="53">
        <f>[1]!s_stm07_bs($B$1,"W36483130",D3,1)/100000000</f>
        <v>3.8175000000000001E-2</v>
      </c>
      <c r="E135" s="53">
        <f>[1]!s_stm07_bs($B$1,"W36483130",E3,1)/100000000</f>
        <v>0.2</v>
      </c>
      <c r="F135" s="53">
        <f>[1]!s_stm07_bs($B$1,"W36483130",F3,1)/100000000</f>
        <v>0.282744</v>
      </c>
      <c r="G135" s="53">
        <f>[1]!s_stm07_bs($B$1,"W36483130",G3,1)/100000000</f>
        <v>9.4247999999999998E-2</v>
      </c>
      <c r="H135" s="53">
        <f>[1]!s_stm07_bs($B$1,"W36483130",H3,1)/100000000</f>
        <v>0.5</v>
      </c>
      <c r="I135" s="53">
        <f>[1]!s_stm07_bs($B$1,"W36483130",I3,1)/100000000</f>
        <v>2.2999999999999998</v>
      </c>
    </row>
    <row r="136" spans="1:9" x14ac:dyDescent="0.25">
      <c r="A136" s="54" t="s">
        <v>228</v>
      </c>
      <c r="B136" s="53">
        <f>[1]!s_stm07_bs($B$1,"W38438320",B3,1)/100000000</f>
        <v>0</v>
      </c>
      <c r="C136" s="53">
        <f>[1]!s_stm07_bs($B$1,"W38438320",C3,1)/100000000</f>
        <v>0</v>
      </c>
      <c r="D136" s="53">
        <f>[1]!s_stm07_bs($B$1,"W38438320",D3,1)/100000000</f>
        <v>0</v>
      </c>
      <c r="E136" s="53">
        <f>[1]!s_stm07_bs($B$1,"W38438320",E3,1)/100000000</f>
        <v>0</v>
      </c>
      <c r="F136" s="53">
        <f>[1]!s_stm07_bs($B$1,"W38438320",F3,1)/100000000</f>
        <v>0</v>
      </c>
      <c r="G136" s="53">
        <f>[1]!s_stm07_bs($B$1,"W38438320",G3,1)/100000000</f>
        <v>0</v>
      </c>
      <c r="H136" s="53">
        <f>[1]!s_stm07_bs($B$1,"W38438320",H3,1)/100000000</f>
        <v>0</v>
      </c>
      <c r="I136" s="53">
        <f>[1]!s_stm07_bs($B$1,"W38438320",I3,1)/100000000</f>
        <v>0</v>
      </c>
    </row>
    <row r="137" spans="1:9" x14ac:dyDescent="0.25">
      <c r="A137" s="54" t="s">
        <v>229</v>
      </c>
      <c r="B137" s="53">
        <f>[1]!s_stm07_bs($B$1,"W38723288",B3,1)/100000000</f>
        <v>1.4907607199999999E-2</v>
      </c>
      <c r="C137" s="53">
        <f>[1]!s_stm07_bs($B$1,"W38723288",C3,1)/100000000</f>
        <v>0</v>
      </c>
      <c r="D137" s="53">
        <f>[1]!s_stm07_bs($B$1,"W38723288",D3,1)/100000000</f>
        <v>5.8460179000000001E-2</v>
      </c>
      <c r="E137" s="53">
        <f>[1]!s_stm07_bs($B$1,"W38723288",E3,1)/100000000</f>
        <v>5.3031717300000003E-2</v>
      </c>
      <c r="F137" s="53">
        <f>[1]!s_stm07_bs($B$1,"W38723288",F3,1)/100000000</f>
        <v>1.4684708400000001E-2</v>
      </c>
      <c r="G137" s="53">
        <f>[1]!s_stm07_bs($B$1,"W38723288",G3,1)/100000000</f>
        <v>8.7722570000000005E-4</v>
      </c>
      <c r="H137" s="57">
        <f>[1]!s_stm07_bs($B$1,"W38723288",H3,1)/100000000</f>
        <v>0</v>
      </c>
      <c r="I137" s="57">
        <f>[1]!s_stm07_bs($B$1,"W38723288",I3,1)/100000000</f>
        <v>0</v>
      </c>
    </row>
    <row r="138" spans="1:9" x14ac:dyDescent="0.25">
      <c r="A138" s="55" t="s">
        <v>230</v>
      </c>
      <c r="B138" s="57">
        <f>[1]!s_stm07_bs($B$1,"W34770138",B3,1)/100000000</f>
        <v>0</v>
      </c>
      <c r="C138" s="57">
        <f>[1]!s_stm07_bs($B$1,"W34770138",C3,1)/100000000</f>
        <v>0</v>
      </c>
      <c r="D138" s="57">
        <f>[1]!s_stm07_bs($B$1,"W34770138",D3,1)/100000000</f>
        <v>0</v>
      </c>
      <c r="E138" s="57">
        <f>[1]!s_stm07_bs($B$1,"W34770138",E3,1)/100000000</f>
        <v>0</v>
      </c>
      <c r="F138" s="57">
        <f>[1]!s_stm07_bs($B$1,"W34770138",F3,1)/100000000</f>
        <v>0</v>
      </c>
      <c r="G138" s="57">
        <f>[1]!s_stm07_bs($B$1,"W34770138",G3,1)/100000000</f>
        <v>0</v>
      </c>
      <c r="H138" s="57">
        <f>[1]!s_stm07_bs($B$1,"W34770138",H3,1)/100000000</f>
        <v>0</v>
      </c>
      <c r="I138" s="57">
        <f>[1]!s_stm07_bs($B$1,"W34770138",I3,1)/100000000</f>
        <v>0</v>
      </c>
    </row>
    <row r="139" spans="1:9" x14ac:dyDescent="0.25">
      <c r="A139" s="55" t="s">
        <v>231</v>
      </c>
      <c r="B139" s="57">
        <f>[1]!s_stm07_bs($B$1,"W34410997",B3,1)/100000000</f>
        <v>0</v>
      </c>
      <c r="C139" s="57">
        <f>[1]!s_stm07_bs($B$1,"W34410997",C3,1)/100000000</f>
        <v>4.3095726000000004E-3</v>
      </c>
      <c r="D139" s="57">
        <f>[1]!s_stm07_bs($B$1,"W34410997",D3,1)/100000000</f>
        <v>5.9341880000000008E-3</v>
      </c>
      <c r="E139" s="57">
        <f>[1]!s_stm07_bs($B$1,"W34410997",E3,1)/100000000</f>
        <v>4.3839102000000005E-3</v>
      </c>
      <c r="F139" s="57">
        <f>[1]!s_stm07_bs($B$1,"W34410997",F3,1)/100000000</f>
        <v>3.2552127000000002E-3</v>
      </c>
      <c r="G139" s="57">
        <f>[1]!s_stm07_bs($B$1,"W34410997",G3,1)/100000000</f>
        <v>0</v>
      </c>
      <c r="H139" s="57">
        <f>[1]!s_stm07_bs($B$1,"W34410997",H3,1)/100000000</f>
        <v>0</v>
      </c>
      <c r="I139" s="57">
        <f>[1]!s_stm07_bs($B$1,"W34410997",I3,1)/100000000</f>
        <v>0</v>
      </c>
    </row>
    <row r="140" spans="1:9" x14ac:dyDescent="0.25">
      <c r="A140" s="55" t="s">
        <v>232</v>
      </c>
      <c r="B140" s="57">
        <f>[1]!s_stm07_bs($B$1,"W35939483",B3,1)/100000000</f>
        <v>0</v>
      </c>
      <c r="C140" s="57">
        <f>[1]!s_stm07_bs($B$1,"W35939483",C3,1)/100000000</f>
        <v>0</v>
      </c>
      <c r="D140" s="57">
        <f>[1]!s_stm07_bs($B$1,"W35939483",D3,1)/100000000</f>
        <v>0</v>
      </c>
      <c r="E140" s="57">
        <f>[1]!s_stm07_bs($B$1,"W35939483",E3,1)/100000000</f>
        <v>0</v>
      </c>
      <c r="F140" s="57">
        <f>[1]!s_stm07_bs($B$1,"W35939483",F3,1)/100000000</f>
        <v>0</v>
      </c>
      <c r="G140" s="57">
        <f>[1]!s_stm07_bs($B$1,"W35939483",G3,1)/100000000</f>
        <v>4.2195342599999998E-2</v>
      </c>
      <c r="H140" s="57">
        <f>[1]!s_stm07_bs($B$1,"W35939483",H3,1)/100000000</f>
        <v>4.9295942800000006E-2</v>
      </c>
      <c r="I140" s="57">
        <f>[1]!s_stm07_bs($B$1,"W35939483",I3,1)/100000000</f>
        <v>3.7878858700000004E-2</v>
      </c>
    </row>
    <row r="141" spans="1:9" x14ac:dyDescent="0.25">
      <c r="A141" s="55" t="s">
        <v>233</v>
      </c>
      <c r="B141" s="57">
        <f>[1]!s_stm07_bs($B$1,"W38125041",B3,1)/100000000</f>
        <v>5.1749999999999999E-3</v>
      </c>
      <c r="C141" s="57">
        <f>[1]!s_stm07_bs($B$1,"W38125041",C3,1)/100000000</f>
        <v>4.5999999999999999E-3</v>
      </c>
      <c r="D141" s="57">
        <f>[1]!s_stm07_bs($B$1,"W38125041",D3,1)/100000000</f>
        <v>6.77E-3</v>
      </c>
      <c r="E141" s="57">
        <f>[1]!s_stm07_bs($B$1,"W38125041",E3,1)/100000000</f>
        <v>5.8900000000000003E-3</v>
      </c>
      <c r="F141" s="57">
        <f>[1]!s_stm07_bs($B$1,"W38125041",F3,1)/100000000</f>
        <v>5.0099999999999997E-3</v>
      </c>
      <c r="G141" s="57">
        <f>[1]!s_stm07_bs($B$1,"W38125041",G3,1)/100000000</f>
        <v>1.925E-2</v>
      </c>
      <c r="H141" s="57">
        <f>[1]!s_stm07_bs($B$1,"W38125041",H3,1)/100000000</f>
        <v>3.2499999999999999E-3</v>
      </c>
      <c r="I141" s="57">
        <f>[1]!s_stm07_bs($B$1,"W38125041",I3,1)/100000000</f>
        <v>2.81E-3</v>
      </c>
    </row>
    <row r="142" spans="1:9" x14ac:dyDescent="0.25">
      <c r="A142" s="55" t="s">
        <v>234</v>
      </c>
      <c r="B142" s="57">
        <f>[1]!s_stm07_bs($B$1,"W30450608",B3,1)/100000000</f>
        <v>0</v>
      </c>
      <c r="C142" s="57">
        <f>[1]!s_stm07_bs($B$1,"W30450608",C3,1)/100000000</f>
        <v>0</v>
      </c>
      <c r="D142" s="57">
        <f>[1]!s_stm07_bs($B$1,"W30450608",D3,1)/100000000</f>
        <v>0</v>
      </c>
      <c r="E142" s="57">
        <f>[1]!s_stm07_bs($B$1,"W30450608",E3,1)/100000000</f>
        <v>0</v>
      </c>
      <c r="F142" s="57">
        <f>[1]!s_stm07_bs($B$1,"W30450608",F3,1)/100000000</f>
        <v>0</v>
      </c>
      <c r="G142" s="57">
        <f>[1]!s_stm07_bs($B$1,"W30450608",G3,1)/100000000</f>
        <v>0</v>
      </c>
      <c r="H142" s="57">
        <f>[1]!s_stm07_bs($B$1,"W30450608",H3,1)/100000000</f>
        <v>0</v>
      </c>
      <c r="I142" s="57">
        <f>[1]!s_stm07_bs($B$1,"W30450608",I3,1)/100000000</f>
        <v>0</v>
      </c>
    </row>
    <row r="143" spans="1:9" x14ac:dyDescent="0.25">
      <c r="A143" s="55" t="s">
        <v>235</v>
      </c>
      <c r="B143" s="57">
        <f>[1]!s_stm07_bs($B$1,"W36422276",B3,1)/100000000</f>
        <v>0</v>
      </c>
      <c r="C143" s="57">
        <f>[1]!s_stm07_bs($B$1,"W36422276",C3,1)/100000000</f>
        <v>0</v>
      </c>
      <c r="D143" s="57">
        <f>[1]!s_stm07_bs($B$1,"W36422276",D3,1)/100000000</f>
        <v>0</v>
      </c>
      <c r="E143" s="57">
        <f>[1]!s_stm07_bs($B$1,"W36422276",E3,1)/100000000</f>
        <v>0</v>
      </c>
      <c r="F143" s="57">
        <f>[1]!s_stm07_bs($B$1,"W36422276",F3,1)/100000000</f>
        <v>0</v>
      </c>
      <c r="G143" s="57">
        <f>[1]!s_stm07_bs($B$1,"W36422276",G3,1)/100000000</f>
        <v>0</v>
      </c>
      <c r="H143" s="57">
        <f>[1]!s_stm07_bs($B$1,"W36422276",H3,1)/100000000</f>
        <v>0</v>
      </c>
      <c r="I143" s="57">
        <f>[1]!s_stm07_bs($B$1,"W36422276",I3,1)/100000000</f>
        <v>0</v>
      </c>
    </row>
    <row r="144" spans="1:9" x14ac:dyDescent="0.25">
      <c r="A144" s="55" t="s">
        <v>236</v>
      </c>
      <c r="B144" s="57">
        <f>[1]!s_stm07_bs($B$1,"W30458811",B3,1)/100000000</f>
        <v>0</v>
      </c>
      <c r="C144" s="57">
        <f>[1]!s_stm07_bs($B$1,"W30458811",C3,1)/100000000</f>
        <v>0</v>
      </c>
      <c r="D144" s="57">
        <f>[1]!s_stm07_bs($B$1,"W30458811",D3,1)/100000000</f>
        <v>0</v>
      </c>
      <c r="E144" s="57">
        <f>[1]!s_stm07_bs($B$1,"W30458811",E3,1)/100000000</f>
        <v>0</v>
      </c>
      <c r="F144" s="57">
        <f>[1]!s_stm07_bs($B$1,"W30458811",F3,1)/100000000</f>
        <v>0</v>
      </c>
      <c r="G144" s="57">
        <f>[1]!s_stm07_bs($B$1,"W30458811",G3,1)/100000000</f>
        <v>0</v>
      </c>
      <c r="H144" s="57">
        <f>[1]!s_stm07_bs($B$1,"W30458811",H3,1)/100000000</f>
        <v>0</v>
      </c>
      <c r="I144" s="57">
        <f>[1]!s_stm07_bs($B$1,"W30458811",I3,1)/100000000</f>
        <v>0</v>
      </c>
    </row>
    <row r="145" spans="1:9" x14ac:dyDescent="0.25">
      <c r="A145" s="54" t="s">
        <v>237</v>
      </c>
      <c r="B145" s="58">
        <f>[1]!s_stm07_bs($B$1,"W38559518",B3,1)/100000000</f>
        <v>0.2150826072</v>
      </c>
      <c r="C145" s="58">
        <f>[1]!s_stm07_bs($B$1,"W38559518",C3,1)/100000000</f>
        <v>0.23545957260000003</v>
      </c>
      <c r="D145" s="58">
        <f>[1]!s_stm07_bs($B$1,"W38559518",D3,1)/100000000</f>
        <v>0.10933936699999999</v>
      </c>
      <c r="E145" s="58">
        <f>[1]!s_stm07_bs($B$1,"W38559518",E3,1)/100000000</f>
        <v>0.26330562749999997</v>
      </c>
      <c r="F145" s="58">
        <f>[1]!s_stm07_bs($B$1,"W38559518",F3,1)/100000000</f>
        <v>0.3321758192</v>
      </c>
      <c r="G145" s="58">
        <f>[1]!s_stm07_bs($B$1,"W38559518",G3,1)/100000000</f>
        <v>0.22890436010000001</v>
      </c>
      <c r="H145" s="58">
        <f>[1]!s_stm07_bs($B$1,"W38559518",H3,1)/100000000</f>
        <v>0.65896912389999995</v>
      </c>
      <c r="I145" s="58">
        <f>[1]!s_stm07_bs($B$1,"W38559518",I3,1)/100000000</f>
        <v>2.4471120397999999</v>
      </c>
    </row>
    <row r="146" spans="1:9" x14ac:dyDescent="0.25">
      <c r="A146" s="55" t="s">
        <v>238</v>
      </c>
      <c r="B146" s="57">
        <f>[1]!s_stm07_bs($B$1,"W33530025",B3,1)/100000000</f>
        <v>0</v>
      </c>
      <c r="C146" s="57">
        <f>[1]!s_stm07_bs($B$1,"W33530025",C3,1)/100000000</f>
        <v>0</v>
      </c>
      <c r="D146" s="57">
        <f>[1]!s_stm07_bs($B$1,"W33530025",D3,1)/100000000</f>
        <v>0</v>
      </c>
      <c r="E146" s="57">
        <f>[1]!s_stm07_bs($B$1,"W33530025",E3,1)/100000000</f>
        <v>0</v>
      </c>
      <c r="F146" s="57">
        <f>[1]!s_stm07_bs($B$1,"W33530025",F3,1)/100000000</f>
        <v>0</v>
      </c>
      <c r="G146" s="57">
        <f>[1]!s_stm07_bs($B$1,"W33530025",G3,1)/100000000</f>
        <v>0</v>
      </c>
      <c r="H146" s="57">
        <f>[1]!s_stm07_bs($B$1,"W33530025",H3,1)/100000000</f>
        <v>0</v>
      </c>
      <c r="I146" s="57">
        <f>[1]!s_stm07_bs($B$1,"W33530025",I3,1)/100000000</f>
        <v>0</v>
      </c>
    </row>
    <row r="147" spans="1:9" x14ac:dyDescent="0.25">
      <c r="A147" s="55" t="s">
        <v>239</v>
      </c>
      <c r="B147" s="57">
        <f>[1]!s_stm07_bs($B$1,"W38271896",B3,1)/100000000</f>
        <v>0</v>
      </c>
      <c r="C147" s="57">
        <f>[1]!s_stm07_bs($B$1,"W38271896",C3,1)/100000000</f>
        <v>0</v>
      </c>
      <c r="D147" s="57">
        <f>[1]!s_stm07_bs($B$1,"W38271896",D3,1)/100000000</f>
        <v>0</v>
      </c>
      <c r="E147" s="57">
        <f>[1]!s_stm07_bs($B$1,"W38271896",E3,1)/100000000</f>
        <v>0</v>
      </c>
      <c r="F147" s="57">
        <f>[1]!s_stm07_bs($B$1,"W38271896",F3,1)/100000000</f>
        <v>0</v>
      </c>
      <c r="G147" s="57">
        <f>[1]!s_stm07_bs($B$1,"W38271896",G3,1)/100000000</f>
        <v>0</v>
      </c>
      <c r="H147" s="57">
        <f>[1]!s_stm07_bs($B$1,"W38271896",H3,1)/100000000</f>
        <v>0</v>
      </c>
      <c r="I147" s="57">
        <f>[1]!s_stm07_bs($B$1,"W38271896",I3,1)/100000000</f>
        <v>0</v>
      </c>
    </row>
    <row r="148" spans="1:9" x14ac:dyDescent="0.25">
      <c r="A148" s="54" t="s">
        <v>240</v>
      </c>
      <c r="B148" s="58">
        <f>[1]!s_stm07_bs($B$1,"W33857467",B3,1)/100000000</f>
        <v>0.91823446809999998</v>
      </c>
      <c r="C148" s="58">
        <f>[1]!s_stm07_bs($B$1,"W33857467",C3,1)/100000000</f>
        <v>1.3157953133</v>
      </c>
      <c r="D148" s="58">
        <f>[1]!s_stm07_bs($B$1,"W33857467",D3,1)/100000000</f>
        <v>1.9296767931000001</v>
      </c>
      <c r="E148" s="58">
        <f>[1]!s_stm07_bs($B$1,"W33857467",E3,1)/100000000</f>
        <v>2.3319277013000002</v>
      </c>
      <c r="F148" s="58">
        <f>[1]!s_stm07_bs($B$1,"W33857467",F3,1)/100000000</f>
        <v>5.6561829288999999</v>
      </c>
      <c r="G148" s="58">
        <f>[1]!s_stm07_bs($B$1,"W33857467",G3,1)/100000000</f>
        <v>9.5720714444000006</v>
      </c>
      <c r="H148" s="58">
        <f>[1]!s_stm07_bs($B$1,"W33857467",H3,1)/100000000</f>
        <v>13.860043098299998</v>
      </c>
      <c r="I148" s="58">
        <f>[1]!s_stm07_bs($B$1,"W33857467",I3,1)/100000000</f>
        <v>14.300734351400001</v>
      </c>
    </row>
    <row r="149" spans="1:9" x14ac:dyDescent="0.25">
      <c r="A149" s="56" t="s">
        <v>241</v>
      </c>
    </row>
    <row r="150" spans="1:9" x14ac:dyDescent="0.25">
      <c r="A150" s="54" t="s">
        <v>242</v>
      </c>
      <c r="B150" s="57">
        <f>[1]!s_stm07_bs($B$1,"W30734069",B3,1)/100000000</f>
        <v>0.38200000000000001</v>
      </c>
      <c r="C150" s="57">
        <f>[1]!s_stm07_bs($B$1,"W30734069",C3,1)/100000000</f>
        <v>0.38200000000000001</v>
      </c>
      <c r="D150" s="57">
        <f>[1]!s_stm07_bs($B$1,"W30734069",D3,1)/100000000</f>
        <v>0.38200000000000001</v>
      </c>
      <c r="E150" s="57">
        <f>[1]!s_stm07_bs($B$1,"W30734069",E3,1)/100000000</f>
        <v>0.50939999999999996</v>
      </c>
      <c r="F150" s="57">
        <f>[1]!s_stm07_bs($B$1,"W30734069",F3,1)/100000000</f>
        <v>0.71316000000000002</v>
      </c>
      <c r="G150" s="57">
        <f>[1]!s_stm07_bs($B$1,"W30734069",G3,1)/100000000</f>
        <v>2.0514370899999999</v>
      </c>
      <c r="H150" s="57">
        <f>[1]!s_stm07_bs($B$1,"W30734069",H3,1)/100000000</f>
        <v>2.0514370899999999</v>
      </c>
      <c r="I150" s="57">
        <f>[1]!s_stm07_bs($B$1,"W30734069",I3,1)/100000000</f>
        <v>2.0514370899999999</v>
      </c>
    </row>
    <row r="151" spans="1:9" x14ac:dyDescent="0.25">
      <c r="A151" s="55" t="s">
        <v>243</v>
      </c>
      <c r="B151" s="57">
        <f>[1]!s_stm07_bs($B$1,"W35865184",B3,1)/100000000</f>
        <v>1.8963819309000001</v>
      </c>
      <c r="C151" s="57">
        <f>[1]!s_stm07_bs($B$1,"W35865184",C3,1)/100000000</f>
        <v>1.8963819309000001</v>
      </c>
      <c r="D151" s="57">
        <f>[1]!s_stm07_bs($B$1,"W35865184",D3,1)/100000000</f>
        <v>1.8963819309000001</v>
      </c>
      <c r="E151" s="57">
        <f>[1]!s_stm07_bs($B$1,"W35865184",E3,1)/100000000</f>
        <v>4.9088956413</v>
      </c>
      <c r="F151" s="57">
        <f>[1]!s_stm07_bs($B$1,"W35865184",F3,1)/100000000</f>
        <v>4.7051356413000001</v>
      </c>
      <c r="G151" s="57">
        <f>[1]!s_stm07_bs($B$1,"W35865184",G3,1)/100000000</f>
        <v>9.2508888959000011</v>
      </c>
      <c r="H151" s="57">
        <f>[1]!s_stm07_bs($B$1,"W35865184",H3,1)/100000000</f>
        <v>8.4869981225999993</v>
      </c>
      <c r="I151" s="57">
        <f>[1]!s_stm07_bs($B$1,"W35865184",I3,1)/100000000</f>
        <v>8.5971587262</v>
      </c>
    </row>
    <row r="152" spans="1:9" x14ac:dyDescent="0.25">
      <c r="A152" s="55" t="s">
        <v>244</v>
      </c>
      <c r="B152" s="57">
        <f>[1]!s_stm07_bs($B$1,"W35419226",B3,1)/100000000</f>
        <v>0</v>
      </c>
      <c r="C152" s="57">
        <f>[1]!s_stm07_bs($B$1,"W35419226",C3,1)/100000000</f>
        <v>0</v>
      </c>
      <c r="D152" s="57">
        <f>[1]!s_stm07_bs($B$1,"W35419226",D3,1)/100000000</f>
        <v>0</v>
      </c>
      <c r="E152" s="57">
        <f>[1]!s_stm07_bs($B$1,"W35419226",E3,1)/100000000</f>
        <v>0</v>
      </c>
      <c r="F152" s="57">
        <f>[1]!s_stm07_bs($B$1,"W35419226",F3,1)/100000000</f>
        <v>0</v>
      </c>
      <c r="G152" s="57">
        <f>[1]!s_stm07_bs($B$1,"W35419226",G3,1)/100000000</f>
        <v>0.88041086329999996</v>
      </c>
      <c r="H152" s="57">
        <f>[1]!s_stm07_bs($B$1,"W35419226",H3,1)/100000000</f>
        <v>1.6206721983000001</v>
      </c>
      <c r="I152" s="57">
        <f>[1]!s_stm07_bs($B$1,"W35419226",I3,1)/100000000</f>
        <v>1.6206721983000001</v>
      </c>
    </row>
    <row r="153" spans="1:9" x14ac:dyDescent="0.25">
      <c r="A153" s="55" t="s">
        <v>245</v>
      </c>
      <c r="B153" s="57">
        <f>[1]!S_Stm07_BS_158($B$1,B3,1)/100000000</f>
        <v>0</v>
      </c>
      <c r="C153" s="57">
        <f>[1]!S_Stm07_BS_158($B$1,C3,1)/100000000</f>
        <v>0</v>
      </c>
      <c r="D153" s="57">
        <f>[1]!S_Stm07_BS_158($B$1,D3,1)/100000000</f>
        <v>0</v>
      </c>
      <c r="E153" s="57">
        <f>[1]!S_Stm07_BS_158($B$1,E3,1)/100000000</f>
        <v>0</v>
      </c>
      <c r="F153" s="57">
        <f>[1]!S_Stm07_BS_158($B$1,F3,1)/100000000</f>
        <v>0</v>
      </c>
      <c r="G153" s="57">
        <f>[1]!S_Stm07_BS_158($B$1,G3,1)/100000000</f>
        <v>0</v>
      </c>
      <c r="H153" s="57">
        <f>[1]!S_Stm07_BS_158($B$1,H3,1)/100000000</f>
        <v>0</v>
      </c>
      <c r="I153" s="57">
        <f>[1]!S_Stm07_BS_158($B$1,I3,1)/100000000</f>
        <v>0</v>
      </c>
    </row>
    <row r="154" spans="1:9" x14ac:dyDescent="0.25">
      <c r="A154" s="55" t="s">
        <v>246</v>
      </c>
      <c r="B154" s="57">
        <f>[1]!s_stm07_bs($B$1,"W35506638",B3,1)/100000000</f>
        <v>7.393124429999999E-2</v>
      </c>
      <c r="C154" s="57">
        <f>[1]!s_stm07_bs($B$1,"W35506638",C3,1)/100000000</f>
        <v>0.1183320108</v>
      </c>
      <c r="D154" s="57">
        <f>[1]!s_stm07_bs($B$1,"W35506638",D3,1)/100000000</f>
        <v>0.16635575899999999</v>
      </c>
      <c r="E154" s="57">
        <f>[1]!s_stm07_bs($B$1,"W35506638",E3,1)/100000000</f>
        <v>0.21165579640000001</v>
      </c>
      <c r="F154" s="57">
        <f>[1]!s_stm07_bs($B$1,"W35506638",F3,1)/100000000</f>
        <v>0.25622203230000001</v>
      </c>
      <c r="G154" s="57">
        <f>[1]!s_stm07_bs($B$1,"W35506638",G3,1)/100000000</f>
        <v>0.27338760049999999</v>
      </c>
      <c r="H154" s="57">
        <f>[1]!s_stm07_bs($B$1,"W35506638",H3,1)/100000000</f>
        <v>0.36577098959999998</v>
      </c>
      <c r="I154" s="57">
        <f>[1]!s_stm07_bs($B$1,"W35506638",I3,1)/100000000</f>
        <v>0.36577098959999998</v>
      </c>
    </row>
    <row r="155" spans="1:9" x14ac:dyDescent="0.25">
      <c r="A155" s="55" t="s">
        <v>247</v>
      </c>
      <c r="B155" s="57">
        <f>[1]!s_stm07_bs($B$1,"W32990827",B3,1)/100000000</f>
        <v>0</v>
      </c>
      <c r="C155" s="57">
        <f>[1]!s_stm07_bs($B$1,"W32990827",C3,1)/100000000</f>
        <v>0</v>
      </c>
      <c r="D155" s="57">
        <f>[1]!s_stm07_bs($B$1,"W32990827",D3,1)/100000000</f>
        <v>0</v>
      </c>
      <c r="E155" s="57">
        <f>[1]!s_stm07_bs($B$1,"W32990827",E3,1)/100000000</f>
        <v>0</v>
      </c>
      <c r="F155" s="57">
        <f>[1]!s_stm07_bs($B$1,"W32990827",F3,1)/100000000</f>
        <v>0</v>
      </c>
      <c r="G155" s="57">
        <f>[1]!s_stm07_bs($B$1,"W32990827",G3,1)/100000000</f>
        <v>0</v>
      </c>
      <c r="H155" s="57">
        <f>[1]!s_stm07_bs($B$1,"W32990827",H3,1)/100000000</f>
        <v>0</v>
      </c>
      <c r="I155" s="57">
        <f>[1]!s_stm07_bs($B$1,"W32990827",I3,1)/100000000</f>
        <v>0</v>
      </c>
    </row>
    <row r="156" spans="1:9" x14ac:dyDescent="0.25">
      <c r="A156" s="55" t="s">
        <v>248</v>
      </c>
      <c r="B156" s="57">
        <f>[1]!s_stm07_bs($B$1,"W34099501",B3,1)/100000000</f>
        <v>1.0749599575</v>
      </c>
      <c r="C156" s="57">
        <f>[1]!s_stm07_bs($B$1,"W34099501",C3,1)/100000000</f>
        <v>1.5957402475</v>
      </c>
      <c r="D156" s="57">
        <f>[1]!s_stm07_bs($B$1,"W34099501",D3,1)/100000000</f>
        <v>2.1623097697999998</v>
      </c>
      <c r="E156" s="57">
        <f>[1]!s_stm07_bs($B$1,"W34099501",E3,1)/100000000</f>
        <v>2.8061883810000001</v>
      </c>
      <c r="F156" s="57">
        <f>[1]!s_stm07_bs($B$1,"W34099501",F3,1)/100000000</f>
        <v>3.6593439951</v>
      </c>
      <c r="G156" s="57">
        <f>[1]!s_stm07_bs($B$1,"W34099501",G3,1)/100000000</f>
        <v>4.5124533831000004</v>
      </c>
      <c r="H156" s="57">
        <f>[1]!s_stm07_bs($B$1,"W34099501",H3,1)/100000000</f>
        <v>5.5835952207000004</v>
      </c>
      <c r="I156" s="57">
        <f>[1]!s_stm07_bs($B$1,"W34099501",I3,1)/100000000</f>
        <v>5.5023995876999994</v>
      </c>
    </row>
    <row r="157" spans="1:9" x14ac:dyDescent="0.25">
      <c r="A157" s="55" t="s">
        <v>249</v>
      </c>
      <c r="B157" s="57">
        <f>[1]!s_stm07_bs($B$1,"W30274905",B3,1)/100000000</f>
        <v>0</v>
      </c>
      <c r="C157" s="57">
        <f>[1]!s_stm07_bs($B$1,"W30274905",C3,1)/100000000</f>
        <v>0</v>
      </c>
      <c r="D157" s="57">
        <f>[1]!s_stm07_bs($B$1,"W30274905",D3,1)/100000000</f>
        <v>0</v>
      </c>
      <c r="E157" s="57">
        <f>[1]!s_stm07_bs($B$1,"W30274905",E3,1)/100000000</f>
        <v>0</v>
      </c>
      <c r="F157" s="57">
        <f>[1]!s_stm07_bs($B$1,"W30274905",F3,1)/100000000</f>
        <v>0</v>
      </c>
      <c r="G157" s="57">
        <f>[1]!s_stm07_bs($B$1,"W30274905",G3,1)/100000000</f>
        <v>0</v>
      </c>
      <c r="H157" s="57">
        <f>[1]!s_stm07_bs($B$1,"W30274905",H3,1)/100000000</f>
        <v>0</v>
      </c>
      <c r="I157" s="57">
        <f>[1]!s_stm07_bs($B$1,"W30274905",I3,1)/100000000</f>
        <v>0</v>
      </c>
    </row>
    <row r="158" spans="1:9" x14ac:dyDescent="0.25">
      <c r="A158" s="55" t="s">
        <v>250</v>
      </c>
      <c r="B158" s="57">
        <f>[1]!s_stm07_bs($B$1,151,B3,1)/100000000</f>
        <v>0</v>
      </c>
      <c r="C158" s="57">
        <f>[1]!s_stm07_bs($B$1,151,C3,1)/100000000</f>
        <v>0</v>
      </c>
      <c r="D158" s="57">
        <f>[1]!s_stm07_bs($B$1,151,D3,1)/100000000</f>
        <v>0</v>
      </c>
      <c r="E158" s="57">
        <f>[1]!s_stm07_bs($B$1,151,E3,1)/100000000</f>
        <v>0</v>
      </c>
      <c r="F158" s="57">
        <f>[1]!s_stm07_bs($B$1,151,F3,1)/100000000</f>
        <v>0</v>
      </c>
      <c r="G158" s="57">
        <f>[1]!s_stm07_bs($B$1,151,G3,1)/100000000</f>
        <v>0</v>
      </c>
      <c r="H158" s="57">
        <f>[1]!s_stm07_bs($B$1,151,H3,1)/100000000</f>
        <v>0</v>
      </c>
      <c r="I158" s="57">
        <f>[1]!s_stm07_bs($B$1,151,I3,1)/100000000</f>
        <v>0</v>
      </c>
    </row>
    <row r="159" spans="1:9" x14ac:dyDescent="0.25">
      <c r="A159" s="55" t="s">
        <v>251</v>
      </c>
      <c r="B159" s="57">
        <f>[1]!s_stm07_bs($B$1,"W35805210",B3,1)/100000000</f>
        <v>3.2404654099999999E-2</v>
      </c>
      <c r="C159" s="57">
        <f>[1]!s_stm07_bs($B$1,"W35805210",C3,1)/100000000</f>
        <v>6.7476204999999997E-2</v>
      </c>
      <c r="D159" s="57">
        <f>[1]!s_stm07_bs($B$1,"W35805210",D3,1)/100000000</f>
        <v>9.5942423699999987E-2</v>
      </c>
      <c r="E159" s="57">
        <f>[1]!s_stm07_bs($B$1,"W35805210",E3,1)/100000000</f>
        <v>0.1567416837</v>
      </c>
      <c r="F159" s="57">
        <f>[1]!s_stm07_bs($B$1,"W35805210",F3,1)/100000000</f>
        <v>0.7038619384</v>
      </c>
      <c r="G159" s="57">
        <f>[1]!s_stm07_bs($B$1,"W35805210",G3,1)/100000000</f>
        <v>1.0482962408000001</v>
      </c>
      <c r="H159" s="57">
        <f>[1]!s_stm07_bs($B$1,"W35805210",H3,1)/100000000</f>
        <v>1.3187940276999999</v>
      </c>
      <c r="I159" s="57">
        <f>[1]!s_stm07_bs($B$1,"W35805210",I3,1)/100000000</f>
        <v>1.3659058387</v>
      </c>
    </row>
    <row r="160" spans="1:9" x14ac:dyDescent="0.25">
      <c r="A160" s="55" t="s">
        <v>252</v>
      </c>
      <c r="B160" s="57">
        <f>[1]!s_stm07_bs($B$1,"W34878282",B3,1)/100000000</f>
        <v>0</v>
      </c>
      <c r="C160" s="57">
        <f>[1]!s_stm07_bs($B$1,"W34878282",C3,1)/100000000</f>
        <v>0</v>
      </c>
      <c r="D160" s="57">
        <f>[1]!s_stm07_bs($B$1,"W34878282",D3,1)/100000000</f>
        <v>0</v>
      </c>
      <c r="E160" s="57">
        <f>[1]!s_stm07_bs($B$1,"W34878282",E3,1)/100000000</f>
        <v>0</v>
      </c>
      <c r="F160" s="57">
        <f>[1]!s_stm07_bs($B$1,"W34878282",F3,1)/100000000</f>
        <v>0</v>
      </c>
      <c r="G160" s="57">
        <f>[1]!s_stm07_bs($B$1,"W34878282",G3,1)/100000000</f>
        <v>0</v>
      </c>
      <c r="H160" s="57">
        <f>[1]!s_stm07_bs($B$1,"W34878282",H3,1)/100000000</f>
        <v>0</v>
      </c>
      <c r="I160" s="57">
        <f>[1]!s_stm07_bs($B$1,"W34878282",I3,1)/100000000</f>
        <v>0</v>
      </c>
    </row>
    <row r="161" spans="1:9" x14ac:dyDescent="0.25">
      <c r="A161" s="55" t="s">
        <v>253</v>
      </c>
      <c r="B161" s="57">
        <f>[1]!s_stm07_bs($B$1,"W39235906",B3,1)/100000000</f>
        <v>0</v>
      </c>
      <c r="C161" s="57">
        <f>[1]!s_stm07_bs($B$1,"W39235906",C3,1)/100000000</f>
        <v>0</v>
      </c>
      <c r="D161" s="57">
        <f>[1]!s_stm07_bs($B$1,"W39235906",D3,1)/100000000</f>
        <v>0</v>
      </c>
      <c r="E161" s="57">
        <f>[1]!s_stm07_bs($B$1,"W39235906",E3,1)/100000000</f>
        <v>0</v>
      </c>
      <c r="F161" s="57">
        <f>[1]!s_stm07_bs($B$1,"W39235906",F3,1)/100000000</f>
        <v>0</v>
      </c>
      <c r="G161" s="57">
        <f>[1]!s_stm07_bs($B$1,"W39235906",G3,1)/100000000</f>
        <v>0</v>
      </c>
      <c r="H161" s="57">
        <f>[1]!s_stm07_bs($B$1,"W39235906",H3,1)/100000000</f>
        <v>0</v>
      </c>
      <c r="I161" s="57">
        <f>[1]!s_stm07_bs($B$1,"W39235906",I3,1)/100000000</f>
        <v>0</v>
      </c>
    </row>
    <row r="162" spans="1:9" x14ac:dyDescent="0.25">
      <c r="A162" s="56" t="s">
        <v>254</v>
      </c>
      <c r="B162" s="58">
        <f>[1]!s_stm07_bs($B$1,"W34656681",B3,1)/100000000</f>
        <v>3.4272731326999999</v>
      </c>
      <c r="C162" s="58">
        <f>[1]!s_stm07_bs($B$1,"W34656681",C3,1)/100000000</f>
        <v>3.9924541892000001</v>
      </c>
      <c r="D162" s="58">
        <f>[1]!s_stm07_bs($B$1,"W34656681",D3,1)/100000000</f>
        <v>4.6070474597000004</v>
      </c>
      <c r="E162" s="58">
        <f>[1]!s_stm07_bs($B$1,"W34656681",E3,1)/100000000</f>
        <v>8.4361398186999992</v>
      </c>
      <c r="F162" s="58">
        <f>[1]!s_stm07_bs($B$1,"W34656681",F3,1)/100000000</f>
        <v>9.3338616687000009</v>
      </c>
      <c r="G162" s="58">
        <f>[1]!s_stm07_bs($B$1,"W34656681",G3,1)/100000000</f>
        <v>15.2077561062</v>
      </c>
      <c r="H162" s="58">
        <f>[1]!s_stm07_bs($B$1,"W34656681",H3,1)/100000000</f>
        <v>14.8917277328</v>
      </c>
      <c r="I162" s="58">
        <f>[1]!s_stm07_bs($B$1,"W34656681",I3,1)/100000000</f>
        <v>14.928181951900001</v>
      </c>
    </row>
    <row r="163" spans="1:9" x14ac:dyDescent="0.25">
      <c r="A163" s="54" t="s">
        <v>255</v>
      </c>
      <c r="B163" s="53">
        <f>[1]!s_stm07_bs($B$1,"W38058048",B3,1)/100000000</f>
        <v>3.4596777867999999</v>
      </c>
      <c r="C163" s="53">
        <f>[1]!s_stm07_bs($B$1,"W38058048",C3,1)/100000000</f>
        <v>4.0599303942000002</v>
      </c>
      <c r="D163" s="53">
        <f>[1]!s_stm07_bs($B$1,"W38058048",D3,1)/100000000</f>
        <v>4.7029898833999999</v>
      </c>
      <c r="E163" s="53">
        <f>[1]!s_stm07_bs($B$1,"W38058048",E3,1)/100000000</f>
        <v>8.5928815024000009</v>
      </c>
      <c r="F163" s="53">
        <f>[1]!s_stm07_bs($B$1,"W38058048",F3,1)/100000000</f>
        <v>10.0377236071</v>
      </c>
      <c r="G163" s="53">
        <f>[1]!s_stm07_bs($B$1,"W38058048",G3,1)/100000000</f>
        <v>16.256052347000001</v>
      </c>
      <c r="H163" s="53">
        <f>[1]!s_stm07_bs($B$1,"W38058048",H3,1)/100000000</f>
        <v>16.210521760500001</v>
      </c>
      <c r="I163" s="53">
        <f>[1]!s_stm07_bs($B$1,"W38058048",I3,1)/100000000</f>
        <v>16.294087790599999</v>
      </c>
    </row>
    <row r="164" spans="1:9" x14ac:dyDescent="0.25">
      <c r="A164" s="55" t="s">
        <v>256</v>
      </c>
      <c r="B164" s="57">
        <f>[1]!s_stm07_bs($B$1,"W38442086",B3,1)/100000000</f>
        <v>0</v>
      </c>
      <c r="C164" s="57">
        <f>[1]!s_stm07_bs($B$1,"W38442086",C3,1)/100000000</f>
        <v>0</v>
      </c>
      <c r="D164" s="57">
        <f>[1]!s_stm07_bs($B$1,"W38442086",D3,1)/100000000</f>
        <v>0</v>
      </c>
      <c r="E164" s="57">
        <f>[1]!s_stm07_bs($B$1,"W38442086",E3,1)/100000000</f>
        <v>0</v>
      </c>
      <c r="F164" s="57">
        <f>[1]!s_stm07_bs($B$1,"W38442086",F3,1)/100000000</f>
        <v>0</v>
      </c>
      <c r="G164" s="57">
        <f>[1]!s_stm07_bs($B$1,"W38442086",G3,1)/100000000</f>
        <v>0</v>
      </c>
      <c r="H164" s="57">
        <f>[1]!s_stm07_bs($B$1,"W38442086",H3,1)/100000000</f>
        <v>0</v>
      </c>
      <c r="I164" s="57">
        <f>[1]!s_stm07_bs($B$1,"W38442086",I3,1)/100000000</f>
        <v>0</v>
      </c>
    </row>
    <row r="165" spans="1:9" x14ac:dyDescent="0.25">
      <c r="A165" s="55" t="s">
        <v>257</v>
      </c>
      <c r="B165" s="57">
        <f>[1]!s_stm07_bs($B$1,"W37677349",B3,1)/100000000</f>
        <v>0</v>
      </c>
      <c r="C165" s="57">
        <f>[1]!s_stm07_bs($B$1,"W37677349",C3,1)/100000000</f>
        <v>0</v>
      </c>
      <c r="D165" s="57">
        <f>[1]!s_stm07_bs($B$1,"W37677349",D3,1)/100000000</f>
        <v>0</v>
      </c>
      <c r="E165" s="57">
        <f>[1]!s_stm07_bs($B$1,"W37677349",E3,1)/100000000</f>
        <v>0</v>
      </c>
      <c r="F165" s="57">
        <f>[1]!s_stm07_bs($B$1,"W37677349",F3,1)/100000000</f>
        <v>0</v>
      </c>
      <c r="G165" s="57">
        <f>[1]!s_stm07_bs($B$1,"W37677349",G3,1)/100000000</f>
        <v>0</v>
      </c>
      <c r="H165" s="57">
        <f>[1]!s_stm07_bs($B$1,"W37677349",H3,1)/100000000</f>
        <v>0</v>
      </c>
      <c r="I165" s="57">
        <f>[1]!s_stm07_bs($B$1,"W37677349",I3,1)/100000000</f>
        <v>0</v>
      </c>
    </row>
    <row r="166" spans="1:9" x14ac:dyDescent="0.25">
      <c r="A166" s="54" t="s">
        <v>258</v>
      </c>
      <c r="B166" s="58">
        <f>[1]!s_stm07_bs($B$1,"W34370312",B3,1)/100000000</f>
        <v>4.3779122549</v>
      </c>
      <c r="C166" s="58">
        <f>[1]!s_stm07_bs($B$1,"W34370312",C3,1)/100000000</f>
        <v>5.3757257075</v>
      </c>
      <c r="D166" s="58">
        <f>[1]!s_stm07_bs($B$1,"W34370312",D3,1)/100000000</f>
        <v>6.6326666764999995</v>
      </c>
      <c r="E166" s="58">
        <f>[1]!s_stm07_bs($B$1,"W34370312",E3,1)/100000000</f>
        <v>10.924809203699999</v>
      </c>
      <c r="F166" s="58">
        <f>[1]!s_stm07_bs($B$1,"W34370312",F3,1)/100000000</f>
        <v>15.693906535999998</v>
      </c>
      <c r="G166" s="58">
        <f>[1]!s_stm07_bs($B$1,"W34370312",G3,1)/100000000</f>
        <v>25.828123791399999</v>
      </c>
      <c r="H166" s="58">
        <f>[1]!s_stm07_bs($B$1,"W34370312",H3,1)/100000000</f>
        <v>30.070564858800001</v>
      </c>
      <c r="I166" s="58">
        <f>[1]!s_stm07_bs($B$1,"W34370312",I3,1)/100000000</f>
        <v>30.594822141999998</v>
      </c>
    </row>
    <row r="170" spans="1:9" x14ac:dyDescent="0.25">
      <c r="A170" s="50" t="s">
        <v>259</v>
      </c>
      <c r="B170" s="51"/>
      <c r="C170" s="51"/>
      <c r="D170" s="51"/>
      <c r="E170" s="51"/>
      <c r="F170" s="51"/>
      <c r="G170" s="51"/>
      <c r="H170" s="51"/>
      <c r="I170" s="51"/>
    </row>
    <row r="171" spans="1:9" x14ac:dyDescent="0.25">
      <c r="A171" s="56" t="s">
        <v>260</v>
      </c>
    </row>
    <row r="172" spans="1:9" x14ac:dyDescent="0.25">
      <c r="A172" s="54" t="s">
        <v>261</v>
      </c>
      <c r="B172" s="57">
        <f>[1]!S_STM07_CS($B$1,"W37429789",B3,1)/100000000</f>
        <v>3.9713094407999998</v>
      </c>
      <c r="C172" s="57">
        <f>[1]!S_STM07_CS($B$1,"W37429789",C3,1)/100000000</f>
        <v>4.5956706350000003</v>
      </c>
      <c r="D172" s="57">
        <f>[1]!S_STM07_CS($B$1,"W37429789",D3,1)/100000000</f>
        <v>5.7866769098999997</v>
      </c>
      <c r="E172" s="57">
        <f>[1]!S_STM07_CS($B$1,"W37429789",E3,1)/100000000</f>
        <v>6.4497795250000003</v>
      </c>
      <c r="F172" s="57">
        <f>[1]!S_STM07_CS($B$1,"W37429789",F3,1)/100000000</f>
        <v>8.6660073465999989</v>
      </c>
      <c r="G172" s="57">
        <f>[1]!S_STM07_CS($B$1,"W37429789",G3,1)/100000000</f>
        <v>12.7653413261</v>
      </c>
      <c r="H172" s="57">
        <f>[1]!S_STM07_CS($B$1,"W37429789",H3,1)/100000000</f>
        <v>18.191689858499998</v>
      </c>
      <c r="I172" s="57">
        <f>[1]!S_STM07_CS($B$1,"W37429789",I3,1)/100000000</f>
        <v>6.9392342004999996</v>
      </c>
    </row>
    <row r="173" spans="1:9" x14ac:dyDescent="0.25">
      <c r="A173" s="55" t="s">
        <v>262</v>
      </c>
      <c r="B173" s="57">
        <f>[1]!S_STM07_CS($B$1,"W35561634",B3,1)/100000000</f>
        <v>0</v>
      </c>
      <c r="C173" s="57">
        <f>[1]!S_STM07_CS($B$1,"W35561634",C3,1)/100000000</f>
        <v>0</v>
      </c>
      <c r="D173" s="57">
        <f>[1]!S_STM07_CS($B$1,"W35561634",D3,1)/100000000</f>
        <v>0</v>
      </c>
      <c r="E173" s="57">
        <f>[1]!S_STM07_CS($B$1,"W35561634",E3,1)/100000000</f>
        <v>0</v>
      </c>
      <c r="F173" s="57">
        <f>[1]!S_STM07_CS($B$1,"W35561634",F3,1)/100000000</f>
        <v>0</v>
      </c>
      <c r="G173" s="57">
        <f>[1]!S_STM07_CS($B$1,"W35561634",G3,1)/100000000</f>
        <v>0</v>
      </c>
      <c r="H173" s="57">
        <f>[1]!S_STM07_CS($B$1,"W35561634",H3,1)/100000000</f>
        <v>0</v>
      </c>
      <c r="I173" s="57">
        <f>[1]!S_STM07_CS($B$1,"W35561634",I3,1)/100000000</f>
        <v>0</v>
      </c>
    </row>
    <row r="174" spans="1:9" x14ac:dyDescent="0.25">
      <c r="A174" s="55" t="s">
        <v>263</v>
      </c>
      <c r="B174" s="57">
        <f>[1]!S_STM07_CS($B$1,"W34824388",B3,1)/100000000</f>
        <v>0.15791614939999998</v>
      </c>
      <c r="C174" s="57">
        <f>[1]!S_STM07_CS($B$1,"W34824388",C3,1)/100000000</f>
        <v>4.8322070599999996E-2</v>
      </c>
      <c r="D174" s="57">
        <f>[1]!S_STM07_CS($B$1,"W34824388",D3,1)/100000000</f>
        <v>0.16420218580000001</v>
      </c>
      <c r="E174" s="57">
        <f>[1]!S_STM07_CS($B$1,"W34824388",E3,1)/100000000</f>
        <v>7.6381922300000002E-2</v>
      </c>
      <c r="F174" s="57">
        <f>[1]!S_STM07_CS($B$1,"W34824388",F3,1)/100000000</f>
        <v>0.19928790120000001</v>
      </c>
      <c r="G174" s="57">
        <f>[1]!S_STM07_CS($B$1,"W34824388",G3,1)/100000000</f>
        <v>0.23287549059999998</v>
      </c>
      <c r="H174" s="57">
        <f>[1]!S_STM07_CS($B$1,"W34824388",H3,1)/100000000</f>
        <v>0.26663511359999997</v>
      </c>
      <c r="I174" s="57">
        <f>[1]!S_STM07_CS($B$1,"W34824388",I3,1)/100000000</f>
        <v>4.7903002E-2</v>
      </c>
    </row>
    <row r="175" spans="1:9" x14ac:dyDescent="0.25">
      <c r="A175" s="55" t="s">
        <v>264</v>
      </c>
      <c r="B175" s="57">
        <f>[1]!S_Stm07_CS_64($B$1,B3,1)/100000000</f>
        <v>0</v>
      </c>
      <c r="C175" s="57">
        <f>[1]!S_Stm07_CS_64($B$1,C3,1)/100000000</f>
        <v>0</v>
      </c>
      <c r="D175" s="57">
        <f>[1]!S_Stm07_CS_64($B$1,D3,1)/100000000</f>
        <v>0</v>
      </c>
      <c r="E175" s="57">
        <f>[1]!S_Stm07_CS_64($B$1,E3,1)/100000000</f>
        <v>0</v>
      </c>
      <c r="F175" s="57">
        <f>[1]!S_Stm07_CS_64($B$1,F3,1)/100000000</f>
        <v>0</v>
      </c>
      <c r="G175" s="57">
        <f>[1]!S_Stm07_CS_64($B$1,G3,1)/100000000</f>
        <v>0</v>
      </c>
      <c r="H175" s="57">
        <f>[1]!S_Stm07_CS_64($B$1,H3,1)/100000000</f>
        <v>0</v>
      </c>
      <c r="I175" s="57">
        <f>[1]!S_Stm07_CS_64($B$1,I3,1)/100000000</f>
        <v>0</v>
      </c>
    </row>
    <row r="176" spans="1:9" x14ac:dyDescent="0.25">
      <c r="A176" s="55" t="s">
        <v>265</v>
      </c>
      <c r="B176" s="57">
        <f>[1]!S_Stm07_CS_12($B$1,B3,1)/100000000</f>
        <v>0</v>
      </c>
      <c r="C176" s="57">
        <f>[1]!S_Stm07_CS_12($B$1,C3,1)/100000000</f>
        <v>0</v>
      </c>
      <c r="D176" s="57">
        <f>[1]!S_Stm07_CS_12($B$1,D3,1)/100000000</f>
        <v>0</v>
      </c>
      <c r="E176" s="57">
        <f>[1]!S_Stm07_CS_12($B$1,E3,1)/100000000</f>
        <v>0</v>
      </c>
      <c r="F176" s="57">
        <f>[1]!S_Stm07_CS_12($B$1,F3,1)/100000000</f>
        <v>0</v>
      </c>
      <c r="G176" s="57">
        <f>[1]!S_Stm07_CS_12($B$1,G3,1)/100000000</f>
        <v>0</v>
      </c>
      <c r="H176" s="57">
        <f>[1]!S_Stm07_CS_12($B$1,H3,1)/100000000</f>
        <v>0</v>
      </c>
      <c r="I176" s="57">
        <f>[1]!S_Stm07_CS_12($B$1,I3,1)/100000000</f>
        <v>0</v>
      </c>
    </row>
    <row r="177" spans="1:9" x14ac:dyDescent="0.25">
      <c r="A177" s="55" t="s">
        <v>266</v>
      </c>
      <c r="B177" s="57">
        <f>[1]!S_Stm07_CS_13($B$1,B3,1)/100000000</f>
        <v>0</v>
      </c>
      <c r="C177" s="57">
        <f>[1]!S_Stm07_CS_13($B$1,C3,1)/100000000</f>
        <v>0</v>
      </c>
      <c r="D177" s="57">
        <f>[1]!S_Stm07_CS_13($B$1,D3,1)/100000000</f>
        <v>0</v>
      </c>
      <c r="E177" s="57">
        <f>[1]!S_Stm07_CS_13($B$1,E3,1)/100000000</f>
        <v>0</v>
      </c>
      <c r="F177" s="57">
        <f>[1]!S_Stm07_CS_13($B$1,F3,1)/100000000</f>
        <v>0</v>
      </c>
      <c r="G177" s="57">
        <f>[1]!S_Stm07_CS_13($B$1,G3,1)/100000000</f>
        <v>0</v>
      </c>
      <c r="H177" s="57">
        <f>[1]!S_Stm07_CS_13($B$1,H3,1)/100000000</f>
        <v>0</v>
      </c>
      <c r="I177" s="57">
        <f>[1]!S_Stm07_CS_13($B$1,I3,1)/100000000</f>
        <v>0</v>
      </c>
    </row>
    <row r="178" spans="1:9" x14ac:dyDescent="0.25">
      <c r="A178" s="55" t="s">
        <v>267</v>
      </c>
      <c r="B178" s="57">
        <f>[1]!S_Stm07_CS_14($B$1,B3,1)/100000000</f>
        <v>0</v>
      </c>
      <c r="C178" s="57">
        <f>[1]!S_Stm07_CS_14($B$1,C3,1)/100000000</f>
        <v>0</v>
      </c>
      <c r="D178" s="57">
        <f>[1]!S_Stm07_CS_14($B$1,D3,1)/100000000</f>
        <v>0</v>
      </c>
      <c r="E178" s="57">
        <f>[1]!S_Stm07_CS_14($B$1,E3,1)/100000000</f>
        <v>0</v>
      </c>
      <c r="F178" s="57">
        <f>[1]!S_Stm07_CS_14($B$1,F3,1)/100000000</f>
        <v>0</v>
      </c>
      <c r="G178" s="57">
        <f>[1]!S_Stm07_CS_14($B$1,G3,1)/100000000</f>
        <v>0</v>
      </c>
      <c r="H178" s="57">
        <f>[1]!S_Stm07_CS_14($B$1,H3,1)/100000000</f>
        <v>0</v>
      </c>
      <c r="I178" s="57">
        <f>[1]!S_Stm07_CS_14($B$1,I3,1)/100000000</f>
        <v>0</v>
      </c>
    </row>
    <row r="179" spans="1:9" x14ac:dyDescent="0.25">
      <c r="A179" s="55" t="s">
        <v>268</v>
      </c>
      <c r="B179" s="57">
        <f>[1]!S_Stm07_CS_15($B$1,B3,1)/100000000</f>
        <v>0</v>
      </c>
      <c r="C179" s="57">
        <f>[1]!S_Stm07_CS_15($B$1,C3,1)/100000000</f>
        <v>0</v>
      </c>
      <c r="D179" s="57">
        <f>[1]!S_Stm07_CS_15($B$1,D3,1)/100000000</f>
        <v>0</v>
      </c>
      <c r="E179" s="57">
        <f>[1]!S_Stm07_CS_15($B$1,E3,1)/100000000</f>
        <v>0</v>
      </c>
      <c r="F179" s="57">
        <f>[1]!S_Stm07_CS_15($B$1,F3,1)/100000000</f>
        <v>0</v>
      </c>
      <c r="G179" s="57">
        <f>[1]!S_Stm07_CS_15($B$1,G3,1)/100000000</f>
        <v>0</v>
      </c>
      <c r="H179" s="57">
        <f>[1]!S_Stm07_CS_15($B$1,H3,1)/100000000</f>
        <v>0</v>
      </c>
      <c r="I179" s="57">
        <f>[1]!S_Stm07_CS_15($B$1,I3,1)/100000000</f>
        <v>0</v>
      </c>
    </row>
    <row r="180" spans="1:9" x14ac:dyDescent="0.25">
      <c r="A180" s="55" t="s">
        <v>269</v>
      </c>
      <c r="B180" s="57">
        <f>[1]!S_Stm07_CS_16($B$1,B3,1)/100000000</f>
        <v>0</v>
      </c>
      <c r="C180" s="57">
        <f>[1]!S_Stm07_CS_16($B$1,C3,1)/100000000</f>
        <v>0</v>
      </c>
      <c r="D180" s="57">
        <f>[1]!S_Stm07_CS_16($B$1,D3,1)/100000000</f>
        <v>0</v>
      </c>
      <c r="E180" s="57">
        <f>[1]!S_Stm07_CS_16($B$1,E3,1)/100000000</f>
        <v>0</v>
      </c>
      <c r="F180" s="57">
        <f>[1]!S_Stm07_CS_16($B$1,F3,1)/100000000</f>
        <v>0</v>
      </c>
      <c r="G180" s="57">
        <f>[1]!S_Stm07_CS_16($B$1,G3,1)/100000000</f>
        <v>0</v>
      </c>
      <c r="H180" s="57">
        <f>[1]!S_Stm07_CS_16($B$1,H3,1)/100000000</f>
        <v>0</v>
      </c>
      <c r="I180" s="57">
        <f>[1]!S_Stm07_CS_16($B$1,I3,1)/100000000</f>
        <v>0</v>
      </c>
    </row>
    <row r="181" spans="1:9" x14ac:dyDescent="0.25">
      <c r="A181" s="55" t="s">
        <v>270</v>
      </c>
      <c r="B181" s="57">
        <f>[1]!S_Stm07_CS_17($B$1,B3,1)/100000000</f>
        <v>0</v>
      </c>
      <c r="C181" s="57">
        <f>[1]!S_Stm07_CS_17($B$1,C3,1)/100000000</f>
        <v>0</v>
      </c>
      <c r="D181" s="57">
        <f>[1]!S_Stm07_CS_17($B$1,D3,1)/100000000</f>
        <v>0</v>
      </c>
      <c r="E181" s="57">
        <f>[1]!S_Stm07_CS_17($B$1,E3,1)/100000000</f>
        <v>0</v>
      </c>
      <c r="F181" s="57">
        <f>[1]!S_Stm07_CS_17($B$1,F3,1)/100000000</f>
        <v>0</v>
      </c>
      <c r="G181" s="57">
        <f>[1]!S_Stm07_CS_17($B$1,G3,1)/100000000</f>
        <v>0</v>
      </c>
      <c r="H181" s="57">
        <f>[1]!S_Stm07_CS_17($B$1,H3,1)/100000000</f>
        <v>0</v>
      </c>
      <c r="I181" s="57">
        <f>[1]!S_Stm07_CS_17($B$1,I3,1)/100000000</f>
        <v>0</v>
      </c>
    </row>
    <row r="182" spans="1:9" x14ac:dyDescent="0.25">
      <c r="A182" s="55" t="s">
        <v>271</v>
      </c>
      <c r="B182" s="57">
        <f>[1]!S_Stm07_CS_18($B$1,B3,1)/100000000</f>
        <v>0</v>
      </c>
      <c r="C182" s="57">
        <f>[1]!S_Stm07_CS_18($B$1,C3,1)/100000000</f>
        <v>0</v>
      </c>
      <c r="D182" s="57">
        <f>[1]!S_Stm07_CS_18($B$1,D3,1)/100000000</f>
        <v>0</v>
      </c>
      <c r="E182" s="57">
        <f>[1]!S_Stm07_CS_18($B$1,E3,1)/100000000</f>
        <v>0</v>
      </c>
      <c r="F182" s="57">
        <f>[1]!S_Stm07_CS_18($B$1,F3,1)/100000000</f>
        <v>0</v>
      </c>
      <c r="G182" s="57">
        <f>[1]!S_Stm07_CS_18($B$1,G3,1)/100000000</f>
        <v>0</v>
      </c>
      <c r="H182" s="57">
        <f>[1]!S_Stm07_CS_18($B$1,H3,1)/100000000</f>
        <v>0</v>
      </c>
      <c r="I182" s="57">
        <f>[1]!S_Stm07_CS_18($B$1,I3,1)/100000000</f>
        <v>0</v>
      </c>
    </row>
    <row r="183" spans="1:9" x14ac:dyDescent="0.25">
      <c r="A183" s="55" t="s">
        <v>272</v>
      </c>
      <c r="B183" s="57">
        <f>[1]!S_Stm07_CS_20($B$1,B3,1)/100000000</f>
        <v>0</v>
      </c>
      <c r="C183" s="57">
        <f>[1]!S_Stm07_CS_20($B$1,C3,1)/100000000</f>
        <v>0</v>
      </c>
      <c r="D183" s="57">
        <f>[1]!S_Stm07_CS_20($B$1,D3,1)/100000000</f>
        <v>0</v>
      </c>
      <c r="E183" s="57">
        <f>[1]!S_Stm07_CS_20($B$1,E3,1)/100000000</f>
        <v>0</v>
      </c>
      <c r="F183" s="57">
        <f>[1]!S_Stm07_CS_20($B$1,F3,1)/100000000</f>
        <v>0</v>
      </c>
      <c r="G183" s="57">
        <f>[1]!S_Stm07_CS_20($B$1,G3,1)/100000000</f>
        <v>0</v>
      </c>
      <c r="H183" s="57">
        <f>[1]!S_Stm07_CS_20($B$1,H3,1)/100000000</f>
        <v>0</v>
      </c>
      <c r="I183" s="57">
        <f>[1]!S_Stm07_CS_20($B$1,I3,1)/100000000</f>
        <v>0</v>
      </c>
    </row>
    <row r="184" spans="1:9" x14ac:dyDescent="0.25">
      <c r="A184" s="55" t="s">
        <v>273</v>
      </c>
      <c r="B184" s="57">
        <f>[1]!S_Stm07_CS_21($B$1,B3,1)/100000000</f>
        <v>0</v>
      </c>
      <c r="C184" s="57">
        <f>[1]!S_Stm07_CS_21($B$1,C3,1)/100000000</f>
        <v>0</v>
      </c>
      <c r="D184" s="57">
        <f>[1]!S_Stm07_CS_21($B$1,D3,1)/100000000</f>
        <v>0</v>
      </c>
      <c r="E184" s="57">
        <f>[1]!S_Stm07_CS_21($B$1,E3,1)/100000000</f>
        <v>0</v>
      </c>
      <c r="F184" s="57">
        <f>[1]!S_Stm07_CS_21($B$1,F3,1)/100000000</f>
        <v>0</v>
      </c>
      <c r="G184" s="57">
        <f>[1]!S_Stm07_CS_21($B$1,G3,1)/100000000</f>
        <v>0</v>
      </c>
      <c r="H184" s="57">
        <f>[1]!S_Stm07_CS_21($B$1,H3,1)/100000000</f>
        <v>0</v>
      </c>
      <c r="I184" s="57">
        <f>[1]!S_Stm07_CS_21($B$1,I3,1)/100000000</f>
        <v>0</v>
      </c>
    </row>
    <row r="185" spans="1:9" x14ac:dyDescent="0.25">
      <c r="A185" s="55" t="s">
        <v>274</v>
      </c>
      <c r="B185" s="57">
        <f>[1]!S_STM07_CS($B$1,"W38922827",B3,1)/100000000</f>
        <v>0</v>
      </c>
      <c r="C185" s="57">
        <f>[1]!S_STM07_CS($B$1,"W38922827",C3,1)/100000000</f>
        <v>0</v>
      </c>
      <c r="D185" s="57">
        <f>[1]!S_STM07_CS($B$1,"W38922827",D3,1)/100000000</f>
        <v>0</v>
      </c>
      <c r="E185" s="57">
        <f>[1]!S_STM07_CS($B$1,"W38922827",E3,1)/100000000</f>
        <v>0</v>
      </c>
      <c r="F185" s="57">
        <f>[1]!S_STM07_CS($B$1,"W38922827",F3,1)/100000000</f>
        <v>0</v>
      </c>
      <c r="G185" s="57">
        <f>[1]!S_STM07_CS($B$1,"W38922827",G3,1)/100000000</f>
        <v>0</v>
      </c>
      <c r="H185" s="57">
        <f>[1]!S_STM07_CS($B$1,"W38922827",H3,1)/100000000</f>
        <v>0</v>
      </c>
      <c r="I185" s="57">
        <f>[1]!S_STM07_CS($B$1,"W38922827",I3,1)/100000000</f>
        <v>0</v>
      </c>
    </row>
    <row r="186" spans="1:9" x14ac:dyDescent="0.25">
      <c r="A186" s="55" t="s">
        <v>275</v>
      </c>
      <c r="B186" s="57">
        <f>[1]!S_STM07_CS($B$1,"W34050717",B3,1)/100000000</f>
        <v>0</v>
      </c>
      <c r="C186" s="57">
        <f>[1]!S_STM07_CS($B$1,"W34050717",C3,1)/100000000</f>
        <v>0</v>
      </c>
      <c r="D186" s="57">
        <f>[1]!S_STM07_CS($B$1,"W34050717",D3,1)/100000000</f>
        <v>0</v>
      </c>
      <c r="E186" s="57">
        <f>[1]!S_STM07_CS($B$1,"W34050717",E3,1)/100000000</f>
        <v>0</v>
      </c>
      <c r="F186" s="57">
        <f>[1]!S_STM07_CS($B$1,"W34050717",F3,1)/100000000</f>
        <v>0</v>
      </c>
      <c r="G186" s="57">
        <f>[1]!S_STM07_CS($B$1,"W34050717",G3,1)/100000000</f>
        <v>0</v>
      </c>
      <c r="H186" s="57">
        <f>[1]!S_STM07_CS($B$1,"W34050717",H3,1)/100000000</f>
        <v>0</v>
      </c>
      <c r="I186" s="57">
        <f>[1]!S_STM07_CS($B$1,"W34050717",I3,1)/100000000</f>
        <v>0</v>
      </c>
    </row>
    <row r="187" spans="1:9" x14ac:dyDescent="0.25">
      <c r="A187" s="54" t="s">
        <v>276</v>
      </c>
      <c r="B187" s="57">
        <f>[1]!S_STM07_CS($B$1,"W30465074",B3,1)/100000000</f>
        <v>4.1292255901999999</v>
      </c>
      <c r="C187" s="57">
        <f>[1]!S_STM07_CS($B$1,"W30465074",C3,1)/100000000</f>
        <v>4.6439927055999997</v>
      </c>
      <c r="D187" s="57">
        <f>[1]!S_STM07_CS($B$1,"W30465074",D3,1)/100000000</f>
        <v>5.9508790957000004</v>
      </c>
      <c r="E187" s="57">
        <f>[1]!S_STM07_CS($B$1,"W30465074",E3,1)/100000000</f>
        <v>6.5261614472999998</v>
      </c>
      <c r="F187" s="57">
        <f>[1]!S_STM07_CS($B$1,"W30465074",F3,1)/100000000</f>
        <v>8.8652952477999989</v>
      </c>
      <c r="G187" s="57">
        <f>[1]!S_STM07_CS($B$1,"W30465074",G3,1)/100000000</f>
        <v>12.998216816700001</v>
      </c>
      <c r="H187" s="57">
        <f>[1]!S_STM07_CS($B$1,"W30465074",H3,1)/100000000</f>
        <v>18.458324972100002</v>
      </c>
      <c r="I187" s="57">
        <f>[1]!S_STM07_CS($B$1,"W30465074",I3,1)/100000000</f>
        <v>6.9871372024999996</v>
      </c>
    </row>
    <row r="188" spans="1:9" x14ac:dyDescent="0.25">
      <c r="A188" s="54" t="s">
        <v>277</v>
      </c>
      <c r="B188" s="57">
        <f>[1]!S_STM07_CS($B$1,"W39359897",B3,1)/100000000</f>
        <v>2.6394968490999999</v>
      </c>
      <c r="C188" s="57">
        <f>[1]!S_STM07_CS($B$1,"W39359897",C3,1)/100000000</f>
        <v>2.9578352394</v>
      </c>
      <c r="D188" s="57">
        <f>[1]!S_STM07_CS($B$1,"W39359897",D3,1)/100000000</f>
        <v>3.9202414306</v>
      </c>
      <c r="E188" s="57">
        <f>[1]!S_STM07_CS($B$1,"W39359897",E3,1)/100000000</f>
        <v>5.0030794847000006</v>
      </c>
      <c r="F188" s="57">
        <f>[1]!S_STM07_CS($B$1,"W39359897",F3,1)/100000000</f>
        <v>7.2508640476999995</v>
      </c>
      <c r="G188" s="57">
        <f>[1]!S_STM07_CS($B$1,"W39359897",G3,1)/100000000</f>
        <v>10.073928845599999</v>
      </c>
      <c r="H188" s="57">
        <f>[1]!S_STM07_CS($B$1,"W39359897",H3,1)/100000000</f>
        <v>13.4002761307</v>
      </c>
      <c r="I188" s="57">
        <f>[1]!S_STM07_CS($B$1,"W39359897",I3,1)/100000000</f>
        <v>5.9678562112</v>
      </c>
    </row>
    <row r="189" spans="1:9" x14ac:dyDescent="0.25">
      <c r="A189" s="54" t="s">
        <v>278</v>
      </c>
      <c r="B189" s="57">
        <f>[1]!S_STM07_CS($B$1,"W31863932",B3,1)/100000000</f>
        <v>0.27452777909999998</v>
      </c>
      <c r="C189" s="57">
        <f>[1]!S_STM07_CS($B$1,"W31863932",C3,1)/100000000</f>
        <v>0.35160517219999998</v>
      </c>
      <c r="D189" s="57">
        <f>[1]!S_STM07_CS($B$1,"W31863932",D3,1)/100000000</f>
        <v>0.44937421969999997</v>
      </c>
      <c r="E189" s="57">
        <f>[1]!S_STM07_CS($B$1,"W31863932",E3,1)/100000000</f>
        <v>0.5010923196</v>
      </c>
      <c r="F189" s="57">
        <f>[1]!S_STM07_CS($B$1,"W31863932",F3,1)/100000000</f>
        <v>0.81865627750000003</v>
      </c>
      <c r="G189" s="57">
        <f>[1]!S_STM07_CS($B$1,"W31863932",G3,1)/100000000</f>
        <v>1.2288898525</v>
      </c>
      <c r="H189" s="57">
        <f>[1]!S_STM07_CS($B$1,"W31863932",H3,1)/100000000</f>
        <v>1.4050359353999999</v>
      </c>
      <c r="I189" s="57">
        <f>[1]!S_STM07_CS($B$1,"W31863932",I3,1)/100000000</f>
        <v>0.76039171379999992</v>
      </c>
    </row>
    <row r="190" spans="1:9" x14ac:dyDescent="0.25">
      <c r="A190" s="54" t="s">
        <v>279</v>
      </c>
      <c r="B190" s="57">
        <f>[1]!S_STM07_CS($B$1,"W34359161",B3,1)/100000000</f>
        <v>0.49692066330000001</v>
      </c>
      <c r="C190" s="57">
        <f>[1]!S_STM07_CS($B$1,"W34359161",C3,1)/100000000</f>
        <v>0.55255628379999999</v>
      </c>
      <c r="D190" s="57">
        <f>[1]!S_STM07_CS($B$1,"W34359161",D3,1)/100000000</f>
        <v>0.55202970429999998</v>
      </c>
      <c r="E190" s="57">
        <f>[1]!S_STM07_CS($B$1,"W34359161",E3,1)/100000000</f>
        <v>0.66806697969999995</v>
      </c>
      <c r="F190" s="57">
        <f>[1]!S_STM07_CS($B$1,"W34359161",F3,1)/100000000</f>
        <v>0.73753948110000001</v>
      </c>
      <c r="G190" s="57">
        <f>[1]!S_STM07_CS($B$1,"W34359161",G3,1)/100000000</f>
        <v>1.2345448707</v>
      </c>
      <c r="H190" s="57">
        <f>[1]!S_STM07_CS($B$1,"W34359161",H3,1)/100000000</f>
        <v>1.3226192253</v>
      </c>
      <c r="I190" s="57">
        <f>[1]!S_STM07_CS($B$1,"W34359161",I3,1)/100000000</f>
        <v>0.49793740850000001</v>
      </c>
    </row>
    <row r="191" spans="1:9" x14ac:dyDescent="0.25">
      <c r="A191" s="55" t="s">
        <v>280</v>
      </c>
      <c r="B191" s="57">
        <f>[1]!S_STM07_CS($B$1,"W38813187",B3,1)/100000000</f>
        <v>0.39292789159999997</v>
      </c>
      <c r="C191" s="57">
        <f>[1]!S_STM07_CS($B$1,"W38813187",C3,1)/100000000</f>
        <v>0.4813423194</v>
      </c>
      <c r="D191" s="57">
        <f>[1]!S_STM07_CS($B$1,"W38813187",D3,1)/100000000</f>
        <v>0.56816862779999999</v>
      </c>
      <c r="E191" s="57">
        <f>[1]!S_STM07_CS($B$1,"W38813187",E3,1)/100000000</f>
        <v>0.52408378509999998</v>
      </c>
      <c r="F191" s="57">
        <f>[1]!S_STM07_CS($B$1,"W38813187",F3,1)/100000000</f>
        <v>0.69075772930000012</v>
      </c>
      <c r="G191" s="57">
        <f>[1]!S_STM07_CS($B$1,"W38813187",G3,1)/100000000</f>
        <v>1.0991381086000001</v>
      </c>
      <c r="H191" s="57">
        <f>[1]!S_STM07_CS($B$1,"W38813187",H3,1)/100000000</f>
        <v>1.3911600359</v>
      </c>
      <c r="I191" s="57">
        <f>[1]!S_STM07_CS($B$1,"W38813187",I3,1)/100000000</f>
        <v>0.88831678959999993</v>
      </c>
    </row>
    <row r="192" spans="1:9" x14ac:dyDescent="0.25">
      <c r="A192" s="55" t="s">
        <v>281</v>
      </c>
      <c r="B192" s="57">
        <f>[1]!S_Stm07_CS_30($B$1,B3,1)/100000000</f>
        <v>0</v>
      </c>
      <c r="C192" s="57">
        <f>[1]!S_Stm07_CS_30($B$1,C3,1)/100000000</f>
        <v>0</v>
      </c>
      <c r="D192" s="57">
        <f>[1]!S_Stm07_CS_30($B$1,D3,1)/100000000</f>
        <v>0</v>
      </c>
      <c r="E192" s="57">
        <f>[1]!S_Stm07_CS_30($B$1,E3,1)/100000000</f>
        <v>0</v>
      </c>
      <c r="F192" s="57">
        <f>[1]!S_Stm07_CS_30($B$1,F3,1)/100000000</f>
        <v>0</v>
      </c>
      <c r="G192" s="57">
        <f>[1]!S_Stm07_CS_30($B$1,G3,1)/100000000</f>
        <v>0</v>
      </c>
      <c r="H192" s="57">
        <f>[1]!S_Stm07_CS_30($B$1,H3,1)/100000000</f>
        <v>0</v>
      </c>
      <c r="I192" s="57">
        <f>[1]!S_Stm07_CS_30($B$1,I3,1)/100000000</f>
        <v>0</v>
      </c>
    </row>
    <row r="193" spans="1:9" x14ac:dyDescent="0.25">
      <c r="A193" s="55" t="s">
        <v>282</v>
      </c>
      <c r="B193" s="57">
        <f>[1]!S_Stm07_CS_31($B$1,B3,1)/100000000</f>
        <v>0</v>
      </c>
      <c r="C193" s="57">
        <f>[1]!S_Stm07_CS_31($B$1,C3,1)/100000000</f>
        <v>0</v>
      </c>
      <c r="D193" s="57">
        <f>[1]!S_Stm07_CS_31($B$1,D3,1)/100000000</f>
        <v>0</v>
      </c>
      <c r="E193" s="57">
        <f>[1]!S_Stm07_CS_31($B$1,E3,1)/100000000</f>
        <v>0</v>
      </c>
      <c r="F193" s="57">
        <f>[1]!S_Stm07_CS_31($B$1,F3,1)/100000000</f>
        <v>0</v>
      </c>
      <c r="G193" s="57">
        <f>[1]!S_Stm07_CS_31($B$1,G3,1)/100000000</f>
        <v>0</v>
      </c>
      <c r="H193" s="57">
        <f>[1]!S_Stm07_CS_31($B$1,H3,1)/100000000</f>
        <v>0</v>
      </c>
      <c r="I193" s="57">
        <f>[1]!S_Stm07_CS_31($B$1,I3,1)/100000000</f>
        <v>0</v>
      </c>
    </row>
    <row r="194" spans="1:9" x14ac:dyDescent="0.25">
      <c r="A194" s="55" t="s">
        <v>283</v>
      </c>
      <c r="B194" s="57">
        <f>[1]!S_Stm07_CS_32($B$1,B3,1)/100000000</f>
        <v>0</v>
      </c>
      <c r="C194" s="57">
        <f>[1]!S_Stm07_CS_32($B$1,C3,1)/100000000</f>
        <v>0</v>
      </c>
      <c r="D194" s="57">
        <f>[1]!S_Stm07_CS_32($B$1,D3,1)/100000000</f>
        <v>0</v>
      </c>
      <c r="E194" s="57">
        <f>[1]!S_Stm07_CS_32($B$1,E3,1)/100000000</f>
        <v>0</v>
      </c>
      <c r="F194" s="57">
        <f>[1]!S_Stm07_CS_32($B$1,F3,1)/100000000</f>
        <v>0</v>
      </c>
      <c r="G194" s="57">
        <f>[1]!S_Stm07_CS_32($B$1,G3,1)/100000000</f>
        <v>0</v>
      </c>
      <c r="H194" s="57">
        <f>[1]!S_Stm07_CS_32($B$1,H3,1)/100000000</f>
        <v>0</v>
      </c>
      <c r="I194" s="57">
        <f>[1]!S_Stm07_CS_32($B$1,I3,1)/100000000</f>
        <v>0</v>
      </c>
    </row>
    <row r="195" spans="1:9" x14ac:dyDescent="0.25">
      <c r="A195" s="55" t="s">
        <v>284</v>
      </c>
      <c r="B195" s="57">
        <f>[1]!S_Stm07_CS_33($B$1,B3,1)/100000000</f>
        <v>0</v>
      </c>
      <c r="C195" s="57">
        <f>[1]!S_Stm07_CS_33($B$1,C3,1)/100000000</f>
        <v>0</v>
      </c>
      <c r="D195" s="57">
        <f>[1]!S_Stm07_CS_33($B$1,D3,1)/100000000</f>
        <v>0</v>
      </c>
      <c r="E195" s="57">
        <f>[1]!S_Stm07_CS_33($B$1,E3,1)/100000000</f>
        <v>0</v>
      </c>
      <c r="F195" s="57">
        <f>[1]!S_Stm07_CS_33($B$1,F3,1)/100000000</f>
        <v>0</v>
      </c>
      <c r="G195" s="57">
        <f>[1]!S_Stm07_CS_33($B$1,G3,1)/100000000</f>
        <v>0</v>
      </c>
      <c r="H195" s="57">
        <f>[1]!S_Stm07_CS_33($B$1,H3,1)/100000000</f>
        <v>0</v>
      </c>
      <c r="I195" s="57">
        <f>[1]!S_Stm07_CS_33($B$1,I3,1)/100000000</f>
        <v>0</v>
      </c>
    </row>
    <row r="196" spans="1:9" x14ac:dyDescent="0.25">
      <c r="A196" s="55" t="s">
        <v>285</v>
      </c>
      <c r="B196" s="57">
        <f>[1]!S_Stm07_CS_121($B$1,B3,1)/100000000</f>
        <v>0</v>
      </c>
      <c r="C196" s="57">
        <f>[1]!S_Stm07_CS_121($B$1,C3,1)/100000000</f>
        <v>0</v>
      </c>
      <c r="D196" s="57">
        <f>[1]!S_Stm07_CS_121($B$1,D3,1)/100000000</f>
        <v>0</v>
      </c>
      <c r="E196" s="57">
        <f>[1]!S_Stm07_CS_121($B$1,E3,1)/100000000</f>
        <v>0</v>
      </c>
      <c r="F196" s="57">
        <f>[1]!S_Stm07_CS_121($B$1,F3,1)/100000000</f>
        <v>0</v>
      </c>
      <c r="G196" s="57">
        <f>[1]!S_Stm07_CS_121($B$1,G3,1)/100000000</f>
        <v>0</v>
      </c>
      <c r="H196" s="57">
        <f>[1]!S_Stm07_CS_121($B$1,H3,1)/100000000</f>
        <v>0</v>
      </c>
      <c r="I196" s="57">
        <f>[1]!S_Stm07_CS_121($B$1,I3,1)/100000000</f>
        <v>0</v>
      </c>
    </row>
    <row r="197" spans="1:9" x14ac:dyDescent="0.25">
      <c r="A197" s="55" t="s">
        <v>286</v>
      </c>
      <c r="B197" s="57">
        <f>[1]!S_STM07_CS($B$1,"W39596493",B3,1)/100000000</f>
        <v>0</v>
      </c>
      <c r="C197" s="57">
        <f>[1]!S_STM07_CS($B$1,"W39596493",C3,1)/100000000</f>
        <v>0</v>
      </c>
      <c r="D197" s="57">
        <f>[1]!S_STM07_CS($B$1,"W39596493",D3,1)/100000000</f>
        <v>0</v>
      </c>
      <c r="E197" s="57">
        <f>[1]!S_STM07_CS($B$1,"W39596493",E3,1)/100000000</f>
        <v>0</v>
      </c>
      <c r="F197" s="57">
        <f>[1]!S_STM07_CS($B$1,"W39596493",F3,1)/100000000</f>
        <v>0</v>
      </c>
      <c r="G197" s="57">
        <f>[1]!S_STM07_CS($B$1,"W39596493",G3,1)/100000000</f>
        <v>0</v>
      </c>
      <c r="H197" s="57">
        <f>[1]!S_STM07_CS($B$1,"W39596493",H3,1)/100000000</f>
        <v>0</v>
      </c>
      <c r="I197" s="57">
        <f>[1]!S_STM07_CS($B$1,"W39596493",I3,1)/100000000</f>
        <v>0</v>
      </c>
    </row>
    <row r="198" spans="1:9" x14ac:dyDescent="0.25">
      <c r="A198" s="55" t="s">
        <v>287</v>
      </c>
      <c r="B198" s="57">
        <f>[1]!S_STM07_CS($B$1,"W31927856",B3,1)/100000000</f>
        <v>0</v>
      </c>
      <c r="C198" s="57">
        <f>[1]!S_STM07_CS($B$1,"W31927856",C3,1)/100000000</f>
        <v>0</v>
      </c>
      <c r="D198" s="57">
        <f>[1]!S_STM07_CS($B$1,"W31927856",D3,1)/100000000</f>
        <v>0</v>
      </c>
      <c r="E198" s="57">
        <f>[1]!S_STM07_CS($B$1,"W31927856",E3,1)/100000000</f>
        <v>0</v>
      </c>
      <c r="F198" s="57">
        <f>[1]!S_STM07_CS($B$1,"W31927856",F3,1)/100000000</f>
        <v>0</v>
      </c>
      <c r="G198" s="57">
        <f>[1]!S_STM07_CS($B$1,"W31927856",G3,1)/100000000</f>
        <v>0</v>
      </c>
      <c r="H198" s="57">
        <f>[1]!S_STM07_CS($B$1,"W31927856",H3,1)/100000000</f>
        <v>0</v>
      </c>
      <c r="I198" s="57">
        <f>[1]!S_STM07_CS($B$1,"W31927856",I3,1)/100000000</f>
        <v>0</v>
      </c>
    </row>
    <row r="199" spans="1:9" x14ac:dyDescent="0.25">
      <c r="A199" s="55" t="s">
        <v>288</v>
      </c>
      <c r="B199" s="57">
        <f>[1]!S_STM07_CS($B$1,"W32387904",B3,1)/100000000</f>
        <v>3.8038731830999999</v>
      </c>
      <c r="C199" s="57">
        <f>[1]!S_STM07_CS($B$1,"W32387904",C3,1)/100000000</f>
        <v>4.3433390148000006</v>
      </c>
      <c r="D199" s="57">
        <f>[1]!S_STM07_CS($B$1,"W32387904",D3,1)/100000000</f>
        <v>5.4898139824000003</v>
      </c>
      <c r="E199" s="57">
        <f>[1]!S_STM07_CS($B$1,"W32387904",E3,1)/100000000</f>
        <v>6.6963225690999995</v>
      </c>
      <c r="F199" s="57">
        <f>[1]!S_STM07_CS($B$1,"W32387904",F3,1)/100000000</f>
        <v>9.4978175355999994</v>
      </c>
      <c r="G199" s="57">
        <f>[1]!S_STM07_CS($B$1,"W32387904",G3,1)/100000000</f>
        <v>13.6365016774</v>
      </c>
      <c r="H199" s="57">
        <f>[1]!S_STM07_CS($B$1,"W32387904",H3,1)/100000000</f>
        <v>17.5190913273</v>
      </c>
      <c r="I199" s="57">
        <f>[1]!S_STM07_CS($B$1,"W32387904",I3,1)/100000000</f>
        <v>8.1145021230999994</v>
      </c>
    </row>
    <row r="200" spans="1:9" x14ac:dyDescent="0.25">
      <c r="A200" s="55" t="s">
        <v>289</v>
      </c>
      <c r="B200" s="57">
        <f>[1]!S_STM07_CS($B$1,"W38879132",B3,1)/100000000</f>
        <v>0</v>
      </c>
      <c r="C200" s="57">
        <f>[1]!S_STM07_CS($B$1,"W38879132",C3,1)/100000000</f>
        <v>0</v>
      </c>
      <c r="D200" s="57">
        <f>[1]!S_STM07_CS($B$1,"W38879132",D3,1)/100000000</f>
        <v>0</v>
      </c>
      <c r="E200" s="57">
        <f>[1]!S_STM07_CS($B$1,"W38879132",E3,1)/100000000</f>
        <v>0</v>
      </c>
      <c r="F200" s="57">
        <f>[1]!S_STM07_CS($B$1,"W38879132",F3,1)/100000000</f>
        <v>0</v>
      </c>
      <c r="G200" s="57">
        <f>[1]!S_STM07_CS($B$1,"W38879132",G3,1)/100000000</f>
        <v>0</v>
      </c>
      <c r="H200" s="57">
        <f>[1]!S_STM07_CS($B$1,"W38879132",H3,1)/100000000</f>
        <v>0</v>
      </c>
      <c r="I200" s="57">
        <f>[1]!S_STM07_CS($B$1,"W38879132",I3,1)/100000000</f>
        <v>0</v>
      </c>
    </row>
    <row r="201" spans="1:9" x14ac:dyDescent="0.25">
      <c r="A201" s="54" t="s">
        <v>290</v>
      </c>
      <c r="B201" s="58">
        <f>[1]!S_STM07_CS($B$1,"W35434609",B3,1)/100000000</f>
        <v>0.32535240710000002</v>
      </c>
      <c r="C201" s="58">
        <f>[1]!S_STM07_CS($B$1,"W35434609",C3,1)/100000000</f>
        <v>0.30065369079999998</v>
      </c>
      <c r="D201" s="58">
        <f>[1]!S_STM07_CS($B$1,"W35434609",D3,1)/100000000</f>
        <v>0.4610651133</v>
      </c>
      <c r="E201" s="58">
        <f>[1]!S_STM07_CS($B$1,"W35434609",E3,1)/100000000</f>
        <v>-0.17016112180000001</v>
      </c>
      <c r="F201" s="58">
        <f>[1]!S_STM07_CS($B$1,"W35434609",F3,1)/100000000</f>
        <v>-0.63252228779999997</v>
      </c>
      <c r="G201" s="58">
        <f>[1]!S_STM07_CS($B$1,"W35434609",G3,1)/100000000</f>
        <v>-0.63828486070000001</v>
      </c>
      <c r="H201" s="58">
        <f>[1]!S_STM07_CS($B$1,"W35434609",H3,1)/100000000</f>
        <v>0.93923364480000004</v>
      </c>
      <c r="I201" s="58">
        <f>[1]!S_STM07_CS($B$1,"W35434609",I3,1)/100000000</f>
        <v>-1.1273649206</v>
      </c>
    </row>
    <row r="202" spans="1:9" x14ac:dyDescent="0.25">
      <c r="A202" s="56" t="s">
        <v>291</v>
      </c>
    </row>
    <row r="203" spans="1:9" x14ac:dyDescent="0.25">
      <c r="A203" s="55" t="s">
        <v>292</v>
      </c>
      <c r="B203" s="57">
        <f>[1]!S_STM07_CS($B$1,"W35590742",B3,1)/100000000</f>
        <v>2.5600009999999999E-2</v>
      </c>
      <c r="C203" s="57">
        <f>[1]!S_STM07_CS($B$1,"W35590742",C3,1)/100000000</f>
        <v>0</v>
      </c>
      <c r="D203" s="57">
        <f>[1]!S_STM07_CS($B$1,"W35590742",D3,1)/100000000</f>
        <v>0</v>
      </c>
      <c r="E203" s="57">
        <f>[1]!S_STM07_CS($B$1,"W35590742",E3,1)/100000000</f>
        <v>0</v>
      </c>
      <c r="F203" s="57">
        <f>[1]!S_STM07_CS($B$1,"W35590742",F3,1)/100000000</f>
        <v>0</v>
      </c>
      <c r="G203" s="57">
        <f>[1]!S_STM07_CS($B$1,"W35590742",G3,1)/100000000</f>
        <v>0</v>
      </c>
      <c r="H203" s="57">
        <f>[1]!S_STM07_CS($B$1,"W35590742",H3,1)/100000000</f>
        <v>5.5E-2</v>
      </c>
      <c r="I203" s="57">
        <f>[1]!S_STM07_CS($B$1,"W35590742",I3,1)/100000000</f>
        <v>0.02</v>
      </c>
    </row>
    <row r="204" spans="1:9" x14ac:dyDescent="0.25">
      <c r="A204" s="55" t="s">
        <v>293</v>
      </c>
      <c r="B204" s="57">
        <f>[1]!S_STM07_CS($B$1,"W35099435",B3,1)/100000000</f>
        <v>0</v>
      </c>
      <c r="C204" s="57">
        <f>[1]!S_STM07_CS($B$1,"W35099435",C3,1)/100000000</f>
        <v>0</v>
      </c>
      <c r="D204" s="57">
        <f>[1]!S_STM07_CS($B$1,"W35099435",D3,1)/100000000</f>
        <v>0</v>
      </c>
      <c r="E204" s="57">
        <f>[1]!S_STM07_CS($B$1,"W35099435",E3,1)/100000000</f>
        <v>0</v>
      </c>
      <c r="F204" s="57">
        <f>[1]!S_STM07_CS($B$1,"W35099435",F3,1)/100000000</f>
        <v>0</v>
      </c>
      <c r="G204" s="57">
        <f>[1]!S_STM07_CS($B$1,"W35099435",G3,1)/100000000</f>
        <v>3.7601059999999996E-4</v>
      </c>
      <c r="H204" s="57">
        <f>[1]!S_STM07_CS($B$1,"W35099435",H3,1)/100000000</f>
        <v>4.5833080000000001E-4</v>
      </c>
      <c r="I204" s="57">
        <f>[1]!S_STM07_CS($B$1,"W35099435",I3,1)/100000000</f>
        <v>6.4638930000000003E-4</v>
      </c>
    </row>
    <row r="205" spans="1:9" x14ac:dyDescent="0.25">
      <c r="A205" s="55" t="s">
        <v>294</v>
      </c>
      <c r="B205" s="57">
        <f>[1]!S_STM07_CS($B$1,"W38028764",B3,1)/100000000</f>
        <v>0</v>
      </c>
      <c r="C205" s="57">
        <f>[1]!S_STM07_CS($B$1,"W38028764",C3,1)/100000000</f>
        <v>4.2914640000000002E-4</v>
      </c>
      <c r="D205" s="57">
        <f>[1]!S_STM07_CS($B$1,"W38028764",D3,1)/100000000</f>
        <v>0</v>
      </c>
      <c r="E205" s="57">
        <f>[1]!S_STM07_CS($B$1,"W38028764",E3,1)/100000000</f>
        <v>0</v>
      </c>
      <c r="F205" s="57">
        <f>[1]!S_STM07_CS($B$1,"W38028764",F3,1)/100000000</f>
        <v>5.9184528000000005E-3</v>
      </c>
      <c r="G205" s="57">
        <f>[1]!S_STM07_CS($B$1,"W38028764",G3,1)/100000000</f>
        <v>3.93581052E-2</v>
      </c>
      <c r="H205" s="57">
        <f>[1]!S_STM07_CS($B$1,"W38028764",H3,1)/100000000</f>
        <v>1.24456879E-2</v>
      </c>
      <c r="I205" s="57">
        <f>[1]!S_STM07_CS($B$1,"W38028764",I3,1)/100000000</f>
        <v>1.90027E-4</v>
      </c>
    </row>
    <row r="206" spans="1:9" x14ac:dyDescent="0.25">
      <c r="A206" s="55" t="s">
        <v>295</v>
      </c>
      <c r="B206" s="57">
        <f>[1]!S_STM07_CS($B$1,"W39941755",B3,1)/100000000</f>
        <v>0</v>
      </c>
      <c r="C206" s="57">
        <f>[1]!S_STM07_CS($B$1,"W39941755",C3,1)/100000000</f>
        <v>0</v>
      </c>
      <c r="D206" s="57">
        <f>[1]!S_STM07_CS($B$1,"W39941755",D3,1)/100000000</f>
        <v>0</v>
      </c>
      <c r="E206" s="57">
        <f>[1]!S_STM07_CS($B$1,"W39941755",E3,1)/100000000</f>
        <v>0</v>
      </c>
      <c r="F206" s="57">
        <f>[1]!S_STM07_CS($B$1,"W39941755",F3,1)/100000000</f>
        <v>0</v>
      </c>
      <c r="G206" s="57">
        <f>[1]!S_STM07_CS($B$1,"W39941755",G3,1)/100000000</f>
        <v>0</v>
      </c>
      <c r="H206" s="57">
        <f>[1]!S_STM07_CS($B$1,"W39941755",H3,1)/100000000</f>
        <v>0</v>
      </c>
      <c r="I206" s="57">
        <f>[1]!S_STM07_CS($B$1,"W39941755",I3,1)/100000000</f>
        <v>0</v>
      </c>
    </row>
    <row r="207" spans="1:9" x14ac:dyDescent="0.25">
      <c r="A207" s="55" t="s">
        <v>296</v>
      </c>
      <c r="B207" s="57">
        <f>[1]!S_STM07_CS($B$1,"W35990016",B3,1)/100000000</f>
        <v>0</v>
      </c>
      <c r="C207" s="57">
        <f>[1]!S_STM07_CS($B$1,"W35990016",C3,1)/100000000</f>
        <v>0</v>
      </c>
      <c r="D207" s="57">
        <f>[1]!S_STM07_CS($B$1,"W35990016",D3,1)/100000000</f>
        <v>0</v>
      </c>
      <c r="E207" s="57">
        <f>[1]!S_STM07_CS($B$1,"W35990016",E3,1)/100000000</f>
        <v>0</v>
      </c>
      <c r="F207" s="57">
        <f>[1]!S_STM07_CS($B$1,"W35990016",F3,1)/100000000</f>
        <v>0</v>
      </c>
      <c r="G207" s="57">
        <f>[1]!S_STM07_CS($B$1,"W35990016",G3,1)/100000000</f>
        <v>0</v>
      </c>
      <c r="H207" s="57">
        <f>[1]!S_STM07_CS($B$1,"W35990016",H3,1)/100000000</f>
        <v>0</v>
      </c>
      <c r="I207" s="57">
        <f>[1]!S_STM07_CS($B$1,"W35990016",I3,1)/100000000</f>
        <v>0</v>
      </c>
    </row>
    <row r="208" spans="1:9" x14ac:dyDescent="0.25">
      <c r="A208" s="55" t="s">
        <v>297</v>
      </c>
      <c r="B208" s="57">
        <f>[1]!S_STM07_CS($B$1,"W33252583",B3,1)/100000000</f>
        <v>0</v>
      </c>
      <c r="C208" s="57">
        <f>[1]!S_STM07_CS($B$1,"W33252583",C3,1)/100000000</f>
        <v>0</v>
      </c>
      <c r="D208" s="57">
        <f>[1]!S_STM07_CS($B$1,"W33252583",D3,1)/100000000</f>
        <v>0</v>
      </c>
      <c r="E208" s="57">
        <f>[1]!S_STM07_CS($B$1,"W33252583",E3,1)/100000000</f>
        <v>0</v>
      </c>
      <c r="F208" s="57">
        <f>[1]!S_STM07_CS($B$1,"W33252583",F3,1)/100000000</f>
        <v>0</v>
      </c>
      <c r="G208" s="57">
        <f>[1]!S_STM07_CS($B$1,"W33252583",G3,1)/100000000</f>
        <v>0</v>
      </c>
      <c r="H208" s="57">
        <f>[1]!S_STM07_CS($B$1,"W33252583",H3,1)/100000000</f>
        <v>0</v>
      </c>
      <c r="I208" s="57">
        <f>[1]!S_STM07_CS($B$1,"W33252583",I3,1)/100000000</f>
        <v>0</v>
      </c>
    </row>
    <row r="209" spans="1:9" x14ac:dyDescent="0.25">
      <c r="A209" s="55" t="s">
        <v>298</v>
      </c>
      <c r="B209" s="57">
        <f>[1]!S_STM07_CS($B$1,"W34854830",B3,1)/100000000</f>
        <v>0</v>
      </c>
      <c r="C209" s="57">
        <f>[1]!S_STM07_CS($B$1,"W34854830",C3,1)/100000000</f>
        <v>0</v>
      </c>
      <c r="D209" s="57">
        <f>[1]!S_STM07_CS($B$1,"W34854830",D3,1)/100000000</f>
        <v>0</v>
      </c>
      <c r="E209" s="57">
        <f>[1]!S_STM07_CS($B$1,"W34854830",E3,1)/100000000</f>
        <v>0</v>
      </c>
      <c r="F209" s="57">
        <f>[1]!S_STM07_CS($B$1,"W34854830",F3,1)/100000000</f>
        <v>0</v>
      </c>
      <c r="G209" s="57">
        <f>[1]!S_STM07_CS($B$1,"W34854830",G3,1)/100000000</f>
        <v>0</v>
      </c>
      <c r="H209" s="57">
        <f>[1]!S_STM07_CS($B$1,"W34854830",H3,1)/100000000</f>
        <v>0</v>
      </c>
      <c r="I209" s="57">
        <f>[1]!S_STM07_CS($B$1,"W34854830",I3,1)/100000000</f>
        <v>0</v>
      </c>
    </row>
    <row r="210" spans="1:9" x14ac:dyDescent="0.25">
      <c r="A210" s="55" t="s">
        <v>299</v>
      </c>
      <c r="B210" s="57">
        <f>[1]!S_STM07_CS($B$1,"W38305906",B3,1)/100000000</f>
        <v>2.5600009999999999E-2</v>
      </c>
      <c r="C210" s="57">
        <f>[1]!S_STM07_CS($B$1,"W38305906",C3,1)/100000000</f>
        <v>4.2914640000000002E-4</v>
      </c>
      <c r="D210" s="57">
        <f>[1]!S_STM07_CS($B$1,"W38305906",D3,1)/100000000</f>
        <v>0</v>
      </c>
      <c r="E210" s="57">
        <f>[1]!S_STM07_CS($B$1,"W38305906",E3,1)/100000000</f>
        <v>0</v>
      </c>
      <c r="F210" s="57">
        <f>[1]!S_STM07_CS($B$1,"W38305906",F3,1)/100000000</f>
        <v>5.9184528000000005E-3</v>
      </c>
      <c r="G210" s="57">
        <f>[1]!S_STM07_CS($B$1,"W38305906",G3,1)/100000000</f>
        <v>3.9734115800000004E-2</v>
      </c>
      <c r="H210" s="57">
        <f>[1]!S_STM07_CS($B$1,"W38305906",H3,1)/100000000</f>
        <v>6.7904018699999999E-2</v>
      </c>
      <c r="I210" s="57">
        <f>[1]!S_STM07_CS($B$1,"W38305906",I3,1)/100000000</f>
        <v>2.0836416300000001E-2</v>
      </c>
    </row>
    <row r="211" spans="1:9" x14ac:dyDescent="0.25">
      <c r="A211" s="54" t="s">
        <v>300</v>
      </c>
      <c r="B211" s="53">
        <f>[1]!S_STM07_CS($B$1,"W34574233",B3,1)/100000000</f>
        <v>0.34348022299999997</v>
      </c>
      <c r="C211" s="53">
        <f>[1]!S_STM07_CS($B$1,"W34574233",C3,1)/100000000</f>
        <v>0.31733071329999996</v>
      </c>
      <c r="D211" s="53">
        <f>[1]!S_STM07_CS($B$1,"W34574233",D3,1)/100000000</f>
        <v>0.40468408039999998</v>
      </c>
      <c r="E211" s="57">
        <f>[1]!S_STM07_CS($B$1,"W34574233",E3,1)/100000000</f>
        <v>0.69037503430000002</v>
      </c>
      <c r="F211" s="57">
        <f>[1]!S_STM07_CS($B$1,"W34574233",F3,1)/100000000</f>
        <v>1.1600968178</v>
      </c>
      <c r="G211" s="57">
        <f>[1]!S_STM07_CS($B$1,"W34574233",G3,1)/100000000</f>
        <v>1.1854384456</v>
      </c>
      <c r="H211" s="57">
        <f>[1]!S_STM07_CS($B$1,"W34574233",H3,1)/100000000</f>
        <v>0.96490751019999998</v>
      </c>
      <c r="I211" s="57">
        <f>[1]!S_STM07_CS($B$1,"W34574233",I3,1)/100000000</f>
        <v>0.56443431630000007</v>
      </c>
    </row>
    <row r="212" spans="1:9" x14ac:dyDescent="0.25">
      <c r="A212" s="54" t="s">
        <v>301</v>
      </c>
      <c r="B212" s="53">
        <f>[1]!S_STM07_CS($B$1,"W33513739",B3,1)/100000000</f>
        <v>0</v>
      </c>
      <c r="C212" s="53">
        <f>[1]!S_STM07_CS($B$1,"W33513739",C3,1)/100000000</f>
        <v>0.17799999999999999</v>
      </c>
      <c r="D212" s="53">
        <f>[1]!S_STM07_CS($B$1,"W33513739",D3,1)/100000000</f>
        <v>0</v>
      </c>
      <c r="E212" s="57">
        <f>[1]!S_STM07_CS($B$1,"W33513739",E3,1)/100000000</f>
        <v>0</v>
      </c>
      <c r="F212" s="57">
        <f>[1]!S_STM07_CS($B$1,"W33513739",F3,1)/100000000</f>
        <v>0.57501000000000002</v>
      </c>
      <c r="G212" s="57">
        <f>[1]!S_STM07_CS($B$1,"W33513739",G3,1)/100000000</f>
        <v>0.28649999999999998</v>
      </c>
      <c r="H212" s="57">
        <f>[1]!S_STM07_CS($B$1,"W33513739",H3,1)/100000000</f>
        <v>0.87474799999999997</v>
      </c>
      <c r="I212" s="57">
        <f>[1]!S_STM07_CS($B$1,"W33513739",I3,1)/100000000</f>
        <v>0.13926720000000001</v>
      </c>
    </row>
    <row r="213" spans="1:9" x14ac:dyDescent="0.25">
      <c r="A213" s="55" t="s">
        <v>302</v>
      </c>
      <c r="B213" s="57">
        <f>[1]!S_STM07_CS($B$1,"W34194906",B3,1)/100000000</f>
        <v>0</v>
      </c>
      <c r="C213" s="57">
        <f>[1]!S_STM07_CS($B$1,"W34194906",C3,1)/100000000</f>
        <v>0</v>
      </c>
      <c r="D213" s="57">
        <f>[1]!S_STM07_CS($B$1,"W34194906",D3,1)/100000000</f>
        <v>0</v>
      </c>
      <c r="E213" s="57">
        <f>[1]!S_STM07_CS($B$1,"W34194906",E3,1)/100000000</f>
        <v>0</v>
      </c>
      <c r="F213" s="57">
        <f>[1]!S_STM07_CS($B$1,"W34194906",F3,1)/100000000</f>
        <v>0.75674458040000003</v>
      </c>
      <c r="G213" s="57">
        <f>[1]!S_STM07_CS($B$1,"W34194906",G3,1)/100000000</f>
        <v>0.82571416330000003</v>
      </c>
      <c r="H213" s="57">
        <f>[1]!S_STM07_CS($B$1,"W34194906",H3,1)/100000000</f>
        <v>0.35227388859999997</v>
      </c>
      <c r="I213" s="57">
        <f>[1]!S_STM07_CS($B$1,"W34194906",I3,1)/100000000</f>
        <v>0</v>
      </c>
    </row>
    <row r="214" spans="1:9" x14ac:dyDescent="0.25">
      <c r="A214" s="55" t="s">
        <v>303</v>
      </c>
      <c r="B214" s="57">
        <f>[1]!S_STM07_CS($B$1,"W37486185",B3,1)/100000000</f>
        <v>2.5499999999999998E-2</v>
      </c>
      <c r="C214" s="57">
        <f>[1]!S_STM07_CS($B$1,"W37486185",C3,1)/100000000</f>
        <v>0</v>
      </c>
      <c r="D214" s="57">
        <f>[1]!S_STM07_CS($B$1,"W37486185",D3,1)/100000000</f>
        <v>0</v>
      </c>
      <c r="E214" s="57">
        <f>[1]!S_STM07_CS($B$1,"W37486185",E3,1)/100000000</f>
        <v>0</v>
      </c>
      <c r="F214" s="57">
        <f>[1]!S_STM07_CS($B$1,"W37486185",F3,1)/100000000</f>
        <v>0</v>
      </c>
      <c r="G214" s="57">
        <f>[1]!S_STM07_CS($B$1,"W37486185",G3,1)/100000000</f>
        <v>0.03</v>
      </c>
      <c r="H214" s="57">
        <f>[1]!S_STM07_CS($B$1,"W37486185",H3,1)/100000000</f>
        <v>0.7</v>
      </c>
      <c r="I214" s="57">
        <f>[1]!S_STM07_CS($B$1,"W37486185",I3,1)/100000000</f>
        <v>0</v>
      </c>
    </row>
    <row r="215" spans="1:9" x14ac:dyDescent="0.25">
      <c r="A215" s="55" t="s">
        <v>304</v>
      </c>
      <c r="B215" s="57">
        <f>[1]!S_STM07_CS($B$1,"W30131183",B3,1)/100000000</f>
        <v>0</v>
      </c>
      <c r="C215" s="57">
        <f>[1]!S_STM07_CS($B$1,"W30131183",C3,1)/100000000</f>
        <v>0</v>
      </c>
      <c r="D215" s="57">
        <f>[1]!S_STM07_CS($B$1,"W30131183",D3,1)/100000000</f>
        <v>0</v>
      </c>
      <c r="E215" s="57">
        <f>[1]!S_STM07_CS($B$1,"W30131183",E3,1)/100000000</f>
        <v>0</v>
      </c>
      <c r="F215" s="57">
        <f>[1]!S_STM07_CS($B$1,"W30131183",F3,1)/100000000</f>
        <v>0</v>
      </c>
      <c r="G215" s="57">
        <f>[1]!S_STM07_CS($B$1,"W30131183",G3,1)/100000000</f>
        <v>0</v>
      </c>
      <c r="H215" s="57">
        <f>[1]!S_STM07_CS($B$1,"W30131183",H3,1)/100000000</f>
        <v>0</v>
      </c>
      <c r="I215" s="57">
        <f>[1]!S_STM07_CS($B$1,"W30131183",I3,1)/100000000</f>
        <v>0</v>
      </c>
    </row>
    <row r="216" spans="1:9" x14ac:dyDescent="0.25">
      <c r="A216" s="55" t="s">
        <v>305</v>
      </c>
      <c r="B216" s="57">
        <f>[1]!S_STM07_CS($B$1,"W35739174",B3,1)/100000000</f>
        <v>0</v>
      </c>
      <c r="C216" s="57">
        <f>[1]!S_STM07_CS($B$1,"W35739174",C3,1)/100000000</f>
        <v>0</v>
      </c>
      <c r="D216" s="57">
        <f>[1]!S_STM07_CS($B$1,"W35739174",D3,1)/100000000</f>
        <v>0</v>
      </c>
      <c r="E216" s="57">
        <f>[1]!S_STM07_CS($B$1,"W35739174",E3,1)/100000000</f>
        <v>0</v>
      </c>
      <c r="F216" s="57">
        <f>[1]!S_STM07_CS($B$1,"W35739174",F3,1)/100000000</f>
        <v>0</v>
      </c>
      <c r="G216" s="57">
        <f>[1]!S_STM07_CS($B$1,"W35739174",G3,1)/100000000</f>
        <v>0</v>
      </c>
      <c r="H216" s="57">
        <f>[1]!S_STM07_CS($B$1,"W35739174",H3,1)/100000000</f>
        <v>0</v>
      </c>
      <c r="I216" s="57">
        <f>[1]!S_STM07_CS($B$1,"W35739174",I3,1)/100000000</f>
        <v>0</v>
      </c>
    </row>
    <row r="217" spans="1:9" x14ac:dyDescent="0.25">
      <c r="A217" s="55" t="s">
        <v>306</v>
      </c>
      <c r="B217" s="57">
        <f>[1]!S_STM07_CS($B$1,"W34848808",B3,1)/100000000</f>
        <v>0.368980223</v>
      </c>
      <c r="C217" s="57">
        <f>[1]!S_STM07_CS($B$1,"W34848808",C3,1)/100000000</f>
        <v>0.4953307133</v>
      </c>
      <c r="D217" s="57">
        <f>[1]!S_STM07_CS($B$1,"W34848808",D3,1)/100000000</f>
        <v>0.40468408039999998</v>
      </c>
      <c r="E217" s="57">
        <f>[1]!S_STM07_CS($B$1,"W34848808",E3,1)/100000000</f>
        <v>0.69037503430000002</v>
      </c>
      <c r="F217" s="57">
        <f>[1]!S_STM07_CS($B$1,"W34848808",F3,1)/100000000</f>
        <v>2.4918513982000001</v>
      </c>
      <c r="G217" s="57">
        <f>[1]!S_STM07_CS($B$1,"W34848808",G3,1)/100000000</f>
        <v>2.3276526088999998</v>
      </c>
      <c r="H217" s="57">
        <f>[1]!S_STM07_CS($B$1,"W34848808",H3,1)/100000000</f>
        <v>2.8919293987999999</v>
      </c>
      <c r="I217" s="57">
        <f>[1]!S_STM07_CS($B$1,"W34848808",I3,1)/100000000</f>
        <v>0.7037015163</v>
      </c>
    </row>
    <row r="218" spans="1:9" x14ac:dyDescent="0.25">
      <c r="A218" s="55" t="s">
        <v>307</v>
      </c>
      <c r="B218" s="57">
        <f>[1]!S_STM07_CS($B$1,"W38829795",B3,1)/100000000</f>
        <v>0</v>
      </c>
      <c r="C218" s="57">
        <f>[1]!S_STM07_CS($B$1,"W38829795",C3,1)/100000000</f>
        <v>0</v>
      </c>
      <c r="D218" s="57">
        <f>[1]!S_STM07_CS($B$1,"W38829795",D3,1)/100000000</f>
        <v>0</v>
      </c>
      <c r="E218" s="57">
        <f>[1]!S_STM07_CS($B$1,"W38829795",E3,1)/100000000</f>
        <v>0</v>
      </c>
      <c r="F218" s="57">
        <f>[1]!S_STM07_CS($B$1,"W38829795",F3,1)/100000000</f>
        <v>0</v>
      </c>
      <c r="G218" s="57">
        <f>[1]!S_STM07_CS($B$1,"W38829795",G3,1)/100000000</f>
        <v>0</v>
      </c>
      <c r="H218" s="57">
        <f>[1]!S_STM07_CS($B$1,"W38829795",H3,1)/100000000</f>
        <v>0</v>
      </c>
      <c r="I218" s="57">
        <f>[1]!S_STM07_CS($B$1,"W38829795",I3,1)/100000000</f>
        <v>0</v>
      </c>
    </row>
    <row r="219" spans="1:9" x14ac:dyDescent="0.25">
      <c r="A219" s="54" t="s">
        <v>308</v>
      </c>
      <c r="B219" s="58">
        <f>[1]!S_STM07_CS($B$1,"W38208047",B3,1)/100000000</f>
        <v>-0.34338021299999999</v>
      </c>
      <c r="C219" s="58">
        <f>[1]!S_STM07_CS($B$1,"W38208047",C3,1)/100000000</f>
        <v>-0.49490156689999998</v>
      </c>
      <c r="D219" s="58">
        <f>[1]!S_STM07_CS($B$1,"W38208047",D3,1)/100000000</f>
        <v>-0.40468408039999998</v>
      </c>
      <c r="E219" s="58">
        <f>[1]!S_STM07_CS($B$1,"W38208047",E3,1)/100000000</f>
        <v>-0.69037503430000002</v>
      </c>
      <c r="F219" s="58">
        <f>[1]!S_STM07_CS($B$1,"W38208047",F3,1)/100000000</f>
        <v>-2.4859329454000001</v>
      </c>
      <c r="G219" s="58">
        <f>[1]!S_STM07_CS($B$1,"W38208047",G3,1)/100000000</f>
        <v>-2.2879184930999998</v>
      </c>
      <c r="H219" s="58">
        <f>[1]!S_STM07_CS($B$1,"W38208047",H3,1)/100000000</f>
        <v>-2.8240253800999997</v>
      </c>
      <c r="I219" s="58">
        <f>[1]!S_STM07_CS($B$1,"W38208047",I3,1)/100000000</f>
        <v>-0.6828651</v>
      </c>
    </row>
    <row r="220" spans="1:9" x14ac:dyDescent="0.25">
      <c r="A220" s="56" t="s">
        <v>309</v>
      </c>
    </row>
    <row r="221" spans="1:9" x14ac:dyDescent="0.25">
      <c r="A221" s="55" t="s">
        <v>310</v>
      </c>
      <c r="B221" s="57">
        <f>[1]!S_STM07_CS($B$1,"W30555940",B3,1)/100000000</f>
        <v>0</v>
      </c>
      <c r="C221" s="57">
        <f>[1]!S_STM07_CS($B$1,"W30555940",C3,1)/100000000</f>
        <v>2.4500000000000001E-2</v>
      </c>
      <c r="D221" s="57">
        <f>[1]!S_STM07_CS($B$1,"W30555940",D3,1)/100000000</f>
        <v>0</v>
      </c>
      <c r="E221" s="57">
        <f>[1]!S_STM07_CS($B$1,"W30555940",E3,1)/100000000</f>
        <v>3.1544137104000001</v>
      </c>
      <c r="F221" s="57">
        <f>[1]!S_STM07_CS($B$1,"W30555940",F3,1)/100000000</f>
        <v>0.1072</v>
      </c>
      <c r="G221" s="57">
        <f>[1]!S_STM07_CS($B$1,"W30555940",G3,1)/100000000</f>
        <v>6.0968301679999994</v>
      </c>
      <c r="H221" s="57">
        <f>[1]!S_STM07_CS($B$1,"W30555940",H3,1)/100000000</f>
        <v>0.46391525500000003</v>
      </c>
      <c r="I221" s="57">
        <f>[1]!S_STM07_CS($B$1,"W30555940",I3,1)/100000000</f>
        <v>1.03E-2</v>
      </c>
    </row>
    <row r="222" spans="1:9" x14ac:dyDescent="0.25">
      <c r="A222" s="55" t="s">
        <v>311</v>
      </c>
      <c r="B222" s="57">
        <f>[1]!S_STM07_CS($B$1,"W39147954",B3,1)/100000000</f>
        <v>0</v>
      </c>
      <c r="C222" s="57">
        <f>[1]!S_STM07_CS($B$1,"W39147954",C3,1)/100000000</f>
        <v>2.4500000000000001E-2</v>
      </c>
      <c r="D222" s="57">
        <f>[1]!S_STM07_CS($B$1,"W39147954",D3,1)/100000000</f>
        <v>0</v>
      </c>
      <c r="E222" s="57">
        <f>[1]!S_STM07_CS($B$1,"W39147954",E3,1)/100000000</f>
        <v>0</v>
      </c>
      <c r="F222" s="57">
        <f>[1]!S_STM07_CS($B$1,"W39147954",F3,1)/100000000</f>
        <v>0.1072</v>
      </c>
      <c r="G222" s="57">
        <f>[1]!S_STM07_CS($B$1,"W39147954",G3,1)/100000000</f>
        <v>2.0750000000000001E-2</v>
      </c>
      <c r="H222" s="57">
        <f>[1]!S_STM07_CS($B$1,"W39147954",H3,1)/100000000</f>
        <v>4.4999999999999998E-2</v>
      </c>
      <c r="I222" s="57">
        <f>[1]!S_STM07_CS($B$1,"W39147954",I3,1)/100000000</f>
        <v>1.03E-2</v>
      </c>
    </row>
    <row r="223" spans="1:9" x14ac:dyDescent="0.25">
      <c r="A223" s="55" t="s">
        <v>312</v>
      </c>
      <c r="B223" s="57">
        <f>[1]!S_STM07_CS($B$1,"W38431253",B3,1)/100000000</f>
        <v>0.53441751689999994</v>
      </c>
      <c r="C223" s="57">
        <f>[1]!S_STM07_CS($B$1,"W38431253",C3,1)/100000000</f>
        <v>0.76400000000000001</v>
      </c>
      <c r="D223" s="57">
        <f>[1]!S_STM07_CS($B$1,"W38431253",D3,1)/100000000</f>
        <v>1.35</v>
      </c>
      <c r="E223" s="57">
        <f>[1]!S_STM07_CS($B$1,"W38431253",E3,1)/100000000</f>
        <v>1.6439999999999999</v>
      </c>
      <c r="F223" s="57">
        <f>[1]!S_STM07_CS($B$1,"W38431253",F3,1)/100000000</f>
        <v>3.0689839999999999</v>
      </c>
      <c r="G223" s="57">
        <f>[1]!S_STM07_CS($B$1,"W38431253",G3,1)/100000000</f>
        <v>7.1753499999999999</v>
      </c>
      <c r="H223" s="57">
        <f>[1]!S_STM07_CS($B$1,"W38431253",H3,1)/100000000</f>
        <v>9.2812589621000008</v>
      </c>
      <c r="I223" s="57">
        <f>[1]!S_STM07_CS($B$1,"W38431253",I3,1)/100000000</f>
        <v>8.0322764636000006</v>
      </c>
    </row>
    <row r="224" spans="1:9" x14ac:dyDescent="0.25">
      <c r="A224" s="55" t="s">
        <v>313</v>
      </c>
      <c r="B224" s="57">
        <f>[1]!S_STM07_CS($B$1,"W38252063",B3,1)/100000000</f>
        <v>3.27E-2</v>
      </c>
      <c r="C224" s="57">
        <f>[1]!S_STM07_CS($B$1,"W38252063",C3,1)/100000000</f>
        <v>0</v>
      </c>
      <c r="D224" s="57">
        <f>[1]!S_STM07_CS($B$1,"W38252063",D3,1)/100000000</f>
        <v>0</v>
      </c>
      <c r="E224" s="57">
        <f>[1]!S_STM07_CS($B$1,"W38252063",E3,1)/100000000</f>
        <v>0.03</v>
      </c>
      <c r="F224" s="57">
        <f>[1]!S_STM07_CS($B$1,"W38252063",F3,1)/100000000</f>
        <v>0</v>
      </c>
      <c r="G224" s="57">
        <f>[1]!S_STM07_CS($B$1,"W38252063",G3,1)/100000000</f>
        <v>7.6499999999999999E-2</v>
      </c>
      <c r="H224" s="57">
        <f>[1]!S_STM07_CS($B$1,"W38252063",H3,1)/100000000</f>
        <v>0.40558</v>
      </c>
      <c r="I224" s="57">
        <f>[1]!S_STM07_CS($B$1,"W38252063",I3,1)/100000000</f>
        <v>8.8999999999999996E-2</v>
      </c>
    </row>
    <row r="225" spans="1:9" x14ac:dyDescent="0.25">
      <c r="A225" s="55" t="s">
        <v>314</v>
      </c>
      <c r="B225" s="57">
        <f>[1]!S_STM07_CS($B$1,"W38362139",B3,1)/100000000</f>
        <v>0</v>
      </c>
      <c r="C225" s="57">
        <f>[1]!S_STM07_CS($B$1,"W38362139",C3,1)/100000000</f>
        <v>0</v>
      </c>
      <c r="D225" s="57">
        <f>[1]!S_STM07_CS($B$1,"W38362139",D3,1)/100000000</f>
        <v>0</v>
      </c>
      <c r="E225" s="57">
        <f>[1]!S_STM07_CS($B$1,"W38362139",E3,1)/100000000</f>
        <v>0</v>
      </c>
      <c r="F225" s="57">
        <f>[1]!S_STM07_CS($B$1,"W38362139",F3,1)/100000000</f>
        <v>0</v>
      </c>
      <c r="G225" s="57">
        <f>[1]!S_STM07_CS($B$1,"W38362139",G3,1)/100000000</f>
        <v>0</v>
      </c>
      <c r="H225" s="57">
        <f>[1]!S_STM07_CS($B$1,"W38362139",H3,1)/100000000</f>
        <v>0</v>
      </c>
      <c r="I225" s="57">
        <f>[1]!S_STM07_CS($B$1,"W38362139",I3,1)/100000000</f>
        <v>0</v>
      </c>
    </row>
    <row r="226" spans="1:9" x14ac:dyDescent="0.25">
      <c r="A226" s="55" t="s">
        <v>315</v>
      </c>
      <c r="B226" s="57">
        <f>[1]!S_STM07_CS($B$1,"W34105979",B3,1)/100000000</f>
        <v>0</v>
      </c>
      <c r="C226" s="57">
        <f>[1]!S_STM07_CS($B$1,"W34105979",C3,1)/100000000</f>
        <v>0</v>
      </c>
      <c r="D226" s="57">
        <f>[1]!S_STM07_CS($B$1,"W34105979",D3,1)/100000000</f>
        <v>0</v>
      </c>
      <c r="E226" s="57">
        <f>[1]!S_STM07_CS($B$1,"W34105979",E3,1)/100000000</f>
        <v>0</v>
      </c>
      <c r="F226" s="57">
        <f>[1]!S_STM07_CS($B$1,"W34105979",F3,1)/100000000</f>
        <v>0</v>
      </c>
      <c r="G226" s="57">
        <f>[1]!S_STM07_CS($B$1,"W34105979",G3,1)/100000000</f>
        <v>0</v>
      </c>
      <c r="H226" s="57">
        <f>[1]!S_STM07_CS($B$1,"W34105979",H3,1)/100000000</f>
        <v>0</v>
      </c>
      <c r="I226" s="57">
        <f>[1]!S_STM07_CS($B$1,"W34105979",I3,1)/100000000</f>
        <v>0</v>
      </c>
    </row>
    <row r="227" spans="1:9" x14ac:dyDescent="0.25">
      <c r="A227" s="55" t="s">
        <v>316</v>
      </c>
      <c r="B227" s="57">
        <f>[1]!S_STM07_CS($B$1,"W34798364",B3,1)/100000000</f>
        <v>0</v>
      </c>
      <c r="C227" s="57">
        <f>[1]!S_STM07_CS($B$1,"W34798364",C3,1)/100000000</f>
        <v>0</v>
      </c>
      <c r="D227" s="57">
        <f>[1]!S_STM07_CS($B$1,"W34798364",D3,1)/100000000</f>
        <v>0</v>
      </c>
      <c r="E227" s="57">
        <f>[1]!S_STM07_CS($B$1,"W34798364",E3,1)/100000000</f>
        <v>0</v>
      </c>
      <c r="F227" s="57">
        <f>[1]!S_STM07_CS($B$1,"W34798364",F3,1)/100000000</f>
        <v>0</v>
      </c>
      <c r="G227" s="57">
        <f>[1]!S_STM07_CS($B$1,"W34798364",G3,1)/100000000</f>
        <v>0</v>
      </c>
      <c r="H227" s="57">
        <f>[1]!S_STM07_CS($B$1,"W34798364",H3,1)/100000000</f>
        <v>0</v>
      </c>
      <c r="I227" s="57">
        <f>[1]!S_STM07_CS($B$1,"W34798364",I3,1)/100000000</f>
        <v>0</v>
      </c>
    </row>
    <row r="228" spans="1:9" x14ac:dyDescent="0.25">
      <c r="A228" s="55" t="s">
        <v>317</v>
      </c>
      <c r="B228" s="57">
        <f>[1]!S_STM07_CS($B$1,"W30910171",B3,1)/100000000</f>
        <v>0.56711751690000001</v>
      </c>
      <c r="C228" s="57">
        <f>[1]!S_STM07_CS($B$1,"W30910171",C3,1)/100000000</f>
        <v>0.78849999999999998</v>
      </c>
      <c r="D228" s="57">
        <f>[1]!S_STM07_CS($B$1,"W30910171",D3,1)/100000000</f>
        <v>1.35</v>
      </c>
      <c r="E228" s="57">
        <f>[1]!S_STM07_CS($B$1,"W30910171",E3,1)/100000000</f>
        <v>4.8284137104000004</v>
      </c>
      <c r="F228" s="57">
        <f>[1]!S_STM07_CS($B$1,"W30910171",F3,1)/100000000</f>
        <v>3.1761840000000001</v>
      </c>
      <c r="G228" s="57">
        <f>[1]!S_STM07_CS($B$1,"W30910171",G3,1)/100000000</f>
        <v>13.348680168</v>
      </c>
      <c r="H228" s="57">
        <f>[1]!S_STM07_CS($B$1,"W30910171",H3,1)/100000000</f>
        <v>10.150754217100001</v>
      </c>
      <c r="I228" s="57">
        <f>[1]!S_STM07_CS($B$1,"W30910171",I3,1)/100000000</f>
        <v>8.1315764636000001</v>
      </c>
    </row>
    <row r="229" spans="1:9" x14ac:dyDescent="0.25">
      <c r="A229" s="55" t="s">
        <v>318</v>
      </c>
      <c r="B229" s="57">
        <f>[1]!S_STM07_CS($B$1,"W34184444",B3,1)/100000000</f>
        <v>0.47676285729999995</v>
      </c>
      <c r="C229" s="57">
        <f>[1]!S_STM07_CS($B$1,"W34184444",C3,1)/100000000</f>
        <v>0.42590971490000001</v>
      </c>
      <c r="D229" s="57">
        <f>[1]!S_STM07_CS($B$1,"W34184444",D3,1)/100000000</f>
        <v>0.99837500000000001</v>
      </c>
      <c r="E229" s="57">
        <f>[1]!S_STM07_CS($B$1,"W34184444",E3,1)/100000000</f>
        <v>1.2833591771999999</v>
      </c>
      <c r="F229" s="57">
        <f>[1]!S_STM07_CS($B$1,"W34184444",F3,1)/100000000</f>
        <v>1.4139999999999999</v>
      </c>
      <c r="G229" s="57">
        <f>[1]!S_STM07_CS($B$1,"W34184444",G3,1)/100000000</f>
        <v>3.6304880000000002</v>
      </c>
      <c r="H229" s="57">
        <f>[1]!S_STM07_CS($B$1,"W34184444",H3,1)/100000000</f>
        <v>7.5938460000000001</v>
      </c>
      <c r="I229" s="57">
        <f>[1]!S_STM07_CS($B$1,"W34184444",I3,1)/100000000</f>
        <v>6.8476424715999995</v>
      </c>
    </row>
    <row r="230" spans="1:9" x14ac:dyDescent="0.25">
      <c r="A230" s="54" t="s">
        <v>319</v>
      </c>
      <c r="B230" s="57">
        <f>[1]!S_STM07_CS($B$1,"W30483530",B3,1)/100000000</f>
        <v>3.8400504199999998E-2</v>
      </c>
      <c r="C230" s="57">
        <f>[1]!S_STM07_CS($B$1,"W30483530",C3,1)/100000000</f>
        <v>4.2384776700000001E-2</v>
      </c>
      <c r="D230" s="57">
        <f>[1]!S_STM07_CS($B$1,"W30483530",D3,1)/100000000</f>
        <v>7.2992442099999999E-2</v>
      </c>
      <c r="E230" s="57">
        <f>[1]!S_STM07_CS($B$1,"W30483530",E3,1)/100000000</f>
        <v>7.5197947500000001E-2</v>
      </c>
      <c r="F230" s="57">
        <f>[1]!S_STM07_CS($B$1,"W30483530",F3,1)/100000000</f>
        <v>0.14725667720000002</v>
      </c>
      <c r="G230" s="57">
        <f>[1]!S_STM07_CS($B$1,"W30483530",G3,1)/100000000</f>
        <v>0.37215651090000001</v>
      </c>
      <c r="H230" s="57">
        <f>[1]!S_STM07_CS($B$1,"W30483530",H3,1)/100000000</f>
        <v>0.50100708020000007</v>
      </c>
      <c r="I230" s="57">
        <f>[1]!S_STM07_CS($B$1,"W30483530",I3,1)/100000000</f>
        <v>0.41454711360000002</v>
      </c>
    </row>
    <row r="231" spans="1:9" x14ac:dyDescent="0.25">
      <c r="A231" s="54" t="s">
        <v>320</v>
      </c>
      <c r="B231" s="57">
        <f>[1]!S_STM07_CS($B$1,"W39717684",B3,1)/100000000</f>
        <v>0</v>
      </c>
      <c r="C231" s="57">
        <f>[1]!S_STM07_CS($B$1,"W39717684",C3,1)/100000000</f>
        <v>0</v>
      </c>
      <c r="D231" s="57">
        <f>[1]!S_STM07_CS($B$1,"W39717684",D3,1)/100000000</f>
        <v>0</v>
      </c>
      <c r="E231" s="57">
        <f>[1]!S_STM07_CS($B$1,"W39717684",E3,1)/100000000</f>
        <v>0</v>
      </c>
      <c r="F231" s="57">
        <f>[1]!S_STM07_CS($B$1,"W39717684",F3,1)/100000000</f>
        <v>0</v>
      </c>
      <c r="G231" s="57">
        <f>[1]!S_STM07_CS($B$1,"W39717684",G3,1)/100000000</f>
        <v>0</v>
      </c>
      <c r="H231" s="57">
        <f>[1]!S_STM07_CS($B$1,"W39717684",H3,1)/100000000</f>
        <v>0</v>
      </c>
      <c r="I231" s="57">
        <f>[1]!S_STM07_CS($B$1,"W39717684",I3,1)/100000000</f>
        <v>0</v>
      </c>
    </row>
    <row r="232" spans="1:9" x14ac:dyDescent="0.25">
      <c r="A232" s="55" t="s">
        <v>321</v>
      </c>
      <c r="B232" s="57">
        <f>[1]!S_STM07_CS($B$1,"W38364356",B3,1)/100000000</f>
        <v>4.1436052399999999E-2</v>
      </c>
      <c r="C232" s="57">
        <f>[1]!S_STM07_CS($B$1,"W38364356",C3,1)/100000000</f>
        <v>1.26279546E-2</v>
      </c>
      <c r="D232" s="57">
        <f>[1]!S_STM07_CS($B$1,"W38364356",D3,1)/100000000</f>
        <v>3.27515845E-2</v>
      </c>
      <c r="E232" s="57">
        <f>[1]!S_STM07_CS($B$1,"W38364356",E3,1)/100000000</f>
        <v>4.0256657799999998E-2</v>
      </c>
      <c r="F232" s="57">
        <f>[1]!S_STM07_CS($B$1,"W38364356",F3,1)/100000000</f>
        <v>6.9316351999999998E-2</v>
      </c>
      <c r="G232" s="57">
        <f>[1]!S_STM07_CS($B$1,"W38364356",G3,1)/100000000</f>
        <v>1.5872965541999999</v>
      </c>
      <c r="H232" s="57">
        <f>[1]!S_STM07_CS($B$1,"W38364356",H3,1)/100000000</f>
        <v>2.0087261827999998</v>
      </c>
      <c r="I232" s="57">
        <f>[1]!S_STM07_CS($B$1,"W38364356",I3,1)/100000000</f>
        <v>4.1535999999999997E-2</v>
      </c>
    </row>
    <row r="233" spans="1:9" x14ac:dyDescent="0.25">
      <c r="A233" s="55" t="s">
        <v>322</v>
      </c>
      <c r="B233" s="57">
        <f>[1]!S_STM07_CS($B$1,"W37814911",B3,1)/100000000</f>
        <v>0</v>
      </c>
      <c r="C233" s="57">
        <f>[1]!S_STM07_CS($B$1,"W37814911",C3,1)/100000000</f>
        <v>0</v>
      </c>
      <c r="D233" s="57">
        <f>[1]!S_STM07_CS($B$1,"W37814911",D3,1)/100000000</f>
        <v>0</v>
      </c>
      <c r="E233" s="57">
        <f>[1]!S_STM07_CS($B$1,"W37814911",E3,1)/100000000</f>
        <v>0</v>
      </c>
      <c r="F233" s="57">
        <f>[1]!S_STM07_CS($B$1,"W37814911",F3,1)/100000000</f>
        <v>0</v>
      </c>
      <c r="G233" s="57">
        <f>[1]!S_STM07_CS($B$1,"W37814911",G3,1)/100000000</f>
        <v>0</v>
      </c>
      <c r="H233" s="57">
        <f>[1]!S_STM07_CS($B$1,"W37814911",H3,1)/100000000</f>
        <v>0</v>
      </c>
      <c r="I233" s="57">
        <f>[1]!S_STM07_CS($B$1,"W37814911",I3,1)/100000000</f>
        <v>0</v>
      </c>
    </row>
    <row r="234" spans="1:9" x14ac:dyDescent="0.25">
      <c r="A234" s="55" t="s">
        <v>323</v>
      </c>
      <c r="B234" s="57">
        <f>[1]!S_STM07_CS($B$1,"W36489833",B3,1)/100000000</f>
        <v>0</v>
      </c>
      <c r="C234" s="57">
        <f>[1]!S_STM07_CS($B$1,"W36489833",C3,1)/100000000</f>
        <v>0</v>
      </c>
      <c r="D234" s="57">
        <f>[1]!S_STM07_CS($B$1,"W36489833",D3,1)/100000000</f>
        <v>0</v>
      </c>
      <c r="E234" s="57">
        <f>[1]!S_STM07_CS($B$1,"W36489833",E3,1)/100000000</f>
        <v>0</v>
      </c>
      <c r="F234" s="57">
        <f>[1]!S_STM07_CS($B$1,"W36489833",F3,1)/100000000</f>
        <v>0</v>
      </c>
      <c r="G234" s="57">
        <f>[1]!S_STM07_CS($B$1,"W36489833",G3,1)/100000000</f>
        <v>0</v>
      </c>
      <c r="H234" s="57">
        <f>[1]!S_STM07_CS($B$1,"W36489833",H3,1)/100000000</f>
        <v>0</v>
      </c>
      <c r="I234" s="57">
        <f>[1]!S_STM07_CS($B$1,"W36489833",I3,1)/100000000</f>
        <v>0</v>
      </c>
    </row>
    <row r="235" spans="1:9" x14ac:dyDescent="0.25">
      <c r="A235" s="55" t="s">
        <v>324</v>
      </c>
      <c r="B235" s="57">
        <f>[1]!S_STM07_CS($B$1,"W30712462",B3,1)/100000000</f>
        <v>0.55659941390000001</v>
      </c>
      <c r="C235" s="57">
        <f>[1]!S_STM07_CS($B$1,"W30712462",C3,1)/100000000</f>
        <v>0.48092244619999996</v>
      </c>
      <c r="D235" s="57">
        <f>[1]!S_STM07_CS($B$1,"W30712462",D3,1)/100000000</f>
        <v>1.1041190266000001</v>
      </c>
      <c r="E235" s="57">
        <f>[1]!S_STM07_CS($B$1,"W30712462",E3,1)/100000000</f>
        <v>1.3988137825</v>
      </c>
      <c r="F235" s="57">
        <f>[1]!S_STM07_CS($B$1,"W30712462",F3,1)/100000000</f>
        <v>1.6305730291999998</v>
      </c>
      <c r="G235" s="57">
        <f>[1]!S_STM07_CS($B$1,"W30712462",G3,1)/100000000</f>
        <v>5.5899410650999997</v>
      </c>
      <c r="H235" s="57">
        <f>[1]!S_STM07_CS($B$1,"W30712462",H3,1)/100000000</f>
        <v>10.103579263</v>
      </c>
      <c r="I235" s="57">
        <f>[1]!S_STM07_CS($B$1,"W30712462",I3,1)/100000000</f>
        <v>7.3037255851999996</v>
      </c>
    </row>
    <row r="236" spans="1:9" x14ac:dyDescent="0.25">
      <c r="A236" s="55" t="s">
        <v>325</v>
      </c>
      <c r="B236" s="57">
        <f>[1]!S_STM07_CS($B$1,"W38195832",B3,1)/100000000</f>
        <v>0</v>
      </c>
      <c r="C236" s="57">
        <f>[1]!S_STM07_CS($B$1,"W38195832",C3,1)/100000000</f>
        <v>0</v>
      </c>
      <c r="D236" s="57">
        <f>[1]!S_STM07_CS($B$1,"W38195832",D3,1)/100000000</f>
        <v>0</v>
      </c>
      <c r="E236" s="57">
        <f>[1]!S_STM07_CS($B$1,"W38195832",E3,1)/100000000</f>
        <v>0</v>
      </c>
      <c r="F236" s="57">
        <f>[1]!S_STM07_CS($B$1,"W38195832",F3,1)/100000000</f>
        <v>0</v>
      </c>
      <c r="G236" s="57">
        <f>[1]!S_STM07_CS($B$1,"W38195832",G3,1)/100000000</f>
        <v>0</v>
      </c>
      <c r="H236" s="57">
        <f>[1]!S_STM07_CS($B$1,"W38195832",H3,1)/100000000</f>
        <v>0</v>
      </c>
      <c r="I236" s="57">
        <f>[1]!S_STM07_CS($B$1,"W38195832",I3,1)/100000000</f>
        <v>0</v>
      </c>
    </row>
    <row r="237" spans="1:9" x14ac:dyDescent="0.25">
      <c r="A237" s="54" t="s">
        <v>326</v>
      </c>
      <c r="B237" s="58">
        <f>[1]!S_STM07_CS($B$1,"W33525542",B3,1)/100000000</f>
        <v>1.0518103000000001E-2</v>
      </c>
      <c r="C237" s="58">
        <f>[1]!S_STM07_CS($B$1,"W33525542",C3,1)/100000000</f>
        <v>0.30757755380000001</v>
      </c>
      <c r="D237" s="58">
        <f>[1]!S_STM07_CS($B$1,"W33525542",D3,1)/100000000</f>
        <v>0.24588097340000001</v>
      </c>
      <c r="E237" s="58">
        <f>[1]!S_STM07_CS($B$1,"W33525542",E3,1)/100000000</f>
        <v>3.4295999279</v>
      </c>
      <c r="F237" s="58">
        <f>[1]!S_STM07_CS($B$1,"W33525542",F3,1)/100000000</f>
        <v>1.5456109708000001</v>
      </c>
      <c r="G237" s="58">
        <f>[1]!S_STM07_CS($B$1,"W33525542",G3,1)/100000000</f>
        <v>7.7587391028999999</v>
      </c>
      <c r="H237" s="58">
        <f>[1]!S_STM07_CS($B$1,"W33525542",H3,1)/100000000</f>
        <v>4.7174954099999999E-2</v>
      </c>
      <c r="I237" s="58">
        <f>[1]!S_STM07_CS($B$1,"W33525542",I3,1)/100000000</f>
        <v>0.82785087840000005</v>
      </c>
    </row>
    <row r="238" spans="1:9" x14ac:dyDescent="0.25">
      <c r="A238" s="56" t="s">
        <v>327</v>
      </c>
    </row>
    <row r="239" spans="1:9" x14ac:dyDescent="0.25">
      <c r="A239" s="55" t="s">
        <v>328</v>
      </c>
      <c r="B239" s="57">
        <f>[1]!S_STM07_CS($B$1,"W38884634",B3,1)/100000000</f>
        <v>0</v>
      </c>
      <c r="C239" s="57">
        <f>[1]!S_STM07_CS($B$1,"W38884634",C3,1)/100000000</f>
        <v>0</v>
      </c>
      <c r="D239" s="57">
        <f>[1]!S_STM07_CS($B$1,"W38884634",D3,1)/100000000</f>
        <v>0</v>
      </c>
      <c r="E239" s="57">
        <f>[1]!S_STM07_CS($B$1,"W38884634",E3,1)/100000000</f>
        <v>0</v>
      </c>
      <c r="F239" s="57">
        <f>[1]!S_STM07_CS($B$1,"W38884634",F3,1)/100000000</f>
        <v>0</v>
      </c>
      <c r="G239" s="57">
        <f>[1]!S_STM07_CS($B$1,"W38884634",G3,1)/100000000</f>
        <v>0</v>
      </c>
      <c r="H239" s="57">
        <f>[1]!S_STM07_CS($B$1,"W38884634",H3,1)/100000000</f>
        <v>7.4389999999999998E-7</v>
      </c>
      <c r="I239" s="57">
        <f>[1]!S_STM07_CS($B$1,"W38884634",I3,1)/100000000</f>
        <v>0</v>
      </c>
    </row>
    <row r="240" spans="1:9" x14ac:dyDescent="0.25">
      <c r="A240" s="55" t="s">
        <v>329</v>
      </c>
      <c r="B240" s="57">
        <f>[1]!S_STM07_CS($B$1,"W35609814",B3,1)/100000000</f>
        <v>0</v>
      </c>
      <c r="C240" s="57">
        <f>[1]!S_STM07_CS($B$1,"W35609814",C3,1)/100000000</f>
        <v>0</v>
      </c>
      <c r="D240" s="57">
        <f>[1]!S_STM07_CS($B$1,"W35609814",D3,1)/100000000</f>
        <v>0</v>
      </c>
      <c r="E240" s="57">
        <f>[1]!S_STM07_CS($B$1,"W35609814",E3,1)/100000000</f>
        <v>0</v>
      </c>
      <c r="F240" s="57">
        <f>[1]!S_STM07_CS($B$1,"W35609814",F3,1)/100000000</f>
        <v>0</v>
      </c>
      <c r="G240" s="57">
        <f>[1]!S_STM07_CS($B$1,"W35609814",G3,1)/100000000</f>
        <v>0</v>
      </c>
      <c r="H240" s="57">
        <f>[1]!S_STM07_CS($B$1,"W35609814",H3,1)/100000000</f>
        <v>0</v>
      </c>
      <c r="I240" s="57">
        <f>[1]!S_STM07_CS($B$1,"W35609814",I3,1)/100000000</f>
        <v>0</v>
      </c>
    </row>
    <row r="241" spans="1:9" x14ac:dyDescent="0.25">
      <c r="A241" s="55" t="s">
        <v>330</v>
      </c>
      <c r="B241" s="57">
        <f>[1]!S_STM07_CS($B$1,"W32354768",B3,1)</f>
        <v>0</v>
      </c>
      <c r="C241" s="57">
        <f>[1]!S_STM07_CS($B$1,"W32354768",C3,1)</f>
        <v>0</v>
      </c>
      <c r="D241" s="57">
        <f>[1]!S_STM07_CS($B$1,"W32354768",D3,1)</f>
        <v>0</v>
      </c>
      <c r="E241" s="57">
        <f>[1]!S_STM07_CS($B$1,"W32354768",E3,1)</f>
        <v>0</v>
      </c>
      <c r="F241" s="57">
        <f>[1]!S_STM07_CS($B$1,"W32354768",F3,1)</f>
        <v>0</v>
      </c>
      <c r="G241" s="57">
        <f>[1]!S_STM07_CS($B$1,"W32354768",G3,1)</f>
        <v>0</v>
      </c>
      <c r="H241" s="57">
        <f>[1]!S_STM07_CS($B$1,"W32354768",H3,1)</f>
        <v>0</v>
      </c>
      <c r="I241" s="57">
        <f>[1]!S_STM07_CS($B$1,"W32354768",I3,1)</f>
        <v>0</v>
      </c>
    </row>
    <row r="242" spans="1:9" x14ac:dyDescent="0.25">
      <c r="A242" s="52" t="s">
        <v>331</v>
      </c>
      <c r="B242" s="53">
        <f>[1]!S_STM07_CS($B$1,"W38121613",B3,1)/100000000</f>
        <v>-7.5097029000000008E-3</v>
      </c>
      <c r="C242" s="53">
        <f>[1]!S_STM07_CS($B$1,"W38121613",C3,1)/100000000</f>
        <v>0.11332967769999999</v>
      </c>
      <c r="D242" s="53">
        <f>[1]!S_STM07_CS($B$1,"W38121613",D3,1)/100000000</f>
        <v>0.3022620063</v>
      </c>
      <c r="E242" s="53">
        <f>[1]!S_STM07_CS($B$1,"W38121613",E3,1)/100000000</f>
        <v>2.5690637718000002</v>
      </c>
      <c r="F242" s="53">
        <f>[1]!S_STM07_CS($B$1,"W38121613",F3,1)/100000000</f>
        <v>-1.5728442624000001</v>
      </c>
      <c r="G242" s="53">
        <f>[1]!S_STM07_CS($B$1,"W38121613",G3,1)/100000000</f>
        <v>4.8325357490999998</v>
      </c>
      <c r="H242" s="53">
        <f>[1]!S_STM07_CS($B$1,"W38121613",H3,1)/100000000</f>
        <v>-1.8376160372999999</v>
      </c>
      <c r="I242" s="53">
        <f>[1]!S_STM07_CS($B$1,"W38121613",I3,1)/100000000</f>
        <v>-0.9823791422</v>
      </c>
    </row>
    <row r="243" spans="1:9" x14ac:dyDescent="0.25">
      <c r="A243" s="55" t="s">
        <v>332</v>
      </c>
      <c r="B243" s="57">
        <f>[1]!S_STM07_CS($B$1,"W33351742",B3,1)/100000000</f>
        <v>0.50909691609999996</v>
      </c>
      <c r="C243" s="57">
        <f>[1]!S_STM07_CS($B$1,"W33351742",C3,1)/100000000</f>
        <v>0.50158721319999999</v>
      </c>
      <c r="D243" s="57">
        <f>[1]!S_STM07_CS($B$1,"W33351742",D3,1)/100000000</f>
        <v>0.61491689090000001</v>
      </c>
      <c r="E243" s="57">
        <f>[1]!S_STM07_CS($B$1,"W33351742",E3,1)/100000000</f>
        <v>0.91717889720000001</v>
      </c>
      <c r="F243" s="57">
        <f>[1]!S_STM07_CS($B$1,"W33351742",F3,1)/100000000</f>
        <v>3.4862426689999997</v>
      </c>
      <c r="G243" s="57">
        <f>[1]!S_STM07_CS($B$1,"W33351742",G3,1)/100000000</f>
        <v>1.9133984066</v>
      </c>
      <c r="H243" s="57">
        <f>[1]!S_STM07_CS($B$1,"W33351742",H3,1)/100000000</f>
        <v>6.7459341557000005</v>
      </c>
      <c r="I243" s="57">
        <f>[1]!S_STM07_CS($B$1,"W33351742",I3,1)/100000000</f>
        <v>4.9083181183999995</v>
      </c>
    </row>
    <row r="244" spans="1:9" x14ac:dyDescent="0.25">
      <c r="A244" s="55" t="s">
        <v>333</v>
      </c>
      <c r="B244" s="57">
        <f>[1]!S_STM07_CS($B$1,"W34041104",B3,1)/100000000</f>
        <v>0.50158721319999999</v>
      </c>
      <c r="C244" s="57">
        <f>[1]!S_STM07_CS($B$1,"W34041104",C3,1)/100000000</f>
        <v>0.61491689090000001</v>
      </c>
      <c r="D244" s="57">
        <f>[1]!S_STM07_CS($B$1,"W34041104",D3,1)/100000000</f>
        <v>0.91717889720000001</v>
      </c>
      <c r="E244" s="57">
        <f>[1]!S_STM07_CS($B$1,"W34041104",E3,1)/100000000</f>
        <v>3.4862426689999997</v>
      </c>
      <c r="F244" s="57">
        <f>[1]!S_STM07_CS($B$1,"W34041104",F3,1)/100000000</f>
        <v>1.9133984066</v>
      </c>
      <c r="G244" s="57">
        <f>[1]!S_STM07_CS($B$1,"W34041104",G3,1)/100000000</f>
        <v>6.7459341557000005</v>
      </c>
      <c r="H244" s="57">
        <f>[1]!S_STM07_CS($B$1,"W34041104",H3,1)/100000000</f>
        <v>4.9083181183999995</v>
      </c>
      <c r="I244" s="57">
        <f>[1]!S_STM07_CS($B$1,"W34041104",I3,1)/100000000</f>
        <v>3.9259389761999999</v>
      </c>
    </row>
    <row r="245" spans="1:9" x14ac:dyDescent="0.25">
      <c r="A245" s="56" t="s">
        <v>334</v>
      </c>
    </row>
    <row r="246" spans="1:9" x14ac:dyDescent="0.25">
      <c r="A246" s="55" t="s">
        <v>335</v>
      </c>
      <c r="B246" s="57">
        <f>[1]!S_STM07_CS($B$1,"W33471437",B3,1)/100000000</f>
        <v>0.50855062760000003</v>
      </c>
      <c r="C246" s="57">
        <f>[1]!S_STM07_CS($B$1,"W33471437",C3,1)/100000000</f>
        <v>0.5757526074</v>
      </c>
      <c r="D246" s="57">
        <f>[1]!S_STM07_CS($B$1,"W33471437",D3,1)/100000000</f>
        <v>0.6430594892</v>
      </c>
      <c r="E246" s="57">
        <f>[1]!S_STM07_CS($B$1,"W33471437",E3,1)/100000000</f>
        <v>0.73547790859999995</v>
      </c>
      <c r="F246" s="57">
        <f>[1]!S_STM07_CS($B$1,"W33471437",F3,1)/100000000</f>
        <v>1.0658070562999999</v>
      </c>
      <c r="G246" s="57">
        <f>[1]!S_STM07_CS($B$1,"W33471437",G3,1)/100000000</f>
        <v>1.1642776374999999</v>
      </c>
      <c r="H246" s="57">
        <f>[1]!S_STM07_CS($B$1,"W33471437",H3,1)/100000000</f>
        <v>1.4244085619</v>
      </c>
      <c r="I246" s="57">
        <f>[1]!S_STM07_CS($B$1,"W33471437",I3,1)/100000000</f>
        <v>0.12417959949999999</v>
      </c>
    </row>
    <row r="247" spans="1:9" x14ac:dyDescent="0.25">
      <c r="A247" s="55" t="s">
        <v>336</v>
      </c>
      <c r="B247" s="57">
        <f>[1]!S_STM07_CS($B$1,"W30286095",B3,1)/100000000</f>
        <v>7.4332975999999995E-2</v>
      </c>
      <c r="C247" s="57">
        <f>[1]!S_STM07_CS($B$1,"W30286095",C3,1)/100000000</f>
        <v>4.3623139900000003E-2</v>
      </c>
      <c r="D247" s="57">
        <f>[1]!S_STM07_CS($B$1,"W30286095",D3,1)/100000000</f>
        <v>5.0000215399999999E-2</v>
      </c>
      <c r="E247" s="57">
        <f>[1]!S_STM07_CS($B$1,"W30286095",E3,1)/100000000</f>
        <v>9.9424398900000002E-2</v>
      </c>
      <c r="F247" s="57">
        <f>[1]!S_STM07_CS($B$1,"W30286095",F3,1)/100000000</f>
        <v>0.1244370657</v>
      </c>
      <c r="G247" s="57">
        <f>[1]!S_STM07_CS($B$1,"W30286095",G3,1)/100000000</f>
        <v>0.1646357893</v>
      </c>
      <c r="H247" s="57">
        <f>[1]!S_STM07_CS($B$1,"W30286095",H3,1)/100000000</f>
        <v>0.20738962670000002</v>
      </c>
      <c r="I247" s="57">
        <f>[1]!S_STM07_CS($B$1,"W30286095",I3,1)/100000000</f>
        <v>0</v>
      </c>
    </row>
    <row r="248" spans="1:9" x14ac:dyDescent="0.25">
      <c r="A248" s="54" t="s">
        <v>337</v>
      </c>
      <c r="B248" s="61">
        <f>[1]!S_STM07_CS($B$1,"W34949889",B3,1)/100000000</f>
        <v>0.19985197230000001</v>
      </c>
      <c r="C248" s="61">
        <f>[1]!S_STM07_CS($B$1,"W34949889",C3,1)/100000000</f>
        <v>0.25248275450000002</v>
      </c>
      <c r="D248" s="61">
        <f>[1]!S_STM07_CS($B$1,"W34949889",D3,1)/100000000</f>
        <v>0.29216193530000001</v>
      </c>
      <c r="E248" s="61">
        <f>[1]!S_STM07_CS($B$1,"W34949889",E3,1)/100000000</f>
        <v>0.36603645869999996</v>
      </c>
      <c r="F248" s="61">
        <f>[1]!S_STM07_CS($B$1,"W34949889",F3,1)/100000000</f>
        <v>0.47815596090000001</v>
      </c>
      <c r="G248" s="61">
        <f>[1]!S_STM07_CS($B$1,"W34949889",G3,1)/100000000</f>
        <v>0.58291575770000004</v>
      </c>
      <c r="H248" s="61">
        <f>[1]!S_STM07_CS($B$1,"W34949889",H3,1)/100000000</f>
        <v>0.64541555110000004</v>
      </c>
      <c r="I248" s="61">
        <f>[1]!S_STM07_CS($B$1,"W34949889",I3,1)/100000000</f>
        <v>0.39041122610000001</v>
      </c>
    </row>
    <row r="249" spans="1:9" x14ac:dyDescent="0.25">
      <c r="A249" s="54" t="s">
        <v>338</v>
      </c>
      <c r="B249" s="61">
        <f>[1]!S_STM07_CS($B$1,"W34516398",B3,1)/100000000</f>
        <v>2.3615748000000002E-3</v>
      </c>
      <c r="C249" s="61">
        <f>[1]!S_STM07_CS($B$1,"W34516398",C3,1)/100000000</f>
        <v>2.4550015999999998E-3</v>
      </c>
      <c r="D249" s="61">
        <f>[1]!S_STM07_CS($B$1,"W34516398",D3,1)/100000000</f>
        <v>2.424336E-3</v>
      </c>
      <c r="E249" s="61">
        <f>[1]!S_STM07_CS($B$1,"W34516398",E3,1)/100000000</f>
        <v>2.3867180999999999E-3</v>
      </c>
      <c r="F249" s="61">
        <f>[1]!S_STM07_CS($B$1,"W34516398",F3,1)/100000000</f>
        <v>2.5982462999999999E-3</v>
      </c>
      <c r="G249" s="61">
        <f>[1]!S_STM07_CS($B$1,"W34516398",G3,1)/100000000</f>
        <v>5.9076049000000002E-3</v>
      </c>
      <c r="H249" s="61">
        <f>[1]!S_STM07_CS($B$1,"W34516398",H3,1)/100000000</f>
        <v>1.5823592899999999E-2</v>
      </c>
      <c r="I249" s="61">
        <f>[1]!S_STM07_CS($B$1,"W34516398",I3,1)/100000000</f>
        <v>1.7068479399999999E-2</v>
      </c>
    </row>
    <row r="250" spans="1:9" x14ac:dyDescent="0.25">
      <c r="A250" s="54" t="s">
        <v>339</v>
      </c>
      <c r="B250" s="61">
        <f>[1]!S_STM07_CS($B$1,"W31092024",B3,1)/100000000</f>
        <v>8.6390355000000012E-3</v>
      </c>
      <c r="C250" s="61">
        <f>[1]!S_STM07_CS($B$1,"W31092024",C3,1)/100000000</f>
        <v>2.1255520999999998E-3</v>
      </c>
      <c r="D250" s="61">
        <f>[1]!S_STM07_CS($B$1,"W31092024",D3,1)/100000000</f>
        <v>2.0283582999999997E-3</v>
      </c>
      <c r="E250" s="61">
        <f>[1]!S_STM07_CS($B$1,"W31092024",E3,1)/100000000</f>
        <v>1.1452276200000002E-2</v>
      </c>
      <c r="F250" s="61">
        <f>[1]!S_STM07_CS($B$1,"W31092024",F3,1)/100000000</f>
        <v>3.1321961799999999E-2</v>
      </c>
      <c r="G250" s="61">
        <f>[1]!S_STM07_CS($B$1,"W31092024",G3,1)/100000000</f>
        <v>8.8256612200000001E-2</v>
      </c>
      <c r="H250" s="61">
        <f>[1]!S_STM07_CS($B$1,"W31092024",H3,1)/100000000</f>
        <v>0.1242414986</v>
      </c>
      <c r="I250" s="61">
        <f>[1]!S_STM07_CS($B$1,"W31092024",I3,1)/100000000</f>
        <v>0.11948738380000001</v>
      </c>
    </row>
    <row r="251" spans="1:9" x14ac:dyDescent="0.25">
      <c r="A251" s="55" t="s">
        <v>340</v>
      </c>
      <c r="B251" s="57">
        <f>[1]!S_STM07_CS($B$1,"W34662240",B3,1)/100000000</f>
        <v>0</v>
      </c>
      <c r="C251" s="57">
        <f>[1]!S_STM07_CS($B$1,"W34662240",C3,1)/100000000</f>
        <v>0</v>
      </c>
      <c r="D251" s="57">
        <f>[1]!S_STM07_CS($B$1,"W34662240",D3,1)/100000000</f>
        <v>0</v>
      </c>
      <c r="E251" s="57">
        <f>[1]!S_STM07_CS($B$1,"W34662240",E3,1)/100000000</f>
        <v>0</v>
      </c>
      <c r="F251" s="57">
        <f>[1]!S_STM07_CS($B$1,"W34662240",F3,1)/100000000</f>
        <v>0</v>
      </c>
      <c r="G251" s="57">
        <f>[1]!S_STM07_CS($B$1,"W34662240",G3,1)/100000000</f>
        <v>0</v>
      </c>
      <c r="H251" s="57">
        <f>[1]!S_STM07_CS($B$1,"W34662240",H3,1)/100000000</f>
        <v>0</v>
      </c>
      <c r="I251" s="57">
        <f>[1]!S_STM07_CS($B$1,"W34662240",I3,1)/100000000</f>
        <v>0</v>
      </c>
    </row>
    <row r="252" spans="1:9" x14ac:dyDescent="0.25">
      <c r="A252" s="55" t="s">
        <v>341</v>
      </c>
      <c r="B252" s="57">
        <f>[1]!S_STM07_CS($B$1,"W30749056",B3,1)/100000000</f>
        <v>0</v>
      </c>
      <c r="C252" s="57">
        <f>[1]!S_STM07_CS($B$1,"W30749056",C3,1)/100000000</f>
        <v>0</v>
      </c>
      <c r="D252" s="57">
        <f>[1]!S_STM07_CS($B$1,"W30749056",D3,1)/100000000</f>
        <v>0</v>
      </c>
      <c r="E252" s="57">
        <f>[1]!S_STM07_CS($B$1,"W30749056",E3,1)/100000000</f>
        <v>0</v>
      </c>
      <c r="F252" s="57">
        <f>[1]!S_STM07_CS($B$1,"W30749056",F3,1)/100000000</f>
        <v>0</v>
      </c>
      <c r="G252" s="57">
        <f>[1]!S_STM07_CS($B$1,"W30749056",G3,1)/100000000</f>
        <v>0</v>
      </c>
      <c r="H252" s="57">
        <f>[1]!S_STM07_CS($B$1,"W30749056",H3,1)/100000000</f>
        <v>0</v>
      </c>
      <c r="I252" s="57">
        <f>[1]!S_STM07_CS($B$1,"W30749056",I3,1)/100000000</f>
        <v>0</v>
      </c>
    </row>
    <row r="253" spans="1:9" x14ac:dyDescent="0.25">
      <c r="A253" s="55" t="s">
        <v>342</v>
      </c>
      <c r="B253" s="57">
        <f>[1]!S_STM07_CS($B$1,"W34080305",B3,1)/100000000</f>
        <v>1.1743997E-3</v>
      </c>
      <c r="C253" s="57">
        <f>[1]!S_STM07_CS($B$1,"W34080305",C3,1)/100000000</f>
        <v>1.42683176E-2</v>
      </c>
      <c r="D253" s="57">
        <f>[1]!S_STM07_CS($B$1,"W34080305",D3,1)/100000000</f>
        <v>6.7159196999999997E-3</v>
      </c>
      <c r="E253" s="57">
        <f>[1]!S_STM07_CS($B$1,"W34080305",E3,1)/100000000</f>
        <v>2.9411919E-3</v>
      </c>
      <c r="F253" s="57">
        <f>[1]!S_STM07_CS($B$1,"W34080305",F3,1)/100000000</f>
        <v>-3.5879515000000004E-3</v>
      </c>
      <c r="G253" s="57">
        <f>[1]!S_STM07_CS($B$1,"W34080305",G3,1)/100000000</f>
        <v>2.7353453900000001E-2</v>
      </c>
      <c r="H253" s="57">
        <f>[1]!S_STM07_CS($B$1,"W34080305",H3,1)/100000000</f>
        <v>1.6088267999999999E-3</v>
      </c>
      <c r="I253" s="57">
        <f>[1]!S_STM07_CS($B$1,"W34080305",I3,1)/100000000</f>
        <v>0</v>
      </c>
    </row>
    <row r="254" spans="1:9" x14ac:dyDescent="0.25">
      <c r="A254" s="55" t="s">
        <v>343</v>
      </c>
      <c r="B254" s="57">
        <f>[1]!S_STM07_CS($B$1,"W38771459",B3,1)/100000000</f>
        <v>0</v>
      </c>
      <c r="C254" s="57">
        <f>[1]!S_STM07_CS($B$1,"W38771459",C3,1)/100000000</f>
        <v>0</v>
      </c>
      <c r="D254" s="57">
        <f>[1]!S_STM07_CS($B$1,"W38771459",D3,1)/100000000</f>
        <v>0</v>
      </c>
      <c r="E254" s="57">
        <f>[1]!S_STM07_CS($B$1,"W38771459",E3,1)/100000000</f>
        <v>0</v>
      </c>
      <c r="F254" s="57">
        <f>[1]!S_STM07_CS($B$1,"W38771459",F3,1)/100000000</f>
        <v>0</v>
      </c>
      <c r="G254" s="57">
        <f>[1]!S_STM07_CS($B$1,"W38771459",G3,1)/100000000</f>
        <v>3.6643050000000001E-3</v>
      </c>
      <c r="H254" s="57">
        <f>[1]!S_STM07_CS($B$1,"W38771459",H3,1)/100000000</f>
        <v>5.3242639E-3</v>
      </c>
      <c r="I254" s="57">
        <f>[1]!S_STM07_CS($B$1,"W38771459",I3,1)/100000000</f>
        <v>0</v>
      </c>
    </row>
    <row r="255" spans="1:9" x14ac:dyDescent="0.25">
      <c r="A255" s="55" t="s">
        <v>344</v>
      </c>
      <c r="B255" s="57">
        <f>[1]!S_STM07_CS($B$1,"W30574002",B3,1)/100000000</f>
        <v>0</v>
      </c>
      <c r="C255" s="57">
        <f>[1]!S_STM07_CS($B$1,"W30574002",C3,1)/100000000</f>
        <v>0</v>
      </c>
      <c r="D255" s="57">
        <f>[1]!S_STM07_CS($B$1,"W30574002",D3,1)/100000000</f>
        <v>0</v>
      </c>
      <c r="E255" s="57">
        <f>[1]!S_STM07_CS($B$1,"W30574002",E3,1)/100000000</f>
        <v>0</v>
      </c>
      <c r="F255" s="57">
        <f>[1]!S_STM07_CS($B$1,"W30574002",F3,1)/100000000</f>
        <v>0</v>
      </c>
      <c r="G255" s="57">
        <f>[1]!S_STM07_CS($B$1,"W30574002",G3,1)/100000000</f>
        <v>0</v>
      </c>
      <c r="H255" s="57">
        <f>[1]!S_STM07_CS($B$1,"W30574002",H3,1)/100000000</f>
        <v>0</v>
      </c>
      <c r="I255" s="57">
        <f>[1]!S_STM07_CS($B$1,"W30574002",I3,1)/100000000</f>
        <v>0</v>
      </c>
    </row>
    <row r="256" spans="1:9" x14ac:dyDescent="0.25">
      <c r="A256" s="54" t="s">
        <v>345</v>
      </c>
      <c r="B256" s="57">
        <f>[1]!S_STM07_CS($B$1,"W32435009",B3,1)/100000000</f>
        <v>3.8680397700000001E-2</v>
      </c>
      <c r="C256" s="57">
        <f>[1]!S_STM07_CS($B$1,"W32435009",C3,1)/100000000</f>
        <v>4.2384776700000001E-2</v>
      </c>
      <c r="D256" s="57">
        <f>[1]!S_STM07_CS($B$1,"W32435009",D3,1)/100000000</f>
        <v>7.8677665999999993E-2</v>
      </c>
      <c r="E256" s="57">
        <f>[1]!S_STM07_CS($B$1,"W32435009",E3,1)/100000000</f>
        <v>8.4669512699999991E-2</v>
      </c>
      <c r="F256" s="57">
        <f>[1]!S_STM07_CS($B$1,"W32435009",F3,1)/100000000</f>
        <v>0.10929849720000001</v>
      </c>
      <c r="G256" s="57">
        <f>[1]!S_STM07_CS($B$1,"W32435009",G3,1)/100000000</f>
        <v>0.30657222789999999</v>
      </c>
      <c r="H256" s="57">
        <f>[1]!S_STM07_CS($B$1,"W32435009",H3,1)/100000000</f>
        <v>0.43547565439999997</v>
      </c>
      <c r="I256" s="57">
        <f>[1]!S_STM07_CS($B$1,"W32435009",I3,1)/100000000</f>
        <v>0.36355577859999999</v>
      </c>
    </row>
    <row r="257" spans="1:9" x14ac:dyDescent="0.25">
      <c r="A257" s="55" t="s">
        <v>346</v>
      </c>
      <c r="B257" s="57">
        <f>[1]!S_STM07_CS($B$1,"W30740002",B3,1)/100000000</f>
        <v>1.0811193600000001E-2</v>
      </c>
      <c r="C257" s="57">
        <f>[1]!S_STM07_CS($B$1,"W30740002",C3,1)/100000000</f>
        <v>0</v>
      </c>
      <c r="D257" s="57">
        <f>[1]!S_STM07_CS($B$1,"W30740002",D3,1)/100000000</f>
        <v>0</v>
      </c>
      <c r="E257" s="57">
        <f>[1]!S_STM07_CS($B$1,"W30740002",E3,1)/100000000</f>
        <v>0</v>
      </c>
      <c r="F257" s="57">
        <f>[1]!S_STM07_CS($B$1,"W30740002",F3,1)/100000000</f>
        <v>-1.0307044899999999E-2</v>
      </c>
      <c r="G257" s="57">
        <f>[1]!S_STM07_CS($B$1,"W30740002",G3,1)/100000000</f>
        <v>6.3094565999999999E-3</v>
      </c>
      <c r="H257" s="57">
        <f>[1]!S_STM07_CS($B$1,"W30740002",H3,1)/100000000</f>
        <v>-3.4463384999999999E-3</v>
      </c>
      <c r="I257" s="57">
        <f>[1]!S_STM07_CS($B$1,"W30740002",I3,1)/100000000</f>
        <v>3.0578882E-3</v>
      </c>
    </row>
    <row r="258" spans="1:9" x14ac:dyDescent="0.25">
      <c r="A258" s="55" t="s">
        <v>347</v>
      </c>
      <c r="B258" s="57">
        <f>[1]!S_STM07_CS($B$1,"W38349447",B3,1)/100000000</f>
        <v>-1.4772665500000001E-2</v>
      </c>
      <c r="C258" s="57">
        <f>[1]!S_STM07_CS($B$1,"W38349447",C3,1)/100000000</f>
        <v>-1.1684007099999999E-2</v>
      </c>
      <c r="D258" s="57">
        <f>[1]!S_STM07_CS($B$1,"W38349447",D3,1)/100000000</f>
        <v>-1.36155007E-2</v>
      </c>
      <c r="E258" s="57">
        <f>[1]!S_STM07_CS($B$1,"W38349447",E3,1)/100000000</f>
        <v>-2.4703246299999999E-2</v>
      </c>
      <c r="F258" s="57">
        <f>[1]!S_STM07_CS($B$1,"W38349447",F3,1)/100000000</f>
        <v>-3.3440941699999997E-2</v>
      </c>
      <c r="G258" s="57">
        <f>[1]!S_STM07_CS($B$1,"W38349447",G3,1)/100000000</f>
        <v>-6.9119962600000001E-2</v>
      </c>
      <c r="H258" s="57">
        <f>[1]!S_STM07_CS($B$1,"W38349447",H3,1)/100000000</f>
        <v>-0.1287047123</v>
      </c>
      <c r="I258" s="57">
        <f>[1]!S_STM07_CS($B$1,"W38349447",I3,1)/100000000</f>
        <v>-5.5558037599999999E-2</v>
      </c>
    </row>
    <row r="259" spans="1:9" x14ac:dyDescent="0.25">
      <c r="A259" s="55" t="s">
        <v>348</v>
      </c>
      <c r="B259" s="57">
        <f>[1]!S_STM07_CS($B$1,"W33007024",B3,1)/100000000</f>
        <v>0</v>
      </c>
      <c r="C259" s="57">
        <f>[1]!S_STM07_CS($B$1,"W33007024",C3,1)/100000000</f>
        <v>0</v>
      </c>
      <c r="D259" s="57">
        <f>[1]!S_STM07_CS($B$1,"W33007024",D3,1)/100000000</f>
        <v>0</v>
      </c>
      <c r="E259" s="57">
        <f>[1]!S_STM07_CS($B$1,"W33007024",E3,1)/100000000</f>
        <v>0</v>
      </c>
      <c r="F259" s="57">
        <f>[1]!S_STM07_CS($B$1,"W33007024",F3,1)/100000000</f>
        <v>0</v>
      </c>
      <c r="G259" s="57">
        <f>[1]!S_STM07_CS($B$1,"W33007024",G3,1)/100000000</f>
        <v>2.6604436800000002E-2</v>
      </c>
      <c r="H259" s="57">
        <f>[1]!S_STM07_CS($B$1,"W33007024",H3,1)/100000000</f>
        <v>-1.0989025999999999E-3</v>
      </c>
      <c r="I259" s="57">
        <f>[1]!S_STM07_CS($B$1,"W33007024",I3,1)/100000000</f>
        <v>4.9974939999999999E-4</v>
      </c>
    </row>
    <row r="260" spans="1:9" x14ac:dyDescent="0.25">
      <c r="A260" s="55" t="s">
        <v>349</v>
      </c>
      <c r="B260" s="57">
        <f>[1]!S_STM07_CS($B$1,"W33628235",B3,1)/100000000</f>
        <v>0.29748161440000004</v>
      </c>
      <c r="C260" s="57">
        <f>[1]!S_STM07_CS($B$1,"W33628235",C3,1)/100000000</f>
        <v>-3.6137618199999999E-2</v>
      </c>
      <c r="D260" s="57">
        <f>[1]!S_STM07_CS($B$1,"W33628235",D3,1)/100000000</f>
        <v>-0.1102299843</v>
      </c>
      <c r="E260" s="57">
        <f>[1]!S_STM07_CS($B$1,"W33628235",E3,1)/100000000</f>
        <v>-0.12803658400000001</v>
      </c>
      <c r="F260" s="57">
        <f>[1]!S_STM07_CS($B$1,"W33628235",F3,1)/100000000</f>
        <v>-0.8796754389</v>
      </c>
      <c r="G260" s="57">
        <f>[1]!S_STM07_CS($B$1,"W33628235",G3,1)/100000000</f>
        <v>-0.65033053689999998</v>
      </c>
      <c r="H260" s="57">
        <f>[1]!S_STM07_CS($B$1,"W33628235",H3,1)/100000000</f>
        <v>-0.73406662019999991</v>
      </c>
      <c r="I260" s="57">
        <f>[1]!S_STM07_CS($B$1,"W33628235",I3,1)/100000000</f>
        <v>-0.432244405</v>
      </c>
    </row>
    <row r="261" spans="1:9" x14ac:dyDescent="0.25">
      <c r="A261" s="55" t="s">
        <v>350</v>
      </c>
      <c r="B261" s="57">
        <f>[1]!S_STM07_CS($B$1,"W39369347",B3,1)/100000000</f>
        <v>-0.68710604260000008</v>
      </c>
      <c r="C261" s="57">
        <f>[1]!S_STM07_CS($B$1,"W39369347",C3,1)/100000000</f>
        <v>-0.65655780750000003</v>
      </c>
      <c r="D261" s="57">
        <f>[1]!S_STM07_CS($B$1,"W39369347",D3,1)/100000000</f>
        <v>-0.56373286200000006</v>
      </c>
      <c r="E261" s="57">
        <f>[1]!S_STM07_CS($B$1,"W39369347",E3,1)/100000000</f>
        <v>-0.95382662730000001</v>
      </c>
      <c r="F261" s="57">
        <f>[1]!S_STM07_CS($B$1,"W39369347",F3,1)/100000000</f>
        <v>-1.5059342358000001</v>
      </c>
      <c r="G261" s="57">
        <f>[1]!S_STM07_CS($B$1,"W39369347",G3,1)/100000000</f>
        <v>-2.7236123569999999</v>
      </c>
      <c r="H261" s="57">
        <f>[1]!S_STM07_CS($B$1,"W39369347",H3,1)/100000000</f>
        <v>-2.4387753521</v>
      </c>
      <c r="I261" s="57">
        <f>[1]!S_STM07_CS($B$1,"W39369347",I3,1)/100000000</f>
        <v>-1.4263931153</v>
      </c>
    </row>
    <row r="262" spans="1:9" x14ac:dyDescent="0.25">
      <c r="A262" s="55" t="s">
        <v>351</v>
      </c>
      <c r="B262" s="57">
        <f>[1]!S_STM07_CS($B$1,"W31397119",B3,1)/100000000</f>
        <v>-0.1146526764</v>
      </c>
      <c r="C262" s="57">
        <f>[1]!S_STM07_CS($B$1,"W31397119",C3,1)/100000000</f>
        <v>7.1940973800000002E-2</v>
      </c>
      <c r="D262" s="57">
        <f>[1]!S_STM07_CS($B$1,"W31397119",D3,1)/100000000</f>
        <v>7.35755404E-2</v>
      </c>
      <c r="E262" s="57">
        <f>[1]!S_STM07_CS($B$1,"W31397119",E3,1)/100000000</f>
        <v>-0.36598312929999999</v>
      </c>
      <c r="F262" s="57">
        <f>[1]!S_STM07_CS($B$1,"W31397119",F3,1)/100000000</f>
        <v>-1.2075463200000001E-2</v>
      </c>
      <c r="G262" s="57">
        <f>[1]!S_STM07_CS($B$1,"W31397119",G3,1)/100000000</f>
        <v>0.42740071399999996</v>
      </c>
      <c r="H262" s="57">
        <f>[1]!S_STM07_CS($B$1,"W31397119",H3,1)/100000000</f>
        <v>1.3113175921</v>
      </c>
      <c r="I262" s="57">
        <f>[1]!S_STM07_CS($B$1,"W31397119",I3,1)/100000000</f>
        <v>-0.40572054960000004</v>
      </c>
    </row>
    <row r="263" spans="1:9" x14ac:dyDescent="0.25">
      <c r="A263" s="55" t="s">
        <v>250</v>
      </c>
      <c r="B263" s="57">
        <f>[1]!S_STM07_CS($B$1,"W38648287",B3,1)/100000000</f>
        <v>0</v>
      </c>
      <c r="C263" s="57">
        <f>[1]!S_STM07_CS($B$1,"W38648287",C3,1)/100000000</f>
        <v>0</v>
      </c>
      <c r="D263" s="57">
        <f>[1]!S_STM07_CS($B$1,"W38648287",D3,1)/100000000</f>
        <v>0</v>
      </c>
      <c r="E263" s="57">
        <f>[1]!S_STM07_CS($B$1,"W38648287",E3,1)/100000000</f>
        <v>0</v>
      </c>
      <c r="F263" s="57">
        <f>[1]!S_STM07_CS($B$1,"W38648287",F3,1)/100000000</f>
        <v>0</v>
      </c>
      <c r="G263" s="57">
        <f>[1]!S_STM07_CS($B$1,"W38648287",G3,1)/100000000</f>
        <v>0</v>
      </c>
      <c r="H263" s="57">
        <f>[1]!S_STM07_CS($B$1,"W38648287",H3,1)/100000000</f>
        <v>0</v>
      </c>
      <c r="I263" s="57">
        <f>[1]!S_STM07_CS($B$1,"W38648287",I3,1)/100000000</f>
        <v>0</v>
      </c>
    </row>
    <row r="264" spans="1:9" x14ac:dyDescent="0.25">
      <c r="A264" s="55" t="s">
        <v>352</v>
      </c>
      <c r="B264" s="57">
        <f>[1]!S_STM07_CS($B$1,"W33384105",B3,1)/100000000</f>
        <v>0</v>
      </c>
      <c r="C264" s="57">
        <f>[1]!S_STM07_CS($B$1,"W33384105",C3,1)/100000000</f>
        <v>0</v>
      </c>
      <c r="D264" s="57">
        <f>[1]!S_STM07_CS($B$1,"W33384105",D3,1)/100000000</f>
        <v>0</v>
      </c>
      <c r="E264" s="57">
        <f>[1]!S_STM07_CS($B$1,"W33384105",E3,1)/100000000</f>
        <v>0</v>
      </c>
      <c r="F264" s="57">
        <f>[1]!S_STM07_CS($B$1,"W33384105",F3,1)/100000000</f>
        <v>8.8000000000000003E-4</v>
      </c>
      <c r="G264" s="57">
        <f>[1]!S_STM07_CS($B$1,"W33384105",G3,1)/100000000</f>
        <v>8.8000000000000003E-4</v>
      </c>
      <c r="H264" s="57">
        <f>[1]!S_STM07_CS($B$1,"W33384105",H3,1)/100000000</f>
        <v>7.4320402100000002E-2</v>
      </c>
      <c r="I264" s="57">
        <f>[1]!S_STM07_CS($B$1,"W33384105",I3,1)/100000000</f>
        <v>1.2008508500000001E-2</v>
      </c>
    </row>
    <row r="265" spans="1:9" x14ac:dyDescent="0.25">
      <c r="A265" s="55" t="s">
        <v>353</v>
      </c>
      <c r="B265" s="57">
        <f>[1]!S_STM07_CS($B$1,"W35976387",B3,1)/100000000</f>
        <v>0</v>
      </c>
      <c r="C265" s="57">
        <f>[1]!S_STM07_CS($B$1,"W35976387",C3,1)/100000000</f>
        <v>0</v>
      </c>
      <c r="D265" s="57">
        <f>[1]!S_STM07_CS($B$1,"W35976387",D3,1)/100000000</f>
        <v>0</v>
      </c>
      <c r="E265" s="57">
        <f>[1]!S_STM07_CS($B$1,"W35976387",E3,1)/100000000</f>
        <v>0</v>
      </c>
      <c r="F265" s="57">
        <f>[1]!S_STM07_CS($B$1,"W35976387",F3,1)/100000000</f>
        <v>0</v>
      </c>
      <c r="G265" s="57">
        <f>[1]!S_STM07_CS($B$1,"W35976387",G3,1)/100000000</f>
        <v>0</v>
      </c>
      <c r="H265" s="57">
        <f>[1]!S_STM07_CS($B$1,"W35976387",H3,1)/100000000</f>
        <v>0</v>
      </c>
      <c r="I265" s="57">
        <f>[1]!S_STM07_CS($B$1,"W35976387",I3,1)/100000000</f>
        <v>0</v>
      </c>
    </row>
    <row r="266" spans="1:9" x14ac:dyDescent="0.25">
      <c r="A266" s="55" t="s">
        <v>354</v>
      </c>
      <c r="B266" s="57">
        <f>[1]!S_STM07_CS($B$1,"W35790543",B3,1)/100000000</f>
        <v>0</v>
      </c>
      <c r="C266" s="57">
        <f>[1]!S_STM07_CS($B$1,"W35790543",C3,1)/100000000</f>
        <v>0</v>
      </c>
      <c r="D266" s="57">
        <f>[1]!S_STM07_CS($B$1,"W35790543",D3,1)/100000000</f>
        <v>0</v>
      </c>
      <c r="E266" s="57">
        <f>[1]!S_STM07_CS($B$1,"W35790543",E3,1)/100000000</f>
        <v>0</v>
      </c>
      <c r="F266" s="57">
        <f>[1]!S_STM07_CS($B$1,"W35790543",F3,1)/100000000</f>
        <v>0</v>
      </c>
      <c r="G266" s="57">
        <f>[1]!S_STM07_CS($B$1,"W35790543",G3,1)/100000000</f>
        <v>0</v>
      </c>
      <c r="H266" s="57">
        <f>[1]!S_STM07_CS($B$1,"W35790543",H3,1)/100000000</f>
        <v>0</v>
      </c>
      <c r="I266" s="57">
        <f>[1]!S_STM07_CS($B$1,"W35790543",I3,1)/100000000</f>
        <v>0</v>
      </c>
    </row>
    <row r="267" spans="1:9" x14ac:dyDescent="0.25">
      <c r="A267" s="55" t="s">
        <v>355</v>
      </c>
      <c r="B267" s="57">
        <f>[1]!S_STM07_CS($B$1,"W35465193",B3,1)/100000000</f>
        <v>0.32535240710000002</v>
      </c>
      <c r="C267" s="57">
        <f>[1]!S_STM07_CS($B$1,"W35465193",C3,1)/100000000</f>
        <v>0.30065369079999998</v>
      </c>
      <c r="D267" s="57">
        <f>[1]!S_STM07_CS($B$1,"W35465193",D3,1)/100000000</f>
        <v>0.4610651133</v>
      </c>
      <c r="E267" s="57">
        <f>[1]!S_STM07_CS($B$1,"W35465193",E3,1)/100000000</f>
        <v>-0.17016112180000001</v>
      </c>
      <c r="F267" s="57">
        <f>[1]!S_STM07_CS($B$1,"W35465193",F3,1)/100000000</f>
        <v>-0.63252228779999997</v>
      </c>
      <c r="G267" s="57">
        <f>[1]!S_STM07_CS($B$1,"W35465193",G3,1)/100000000</f>
        <v>-0.63828486070000001</v>
      </c>
      <c r="H267" s="57">
        <f>[1]!S_STM07_CS($B$1,"W35465193",H3,1)/100000000</f>
        <v>0.93923364480000004</v>
      </c>
      <c r="I267" s="57">
        <f>[1]!S_STM07_CS($B$1,"W35465193",I3,1)/100000000</f>
        <v>-1.1273649206</v>
      </c>
    </row>
    <row r="268" spans="1:9" x14ac:dyDescent="0.25">
      <c r="A268" s="55" t="s">
        <v>356</v>
      </c>
      <c r="B268" s="57">
        <f>[1]!S_STM07_CS($B$1,"W32927916",B3,1)/100000000</f>
        <v>0</v>
      </c>
      <c r="C268" s="57">
        <f>[1]!S_STM07_CS($B$1,"W32927916",C3,1)/100000000</f>
        <v>0</v>
      </c>
      <c r="D268" s="57">
        <f>[1]!S_STM07_CS($B$1,"W32927916",D3,1)/100000000</f>
        <v>0</v>
      </c>
      <c r="E268" s="57">
        <f>[1]!S_STM07_CS($B$1,"W32927916",E3,1)/100000000</f>
        <v>0</v>
      </c>
      <c r="F268" s="57">
        <f>[1]!S_STM07_CS($B$1,"W32927916",F3,1)/100000000</f>
        <v>0</v>
      </c>
      <c r="G268" s="57">
        <f>[1]!S_STM07_CS($B$1,"W32927916",G3,1)/100000000</f>
        <v>0</v>
      </c>
      <c r="H268" s="57">
        <f>[1]!S_STM07_CS($B$1,"W32927916",H3,1)/100000000</f>
        <v>0</v>
      </c>
      <c r="I268" s="57">
        <f>[1]!S_STM07_CS($B$1,"W32927916",I3,1)/100000000</f>
        <v>0</v>
      </c>
    </row>
    <row r="269" spans="1:9" x14ac:dyDescent="0.25">
      <c r="A269" s="55" t="s">
        <v>357</v>
      </c>
      <c r="B269" s="57">
        <f>[1]!S_STM07_CS($B$1,"W35670435",B3,1)/100000000</f>
        <v>0</v>
      </c>
      <c r="C269" s="57">
        <f>[1]!S_STM07_CS($B$1,"W35670435",C3,1)/100000000</f>
        <v>0</v>
      </c>
      <c r="D269" s="57">
        <f>[1]!S_STM07_CS($B$1,"W35670435",D3,1)/100000000</f>
        <v>0</v>
      </c>
      <c r="E269" s="57">
        <f>[1]!S_STM07_CS($B$1,"W35670435",E3,1)/100000000</f>
        <v>0</v>
      </c>
      <c r="F269" s="57">
        <f>[1]!S_STM07_CS($B$1,"W35670435",F3,1)/100000000</f>
        <v>0</v>
      </c>
      <c r="G269" s="57">
        <f>[1]!S_STM07_CS($B$1,"W35670435",G3,1)/100000000</f>
        <v>0</v>
      </c>
      <c r="H269" s="57">
        <f>[1]!S_STM07_CS($B$1,"W35670435",H3,1)/100000000</f>
        <v>0</v>
      </c>
      <c r="I269" s="57">
        <f>[1]!S_STM07_CS($B$1,"W35670435",I3,1)/100000000</f>
        <v>0</v>
      </c>
    </row>
    <row r="270" spans="1:9" x14ac:dyDescent="0.25">
      <c r="A270" s="55" t="s">
        <v>358</v>
      </c>
      <c r="B270" s="57">
        <f>[1]!S_STM07_CS($B$1,"W38981856",B3,1)/100000000</f>
        <v>9.9431914000000007E-3</v>
      </c>
      <c r="C270" s="57">
        <f>[1]!S_STM07_CS($B$1,"W38981856",C3,1)/100000000</f>
        <v>0</v>
      </c>
      <c r="D270" s="57">
        <f>[1]!S_STM07_CS($B$1,"W38981856",D3,1)/100000000</f>
        <v>8.4257646500000005E-2</v>
      </c>
      <c r="E270" s="57">
        <f>[1]!S_STM07_CS($B$1,"W38981856",E3,1)/100000000</f>
        <v>3.32962339E-2</v>
      </c>
      <c r="F270" s="57">
        <f>[1]!S_STM07_CS($B$1,"W38981856",F3,1)/100000000</f>
        <v>0</v>
      </c>
      <c r="G270" s="57">
        <f>[1]!S_STM07_CS($B$1,"W38981856",G3,1)/100000000</f>
        <v>0</v>
      </c>
      <c r="H270" s="57">
        <f>[1]!S_STM07_CS($B$1,"W38981856",H3,1)/100000000</f>
        <v>0</v>
      </c>
      <c r="I270" s="57">
        <f>[1]!S_STM07_CS($B$1,"W38981856",I3,1)/100000000</f>
        <v>0</v>
      </c>
    </row>
    <row r="271" spans="1:9" x14ac:dyDescent="0.25">
      <c r="A271" s="55" t="s">
        <v>359</v>
      </c>
      <c r="B271" s="57">
        <f>[1]!S_STM07_CS($B$1,"W31789891",B3,1)/100000000</f>
        <v>0.50158721319999999</v>
      </c>
      <c r="C271" s="57">
        <f>[1]!S_STM07_CS($B$1,"W31789891",C3,1)/100000000</f>
        <v>0.61491689090000001</v>
      </c>
      <c r="D271" s="57">
        <f>[1]!S_STM07_CS($B$1,"W31789891",D3,1)/100000000</f>
        <v>0.91717889720000001</v>
      </c>
      <c r="E271" s="57">
        <f>[1]!S_STM07_CS($B$1,"W31789891",E3,1)/100000000</f>
        <v>3.4862426689999997</v>
      </c>
      <c r="F271" s="57">
        <f>[1]!S_STM07_CS($B$1,"W31789891",F3,1)/100000000</f>
        <v>1.9133984066</v>
      </c>
      <c r="G271" s="57">
        <f>[1]!S_STM07_CS($B$1,"W31789891",G3,1)/100000000</f>
        <v>6.7459341557000005</v>
      </c>
      <c r="H271" s="57">
        <f>[1]!S_STM07_CS($B$1,"W31789891",H3,1)/100000000</f>
        <v>4.9083181183999995</v>
      </c>
      <c r="I271" s="57">
        <f>[1]!S_STM07_CS($B$1,"W31789891",I3,1)/100000000</f>
        <v>3.9259389761999999</v>
      </c>
    </row>
    <row r="272" spans="1:9" x14ac:dyDescent="0.25">
      <c r="A272" s="55" t="s">
        <v>360</v>
      </c>
      <c r="B272" s="57">
        <f>[1]!S_STM07_CS($B$1,"W31756850",B3,1)/100000000</f>
        <v>0.50909691609999996</v>
      </c>
      <c r="C272" s="57">
        <f>[1]!S_STM07_CS($B$1,"W31756850",C3,1)/100000000</f>
        <v>0.50158721319999999</v>
      </c>
      <c r="D272" s="57">
        <f>[1]!S_STM07_CS($B$1,"W31756850",D3,1)/100000000</f>
        <v>0.61491689090000001</v>
      </c>
      <c r="E272" s="57">
        <f>[1]!S_STM07_CS($B$1,"W31756850",E3,1)/100000000</f>
        <v>0.91717889720000001</v>
      </c>
      <c r="F272" s="57">
        <f>[1]!S_STM07_CS($B$1,"W31756850",F3,1)/100000000</f>
        <v>3.4862426689999997</v>
      </c>
      <c r="G272" s="57">
        <f>[1]!S_STM07_CS($B$1,"W31756850",G3,1)/100000000</f>
        <v>1.9133984066</v>
      </c>
      <c r="H272" s="57">
        <f>[1]!S_STM07_CS($B$1,"W31756850",H3,1)/100000000</f>
        <v>6.7459341557000005</v>
      </c>
      <c r="I272" s="57">
        <f>[1]!S_STM07_CS($B$1,"W31756850",I3,1)/100000000</f>
        <v>4.9083181183999995</v>
      </c>
    </row>
    <row r="273" spans="1:9" x14ac:dyDescent="0.25">
      <c r="A273" s="55" t="s">
        <v>361</v>
      </c>
      <c r="B273" s="57">
        <f>[1]!S_STM07_CS($B$1,"W30490201",B3,1)/100000000</f>
        <v>0</v>
      </c>
      <c r="C273" s="57">
        <f>[1]!S_STM07_CS($B$1,"W30490201",C3,1)/100000000</f>
        <v>0</v>
      </c>
      <c r="D273" s="57">
        <f>[1]!S_STM07_CS($B$1,"W30490201",D3,1)/100000000</f>
        <v>0</v>
      </c>
      <c r="E273" s="57">
        <f>[1]!S_STM07_CS($B$1,"W30490201",E3,1)/100000000</f>
        <v>0</v>
      </c>
      <c r="F273" s="57">
        <f>[1]!S_STM07_CS($B$1,"W30490201",F3,1)/100000000</f>
        <v>0</v>
      </c>
      <c r="G273" s="57">
        <f>[1]!S_STM07_CS($B$1,"W30490201",G3,1)/100000000</f>
        <v>0</v>
      </c>
      <c r="H273" s="57">
        <f>[1]!S_STM07_CS($B$1,"W30490201",H3,1)/100000000</f>
        <v>0</v>
      </c>
      <c r="I273" s="57">
        <f>[1]!S_STM07_CS($B$1,"W30490201",I3,1)/100000000</f>
        <v>0</v>
      </c>
    </row>
    <row r="274" spans="1:9" x14ac:dyDescent="0.25">
      <c r="A274" s="55" t="s">
        <v>362</v>
      </c>
      <c r="B274" s="57">
        <f>[1]!S_STM07_CS($B$1,"W38104273",B3,1)/100000000</f>
        <v>0</v>
      </c>
      <c r="C274" s="57">
        <f>[1]!S_STM07_CS($B$1,"W38104273",C3,1)/100000000</f>
        <v>0</v>
      </c>
      <c r="D274" s="57">
        <f>[1]!S_STM07_CS($B$1,"W38104273",D3,1)/100000000</f>
        <v>0</v>
      </c>
      <c r="E274" s="57">
        <f>[1]!S_STM07_CS($B$1,"W38104273",E3,1)/100000000</f>
        <v>0</v>
      </c>
      <c r="F274" s="57">
        <f>[1]!S_STM07_CS($B$1,"W38104273",F3,1)/100000000</f>
        <v>0</v>
      </c>
      <c r="G274" s="57">
        <f>[1]!S_STM07_CS($B$1,"W38104273",G3,1)/100000000</f>
        <v>0</v>
      </c>
      <c r="H274" s="57">
        <f>[1]!S_STM07_CS($B$1,"W38104273",H3,1)/100000000</f>
        <v>0</v>
      </c>
      <c r="I274" s="57">
        <f>[1]!S_STM07_CS($B$1,"W38104273",I3,1)/100000000</f>
        <v>0</v>
      </c>
    </row>
    <row r="275" spans="1:9" x14ac:dyDescent="0.25">
      <c r="A275" s="55" t="s">
        <v>363</v>
      </c>
      <c r="B275" s="57">
        <f>[1]!S_STM07_CS($B$1,"W35440161",B3,1)/100000000</f>
        <v>0</v>
      </c>
      <c r="C275" s="57">
        <f>[1]!S_STM07_CS($B$1,"W35440161",C3,1)/100000000</f>
        <v>0</v>
      </c>
      <c r="D275" s="57">
        <f>[1]!S_STM07_CS($B$1,"W35440161",D3,1)/100000000</f>
        <v>0</v>
      </c>
      <c r="E275" s="57">
        <f>[1]!S_STM07_CS($B$1,"W35440161",E3,1)/100000000</f>
        <v>0</v>
      </c>
      <c r="F275" s="57">
        <f>[1]!S_STM07_CS($B$1,"W35440161",F3,1)/100000000</f>
        <v>0</v>
      </c>
      <c r="G275" s="57">
        <f>[1]!S_STM07_CS($B$1,"W35440161",G3,1)/100000000</f>
        <v>0</v>
      </c>
      <c r="H275" s="57">
        <f>[1]!S_STM07_CS($B$1,"W35440161",H3,1)/100000000</f>
        <v>0</v>
      </c>
      <c r="I275" s="57">
        <f>[1]!S_STM07_CS($B$1,"W35440161",I3,1)/100000000</f>
        <v>0</v>
      </c>
    </row>
    <row r="276" spans="1:9" x14ac:dyDescent="0.25">
      <c r="A276" s="55" t="s">
        <v>364</v>
      </c>
      <c r="B276" s="57">
        <f>[1]!S_STM07_CS($B$1,"W34780844",B3,1)/100000000</f>
        <v>0</v>
      </c>
      <c r="C276" s="57">
        <f>[1]!S_STM07_CS($B$1,"W34780844",C3,1)/100000000</f>
        <v>0</v>
      </c>
      <c r="D276" s="57">
        <f>[1]!S_STM07_CS($B$1,"W34780844",D3,1)/100000000</f>
        <v>0</v>
      </c>
      <c r="E276" s="57">
        <f>[1]!S_STM07_CS($B$1,"W34780844",E3,1)/100000000</f>
        <v>0</v>
      </c>
      <c r="F276" s="57">
        <f>[1]!S_STM07_CS($B$1,"W34780844",F3,1)/100000000</f>
        <v>0</v>
      </c>
      <c r="G276" s="57">
        <f>[1]!S_STM07_CS($B$1,"W34780844",G3,1)/100000000</f>
        <v>0</v>
      </c>
      <c r="H276" s="57">
        <f>[1]!S_STM07_CS($B$1,"W34780844",H3,1)/100000000</f>
        <v>0</v>
      </c>
      <c r="I276" s="57">
        <f>[1]!S_STM07_CS($B$1,"W34780844",I3,1)/100000000</f>
        <v>0</v>
      </c>
    </row>
    <row r="277" spans="1:9" x14ac:dyDescent="0.25">
      <c r="A277" s="55" t="s">
        <v>365</v>
      </c>
      <c r="B277" s="57">
        <f>[1]!S_STM07_CS($B$1,"W38268056",B3,1)/100000000</f>
        <v>-7.5097029000000008E-3</v>
      </c>
      <c r="C277" s="57">
        <f>[1]!S_STM07_CS($B$1,"W38268056",C3,1)/100000000</f>
        <v>0.11332967769999999</v>
      </c>
      <c r="D277" s="57">
        <f>[1]!S_STM07_CS($B$1,"W38268056",D3,1)/100000000</f>
        <v>0.3022620063</v>
      </c>
      <c r="E277" s="57">
        <f>[1]!S_STM07_CS($B$1,"W38268056",E3,1)/100000000</f>
        <v>2.5690637718000002</v>
      </c>
      <c r="F277" s="57">
        <f>[1]!S_STM07_CS($B$1,"W38268056",F3,1)/100000000</f>
        <v>-1.5728442624000001</v>
      </c>
      <c r="G277" s="57">
        <f>[1]!S_STM07_CS($B$1,"W38268056",G3,1)/100000000</f>
        <v>4.8325357490999998</v>
      </c>
      <c r="H277" s="57">
        <f>[1]!S_STM07_CS($B$1,"W38268056",H3,1)/100000000</f>
        <v>-1.8376160372999999</v>
      </c>
      <c r="I277" s="57">
        <f>[1]!S_STM07_CS($B$1,"W38268056",I3,1)/100000000</f>
        <v>-0.9823791422</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5" sqref="A15"/>
    </sheetView>
  </sheetViews>
  <sheetFormatPr defaultRowHeight="13.8" x14ac:dyDescent="0.25"/>
  <cols>
    <col min="1" max="1" width="15.109375" customWidth="1"/>
    <col min="2" max="2" width="23.44140625" style="1" customWidth="1"/>
    <col min="3" max="3" width="11.6640625" customWidth="1"/>
    <col min="4" max="4" width="11.21875" customWidth="1"/>
    <col min="5" max="5" width="11" customWidth="1"/>
    <col min="6" max="6" width="27.33203125" customWidth="1"/>
  </cols>
  <sheetData>
    <row r="1" spans="1:2" x14ac:dyDescent="0.25">
      <c r="A1" s="1"/>
      <c r="B1" s="1" t="s">
        <v>463</v>
      </c>
    </row>
    <row r="2" spans="1:2" x14ac:dyDescent="0.25">
      <c r="A2" s="1" t="s">
        <v>0</v>
      </c>
      <c r="B2" s="3" t="s">
        <v>3</v>
      </c>
    </row>
    <row r="3" spans="1:2" x14ac:dyDescent="0.25">
      <c r="A3" s="1" t="s">
        <v>2</v>
      </c>
      <c r="B3" s="1" t="str">
        <f xml:space="preserve"> [1]!cb_info_name(B2)</f>
        <v>塞力转债</v>
      </c>
    </row>
    <row r="4" spans="1:2" x14ac:dyDescent="0.25">
      <c r="A4" s="1" t="s">
        <v>1</v>
      </c>
      <c r="B4" s="1" t="str">
        <f>[1]!cb_info_underlyingcode(B2)</f>
        <v>603716.SH</v>
      </c>
    </row>
    <row r="5" spans="1:2" x14ac:dyDescent="0.25">
      <c r="A5" s="1" t="s">
        <v>4</v>
      </c>
      <c r="B5" s="1" t="str">
        <f>[1]!cb_info_underlyingname(B2)</f>
        <v>塞力斯</v>
      </c>
    </row>
    <row r="6" spans="1:2" x14ac:dyDescent="0.25">
      <c r="A6" s="1" t="s">
        <v>5</v>
      </c>
      <c r="B6" s="1" t="str">
        <f>[1]!s_info_compname(B4)</f>
        <v>塞力斯医疗科技股份有限公司</v>
      </c>
    </row>
    <row r="7" spans="1:2" x14ac:dyDescent="0.25">
      <c r="A7" s="1" t="s">
        <v>7</v>
      </c>
      <c r="B7" s="1" t="str">
        <f>[1]!s_info_industry_sw(B2,4)</f>
        <v>医药生物--医药商业</v>
      </c>
    </row>
    <row r="8" spans="1:2" x14ac:dyDescent="0.25">
      <c r="A8" s="1" t="s">
        <v>6</v>
      </c>
      <c r="B8" s="1" t="str">
        <f>[1]!s_info_majorproducttype(B2)</f>
        <v>医用耗材、诊断治疗设备</v>
      </c>
    </row>
    <row r="9" spans="1:2" x14ac:dyDescent="0.25">
      <c r="A9" s="1" t="s">
        <v>33</v>
      </c>
      <c r="B9" s="1">
        <f>[1]!cb_info_term(B2)</f>
        <v>6</v>
      </c>
    </row>
    <row r="10" spans="1:2" x14ac:dyDescent="0.25">
      <c r="A10" s="1" t="s">
        <v>29</v>
      </c>
      <c r="B10" s="1" t="str">
        <f>[1]!cb_info_creditrating(B2)</f>
        <v>AA-</v>
      </c>
    </row>
    <row r="11" spans="1:2" x14ac:dyDescent="0.25">
      <c r="A11" s="1" t="s">
        <v>47</v>
      </c>
      <c r="B11" s="1">
        <f>[1]!b_info_outstandingbalance(B2,)</f>
        <v>5.4330999999999996</v>
      </c>
    </row>
    <row r="12" spans="1:2" x14ac:dyDescent="0.25">
      <c r="A12" s="1" t="s">
        <v>464</v>
      </c>
      <c r="B12" s="1" t="str">
        <f>[1]!issuerrating(B2)</f>
        <v>AA-</v>
      </c>
    </row>
    <row r="13" spans="1:2" x14ac:dyDescent="0.25">
      <c r="A13" s="1" t="s">
        <v>465</v>
      </c>
      <c r="B13" s="1" t="str">
        <f>[1]!b_rate_creditratingagency(B2)</f>
        <v>中证鹏元资信评估股份有限公司</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10" sqref="B10"/>
    </sheetView>
  </sheetViews>
  <sheetFormatPr defaultRowHeight="13.8" x14ac:dyDescent="0.25"/>
  <cols>
    <col min="1" max="1" width="34.21875" style="4" customWidth="1"/>
    <col min="2" max="2" width="28.33203125" style="4" customWidth="1"/>
  </cols>
  <sheetData>
    <row r="1" spans="1:2" x14ac:dyDescent="0.25">
      <c r="A1"/>
      <c r="B1" t="s">
        <v>463</v>
      </c>
    </row>
    <row r="2" spans="1:2" x14ac:dyDescent="0.25">
      <c r="A2" s="1" t="s">
        <v>8</v>
      </c>
      <c r="B2" s="1" t="str">
        <f>[1]!s_holder_controller(简介!B4,)</f>
        <v>温伟</v>
      </c>
    </row>
    <row r="3" spans="1:2" x14ac:dyDescent="0.25">
      <c r="A3" s="1" t="s">
        <v>13</v>
      </c>
      <c r="B3" s="1" t="str">
        <f>[1]!s_holder_controllerattr(简介!B4,)</f>
        <v>个人</v>
      </c>
    </row>
    <row r="4" spans="1:2" x14ac:dyDescent="0.25">
      <c r="A4" s="1" t="s">
        <v>21</v>
      </c>
      <c r="B4" s="1" t="s">
        <v>23</v>
      </c>
    </row>
    <row r="5" spans="1:2" x14ac:dyDescent="0.25">
      <c r="A5" s="1" t="s">
        <v>22</v>
      </c>
      <c r="B5" s="1" t="s">
        <v>24</v>
      </c>
    </row>
    <row r="6" spans="1:2" x14ac:dyDescent="0.25">
      <c r="A6" s="1" t="s">
        <v>9</v>
      </c>
      <c r="B6" s="1" t="str">
        <f>[1]!s_holder_name(简介!B4,,1)</f>
        <v>天津市瑞美科学仪器有限公司</v>
      </c>
    </row>
    <row r="7" spans="1:2" x14ac:dyDescent="0.25">
      <c r="A7" s="1" t="s">
        <v>10</v>
      </c>
      <c r="B7" s="1">
        <f>[1]!s_holder_pct(简介!B4,,1)</f>
        <v>40.060001373291016</v>
      </c>
    </row>
    <row r="8" spans="1:2" x14ac:dyDescent="0.25">
      <c r="A8" s="1" t="s">
        <v>15</v>
      </c>
      <c r="B8" s="1">
        <f>[1]!s_share_pledgeda_pct_holder(简介!B4,,1)</f>
        <v>66.245664031895842</v>
      </c>
    </row>
    <row r="9" spans="1:2" x14ac:dyDescent="0.25">
      <c r="A9" s="1" t="s">
        <v>20</v>
      </c>
      <c r="B9" s="1" t="str">
        <f>[1]!s_holder_name(简介!B4,,2)</f>
        <v>温伟</v>
      </c>
    </row>
    <row r="10" spans="1:2" x14ac:dyDescent="0.25">
      <c r="A10" s="1" t="s">
        <v>14</v>
      </c>
      <c r="B10" s="1">
        <f>[1]!s_holder_pct(简介!B4,,2)</f>
        <v>4.6999998092651367</v>
      </c>
    </row>
    <row r="11" spans="1:2" x14ac:dyDescent="0.25">
      <c r="A11" s="1" t="s">
        <v>16</v>
      </c>
      <c r="B11" s="1">
        <f>[1]!s_share_pledgeda_pct_holder(简介!B4,,2)</f>
        <v>76.809635000614477</v>
      </c>
    </row>
    <row r="12" spans="1:2" x14ac:dyDescent="0.25">
      <c r="A12" s="1" t="s">
        <v>17</v>
      </c>
      <c r="B12" s="1" t="str">
        <f>[1]!s_holder_name(简介!B4,,3)</f>
        <v>上海高能投资管理有限公司-高能汇实专项私募股权投资基金1号</v>
      </c>
    </row>
    <row r="13" spans="1:2" x14ac:dyDescent="0.25">
      <c r="A13" s="1" t="s">
        <v>18</v>
      </c>
      <c r="B13" s="1">
        <f>[1]!s_holder_pct(简介!B4,,3)</f>
        <v>4.5</v>
      </c>
    </row>
    <row r="14" spans="1:2" x14ac:dyDescent="0.25">
      <c r="A14" s="1" t="s">
        <v>19</v>
      </c>
      <c r="B14" s="1">
        <f>[1]!s_share_pledgeda_pct_holder(简介!B4,,3)</f>
        <v>0</v>
      </c>
    </row>
    <row r="15" spans="1:2" x14ac:dyDescent="0.25">
      <c r="A15" s="1" t="s">
        <v>11</v>
      </c>
      <c r="B15" s="1" t="str">
        <f>[1]!s_info_boardchairmen(简介!B4,)</f>
        <v>温伟</v>
      </c>
    </row>
    <row r="16" spans="1:2" x14ac:dyDescent="0.25">
      <c r="A16" s="1" t="s">
        <v>12</v>
      </c>
      <c r="B16" s="1" t="str">
        <f>[1]!s_info_ceo(简介!B4,"")</f>
        <v>温伟</v>
      </c>
    </row>
    <row r="17" spans="1:2" x14ac:dyDescent="0.25">
      <c r="A17" s="1" t="s">
        <v>25</v>
      </c>
      <c r="B17" s="2" t="str">
        <f>[1]!s_share_rtd_unlockingdate_fwd(简介!B4,)</f>
        <v>2021-06-10</v>
      </c>
    </row>
    <row r="18" spans="1:2" x14ac:dyDescent="0.25">
      <c r="A18" s="1" t="s">
        <v>28</v>
      </c>
      <c r="B18" s="1">
        <f>[1]!s_share_tradable_current_fwd(简介!B4,)/[1]!s_share_freeshares(简介!B4,)</f>
        <v>8.2222207507957612E-2</v>
      </c>
    </row>
    <row r="19" spans="1:2" x14ac:dyDescent="0.25">
      <c r="A19" s="1" t="s">
        <v>26</v>
      </c>
      <c r="B19" s="1" t="str">
        <f>[1]!s_share_rtd_datatype_fwd(简介!B4,)</f>
        <v>计算值</v>
      </c>
    </row>
    <row r="20" spans="1:2" x14ac:dyDescent="0.25">
      <c r="A20" s="1" t="s">
        <v>27</v>
      </c>
      <c r="B20" s="1" t="str">
        <f>[1]!s_share_tradable_sharetype_fwd(简介!B4,)</f>
        <v>定向增发机构配售股份</v>
      </c>
    </row>
    <row r="21" spans="1:2" x14ac:dyDescent="0.25">
      <c r="A21" s="1" t="s">
        <v>483</v>
      </c>
      <c r="B21" s="1">
        <f>[1]!s_holder_pctbyfund(简介!B4,报告期!B2)</f>
        <v>0.70142029215714097</v>
      </c>
    </row>
    <row r="22" spans="1:2" x14ac:dyDescent="0.25">
      <c r="A22" s="1"/>
      <c r="B22" s="1"/>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workbookViewId="0">
      <pane xSplit="1" ySplit="5" topLeftCell="B6" activePane="bottomRight" state="frozen"/>
      <selection pane="topRight" activeCell="B1" sqref="B1"/>
      <selection pane="bottomLeft" activeCell="A6" sqref="A6"/>
      <selection pane="bottomRight" activeCell="H6" sqref="H6"/>
    </sheetView>
  </sheetViews>
  <sheetFormatPr defaultRowHeight="13.8" x14ac:dyDescent="0.25"/>
  <cols>
    <col min="1" max="1" width="54.109375" customWidth="1"/>
    <col min="2" max="7" width="11.109375" bestFit="1" customWidth="1"/>
  </cols>
  <sheetData>
    <row r="1" spans="1:7" x14ac:dyDescent="0.25">
      <c r="A1" s="69" t="s">
        <v>366</v>
      </c>
      <c r="B1" s="71" t="str">
        <f>简介!B4</f>
        <v>603716.SH</v>
      </c>
    </row>
    <row r="2" spans="1:7" x14ac:dyDescent="0.25">
      <c r="A2" s="69" t="s">
        <v>367</v>
      </c>
      <c r="B2" s="70" t="str">
        <f>[1]!s_info_name($B$1)</f>
        <v>塞力斯</v>
      </c>
    </row>
    <row r="3" spans="1:7" x14ac:dyDescent="0.25">
      <c r="A3" s="76" t="str">
        <f>[1]!WFR(B1,"2015:2020","Func=Rpt.SalesSegments20","rptType=1","singleSeason=0","unit=100000000","currencyType=ORIG","order=RIGHT","rate=HISTORY","version=1","quarterindic=0","showcurrency=1","reportPeriod=24","cols=6;rows=47")</f>
        <v xml:space="preserve">                                                                                                              </v>
      </c>
    </row>
    <row r="4" spans="1:7" x14ac:dyDescent="0.25">
      <c r="A4" s="73" t="s">
        <v>450</v>
      </c>
      <c r="B4" s="72"/>
      <c r="C4" s="72"/>
      <c r="D4" s="72"/>
      <c r="E4" s="72"/>
      <c r="F4" s="72"/>
      <c r="G4" s="72"/>
    </row>
    <row r="5" spans="1:7" x14ac:dyDescent="0.25">
      <c r="A5" s="74" t="s">
        <v>447</v>
      </c>
      <c r="B5" s="77">
        <v>42369</v>
      </c>
      <c r="C5" s="77">
        <v>42735</v>
      </c>
      <c r="D5" s="77">
        <v>43100</v>
      </c>
      <c r="E5" s="77">
        <v>43465</v>
      </c>
      <c r="F5" s="77">
        <v>43830</v>
      </c>
      <c r="G5" s="77">
        <v>44012</v>
      </c>
    </row>
    <row r="6" spans="1:7" x14ac:dyDescent="0.25">
      <c r="A6" s="75" t="s">
        <v>368</v>
      </c>
      <c r="B6" s="78" t="s">
        <v>377</v>
      </c>
      <c r="C6" s="78" t="s">
        <v>377</v>
      </c>
      <c r="D6" s="78" t="s">
        <v>377</v>
      </c>
      <c r="E6" s="78" t="s">
        <v>377</v>
      </c>
      <c r="F6" s="78" t="s">
        <v>377</v>
      </c>
      <c r="G6" s="78" t="s">
        <v>467</v>
      </c>
    </row>
    <row r="7" spans="1:7" x14ac:dyDescent="0.25">
      <c r="A7" s="75" t="s">
        <v>369</v>
      </c>
      <c r="B7" s="79" t="s">
        <v>378</v>
      </c>
      <c r="C7" s="79" t="s">
        <v>378</v>
      </c>
      <c r="D7" s="79" t="s">
        <v>378</v>
      </c>
      <c r="E7" s="79" t="s">
        <v>378</v>
      </c>
      <c r="F7" s="79" t="s">
        <v>378</v>
      </c>
      <c r="G7" s="79" t="s">
        <v>466</v>
      </c>
    </row>
    <row r="8" spans="1:7" x14ac:dyDescent="0.25">
      <c r="A8" s="75" t="s">
        <v>370</v>
      </c>
      <c r="B8" s="78">
        <v>5.3</v>
      </c>
      <c r="C8" s="78">
        <v>6.27</v>
      </c>
      <c r="D8" s="78">
        <v>9.2100000000000009</v>
      </c>
      <c r="E8" s="78">
        <v>13.17</v>
      </c>
      <c r="F8" s="78">
        <v>18.309999999999999</v>
      </c>
      <c r="G8" s="78">
        <v>7.72</v>
      </c>
    </row>
    <row r="9" spans="1:7" x14ac:dyDescent="0.25">
      <c r="A9" s="75" t="s">
        <v>484</v>
      </c>
      <c r="B9" s="79">
        <v>5.3</v>
      </c>
      <c r="C9" s="79">
        <v>6.27</v>
      </c>
      <c r="D9" s="79">
        <v>9.2100000000000009</v>
      </c>
      <c r="E9" s="79">
        <v>13.17</v>
      </c>
      <c r="F9" s="79">
        <v>18.309999999999999</v>
      </c>
      <c r="G9" s="79"/>
    </row>
    <row r="10" spans="1:7" x14ac:dyDescent="0.25">
      <c r="A10" s="75" t="s">
        <v>459</v>
      </c>
      <c r="B10" s="78"/>
      <c r="C10" s="78"/>
      <c r="D10" s="78"/>
      <c r="E10" s="78">
        <v>12.94</v>
      </c>
      <c r="F10" s="78">
        <v>17.87</v>
      </c>
      <c r="G10" s="78"/>
    </row>
    <row r="11" spans="1:7" x14ac:dyDescent="0.25">
      <c r="A11" s="75" t="s">
        <v>460</v>
      </c>
      <c r="B11" s="79"/>
      <c r="C11" s="79"/>
      <c r="D11" s="79"/>
      <c r="E11" s="79">
        <v>0.24</v>
      </c>
      <c r="F11" s="79">
        <v>0.44</v>
      </c>
      <c r="G11" s="79"/>
    </row>
    <row r="12" spans="1:7" x14ac:dyDescent="0.25">
      <c r="A12" s="75" t="s">
        <v>461</v>
      </c>
      <c r="B12" s="78">
        <v>4.6500000000000004</v>
      </c>
      <c r="C12" s="78">
        <v>5.76</v>
      </c>
      <c r="D12" s="78">
        <v>7.42</v>
      </c>
      <c r="E12" s="78"/>
      <c r="F12" s="78"/>
      <c r="G12" s="78"/>
    </row>
    <row r="13" spans="1:7" x14ac:dyDescent="0.25">
      <c r="A13" s="75" t="s">
        <v>462</v>
      </c>
      <c r="B13" s="79">
        <v>0.64</v>
      </c>
      <c r="C13" s="79">
        <v>0.51</v>
      </c>
      <c r="D13" s="79">
        <v>1.78</v>
      </c>
      <c r="E13" s="79"/>
      <c r="F13" s="79"/>
      <c r="G13" s="79"/>
    </row>
    <row r="14" spans="1:7" x14ac:dyDescent="0.25">
      <c r="A14" s="75" t="s">
        <v>452</v>
      </c>
      <c r="B14" s="78"/>
      <c r="C14" s="78"/>
      <c r="D14" s="78"/>
      <c r="E14" s="78"/>
      <c r="F14" s="78"/>
      <c r="G14" s="78"/>
    </row>
    <row r="15" spans="1:7" x14ac:dyDescent="0.25">
      <c r="A15" s="75" t="s">
        <v>485</v>
      </c>
      <c r="B15" s="79">
        <v>5.3</v>
      </c>
      <c r="C15" s="79">
        <v>6.27</v>
      </c>
      <c r="D15" s="79">
        <v>9.2100000000000009</v>
      </c>
      <c r="E15" s="79">
        <v>13.17</v>
      </c>
      <c r="F15" s="79">
        <v>18.309999999999999</v>
      </c>
      <c r="G15" s="79"/>
    </row>
    <row r="16" spans="1:7" x14ac:dyDescent="0.25">
      <c r="A16" s="75" t="s">
        <v>454</v>
      </c>
      <c r="B16" s="78">
        <v>5.3</v>
      </c>
      <c r="C16" s="78">
        <v>6.27</v>
      </c>
      <c r="D16" s="78">
        <v>9.2100000000000009</v>
      </c>
      <c r="E16" s="78">
        <v>13.17</v>
      </c>
      <c r="F16" s="78">
        <v>18.309999999999999</v>
      </c>
      <c r="G16" s="78"/>
    </row>
    <row r="17" spans="1:7" x14ac:dyDescent="0.25">
      <c r="A17" s="75" t="s">
        <v>455</v>
      </c>
      <c r="B17" s="79"/>
      <c r="C17" s="79"/>
      <c r="D17" s="79"/>
      <c r="E17" s="79"/>
      <c r="F17" s="79"/>
      <c r="G17" s="79"/>
    </row>
    <row r="18" spans="1:7" x14ac:dyDescent="0.25">
      <c r="A18" s="75" t="s">
        <v>456</v>
      </c>
      <c r="B18" s="78">
        <v>3.42</v>
      </c>
      <c r="C18" s="78">
        <v>4.09</v>
      </c>
      <c r="D18" s="78">
        <v>6.1</v>
      </c>
      <c r="E18" s="78">
        <v>8.99</v>
      </c>
      <c r="F18" s="78">
        <v>13.1</v>
      </c>
      <c r="G18" s="78">
        <v>5.77</v>
      </c>
    </row>
    <row r="19" spans="1:7" x14ac:dyDescent="0.25">
      <c r="A19" s="75" t="s">
        <v>451</v>
      </c>
      <c r="B19" s="79">
        <v>3.42</v>
      </c>
      <c r="C19" s="79">
        <v>4.09</v>
      </c>
      <c r="D19" s="79">
        <v>6.1</v>
      </c>
      <c r="E19" s="79">
        <v>8.99</v>
      </c>
      <c r="F19" s="79">
        <v>13.1</v>
      </c>
      <c r="G19" s="79"/>
    </row>
    <row r="20" spans="1:7" x14ac:dyDescent="0.25">
      <c r="A20" s="75" t="s">
        <v>459</v>
      </c>
      <c r="B20" s="78"/>
      <c r="C20" s="78"/>
      <c r="D20" s="78"/>
      <c r="E20" s="78">
        <v>8.7899999999999991</v>
      </c>
      <c r="F20" s="78">
        <v>12.69</v>
      </c>
      <c r="G20" s="78"/>
    </row>
    <row r="21" spans="1:7" x14ac:dyDescent="0.25">
      <c r="A21" s="75" t="s">
        <v>460</v>
      </c>
      <c r="B21" s="79"/>
      <c r="C21" s="79"/>
      <c r="D21" s="79"/>
      <c r="E21" s="79">
        <v>0.2</v>
      </c>
      <c r="F21" s="79">
        <v>0.41</v>
      </c>
      <c r="G21" s="79"/>
    </row>
    <row r="22" spans="1:7" x14ac:dyDescent="0.25">
      <c r="A22" s="75" t="s">
        <v>461</v>
      </c>
      <c r="B22" s="78">
        <v>3.03</v>
      </c>
      <c r="C22" s="78">
        <v>3.79</v>
      </c>
      <c r="D22" s="78">
        <v>5.04</v>
      </c>
      <c r="E22" s="78"/>
      <c r="F22" s="78"/>
      <c r="G22" s="78"/>
    </row>
    <row r="23" spans="1:7" x14ac:dyDescent="0.25">
      <c r="A23" s="75" t="s">
        <v>462</v>
      </c>
      <c r="B23" s="79">
        <v>0.4</v>
      </c>
      <c r="C23" s="79">
        <v>0.3</v>
      </c>
      <c r="D23" s="79">
        <v>1.06</v>
      </c>
      <c r="E23" s="79"/>
      <c r="F23" s="79"/>
      <c r="G23" s="79"/>
    </row>
    <row r="24" spans="1:7" x14ac:dyDescent="0.25">
      <c r="A24" s="75" t="s">
        <v>452</v>
      </c>
      <c r="B24" s="78"/>
      <c r="C24" s="78"/>
      <c r="D24" s="78"/>
      <c r="E24" s="78"/>
      <c r="F24" s="78"/>
      <c r="G24" s="78"/>
    </row>
    <row r="25" spans="1:7" x14ac:dyDescent="0.25">
      <c r="A25" s="75" t="s">
        <v>453</v>
      </c>
      <c r="B25" s="79">
        <v>3.42</v>
      </c>
      <c r="C25" s="79">
        <v>4.09</v>
      </c>
      <c r="D25" s="79">
        <v>6.1</v>
      </c>
      <c r="E25" s="79">
        <v>8.99</v>
      </c>
      <c r="F25" s="79">
        <v>13.1</v>
      </c>
      <c r="G25" s="79"/>
    </row>
    <row r="26" spans="1:7" x14ac:dyDescent="0.25">
      <c r="A26" s="75" t="s">
        <v>454</v>
      </c>
      <c r="B26" s="78">
        <v>3.42</v>
      </c>
      <c r="C26" s="78">
        <v>4.09</v>
      </c>
      <c r="D26" s="78">
        <v>6.1</v>
      </c>
      <c r="E26" s="78">
        <v>8.99</v>
      </c>
      <c r="F26" s="78">
        <v>13.1</v>
      </c>
      <c r="G26" s="78"/>
    </row>
    <row r="27" spans="1:7" x14ac:dyDescent="0.25">
      <c r="A27" s="75" t="s">
        <v>455</v>
      </c>
      <c r="B27" s="79"/>
      <c r="C27" s="79"/>
      <c r="D27" s="79"/>
      <c r="E27" s="79"/>
      <c r="F27" s="79"/>
      <c r="G27" s="79"/>
    </row>
    <row r="28" spans="1:7" x14ac:dyDescent="0.25">
      <c r="A28" s="75" t="s">
        <v>457</v>
      </c>
      <c r="B28" s="78">
        <v>1.87</v>
      </c>
      <c r="C28" s="78">
        <v>2.1800000000000002</v>
      </c>
      <c r="D28" s="78">
        <v>3.1</v>
      </c>
      <c r="E28" s="78">
        <v>4.18</v>
      </c>
      <c r="F28" s="78">
        <v>5.21</v>
      </c>
      <c r="G28" s="78">
        <v>1.94</v>
      </c>
    </row>
    <row r="29" spans="1:7" x14ac:dyDescent="0.25">
      <c r="A29" s="75" t="s">
        <v>451</v>
      </c>
      <c r="B29" s="79">
        <v>1.87</v>
      </c>
      <c r="C29" s="79">
        <v>2.1800000000000002</v>
      </c>
      <c r="D29" s="79">
        <v>3.1</v>
      </c>
      <c r="E29" s="79">
        <v>4.18</v>
      </c>
      <c r="F29" s="79">
        <v>5.21</v>
      </c>
      <c r="G29" s="79"/>
    </row>
    <row r="30" spans="1:7" x14ac:dyDescent="0.25">
      <c r="A30" s="75" t="s">
        <v>459</v>
      </c>
      <c r="B30" s="78"/>
      <c r="C30" s="78"/>
      <c r="D30" s="78"/>
      <c r="E30" s="78">
        <v>4.1399999999999997</v>
      </c>
      <c r="F30" s="78">
        <v>5.18</v>
      </c>
      <c r="G30" s="78"/>
    </row>
    <row r="31" spans="1:7" x14ac:dyDescent="0.25">
      <c r="A31" s="75" t="s">
        <v>460</v>
      </c>
      <c r="B31" s="79"/>
      <c r="C31" s="79"/>
      <c r="D31" s="79"/>
      <c r="E31" s="79">
        <v>0.04</v>
      </c>
      <c r="F31" s="79">
        <v>0.03</v>
      </c>
      <c r="G31" s="79"/>
    </row>
    <row r="32" spans="1:7" x14ac:dyDescent="0.25">
      <c r="A32" s="75" t="s">
        <v>461</v>
      </c>
      <c r="B32" s="78">
        <v>1.63</v>
      </c>
      <c r="C32" s="78">
        <v>1.97</v>
      </c>
      <c r="D32" s="78">
        <v>2.38</v>
      </c>
      <c r="E32" s="78"/>
      <c r="F32" s="78"/>
      <c r="G32" s="78"/>
    </row>
    <row r="33" spans="1:7" x14ac:dyDescent="0.25">
      <c r="A33" s="75" t="s">
        <v>462</v>
      </c>
      <c r="B33" s="79">
        <v>0.25</v>
      </c>
      <c r="C33" s="79">
        <v>0.22</v>
      </c>
      <c r="D33" s="79">
        <v>0.72</v>
      </c>
      <c r="E33" s="79"/>
      <c r="F33" s="79"/>
      <c r="G33" s="79"/>
    </row>
    <row r="34" spans="1:7" x14ac:dyDescent="0.25">
      <c r="A34" s="75" t="s">
        <v>452</v>
      </c>
      <c r="B34" s="78"/>
      <c r="C34" s="78"/>
      <c r="D34" s="78"/>
      <c r="E34" s="78"/>
      <c r="F34" s="78"/>
      <c r="G34" s="78"/>
    </row>
    <row r="35" spans="1:7" x14ac:dyDescent="0.25">
      <c r="A35" s="75" t="s">
        <v>453</v>
      </c>
      <c r="B35" s="79">
        <v>1.87</v>
      </c>
      <c r="C35" s="79">
        <v>2.1800000000000002</v>
      </c>
      <c r="D35" s="79">
        <v>3.1</v>
      </c>
      <c r="E35" s="79">
        <v>4.18</v>
      </c>
      <c r="F35" s="79">
        <v>5.21</v>
      </c>
      <c r="G35" s="79"/>
    </row>
    <row r="36" spans="1:7" x14ac:dyDescent="0.25">
      <c r="A36" s="75" t="s">
        <v>454</v>
      </c>
      <c r="B36" s="78">
        <v>1.87</v>
      </c>
      <c r="C36" s="78">
        <v>2.1800000000000002</v>
      </c>
      <c r="D36" s="78">
        <v>3.1</v>
      </c>
      <c r="E36" s="78">
        <v>4.18</v>
      </c>
      <c r="F36" s="78">
        <v>5.21</v>
      </c>
      <c r="G36" s="78"/>
    </row>
    <row r="37" spans="1:7" x14ac:dyDescent="0.25">
      <c r="A37" s="75" t="s">
        <v>455</v>
      </c>
      <c r="B37" s="79"/>
      <c r="C37" s="79"/>
      <c r="D37" s="79"/>
      <c r="E37" s="79"/>
      <c r="F37" s="79"/>
      <c r="G37" s="79"/>
    </row>
    <row r="38" spans="1:7" x14ac:dyDescent="0.25">
      <c r="A38" s="75" t="s">
        <v>458</v>
      </c>
      <c r="B38" s="78">
        <v>35.351999999999997</v>
      </c>
      <c r="C38" s="78">
        <v>34.827199999999998</v>
      </c>
      <c r="D38" s="78">
        <v>33.684899999999999</v>
      </c>
      <c r="E38" s="78">
        <v>31.727599999999999</v>
      </c>
      <c r="F38" s="78">
        <v>28.4694</v>
      </c>
      <c r="G38" s="78">
        <v>25.167899999999999</v>
      </c>
    </row>
    <row r="39" spans="1:7" x14ac:dyDescent="0.25">
      <c r="A39" s="75" t="s">
        <v>451</v>
      </c>
      <c r="B39" s="79">
        <v>35.35</v>
      </c>
      <c r="C39" s="79">
        <v>34.83</v>
      </c>
      <c r="D39" s="79">
        <v>33.68</v>
      </c>
      <c r="E39" s="79">
        <v>31.73</v>
      </c>
      <c r="F39" s="79">
        <v>28.47</v>
      </c>
      <c r="G39" s="79"/>
    </row>
    <row r="40" spans="1:7" x14ac:dyDescent="0.25">
      <c r="A40" s="75" t="s">
        <v>459</v>
      </c>
      <c r="B40" s="78"/>
      <c r="C40" s="78"/>
      <c r="D40" s="78"/>
      <c r="E40" s="78">
        <v>32.020000000000003</v>
      </c>
      <c r="F40" s="78">
        <v>28.99</v>
      </c>
      <c r="G40" s="78"/>
    </row>
    <row r="41" spans="1:7" x14ac:dyDescent="0.25">
      <c r="A41" s="75" t="s">
        <v>460</v>
      </c>
      <c r="B41" s="79"/>
      <c r="C41" s="79"/>
      <c r="D41" s="79"/>
      <c r="E41" s="79">
        <v>15.63</v>
      </c>
      <c r="F41" s="79">
        <v>7.22</v>
      </c>
      <c r="G41" s="79"/>
    </row>
    <row r="42" spans="1:7" x14ac:dyDescent="0.25">
      <c r="A42" s="75" t="s">
        <v>461</v>
      </c>
      <c r="B42" s="78">
        <v>34.92</v>
      </c>
      <c r="C42" s="78">
        <v>34</v>
      </c>
      <c r="D42" s="78">
        <v>32.090000000000003</v>
      </c>
      <c r="E42" s="78"/>
      <c r="F42" s="78"/>
      <c r="G42" s="78"/>
    </row>
    <row r="43" spans="1:7" x14ac:dyDescent="0.25">
      <c r="A43" s="75" t="s">
        <v>462</v>
      </c>
      <c r="B43" s="79">
        <v>38.46</v>
      </c>
      <c r="C43" s="79">
        <v>42</v>
      </c>
      <c r="D43" s="79">
        <v>40.35</v>
      </c>
      <c r="E43" s="79"/>
      <c r="F43" s="79"/>
      <c r="G43" s="79"/>
    </row>
    <row r="44" spans="1:7" x14ac:dyDescent="0.25">
      <c r="A44" s="75" t="s">
        <v>452</v>
      </c>
      <c r="B44" s="78"/>
      <c r="C44" s="78"/>
      <c r="D44" s="78"/>
      <c r="E44" s="78"/>
      <c r="F44" s="78"/>
      <c r="G44" s="78"/>
    </row>
    <row r="45" spans="1:7" x14ac:dyDescent="0.25">
      <c r="A45" s="75" t="s">
        <v>453</v>
      </c>
      <c r="B45" s="79">
        <v>35.35</v>
      </c>
      <c r="C45" s="79">
        <v>34.83</v>
      </c>
      <c r="D45" s="79">
        <v>33.68</v>
      </c>
      <c r="E45" s="79">
        <v>31.73</v>
      </c>
      <c r="F45" s="79">
        <v>28.47</v>
      </c>
      <c r="G45" s="79"/>
    </row>
    <row r="46" spans="1:7" x14ac:dyDescent="0.25">
      <c r="A46" s="75" t="s">
        <v>454</v>
      </c>
      <c r="B46" s="78">
        <v>35.35</v>
      </c>
      <c r="C46" s="78">
        <v>34.83</v>
      </c>
      <c r="D46" s="78">
        <v>33.68</v>
      </c>
      <c r="E46" s="78">
        <v>31.73</v>
      </c>
      <c r="F46" s="78">
        <v>28.47</v>
      </c>
      <c r="G46" s="78"/>
    </row>
    <row r="47" spans="1:7" x14ac:dyDescent="0.25">
      <c r="A47" s="75" t="s">
        <v>455</v>
      </c>
      <c r="B47" s="79"/>
      <c r="C47" s="79"/>
      <c r="D47" s="79"/>
      <c r="E47" s="79"/>
      <c r="F47" s="79"/>
      <c r="G47" s="79"/>
    </row>
    <row r="48" spans="1:7" x14ac:dyDescent="0.25">
      <c r="A48" s="75" t="s">
        <v>371</v>
      </c>
      <c r="B48" s="80" t="s">
        <v>379</v>
      </c>
      <c r="C48" s="80" t="s">
        <v>379</v>
      </c>
      <c r="D48" s="80" t="s">
        <v>379</v>
      </c>
      <c r="E48" s="80" t="s">
        <v>379</v>
      </c>
      <c r="F48" s="80" t="s">
        <v>379</v>
      </c>
      <c r="G48" s="80" t="s">
        <v>468</v>
      </c>
    </row>
    <row r="49" spans="1:7" x14ac:dyDescent="0.25">
      <c r="A49" s="75" t="s">
        <v>372</v>
      </c>
      <c r="B49" s="81" t="s">
        <v>379</v>
      </c>
      <c r="C49" s="81" t="s">
        <v>379</v>
      </c>
      <c r="D49" s="81" t="s">
        <v>379</v>
      </c>
      <c r="E49" s="81" t="s">
        <v>379</v>
      </c>
      <c r="F49" s="81" t="s">
        <v>379</v>
      </c>
      <c r="G49" s="81" t="s">
        <v>469</v>
      </c>
    </row>
    <row r="50" spans="1:7" x14ac:dyDescent="0.25">
      <c r="A50" s="75" t="s">
        <v>373</v>
      </c>
      <c r="B50" s="80">
        <v>1</v>
      </c>
      <c r="C50" s="80">
        <v>1</v>
      </c>
      <c r="D50" s="80">
        <v>1</v>
      </c>
      <c r="E50" s="80">
        <v>1</v>
      </c>
      <c r="F50" s="80">
        <v>1</v>
      </c>
      <c r="G50" s="80">
        <v>1</v>
      </c>
    </row>
    <row r="51" spans="1:7" x14ac:dyDescent="0.25">
      <c r="A51" s="75" t="s">
        <v>374</v>
      </c>
      <c r="B51" s="82" t="s">
        <v>470</v>
      </c>
      <c r="C51" s="82" t="s">
        <v>471</v>
      </c>
      <c r="D51" s="82" t="s">
        <v>472</v>
      </c>
      <c r="E51" s="82" t="s">
        <v>449</v>
      </c>
      <c r="F51" s="82" t="s">
        <v>470</v>
      </c>
      <c r="G51" s="82" t="s">
        <v>472</v>
      </c>
    </row>
  </sheetData>
  <phoneticPr fontId="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5"/>
  <sheetViews>
    <sheetView workbookViewId="0">
      <pane xSplit="1" ySplit="5" topLeftCell="B6" activePane="bottomRight" state="frozen"/>
      <selection pane="topRight" activeCell="B1" sqref="B1"/>
      <selection pane="bottomLeft" activeCell="A6" sqref="A6"/>
      <selection pane="bottomRight" activeCell="C20" sqref="C20"/>
    </sheetView>
  </sheetViews>
  <sheetFormatPr defaultRowHeight="13.8" x14ac:dyDescent="0.25"/>
  <cols>
    <col min="1" max="1" width="21.109375" customWidth="1"/>
    <col min="2" max="2" width="11.77734375" customWidth="1"/>
    <col min="3" max="7" width="11.109375" bestFit="1" customWidth="1"/>
  </cols>
  <sheetData>
    <row r="1" spans="1:7" x14ac:dyDescent="0.25">
      <c r="A1" s="69" t="s">
        <v>366</v>
      </c>
      <c r="B1" s="71" t="str">
        <f>简介!B4</f>
        <v>603716.SH</v>
      </c>
    </row>
    <row r="2" spans="1:7" x14ac:dyDescent="0.25">
      <c r="A2" s="69" t="s">
        <v>367</v>
      </c>
      <c r="B2" s="70" t="str">
        <f>[1]!s_info_name($B$1)</f>
        <v>塞力斯</v>
      </c>
    </row>
    <row r="3" spans="1:7" x14ac:dyDescent="0.25">
      <c r="A3" s="76" t="str">
        <f>[1]!WFR(B1,"2015:2020","Func=Rpt.FinaAbstract_RP20","rptType=1","singleSeason=0","unit=100000000","currencyType=ORIG","order=RIGHT","rate=HISTORY","version=1","quarterindic=0","showcurrency=1","reportPeriod=24","cols=6;rows=81")</f>
        <v xml:space="preserve">                                                                                                              </v>
      </c>
    </row>
    <row r="4" spans="1:7" x14ac:dyDescent="0.25">
      <c r="A4" s="73" t="s">
        <v>380</v>
      </c>
      <c r="B4" s="72"/>
      <c r="C4" s="72"/>
      <c r="D4" s="72"/>
      <c r="E4" s="72"/>
      <c r="F4" s="72"/>
      <c r="G4" s="72"/>
    </row>
    <row r="5" spans="1:7" x14ac:dyDescent="0.25">
      <c r="A5" s="74" t="s">
        <v>447</v>
      </c>
      <c r="B5" s="77">
        <v>42369</v>
      </c>
      <c r="C5" s="77">
        <v>42735</v>
      </c>
      <c r="D5" s="77">
        <v>43100</v>
      </c>
      <c r="E5" s="77">
        <v>43465</v>
      </c>
      <c r="F5" s="77">
        <v>43830</v>
      </c>
      <c r="G5" s="77">
        <v>44012</v>
      </c>
    </row>
    <row r="6" spans="1:7" x14ac:dyDescent="0.25">
      <c r="A6" s="75" t="s">
        <v>368</v>
      </c>
      <c r="B6" s="78" t="s">
        <v>377</v>
      </c>
      <c r="C6" s="78" t="s">
        <v>377</v>
      </c>
      <c r="D6" s="78" t="s">
        <v>377</v>
      </c>
      <c r="E6" s="78" t="s">
        <v>377</v>
      </c>
      <c r="F6" s="78" t="s">
        <v>377</v>
      </c>
      <c r="G6" s="78" t="s">
        <v>467</v>
      </c>
    </row>
    <row r="7" spans="1:7" x14ac:dyDescent="0.25">
      <c r="A7" s="75" t="s">
        <v>375</v>
      </c>
      <c r="B7" s="79" t="s">
        <v>378</v>
      </c>
      <c r="C7" s="79" t="s">
        <v>378</v>
      </c>
      <c r="D7" s="79" t="s">
        <v>378</v>
      </c>
      <c r="E7" s="79" t="s">
        <v>378</v>
      </c>
      <c r="F7" s="79" t="s">
        <v>378</v>
      </c>
      <c r="G7" s="79" t="s">
        <v>473</v>
      </c>
    </row>
    <row r="8" spans="1:7" x14ac:dyDescent="0.25">
      <c r="A8" s="75" t="s">
        <v>381</v>
      </c>
      <c r="B8" s="78"/>
      <c r="C8" s="78"/>
      <c r="D8" s="78"/>
      <c r="E8" s="78"/>
      <c r="F8" s="78"/>
      <c r="G8" s="78"/>
    </row>
    <row r="9" spans="1:7" x14ac:dyDescent="0.25">
      <c r="A9" s="75" t="s">
        <v>382</v>
      </c>
      <c r="B9" s="79">
        <v>5.3</v>
      </c>
      <c r="C9" s="79">
        <v>6.27</v>
      </c>
      <c r="D9" s="79">
        <v>9.2100000000000009</v>
      </c>
      <c r="E9" s="79">
        <v>13.17</v>
      </c>
      <c r="F9" s="79">
        <v>18.309999999999999</v>
      </c>
      <c r="G9" s="79">
        <v>7.72</v>
      </c>
    </row>
    <row r="10" spans="1:7" x14ac:dyDescent="0.25">
      <c r="A10" s="75" t="s">
        <v>383</v>
      </c>
      <c r="B10" s="78">
        <v>19.012599999999999</v>
      </c>
      <c r="C10" s="78">
        <v>18.439800000000002</v>
      </c>
      <c r="D10" s="78">
        <v>46.7361</v>
      </c>
      <c r="E10" s="78">
        <v>43.1203</v>
      </c>
      <c r="F10" s="78">
        <v>38.963700000000003</v>
      </c>
      <c r="G10" s="78">
        <v>-8.3178999999999998</v>
      </c>
    </row>
    <row r="11" spans="1:7" x14ac:dyDescent="0.25">
      <c r="A11" s="75" t="s">
        <v>384</v>
      </c>
      <c r="B11" s="79">
        <v>4.47</v>
      </c>
      <c r="C11" s="79">
        <v>5.32</v>
      </c>
      <c r="D11" s="79">
        <v>7.91</v>
      </c>
      <c r="E11" s="79">
        <v>11.59</v>
      </c>
      <c r="F11" s="79">
        <v>16.28</v>
      </c>
      <c r="G11" s="79">
        <v>7.32</v>
      </c>
    </row>
    <row r="12" spans="1:7" x14ac:dyDescent="0.25">
      <c r="A12" s="75" t="s">
        <v>385</v>
      </c>
      <c r="B12" s="78">
        <v>0.83</v>
      </c>
      <c r="C12" s="78">
        <v>0.95</v>
      </c>
      <c r="D12" s="78">
        <v>1.39</v>
      </c>
      <c r="E12" s="78">
        <v>1.59</v>
      </c>
      <c r="F12" s="78">
        <v>1.87</v>
      </c>
      <c r="G12" s="78">
        <v>0.24</v>
      </c>
    </row>
    <row r="13" spans="1:7" x14ac:dyDescent="0.25">
      <c r="A13" s="75" t="s">
        <v>383</v>
      </c>
      <c r="B13" s="79">
        <v>9.1815999999999995</v>
      </c>
      <c r="C13" s="79">
        <v>14.096299999999999</v>
      </c>
      <c r="D13" s="79">
        <v>46.804699999999997</v>
      </c>
      <c r="E13" s="79">
        <v>14.1395</v>
      </c>
      <c r="F13" s="79">
        <v>18.1692</v>
      </c>
      <c r="G13" s="79">
        <v>-76.417599999999993</v>
      </c>
    </row>
    <row r="14" spans="1:7" x14ac:dyDescent="0.25">
      <c r="A14" s="75" t="s">
        <v>386</v>
      </c>
      <c r="B14" s="78">
        <v>0.86</v>
      </c>
      <c r="C14" s="78">
        <v>0.97</v>
      </c>
      <c r="D14" s="78">
        <v>1.39</v>
      </c>
      <c r="E14" s="78">
        <v>1.56</v>
      </c>
      <c r="F14" s="78">
        <v>1.86</v>
      </c>
      <c r="G14" s="78">
        <v>0.13</v>
      </c>
    </row>
    <row r="15" spans="1:7" x14ac:dyDescent="0.25">
      <c r="A15" s="75" t="s">
        <v>383</v>
      </c>
      <c r="B15" s="79">
        <v>11.2942</v>
      </c>
      <c r="C15" s="79">
        <v>13.3019</v>
      </c>
      <c r="D15" s="79">
        <v>43.634399999999999</v>
      </c>
      <c r="E15" s="79">
        <v>12.364699999999999</v>
      </c>
      <c r="F15" s="79">
        <v>19.048500000000001</v>
      </c>
      <c r="G15" s="79">
        <v>-86.503699999999995</v>
      </c>
    </row>
    <row r="16" spans="1:7" x14ac:dyDescent="0.25">
      <c r="A16" s="75" t="s">
        <v>387</v>
      </c>
      <c r="B16" s="78">
        <v>0.64</v>
      </c>
      <c r="C16" s="78">
        <v>0.74</v>
      </c>
      <c r="D16" s="78">
        <v>1.07</v>
      </c>
      <c r="E16" s="78">
        <v>1.1599999999999999</v>
      </c>
      <c r="F16" s="78">
        <v>1.42</v>
      </c>
      <c r="G16" s="78">
        <v>0.12</v>
      </c>
    </row>
    <row r="17" spans="1:7" x14ac:dyDescent="0.25">
      <c r="A17" s="75" t="s">
        <v>388</v>
      </c>
      <c r="B17" s="79">
        <v>0.61</v>
      </c>
      <c r="C17" s="79">
        <v>0.69</v>
      </c>
      <c r="D17" s="79">
        <v>0.94</v>
      </c>
      <c r="E17" s="79">
        <v>0.94</v>
      </c>
      <c r="F17" s="79">
        <v>1.1000000000000001</v>
      </c>
      <c r="G17" s="79">
        <v>0.08</v>
      </c>
    </row>
    <row r="18" spans="1:7" x14ac:dyDescent="0.25">
      <c r="A18" s="75" t="s">
        <v>383</v>
      </c>
      <c r="B18" s="78">
        <v>8.7426999999999992</v>
      </c>
      <c r="C18" s="78">
        <v>12.1357</v>
      </c>
      <c r="D18" s="78">
        <v>36.172800000000002</v>
      </c>
      <c r="E18" s="78">
        <v>0.33210000000000001</v>
      </c>
      <c r="F18" s="78">
        <v>17.27</v>
      </c>
      <c r="G18" s="78">
        <v>-86.294799999999995</v>
      </c>
    </row>
    <row r="19" spans="1:7" x14ac:dyDescent="0.25">
      <c r="A19" s="75" t="s">
        <v>389</v>
      </c>
      <c r="B19" s="79">
        <v>0.02</v>
      </c>
      <c r="C19" s="79">
        <v>0.02</v>
      </c>
      <c r="D19" s="79">
        <v>0.08</v>
      </c>
      <c r="E19" s="79">
        <v>-0.01</v>
      </c>
      <c r="F19" s="79">
        <v>0.02</v>
      </c>
      <c r="G19" s="79">
        <v>-0.05</v>
      </c>
    </row>
    <row r="20" spans="1:7" x14ac:dyDescent="0.25">
      <c r="A20" s="75" t="s">
        <v>390</v>
      </c>
      <c r="B20" s="78">
        <v>0.6</v>
      </c>
      <c r="C20" s="78">
        <v>0.67</v>
      </c>
      <c r="D20" s="78">
        <v>0.86</v>
      </c>
      <c r="E20" s="78">
        <v>0.95</v>
      </c>
      <c r="F20" s="78">
        <v>1.08</v>
      </c>
      <c r="G20" s="78">
        <v>0.13</v>
      </c>
    </row>
    <row r="21" spans="1:7" x14ac:dyDescent="0.25">
      <c r="A21" s="75" t="s">
        <v>383</v>
      </c>
      <c r="B21" s="79">
        <v>6.5606</v>
      </c>
      <c r="C21" s="79">
        <v>12.9</v>
      </c>
      <c r="D21" s="79">
        <v>28.17</v>
      </c>
      <c r="E21" s="79">
        <v>9.77</v>
      </c>
      <c r="F21" s="79">
        <v>14.35</v>
      </c>
      <c r="G21" s="79">
        <v>-77.56</v>
      </c>
    </row>
    <row r="22" spans="1:7" x14ac:dyDescent="0.25">
      <c r="A22" s="75" t="s">
        <v>391</v>
      </c>
      <c r="B22" s="78">
        <v>0.08</v>
      </c>
      <c r="C22" s="78">
        <v>0.08</v>
      </c>
      <c r="D22" s="78">
        <v>0.05</v>
      </c>
      <c r="E22" s="78">
        <v>7.0000000000000007E-2</v>
      </c>
      <c r="F22" s="78">
        <v>0.11</v>
      </c>
      <c r="G22" s="78">
        <v>0.03</v>
      </c>
    </row>
    <row r="23" spans="1:7" x14ac:dyDescent="0.25">
      <c r="A23" s="75" t="s">
        <v>392</v>
      </c>
      <c r="B23" s="79">
        <v>0.91</v>
      </c>
      <c r="C23" s="79">
        <v>1.03</v>
      </c>
      <c r="D23" s="79">
        <v>1.47</v>
      </c>
      <c r="E23" s="79">
        <v>1.87</v>
      </c>
      <c r="F23" s="79">
        <v>2.48</v>
      </c>
      <c r="G23" s="79">
        <v>0.63</v>
      </c>
    </row>
    <row r="24" spans="1:7" x14ac:dyDescent="0.25">
      <c r="A24" s="75" t="s">
        <v>393</v>
      </c>
      <c r="B24" s="78">
        <v>1.2</v>
      </c>
      <c r="C24" s="78">
        <v>1.41</v>
      </c>
      <c r="D24" s="78">
        <v>1.98</v>
      </c>
      <c r="E24" s="78">
        <v>2.5499999999999998</v>
      </c>
      <c r="F24" s="78">
        <v>3.27</v>
      </c>
      <c r="G24" s="78">
        <v>1.1599999999999999</v>
      </c>
    </row>
    <row r="25" spans="1:7" x14ac:dyDescent="0.25">
      <c r="A25" s="75" t="s">
        <v>394</v>
      </c>
      <c r="B25" s="79"/>
      <c r="C25" s="79"/>
      <c r="D25" s="79"/>
      <c r="E25" s="79"/>
      <c r="F25" s="79"/>
      <c r="G25" s="79"/>
    </row>
    <row r="26" spans="1:7" x14ac:dyDescent="0.25">
      <c r="A26" s="75" t="s">
        <v>395</v>
      </c>
      <c r="B26" s="78">
        <v>5.0599999999999996</v>
      </c>
      <c r="C26" s="78">
        <v>8.9</v>
      </c>
      <c r="D26" s="78">
        <v>11.09</v>
      </c>
      <c r="E26" s="78">
        <v>19.510000000000002</v>
      </c>
      <c r="F26" s="78">
        <v>22.29</v>
      </c>
      <c r="G26" s="78">
        <v>22.86</v>
      </c>
    </row>
    <row r="27" spans="1:7" x14ac:dyDescent="0.25">
      <c r="A27" s="75" t="s">
        <v>396</v>
      </c>
      <c r="B27" s="79">
        <v>1.23</v>
      </c>
      <c r="C27" s="79">
        <v>1.6</v>
      </c>
      <c r="D27" s="79">
        <v>2.04</v>
      </c>
      <c r="E27" s="79">
        <v>2.37</v>
      </c>
      <c r="F27" s="79">
        <v>2.36</v>
      </c>
      <c r="G27" s="79">
        <v>2.41</v>
      </c>
    </row>
    <row r="28" spans="1:7" x14ac:dyDescent="0.25">
      <c r="A28" s="75" t="s">
        <v>397</v>
      </c>
      <c r="B28" s="78"/>
      <c r="C28" s="78"/>
      <c r="D28" s="78"/>
      <c r="E28" s="78">
        <v>0.26</v>
      </c>
      <c r="F28" s="78">
        <v>0.62</v>
      </c>
      <c r="G28" s="78">
        <v>0.62</v>
      </c>
    </row>
    <row r="29" spans="1:7" x14ac:dyDescent="0.25">
      <c r="A29" s="75" t="s">
        <v>398</v>
      </c>
      <c r="B29" s="79">
        <v>6.63</v>
      </c>
      <c r="C29" s="79">
        <v>10.92</v>
      </c>
      <c r="D29" s="79">
        <v>15.69</v>
      </c>
      <c r="E29" s="79">
        <v>25.83</v>
      </c>
      <c r="F29" s="79">
        <v>30.07</v>
      </c>
      <c r="G29" s="79">
        <v>30.59</v>
      </c>
    </row>
    <row r="30" spans="1:7" x14ac:dyDescent="0.25">
      <c r="A30" s="75" t="s">
        <v>383</v>
      </c>
      <c r="B30" s="78">
        <v>23.381799999999998</v>
      </c>
      <c r="C30" s="78">
        <v>64.712199999999996</v>
      </c>
      <c r="D30" s="78">
        <v>43.653799999999997</v>
      </c>
      <c r="E30" s="78">
        <v>64.574200000000005</v>
      </c>
      <c r="F30" s="78">
        <v>16.425699999999999</v>
      </c>
      <c r="G30" s="78">
        <v>1.0492999999999999</v>
      </c>
    </row>
    <row r="31" spans="1:7" x14ac:dyDescent="0.25">
      <c r="A31" s="75" t="s">
        <v>399</v>
      </c>
      <c r="B31" s="79">
        <v>1.82</v>
      </c>
      <c r="C31" s="79">
        <v>2.0699999999999998</v>
      </c>
      <c r="D31" s="79">
        <v>5.32</v>
      </c>
      <c r="E31" s="79">
        <v>9.34</v>
      </c>
      <c r="F31" s="79">
        <v>13.2</v>
      </c>
      <c r="G31" s="79">
        <v>11.85</v>
      </c>
    </row>
    <row r="32" spans="1:7" x14ac:dyDescent="0.25">
      <c r="A32" s="75" t="s">
        <v>400</v>
      </c>
      <c r="B32" s="78">
        <v>0.11</v>
      </c>
      <c r="C32" s="78">
        <v>0.26</v>
      </c>
      <c r="D32" s="78">
        <v>0.33</v>
      </c>
      <c r="E32" s="78">
        <v>0.23</v>
      </c>
      <c r="F32" s="78">
        <v>0.66</v>
      </c>
      <c r="G32" s="78">
        <v>2.4500000000000002</v>
      </c>
    </row>
    <row r="33" spans="1:7" x14ac:dyDescent="0.25">
      <c r="A33" s="75" t="s">
        <v>401</v>
      </c>
      <c r="B33" s="79">
        <v>1.93</v>
      </c>
      <c r="C33" s="79">
        <v>2.33</v>
      </c>
      <c r="D33" s="79">
        <v>5.66</v>
      </c>
      <c r="E33" s="79">
        <v>9.57</v>
      </c>
      <c r="F33" s="79">
        <v>13.86</v>
      </c>
      <c r="G33" s="79">
        <v>14.3</v>
      </c>
    </row>
    <row r="34" spans="1:7" x14ac:dyDescent="0.25">
      <c r="A34" s="75" t="s">
        <v>383</v>
      </c>
      <c r="B34" s="78">
        <v>46.654800000000002</v>
      </c>
      <c r="C34" s="78">
        <v>20.845500000000001</v>
      </c>
      <c r="D34" s="78">
        <v>142.554</v>
      </c>
      <c r="E34" s="78">
        <v>69.231999999999999</v>
      </c>
      <c r="F34" s="78">
        <v>44.796700000000001</v>
      </c>
      <c r="G34" s="78">
        <v>8.3260000000000005</v>
      </c>
    </row>
    <row r="35" spans="1:7" x14ac:dyDescent="0.25">
      <c r="A35" s="75" t="s">
        <v>402</v>
      </c>
      <c r="B35" s="79">
        <v>4.7</v>
      </c>
      <c r="C35" s="79">
        <v>8.59</v>
      </c>
      <c r="D35" s="79">
        <v>10.039999999999999</v>
      </c>
      <c r="E35" s="79">
        <v>16.260000000000002</v>
      </c>
      <c r="F35" s="79">
        <v>16.21</v>
      </c>
      <c r="G35" s="79">
        <v>16.29</v>
      </c>
    </row>
    <row r="36" spans="1:7" x14ac:dyDescent="0.25">
      <c r="A36" s="75" t="s">
        <v>403</v>
      </c>
      <c r="B36" s="78">
        <v>4.6100000000000003</v>
      </c>
      <c r="C36" s="78">
        <v>8.44</v>
      </c>
      <c r="D36" s="78">
        <v>9.33</v>
      </c>
      <c r="E36" s="78">
        <v>15.21</v>
      </c>
      <c r="F36" s="78">
        <v>14.89</v>
      </c>
      <c r="G36" s="78">
        <v>14.93</v>
      </c>
    </row>
    <row r="37" spans="1:7" x14ac:dyDescent="0.25">
      <c r="A37" s="75" t="s">
        <v>383</v>
      </c>
      <c r="B37" s="79">
        <v>15.3939</v>
      </c>
      <c r="C37" s="79">
        <v>83.113799999999998</v>
      </c>
      <c r="D37" s="79">
        <v>10.641400000000001</v>
      </c>
      <c r="E37" s="79">
        <v>62.930999999999997</v>
      </c>
      <c r="F37" s="79">
        <v>-2.0781000000000001</v>
      </c>
      <c r="G37" s="79">
        <v>-5.0499000000000001</v>
      </c>
    </row>
    <row r="38" spans="1:7" x14ac:dyDescent="0.25">
      <c r="A38" s="75" t="s">
        <v>404</v>
      </c>
      <c r="B38" s="78">
        <v>1.9</v>
      </c>
      <c r="C38" s="78">
        <v>4.91</v>
      </c>
      <c r="D38" s="78">
        <v>4.71</v>
      </c>
      <c r="E38" s="78">
        <v>9.25</v>
      </c>
      <c r="F38" s="78">
        <v>8.49</v>
      </c>
      <c r="G38" s="78">
        <v>8.6</v>
      </c>
    </row>
    <row r="39" spans="1:7" x14ac:dyDescent="0.25">
      <c r="A39" s="75" t="s">
        <v>405</v>
      </c>
      <c r="B39" s="79">
        <v>0.17</v>
      </c>
      <c r="C39" s="79">
        <v>0.21</v>
      </c>
      <c r="D39" s="79">
        <v>0.26</v>
      </c>
      <c r="E39" s="79">
        <v>0.27</v>
      </c>
      <c r="F39" s="79">
        <v>0.37</v>
      </c>
      <c r="G39" s="79">
        <v>0.37</v>
      </c>
    </row>
    <row r="40" spans="1:7" x14ac:dyDescent="0.25">
      <c r="A40" s="75" t="s">
        <v>406</v>
      </c>
      <c r="B40" s="78">
        <v>2.16</v>
      </c>
      <c r="C40" s="78">
        <v>2.81</v>
      </c>
      <c r="D40" s="78">
        <v>3.66</v>
      </c>
      <c r="E40" s="78">
        <v>4.51</v>
      </c>
      <c r="F40" s="78">
        <v>5.58</v>
      </c>
      <c r="G40" s="78">
        <v>5.5</v>
      </c>
    </row>
    <row r="41" spans="1:7" x14ac:dyDescent="0.25">
      <c r="A41" s="75" t="s">
        <v>407</v>
      </c>
      <c r="B41" s="79"/>
      <c r="C41" s="79"/>
      <c r="D41" s="79"/>
      <c r="E41" s="79"/>
      <c r="F41" s="79"/>
      <c r="G41" s="79"/>
    </row>
    <row r="42" spans="1:7" x14ac:dyDescent="0.25">
      <c r="A42" s="75" t="s">
        <v>408</v>
      </c>
      <c r="B42" s="78">
        <v>5.79</v>
      </c>
      <c r="C42" s="78">
        <v>6.45</v>
      </c>
      <c r="D42" s="78">
        <v>8.67</v>
      </c>
      <c r="E42" s="78">
        <v>12.77</v>
      </c>
      <c r="F42" s="78">
        <v>18.190000000000001</v>
      </c>
      <c r="G42" s="78">
        <v>6.94</v>
      </c>
    </row>
    <row r="43" spans="1:7" x14ac:dyDescent="0.25">
      <c r="A43" s="75" t="s">
        <v>409</v>
      </c>
      <c r="B43" s="79">
        <v>0.46</v>
      </c>
      <c r="C43" s="79">
        <v>-0.17</v>
      </c>
      <c r="D43" s="79">
        <v>-0.63</v>
      </c>
      <c r="E43" s="79">
        <v>-0.64</v>
      </c>
      <c r="F43" s="79">
        <v>0.94</v>
      </c>
      <c r="G43" s="79">
        <v>-1.1299999999999999</v>
      </c>
    </row>
    <row r="44" spans="1:7" x14ac:dyDescent="0.25">
      <c r="A44" s="75" t="s">
        <v>410</v>
      </c>
      <c r="B44" s="78">
        <v>0.4</v>
      </c>
      <c r="C44" s="78">
        <v>0.69</v>
      </c>
      <c r="D44" s="78">
        <v>1.1599999999999999</v>
      </c>
      <c r="E44" s="78">
        <v>1.19</v>
      </c>
      <c r="F44" s="78">
        <v>0.96</v>
      </c>
      <c r="G44" s="78">
        <v>0.56000000000000005</v>
      </c>
    </row>
    <row r="45" spans="1:7" x14ac:dyDescent="0.25">
      <c r="A45" s="75" t="s">
        <v>411</v>
      </c>
      <c r="B45" s="79"/>
      <c r="C45" s="79"/>
      <c r="D45" s="79">
        <v>0.57999999999999996</v>
      </c>
      <c r="E45" s="79">
        <v>0.28999999999999998</v>
      </c>
      <c r="F45" s="79">
        <v>0.87</v>
      </c>
      <c r="G45" s="79">
        <v>0.14000000000000001</v>
      </c>
    </row>
    <row r="46" spans="1:7" x14ac:dyDescent="0.25">
      <c r="A46" s="75" t="s">
        <v>412</v>
      </c>
      <c r="B46" s="78">
        <v>-0.4</v>
      </c>
      <c r="C46" s="78">
        <v>-0.69</v>
      </c>
      <c r="D46" s="78">
        <v>-2.4900000000000002</v>
      </c>
      <c r="E46" s="78">
        <v>-2.29</v>
      </c>
      <c r="F46" s="78">
        <v>-2.82</v>
      </c>
      <c r="G46" s="78">
        <v>-0.68</v>
      </c>
    </row>
    <row r="47" spans="1:7" x14ac:dyDescent="0.25">
      <c r="A47" s="75" t="s">
        <v>413</v>
      </c>
      <c r="B47" s="79"/>
      <c r="C47" s="79">
        <v>3.15</v>
      </c>
      <c r="D47" s="79">
        <v>0.11</v>
      </c>
      <c r="E47" s="79">
        <v>6.1</v>
      </c>
      <c r="F47" s="79">
        <v>0.46</v>
      </c>
      <c r="G47" s="79">
        <v>0.01</v>
      </c>
    </row>
    <row r="48" spans="1:7" x14ac:dyDescent="0.25">
      <c r="A48" s="75" t="s">
        <v>414</v>
      </c>
      <c r="B48" s="78">
        <v>1.35</v>
      </c>
      <c r="C48" s="78">
        <v>1.64</v>
      </c>
      <c r="D48" s="78">
        <v>3.07</v>
      </c>
      <c r="E48" s="78">
        <v>7.18</v>
      </c>
      <c r="F48" s="78">
        <v>9.2799999999999994</v>
      </c>
      <c r="G48" s="78">
        <v>8.0299999999999994</v>
      </c>
    </row>
    <row r="49" spans="1:7" x14ac:dyDescent="0.25">
      <c r="A49" s="75" t="s">
        <v>415</v>
      </c>
      <c r="B49" s="79">
        <v>0.25</v>
      </c>
      <c r="C49" s="79">
        <v>3.43</v>
      </c>
      <c r="D49" s="79">
        <v>1.55</v>
      </c>
      <c r="E49" s="79">
        <v>7.76</v>
      </c>
      <c r="F49" s="79">
        <v>0.05</v>
      </c>
      <c r="G49" s="79">
        <v>0.83</v>
      </c>
    </row>
    <row r="50" spans="1:7" x14ac:dyDescent="0.25">
      <c r="A50" s="75" t="s">
        <v>416</v>
      </c>
      <c r="B50" s="78">
        <v>0.3</v>
      </c>
      <c r="C50" s="78">
        <v>2.57</v>
      </c>
      <c r="D50" s="78">
        <v>-1.57</v>
      </c>
      <c r="E50" s="78">
        <v>4.83</v>
      </c>
      <c r="F50" s="78">
        <v>-1.84</v>
      </c>
      <c r="G50" s="78">
        <v>-0.98</v>
      </c>
    </row>
    <row r="51" spans="1:7" x14ac:dyDescent="0.25">
      <c r="A51" s="75" t="s">
        <v>417</v>
      </c>
      <c r="B51" s="79">
        <v>0.92</v>
      </c>
      <c r="C51" s="79">
        <v>3.49</v>
      </c>
      <c r="D51" s="79">
        <v>1.91</v>
      </c>
      <c r="E51" s="79">
        <v>6.75</v>
      </c>
      <c r="F51" s="79">
        <v>4.91</v>
      </c>
      <c r="G51" s="79">
        <v>3.93</v>
      </c>
    </row>
    <row r="52" spans="1:7" x14ac:dyDescent="0.25">
      <c r="A52" s="75" t="s">
        <v>418</v>
      </c>
      <c r="B52" s="78">
        <v>0.3</v>
      </c>
      <c r="C52" s="78">
        <v>0.38</v>
      </c>
      <c r="D52" s="78">
        <v>0.51</v>
      </c>
      <c r="E52" s="78">
        <v>0.68</v>
      </c>
      <c r="F52" s="78">
        <v>0.79</v>
      </c>
      <c r="G52" s="78">
        <v>0.53</v>
      </c>
    </row>
    <row r="53" spans="1:7" x14ac:dyDescent="0.25">
      <c r="A53" s="75" t="s">
        <v>419</v>
      </c>
      <c r="B53" s="79"/>
      <c r="C53" s="79"/>
      <c r="D53" s="79"/>
      <c r="E53" s="79"/>
      <c r="F53" s="79"/>
      <c r="G53" s="79"/>
    </row>
    <row r="54" spans="1:7" x14ac:dyDescent="0.25">
      <c r="A54" s="75" t="s">
        <v>420</v>
      </c>
      <c r="B54" s="78">
        <v>13.340299999999999</v>
      </c>
      <c r="C54" s="78">
        <v>8.1693999999999996</v>
      </c>
      <c r="D54" s="78">
        <v>10.054500000000001</v>
      </c>
      <c r="E54" s="78">
        <v>6.1914999999999996</v>
      </c>
      <c r="F54" s="78">
        <v>7.4149000000000003</v>
      </c>
      <c r="G54" s="78">
        <v>0.51629999999999998</v>
      </c>
    </row>
    <row r="55" spans="1:7" x14ac:dyDescent="0.25">
      <c r="A55" s="75" t="s">
        <v>421</v>
      </c>
      <c r="B55" s="79">
        <v>14.29</v>
      </c>
      <c r="C55" s="79">
        <v>12.59</v>
      </c>
      <c r="D55" s="79">
        <v>10.57</v>
      </c>
      <c r="E55" s="79">
        <v>9.3000000000000007</v>
      </c>
      <c r="F55" s="79">
        <v>7.31</v>
      </c>
      <c r="G55" s="79">
        <v>0.52</v>
      </c>
    </row>
    <row r="56" spans="1:7" x14ac:dyDescent="0.25">
      <c r="A56" s="75" t="s">
        <v>422</v>
      </c>
      <c r="B56" s="78">
        <v>12.945600000000001</v>
      </c>
      <c r="C56" s="78">
        <v>7.9817</v>
      </c>
      <c r="D56" s="78">
        <v>9.2460000000000004</v>
      </c>
      <c r="E56" s="78">
        <v>6.2290999999999999</v>
      </c>
      <c r="F56" s="78">
        <v>7.2743000000000002</v>
      </c>
      <c r="G56" s="78">
        <v>0.86250000000000004</v>
      </c>
    </row>
    <row r="57" spans="1:7" x14ac:dyDescent="0.25">
      <c r="A57" s="75" t="s">
        <v>423</v>
      </c>
      <c r="B57" s="79">
        <v>10.7102</v>
      </c>
      <c r="C57" s="79">
        <v>8.3779000000000003</v>
      </c>
      <c r="D57" s="79">
        <v>8.0079999999999991</v>
      </c>
      <c r="E57" s="79">
        <v>5.6079999999999997</v>
      </c>
      <c r="F57" s="79">
        <v>5.0964</v>
      </c>
      <c r="G57" s="79">
        <v>0.40939999999999999</v>
      </c>
    </row>
    <row r="58" spans="1:7" x14ac:dyDescent="0.25">
      <c r="A58" s="75" t="s">
        <v>424</v>
      </c>
      <c r="B58" s="78">
        <v>12.8881</v>
      </c>
      <c r="C58" s="78">
        <v>9.7751000000000001</v>
      </c>
      <c r="D58" s="78">
        <v>9.5962999999999994</v>
      </c>
      <c r="E58" s="78">
        <v>7.3224999999999998</v>
      </c>
      <c r="F58" s="78">
        <v>7.2202999999999999</v>
      </c>
      <c r="G58" s="78">
        <v>1.2938000000000001</v>
      </c>
    </row>
    <row r="59" spans="1:7" x14ac:dyDescent="0.25">
      <c r="A59" s="75" t="s">
        <v>425</v>
      </c>
      <c r="B59" s="79">
        <v>35.351999999999997</v>
      </c>
      <c r="C59" s="79">
        <v>34.827199999999998</v>
      </c>
      <c r="D59" s="79">
        <v>33.684899999999999</v>
      </c>
      <c r="E59" s="79">
        <v>31.727599999999999</v>
      </c>
      <c r="F59" s="79">
        <v>28.4694</v>
      </c>
      <c r="G59" s="79">
        <v>25.167899999999999</v>
      </c>
    </row>
    <row r="60" spans="1:7" x14ac:dyDescent="0.25">
      <c r="A60" s="75" t="s">
        <v>426</v>
      </c>
      <c r="B60" s="78">
        <v>12.141</v>
      </c>
      <c r="C60" s="78">
        <v>11.724</v>
      </c>
      <c r="D60" s="78">
        <v>11.5784</v>
      </c>
      <c r="E60" s="93">
        <v>8.8374000000000006</v>
      </c>
      <c r="F60" s="93">
        <v>7.7804000000000002</v>
      </c>
      <c r="G60" s="93">
        <v>1.6093</v>
      </c>
    </row>
    <row r="61" spans="1:7" x14ac:dyDescent="0.25">
      <c r="A61" s="75" t="s">
        <v>427</v>
      </c>
      <c r="B61" s="79">
        <v>17.549099999999999</v>
      </c>
      <c r="C61" s="79">
        <v>16.649000000000001</v>
      </c>
      <c r="D61" s="79">
        <v>16.133299999999998</v>
      </c>
      <c r="E61" s="79">
        <v>13.661</v>
      </c>
      <c r="F61" s="79">
        <v>12.424099999999999</v>
      </c>
      <c r="G61" s="79">
        <v>4.609</v>
      </c>
    </row>
    <row r="62" spans="1:7" x14ac:dyDescent="0.25">
      <c r="A62" s="75" t="s">
        <v>428</v>
      </c>
      <c r="B62" s="78">
        <v>23.1492</v>
      </c>
      <c r="C62" s="78">
        <v>22.7044</v>
      </c>
      <c r="D62" s="78">
        <v>21.696200000000001</v>
      </c>
      <c r="E62" s="78">
        <v>18.8003</v>
      </c>
      <c r="F62" s="78">
        <v>16.714500000000001</v>
      </c>
      <c r="G62" s="78">
        <v>11.4381</v>
      </c>
    </row>
    <row r="63" spans="1:7" x14ac:dyDescent="0.25">
      <c r="A63" s="75" t="s">
        <v>429</v>
      </c>
      <c r="B63" s="79">
        <v>29.093499999999999</v>
      </c>
      <c r="C63" s="79">
        <v>21.345199999999998</v>
      </c>
      <c r="D63" s="79">
        <v>36.040599999999998</v>
      </c>
      <c r="E63" s="79">
        <v>37.060699999999997</v>
      </c>
      <c r="F63" s="79">
        <v>46.091700000000003</v>
      </c>
      <c r="G63" s="79">
        <v>46.7423</v>
      </c>
    </row>
    <row r="64" spans="1:7" x14ac:dyDescent="0.25">
      <c r="A64" s="75" t="s">
        <v>430</v>
      </c>
      <c r="B64" s="78">
        <v>0.8821</v>
      </c>
      <c r="C64" s="78">
        <v>0.71460000000000001</v>
      </c>
      <c r="D64" s="78">
        <v>0.69159999999999999</v>
      </c>
      <c r="E64" s="78">
        <v>0.63460000000000005</v>
      </c>
      <c r="F64" s="78">
        <v>0.65500000000000003</v>
      </c>
      <c r="G64" s="78">
        <v>0.25440000000000002</v>
      </c>
    </row>
    <row r="65" spans="1:7" x14ac:dyDescent="0.25">
      <c r="A65" s="75" t="s">
        <v>431</v>
      </c>
      <c r="B65" s="79">
        <v>109.25</v>
      </c>
      <c r="C65" s="79">
        <v>102.81</v>
      </c>
      <c r="D65" s="79">
        <v>94.14</v>
      </c>
      <c r="E65" s="79">
        <v>96.89</v>
      </c>
      <c r="F65" s="79">
        <v>99.37</v>
      </c>
      <c r="G65" s="79">
        <v>89.93</v>
      </c>
    </row>
    <row r="66" spans="1:7" x14ac:dyDescent="0.25">
      <c r="A66" s="75" t="s">
        <v>432</v>
      </c>
      <c r="B66" s="78"/>
      <c r="C66" s="78"/>
      <c r="D66" s="78"/>
      <c r="E66" s="78"/>
      <c r="F66" s="78"/>
      <c r="G66" s="78"/>
    </row>
    <row r="67" spans="1:7" x14ac:dyDescent="0.25">
      <c r="A67" s="75" t="s">
        <v>433</v>
      </c>
      <c r="B67" s="79">
        <v>1.61</v>
      </c>
      <c r="C67" s="79">
        <v>1.71</v>
      </c>
      <c r="D67" s="79">
        <v>1.32</v>
      </c>
      <c r="E67" s="79">
        <v>0.49</v>
      </c>
      <c r="F67" s="79">
        <v>0.56000000000000005</v>
      </c>
      <c r="G67" s="79">
        <v>0.04</v>
      </c>
    </row>
    <row r="68" spans="1:7" x14ac:dyDescent="0.25">
      <c r="A68" s="75" t="s">
        <v>434</v>
      </c>
      <c r="B68" s="78">
        <v>1.61</v>
      </c>
      <c r="C68" s="78">
        <v>1.71</v>
      </c>
      <c r="D68" s="78">
        <v>1.32</v>
      </c>
      <c r="E68" s="78">
        <v>0.49</v>
      </c>
      <c r="F68" s="78">
        <v>0.56000000000000005</v>
      </c>
      <c r="G68" s="78">
        <v>0.04</v>
      </c>
    </row>
    <row r="69" spans="1:7" x14ac:dyDescent="0.25">
      <c r="A69" s="75" t="s">
        <v>435</v>
      </c>
      <c r="B69" s="79">
        <v>1.6089</v>
      </c>
      <c r="C69" s="79">
        <v>1.3529</v>
      </c>
      <c r="D69" s="79">
        <v>1.3159000000000001</v>
      </c>
      <c r="E69" s="79">
        <v>0.45900000000000002</v>
      </c>
      <c r="F69" s="79">
        <v>0.5383</v>
      </c>
      <c r="G69" s="79">
        <v>3.7600000000000001E-2</v>
      </c>
    </row>
    <row r="70" spans="1:7" x14ac:dyDescent="0.25">
      <c r="A70" s="75" t="s">
        <v>436</v>
      </c>
      <c r="B70" s="78">
        <v>1.56</v>
      </c>
      <c r="C70" s="78">
        <v>1.67</v>
      </c>
      <c r="D70" s="78">
        <v>1.28</v>
      </c>
      <c r="E70" s="78">
        <v>0.49</v>
      </c>
      <c r="F70" s="78">
        <v>0.55000000000000004</v>
      </c>
      <c r="G70" s="78">
        <v>0.06</v>
      </c>
    </row>
    <row r="71" spans="1:7" x14ac:dyDescent="0.25">
      <c r="A71" s="75" t="s">
        <v>437</v>
      </c>
      <c r="B71" s="79">
        <v>12.0603</v>
      </c>
      <c r="C71" s="79">
        <v>16.5609</v>
      </c>
      <c r="D71" s="79">
        <v>13.087999999999999</v>
      </c>
      <c r="E71" s="79">
        <v>7.4131999999999998</v>
      </c>
      <c r="F71" s="79">
        <v>7.2591999999999999</v>
      </c>
      <c r="G71" s="79">
        <v>7.2769000000000004</v>
      </c>
    </row>
    <row r="72" spans="1:7" x14ac:dyDescent="0.25">
      <c r="A72" s="75" t="s">
        <v>438</v>
      </c>
      <c r="B72" s="78">
        <v>13.865399999999999</v>
      </c>
      <c r="C72" s="78">
        <v>12.315</v>
      </c>
      <c r="D72" s="78">
        <v>12.9076</v>
      </c>
      <c r="E72" s="78">
        <v>6.4221000000000004</v>
      </c>
      <c r="F72" s="78">
        <v>8.9243000000000006</v>
      </c>
      <c r="G72" s="78">
        <v>3.7614999999999998</v>
      </c>
    </row>
    <row r="73" spans="1:7" x14ac:dyDescent="0.25">
      <c r="A73" s="75" t="s">
        <v>439</v>
      </c>
      <c r="B73" s="79">
        <v>1.21</v>
      </c>
      <c r="C73" s="79">
        <v>-0.33400000000000002</v>
      </c>
      <c r="D73" s="79">
        <v>-0.88690000000000002</v>
      </c>
      <c r="E73" s="79">
        <v>-0.31109999999999999</v>
      </c>
      <c r="F73" s="79">
        <v>0.45779999999999998</v>
      </c>
      <c r="G73" s="79">
        <v>-0.54949999999999999</v>
      </c>
    </row>
    <row r="74" spans="1:7" x14ac:dyDescent="0.25">
      <c r="A74" s="75" t="s">
        <v>440</v>
      </c>
      <c r="B74" s="78">
        <v>0.7913</v>
      </c>
      <c r="C74" s="78">
        <v>5.0433000000000003</v>
      </c>
      <c r="D74" s="78">
        <v>-2.2054999999999998</v>
      </c>
      <c r="E74" s="78">
        <v>2.3557000000000001</v>
      </c>
      <c r="F74" s="78">
        <v>-0.89580000000000004</v>
      </c>
      <c r="G74" s="78">
        <v>-0.47889999999999999</v>
      </c>
    </row>
    <row r="75" spans="1:7" x14ac:dyDescent="0.25">
      <c r="A75" s="75" t="s">
        <v>441</v>
      </c>
      <c r="B75" s="79"/>
      <c r="C75" s="79">
        <v>92.534800000000004</v>
      </c>
      <c r="D75" s="79">
        <v>47.423099999999998</v>
      </c>
      <c r="E75" s="79">
        <v>35.631999999999998</v>
      </c>
      <c r="F75" s="79">
        <v>30.967500000000001</v>
      </c>
      <c r="G75" s="79">
        <v>46.784199999999998</v>
      </c>
    </row>
    <row r="76" spans="1:7" x14ac:dyDescent="0.25">
      <c r="A76" s="75" t="s">
        <v>442</v>
      </c>
      <c r="B76" s="78"/>
      <c r="C76" s="78">
        <v>104.4588</v>
      </c>
      <c r="D76" s="78">
        <v>51.253500000000003</v>
      </c>
      <c r="E76" s="78">
        <v>41.598199999999999</v>
      </c>
      <c r="F76" s="78">
        <v>36.798099999999998</v>
      </c>
      <c r="G76" s="78">
        <v>27.0502</v>
      </c>
    </row>
    <row r="77" spans="1:7" x14ac:dyDescent="0.25">
      <c r="A77" s="75" t="s">
        <v>443</v>
      </c>
      <c r="B77" s="79"/>
      <c r="C77" s="79">
        <v>7.6101000000000001</v>
      </c>
      <c r="D77" s="79">
        <v>3.7844000000000002</v>
      </c>
      <c r="E77" s="79">
        <v>2.5670000000000002</v>
      </c>
      <c r="F77" s="79">
        <v>2.3267000000000002</v>
      </c>
      <c r="G77" s="79">
        <v>2.0007999999999999</v>
      </c>
    </row>
    <row r="78" spans="1:7" x14ac:dyDescent="0.25">
      <c r="A78" s="75" t="s">
        <v>444</v>
      </c>
      <c r="B78" s="78"/>
      <c r="C78" s="78">
        <v>10.7056</v>
      </c>
      <c r="D78" s="78">
        <v>4.4897</v>
      </c>
      <c r="E78" s="78">
        <v>3.1717</v>
      </c>
      <c r="F78" s="78">
        <v>2.0390000000000001</v>
      </c>
      <c r="G78" s="78">
        <v>1.7044999999999999</v>
      </c>
    </row>
    <row r="79" spans="1:7" x14ac:dyDescent="0.25">
      <c r="A79" s="75" t="s">
        <v>445</v>
      </c>
      <c r="B79" s="79"/>
      <c r="C79" s="79"/>
      <c r="D79" s="79"/>
      <c r="E79" s="79"/>
      <c r="F79" s="79"/>
      <c r="G79" s="79"/>
    </row>
    <row r="80" spans="1:7" x14ac:dyDescent="0.25">
      <c r="A80" s="75" t="s">
        <v>446</v>
      </c>
      <c r="B80" s="78">
        <v>405</v>
      </c>
      <c r="C80" s="78">
        <v>445</v>
      </c>
      <c r="D80" s="78">
        <v>834</v>
      </c>
      <c r="E80" s="78">
        <v>1069</v>
      </c>
      <c r="F80" s="78">
        <v>1182</v>
      </c>
      <c r="G80" s="78">
        <v>1182</v>
      </c>
    </row>
    <row r="81" spans="1:7" x14ac:dyDescent="0.25">
      <c r="A81" s="75" t="s">
        <v>371</v>
      </c>
      <c r="B81" s="81" t="s">
        <v>379</v>
      </c>
      <c r="C81" s="81" t="s">
        <v>379</v>
      </c>
      <c r="D81" s="81" t="s">
        <v>379</v>
      </c>
      <c r="E81" s="81" t="s">
        <v>379</v>
      </c>
      <c r="F81" s="81" t="s">
        <v>379</v>
      </c>
      <c r="G81" s="81" t="s">
        <v>468</v>
      </c>
    </row>
    <row r="82" spans="1:7" x14ac:dyDescent="0.25">
      <c r="A82" s="75" t="s">
        <v>372</v>
      </c>
      <c r="B82" s="80" t="s">
        <v>379</v>
      </c>
      <c r="C82" s="80" t="s">
        <v>379</v>
      </c>
      <c r="D82" s="80" t="s">
        <v>379</v>
      </c>
      <c r="E82" s="80" t="s">
        <v>379</v>
      </c>
      <c r="F82" s="80" t="s">
        <v>379</v>
      </c>
      <c r="G82" s="80" t="s">
        <v>474</v>
      </c>
    </row>
    <row r="83" spans="1:7" x14ac:dyDescent="0.25">
      <c r="A83" s="75" t="s">
        <v>373</v>
      </c>
      <c r="B83" s="81">
        <v>1</v>
      </c>
      <c r="C83" s="81">
        <v>1</v>
      </c>
      <c r="D83" s="81">
        <v>1</v>
      </c>
      <c r="E83" s="81">
        <v>1</v>
      </c>
      <c r="F83" s="81">
        <v>1</v>
      </c>
      <c r="G83" s="81">
        <v>1</v>
      </c>
    </row>
    <row r="84" spans="1:7" x14ac:dyDescent="0.25">
      <c r="A84" s="75" t="s">
        <v>374</v>
      </c>
      <c r="B84" s="83" t="s">
        <v>449</v>
      </c>
      <c r="C84" s="83" t="s">
        <v>475</v>
      </c>
      <c r="D84" s="83" t="s">
        <v>449</v>
      </c>
      <c r="E84" s="83" t="s">
        <v>477</v>
      </c>
      <c r="F84" s="83" t="s">
        <v>478</v>
      </c>
      <c r="G84" s="83" t="s">
        <v>478</v>
      </c>
    </row>
    <row r="85" spans="1:7" x14ac:dyDescent="0.25">
      <c r="A85" s="75" t="s">
        <v>376</v>
      </c>
      <c r="B85" s="82" t="s">
        <v>448</v>
      </c>
      <c r="C85" s="82" t="s">
        <v>476</v>
      </c>
      <c r="D85" s="82" t="s">
        <v>448</v>
      </c>
      <c r="E85" s="82" t="s">
        <v>448</v>
      </c>
      <c r="F85" s="82" t="s">
        <v>473</v>
      </c>
      <c r="G85" s="82" t="s">
        <v>479</v>
      </c>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4"/>
  <sheetViews>
    <sheetView tabSelected="1" workbookViewId="0">
      <pane xSplit="1" ySplit="1" topLeftCell="F71" activePane="bottomRight" state="frozen"/>
      <selection pane="topRight" activeCell="B1" sqref="B1"/>
      <selection pane="bottomLeft" activeCell="A2" sqref="A2"/>
      <selection pane="bottomRight" activeCell="A100" sqref="A100"/>
    </sheetView>
  </sheetViews>
  <sheetFormatPr defaultRowHeight="13.8" x14ac:dyDescent="0.25"/>
  <cols>
    <col min="1" max="1" width="25" customWidth="1"/>
    <col min="2" max="8" width="11.21875" bestFit="1" customWidth="1"/>
    <col min="9" max="9" width="10.109375" bestFit="1" customWidth="1"/>
    <col min="10" max="10" width="9.109375" bestFit="1" customWidth="1"/>
  </cols>
  <sheetData>
    <row r="1" spans="1:10" x14ac:dyDescent="0.25">
      <c r="B1" s="92">
        <f>'#三表'!B3</f>
        <v>41639</v>
      </c>
      <c r="C1" s="92">
        <f>'#三表'!C3</f>
        <v>42004</v>
      </c>
      <c r="D1" s="92">
        <f>'#三表'!D3</f>
        <v>42369</v>
      </c>
      <c r="E1" s="92">
        <f>'#三表'!E3</f>
        <v>42735</v>
      </c>
      <c r="F1" s="92">
        <f>'#三表'!F3</f>
        <v>43100</v>
      </c>
      <c r="G1" s="92">
        <f>'#三表'!G3</f>
        <v>43465</v>
      </c>
      <c r="H1" s="92">
        <f>'#三表'!H3</f>
        <v>43830</v>
      </c>
      <c r="I1" s="92">
        <f>'#三表'!I3</f>
        <v>44012</v>
      </c>
      <c r="J1" s="92"/>
    </row>
    <row r="2" spans="1:10" x14ac:dyDescent="0.25">
      <c r="A2" t="str">
        <f>'#三表'!A7</f>
        <v>一、营业总收入</v>
      </c>
      <c r="B2">
        <f>'#三表'!B7</f>
        <v>3.9218001776999998</v>
      </c>
      <c r="C2">
        <f>'#三表'!C7</f>
        <v>4.4504520171999999</v>
      </c>
      <c r="D2">
        <f>'#三表'!D7</f>
        <v>5.2965970250999996</v>
      </c>
      <c r="E2">
        <f>'#三表'!E7</f>
        <v>6.2732805688999997</v>
      </c>
      <c r="F2">
        <f>'#三表'!F7</f>
        <v>9.2051654408000001</v>
      </c>
      <c r="G2">
        <f>'#三表'!G7</f>
        <v>13.1744605216</v>
      </c>
      <c r="H2">
        <f>'#三表'!H7</f>
        <v>18.3077161609</v>
      </c>
      <c r="I2">
        <f>'#三表'!I7</f>
        <v>7.7164648614999996</v>
      </c>
    </row>
    <row r="3" spans="1:10" x14ac:dyDescent="0.25">
      <c r="A3" t="str">
        <f>'#三表'!A8</f>
        <v xml:space="preserve">        营业收入</v>
      </c>
      <c r="B3">
        <f>'#三表'!B8</f>
        <v>3.9218001776999998</v>
      </c>
      <c r="C3">
        <f>'#三表'!C8</f>
        <v>4.4504520171999999</v>
      </c>
      <c r="D3">
        <f>'#三表'!D8</f>
        <v>5.2965970250999996</v>
      </c>
      <c r="E3">
        <f>'#三表'!E8</f>
        <v>6.2732805688999997</v>
      </c>
      <c r="F3">
        <f>'#三表'!F8</f>
        <v>9.2051654408000001</v>
      </c>
      <c r="G3">
        <f>'#三表'!G8</f>
        <v>13.1744605216</v>
      </c>
      <c r="H3">
        <f>'#三表'!H8</f>
        <v>18.3077161609</v>
      </c>
      <c r="I3">
        <f>'#三表'!I8</f>
        <v>7.7164648614999996</v>
      </c>
    </row>
    <row r="4" spans="1:10" x14ac:dyDescent="0.25">
      <c r="A4" t="str">
        <f>'#三表'!A9</f>
        <v xml:space="preserve">        利息收入</v>
      </c>
      <c r="B4">
        <f>'#三表'!B9</f>
        <v>0</v>
      </c>
      <c r="C4">
        <f>'#三表'!C9</f>
        <v>0</v>
      </c>
      <c r="D4">
        <f>'#三表'!D9</f>
        <v>0</v>
      </c>
      <c r="E4">
        <f>'#三表'!E9</f>
        <v>0</v>
      </c>
      <c r="F4">
        <f>'#三表'!F9</f>
        <v>0</v>
      </c>
      <c r="G4">
        <f>'#三表'!G9</f>
        <v>0</v>
      </c>
      <c r="H4">
        <f>'#三表'!H9</f>
        <v>0</v>
      </c>
      <c r="I4">
        <f>'#三表'!I9</f>
        <v>0</v>
      </c>
    </row>
    <row r="5" spans="1:10" x14ac:dyDescent="0.25">
      <c r="A5" t="str">
        <f>'#三表'!A10</f>
        <v xml:space="preserve">        已赚保费</v>
      </c>
      <c r="B5">
        <f>'#三表'!B10</f>
        <v>0</v>
      </c>
      <c r="C5">
        <f>'#三表'!C10</f>
        <v>0</v>
      </c>
      <c r="D5">
        <f>'#三表'!D10</f>
        <v>0</v>
      </c>
      <c r="E5">
        <f>'#三表'!E10</f>
        <v>0</v>
      </c>
      <c r="F5">
        <f>'#三表'!F10</f>
        <v>0</v>
      </c>
      <c r="G5">
        <f>'#三表'!G10</f>
        <v>0</v>
      </c>
      <c r="H5">
        <f>'#三表'!H10</f>
        <v>0</v>
      </c>
      <c r="I5">
        <f>'#三表'!I10</f>
        <v>0</v>
      </c>
    </row>
    <row r="6" spans="1:10" x14ac:dyDescent="0.25">
      <c r="A6" t="str">
        <f>'#三表'!A11</f>
        <v xml:space="preserve">        手续费及佣金收入</v>
      </c>
      <c r="B6">
        <f>'#三表'!B11</f>
        <v>0</v>
      </c>
      <c r="C6">
        <f>'#三表'!C11</f>
        <v>0</v>
      </c>
      <c r="D6">
        <f>'#三表'!D11</f>
        <v>0</v>
      </c>
      <c r="E6">
        <f>'#三表'!E11</f>
        <v>0</v>
      </c>
      <c r="F6">
        <f>'#三表'!F11</f>
        <v>0</v>
      </c>
      <c r="G6">
        <f>'#三表'!G11</f>
        <v>0</v>
      </c>
      <c r="H6">
        <f>'#三表'!H11</f>
        <v>0</v>
      </c>
      <c r="I6">
        <f>'#三表'!I11</f>
        <v>0</v>
      </c>
    </row>
    <row r="7" spans="1:10" x14ac:dyDescent="0.25">
      <c r="A7" t="str">
        <f>'#三表'!A12</f>
        <v>二、营业总成本</v>
      </c>
      <c r="B7">
        <f>'#三表'!B12</f>
        <v>3.2561760398000001</v>
      </c>
      <c r="C7">
        <f>'#三表'!C12</f>
        <v>3.6890767671</v>
      </c>
      <c r="D7">
        <f>'#三表'!D12</f>
        <v>4.4653157097000005</v>
      </c>
      <c r="E7">
        <f>'#三表'!E12</f>
        <v>5.3248194646</v>
      </c>
      <c r="F7">
        <f>'#三表'!F12</f>
        <v>7.9117204259000005</v>
      </c>
      <c r="G7">
        <f>'#三表'!G12</f>
        <v>11.585361959</v>
      </c>
      <c r="H7">
        <f>'#三表'!H12</f>
        <v>16.482441006400002</v>
      </c>
      <c r="I7">
        <f>'#三表'!I12</f>
        <v>7.4835349142999998</v>
      </c>
    </row>
    <row r="8" spans="1:10" x14ac:dyDescent="0.25">
      <c r="A8" t="str">
        <f>'#三表'!A13</f>
        <v xml:space="preserve">        营业成本</v>
      </c>
      <c r="B8">
        <f>'#三表'!B13</f>
        <v>2.4643213332</v>
      </c>
      <c r="C8">
        <f>'#三表'!C13</f>
        <v>2.8145096867000001</v>
      </c>
      <c r="D8">
        <f>'#三表'!D13</f>
        <v>3.4241434481000002</v>
      </c>
      <c r="E8">
        <f>'#三表'!E13</f>
        <v>4.0884703597000005</v>
      </c>
      <c r="F8">
        <f>'#三表'!F13</f>
        <v>6.1044146361000005</v>
      </c>
      <c r="G8">
        <f>'#三表'!G13</f>
        <v>8.9945148595000006</v>
      </c>
      <c r="H8">
        <f>'#三表'!H13</f>
        <v>13.095612490399999</v>
      </c>
      <c r="I8">
        <f>'#三表'!I13</f>
        <v>5.7743947959000002</v>
      </c>
    </row>
    <row r="9" spans="1:10" x14ac:dyDescent="0.25">
      <c r="A9" t="str">
        <f>'#三表'!A14</f>
        <v xml:space="preserve">        利息支出</v>
      </c>
      <c r="B9">
        <f>'#三表'!B14</f>
        <v>0</v>
      </c>
      <c r="C9">
        <f>'#三表'!C14</f>
        <v>0</v>
      </c>
      <c r="D9">
        <f>'#三表'!D14</f>
        <v>0</v>
      </c>
      <c r="E9">
        <f>'#三表'!E14</f>
        <v>0</v>
      </c>
      <c r="F9">
        <f>'#三表'!F14</f>
        <v>0</v>
      </c>
      <c r="G9">
        <f>'#三表'!G14</f>
        <v>0</v>
      </c>
      <c r="H9">
        <f>'#三表'!H14</f>
        <v>0</v>
      </c>
      <c r="I9">
        <f>'#三表'!I14</f>
        <v>0</v>
      </c>
    </row>
    <row r="10" spans="1:10" x14ac:dyDescent="0.25">
      <c r="A10" t="str">
        <f>'#三表'!A15</f>
        <v xml:space="preserve">        手续费及佣金支出</v>
      </c>
      <c r="B10">
        <f>'#三表'!B15</f>
        <v>0</v>
      </c>
      <c r="C10">
        <f>'#三表'!C15</f>
        <v>0</v>
      </c>
      <c r="D10">
        <f>'#三表'!D15</f>
        <v>0</v>
      </c>
      <c r="E10">
        <f>'#三表'!E15</f>
        <v>0</v>
      </c>
      <c r="F10">
        <f>'#三表'!F15</f>
        <v>0</v>
      </c>
      <c r="G10">
        <f>'#三表'!G15</f>
        <v>0</v>
      </c>
      <c r="H10">
        <f>'#三表'!H15</f>
        <v>0</v>
      </c>
      <c r="I10">
        <f>'#三表'!I15</f>
        <v>0</v>
      </c>
    </row>
    <row r="11" spans="1:10" x14ac:dyDescent="0.25">
      <c r="A11" t="str">
        <f>'#三表'!A16</f>
        <v xml:space="preserve">        退保金</v>
      </c>
      <c r="B11">
        <f>'#三表'!B16</f>
        <v>0</v>
      </c>
      <c r="C11">
        <f>'#三表'!C16</f>
        <v>0</v>
      </c>
      <c r="D11">
        <f>'#三表'!D16</f>
        <v>0</v>
      </c>
      <c r="E11">
        <f>'#三表'!E16</f>
        <v>0</v>
      </c>
      <c r="F11">
        <f>'#三表'!F16</f>
        <v>0</v>
      </c>
      <c r="G11">
        <f>'#三表'!G16</f>
        <v>0</v>
      </c>
      <c r="H11">
        <f>'#三表'!H16</f>
        <v>0</v>
      </c>
      <c r="I11">
        <f>'#三表'!I16</f>
        <v>0</v>
      </c>
    </row>
    <row r="12" spans="1:10" x14ac:dyDescent="0.25">
      <c r="A12" t="str">
        <f>'#三表'!A17</f>
        <v xml:space="preserve">        赔付支出净额</v>
      </c>
      <c r="B12">
        <f>'#三表'!B17</f>
        <v>0</v>
      </c>
      <c r="C12">
        <f>'#三表'!C17</f>
        <v>0</v>
      </c>
      <c r="D12">
        <f>'#三表'!D17</f>
        <v>0</v>
      </c>
      <c r="E12">
        <f>'#三表'!E17</f>
        <v>0</v>
      </c>
      <c r="F12">
        <f>'#三表'!F17</f>
        <v>0</v>
      </c>
      <c r="G12">
        <f>'#三表'!G17</f>
        <v>0</v>
      </c>
      <c r="H12">
        <f>'#三表'!H17</f>
        <v>0</v>
      </c>
      <c r="I12">
        <f>'#三表'!I17</f>
        <v>0</v>
      </c>
    </row>
    <row r="13" spans="1:10" x14ac:dyDescent="0.25">
      <c r="A13" t="str">
        <f>'#三表'!A18</f>
        <v xml:space="preserve">        提取保险合同准备金净额</v>
      </c>
      <c r="B13">
        <f>'#三表'!B18</f>
        <v>0</v>
      </c>
      <c r="C13">
        <f>'#三表'!C18</f>
        <v>0</v>
      </c>
      <c r="D13">
        <f>'#三表'!D18</f>
        <v>0</v>
      </c>
      <c r="E13">
        <f>'#三表'!E18</f>
        <v>0</v>
      </c>
      <c r="F13">
        <f>'#三表'!F18</f>
        <v>0</v>
      </c>
      <c r="G13">
        <f>'#三表'!G18</f>
        <v>0</v>
      </c>
      <c r="H13">
        <f>'#三表'!H18</f>
        <v>0</v>
      </c>
      <c r="I13">
        <f>'#三表'!I18</f>
        <v>0</v>
      </c>
    </row>
    <row r="14" spans="1:10" x14ac:dyDescent="0.25">
      <c r="A14" t="str">
        <f>'#三表'!A19</f>
        <v xml:space="preserve">        保单红利支出</v>
      </c>
      <c r="B14">
        <f>'#三表'!B19</f>
        <v>0</v>
      </c>
      <c r="C14">
        <f>'#三表'!C19</f>
        <v>0</v>
      </c>
      <c r="D14">
        <f>'#三表'!D19</f>
        <v>0</v>
      </c>
      <c r="E14">
        <f>'#三表'!E19</f>
        <v>0</v>
      </c>
      <c r="F14">
        <f>'#三表'!F19</f>
        <v>0</v>
      </c>
      <c r="G14">
        <f>'#三表'!G19</f>
        <v>0</v>
      </c>
      <c r="H14">
        <f>'#三表'!H19</f>
        <v>0</v>
      </c>
      <c r="I14">
        <f>'#三表'!I19</f>
        <v>0</v>
      </c>
    </row>
    <row r="15" spans="1:10" x14ac:dyDescent="0.25">
      <c r="A15" t="str">
        <f>'#三表'!A20</f>
        <v xml:space="preserve">        分保费用</v>
      </c>
      <c r="B15">
        <f>'#三表'!B20</f>
        <v>0</v>
      </c>
      <c r="C15">
        <f>'#三表'!C20</f>
        <v>0</v>
      </c>
      <c r="D15">
        <f>'#三表'!D20</f>
        <v>0</v>
      </c>
      <c r="E15">
        <f>'#三表'!E20</f>
        <v>0</v>
      </c>
      <c r="F15">
        <f>'#三表'!F20</f>
        <v>0</v>
      </c>
      <c r="G15">
        <f>'#三表'!G20</f>
        <v>0</v>
      </c>
      <c r="H15">
        <f>'#三表'!H20</f>
        <v>0</v>
      </c>
      <c r="I15">
        <f>'#三表'!I20</f>
        <v>0</v>
      </c>
    </row>
    <row r="16" spans="1:10" x14ac:dyDescent="0.25">
      <c r="A16" t="str">
        <f>'#三表'!A21</f>
        <v xml:space="preserve">        营业税金及附加</v>
      </c>
      <c r="B16">
        <f>'#三表'!B21</f>
        <v>0</v>
      </c>
      <c r="C16">
        <f>'#三表'!C21</f>
        <v>0</v>
      </c>
      <c r="D16">
        <f>'#三表'!D21</f>
        <v>0</v>
      </c>
      <c r="E16">
        <f>'#三表'!E21</f>
        <v>0</v>
      </c>
      <c r="F16">
        <f>'#三表'!F21</f>
        <v>0</v>
      </c>
      <c r="G16">
        <f>'#三表'!G21</f>
        <v>0</v>
      </c>
      <c r="H16">
        <f>'#三表'!H21</f>
        <v>0</v>
      </c>
      <c r="I16">
        <f>'#三表'!I21</f>
        <v>0</v>
      </c>
    </row>
    <row r="17" spans="1:9" x14ac:dyDescent="0.25">
      <c r="A17" t="str">
        <f>'#三表'!A22</f>
        <v xml:space="preserve">        销售费用</v>
      </c>
      <c r="B17">
        <f>'#三表'!B22</f>
        <v>0.29446048479999998</v>
      </c>
      <c r="C17">
        <f>'#三表'!C22</f>
        <v>0.35705045700000004</v>
      </c>
      <c r="D17">
        <f>'#三表'!D22</f>
        <v>0.43178162009999999</v>
      </c>
      <c r="E17">
        <f>'#三表'!E22</f>
        <v>0.50945948270000008</v>
      </c>
      <c r="F17">
        <f>'#三表'!F22</f>
        <v>0.8091846290000001</v>
      </c>
      <c r="G17">
        <f>'#三表'!G22</f>
        <v>0.97269960389999999</v>
      </c>
      <c r="H17">
        <f>'#三表'!H22</f>
        <v>1.1675246856000001</v>
      </c>
      <c r="I17">
        <f>'#三表'!I22</f>
        <v>0.47474269909999994</v>
      </c>
    </row>
    <row r="18" spans="1:9" x14ac:dyDescent="0.25">
      <c r="A18" t="str">
        <f>'#三表'!A23</f>
        <v xml:space="preserve">        管理费用</v>
      </c>
      <c r="B18">
        <f>'#三表'!B23</f>
        <v>0.34752150090000006</v>
      </c>
      <c r="C18">
        <f>'#三表'!C23</f>
        <v>0.39151881060000004</v>
      </c>
      <c r="D18">
        <f>'#三表'!D23</f>
        <v>0.44703743590000006</v>
      </c>
      <c r="E18">
        <f>'#三表'!E23</f>
        <v>0.50237144810000001</v>
      </c>
      <c r="F18">
        <f>'#三表'!F23</f>
        <v>0.72429689480000004</v>
      </c>
      <c r="G18">
        <f>'#三表'!G23</f>
        <v>1.0346442607999999</v>
      </c>
      <c r="H18">
        <f>'#三表'!H23</f>
        <v>1.396151932</v>
      </c>
      <c r="I18">
        <f>'#三表'!I23</f>
        <v>0.76592973249999996</v>
      </c>
    </row>
    <row r="19" spans="1:9" x14ac:dyDescent="0.25">
      <c r="A19" t="str">
        <f>'#三表'!A24</f>
        <v xml:space="preserve">        财务费用</v>
      </c>
      <c r="B19">
        <f>'#三表'!B24</f>
        <v>4.0209270700000001E-2</v>
      </c>
      <c r="C19">
        <f>'#三表'!C24</f>
        <v>4.1183854999999998E-2</v>
      </c>
      <c r="D19">
        <f>'#三表'!D24</f>
        <v>7.4245938499999997E-2</v>
      </c>
      <c r="E19">
        <f>'#三表'!E24</f>
        <v>8.2324280499999999E-2</v>
      </c>
      <c r="F19">
        <f>'#三表'!F24</f>
        <v>9.8078505900000001E-2</v>
      </c>
      <c r="G19">
        <f>'#三表'!G24</f>
        <v>0.25430341680000002</v>
      </c>
      <c r="H19">
        <f>'#三表'!H24</f>
        <v>0.41828554179999999</v>
      </c>
      <c r="I19">
        <f>'#三表'!I24</f>
        <v>0.22794350269999999</v>
      </c>
    </row>
    <row r="20" spans="1:9" x14ac:dyDescent="0.25">
      <c r="A20" t="str">
        <f>'#三表'!A25</f>
        <v xml:space="preserve">        资产减值损失</v>
      </c>
      <c r="B20">
        <f>'#三表'!B25</f>
        <v>7.4332975999999995E-2</v>
      </c>
      <c r="C20">
        <f>'#三表'!C25</f>
        <v>4.3623139900000003E-2</v>
      </c>
      <c r="D20">
        <f>'#三表'!D25</f>
        <v>5.0000215399999999E-2</v>
      </c>
      <c r="E20">
        <f>'#三表'!E25</f>
        <v>9.9424398900000002E-2</v>
      </c>
      <c r="F20">
        <f>'#三表'!F25</f>
        <v>0.1244370657</v>
      </c>
      <c r="G20">
        <f>'#三表'!G25</f>
        <v>0.1646357893</v>
      </c>
      <c r="H20">
        <f>'#三表'!H25</f>
        <v>-1.3804235500000001E-2</v>
      </c>
      <c r="I20">
        <f>'#三表'!I25</f>
        <v>0</v>
      </c>
    </row>
    <row r="21" spans="1:9" x14ac:dyDescent="0.25">
      <c r="A21" t="str">
        <f>'#三表'!A26</f>
        <v>三、其他经营收益</v>
      </c>
      <c r="B21">
        <f>'#三表'!B26</f>
        <v>0</v>
      </c>
      <c r="C21">
        <f>'#三表'!C26</f>
        <v>0</v>
      </c>
      <c r="D21">
        <f>'#三表'!D26</f>
        <v>0</v>
      </c>
      <c r="E21">
        <f>'#三表'!E26</f>
        <v>0</v>
      </c>
      <c r="F21">
        <f>'#三表'!F26</f>
        <v>0</v>
      </c>
      <c r="G21">
        <f>'#三表'!G26</f>
        <v>0</v>
      </c>
      <c r="H21">
        <f>'#三表'!H26</f>
        <v>0</v>
      </c>
      <c r="I21">
        <f>'#三表'!I26</f>
        <v>0</v>
      </c>
    </row>
    <row r="22" spans="1:9" x14ac:dyDescent="0.25">
      <c r="A22" t="str">
        <f>'#三表'!A27</f>
        <v xml:space="preserve">        公允价值变动净收益</v>
      </c>
      <c r="B22">
        <f>'#三表'!B27</f>
        <v>0</v>
      </c>
      <c r="C22">
        <f>'#三表'!C27</f>
        <v>0</v>
      </c>
      <c r="D22">
        <f>'#三表'!D27</f>
        <v>0</v>
      </c>
      <c r="E22">
        <f>'#三表'!E27</f>
        <v>0</v>
      </c>
      <c r="F22">
        <f>'#三表'!F27</f>
        <v>0</v>
      </c>
      <c r="G22">
        <f>'#三表'!G27</f>
        <v>0</v>
      </c>
      <c r="H22">
        <f>'#三表'!H27</f>
        <v>0</v>
      </c>
      <c r="I22">
        <f>'#三表'!I27</f>
        <v>0</v>
      </c>
    </row>
    <row r="23" spans="1:9" x14ac:dyDescent="0.25">
      <c r="A23" t="str">
        <f>'#三表'!A28</f>
        <v xml:space="preserve">        投资净收益</v>
      </c>
      <c r="B23">
        <f>'#三表'!B28</f>
        <v>1.0811193600000001E-2</v>
      </c>
      <c r="C23">
        <f>'#三表'!C28</f>
        <v>0</v>
      </c>
      <c r="D23">
        <f>'#三表'!D28</f>
        <v>0</v>
      </c>
      <c r="E23">
        <f>'#三表'!E28</f>
        <v>0</v>
      </c>
      <c r="F23">
        <f>'#三表'!F28</f>
        <v>1.0307044899999999E-2</v>
      </c>
      <c r="G23">
        <f>'#三表'!G28</f>
        <v>-6.3094565999999999E-3</v>
      </c>
      <c r="H23">
        <f>'#三表'!H28</f>
        <v>3.4463384999999999E-3</v>
      </c>
      <c r="I23">
        <f>'#三表'!I28</f>
        <v>-3.0578882E-3</v>
      </c>
    </row>
    <row r="24" spans="1:9" x14ac:dyDescent="0.25">
      <c r="A24" t="str">
        <f>'#三表'!A29</f>
        <v xml:space="preserve">        其中：对联营企业和合营企业的投资收益</v>
      </c>
      <c r="B24">
        <f>'#三表'!B29</f>
        <v>0</v>
      </c>
      <c r="C24">
        <f>'#三表'!C29</f>
        <v>0</v>
      </c>
      <c r="D24">
        <f>'#三表'!D29</f>
        <v>0</v>
      </c>
      <c r="E24">
        <f>'#三表'!E29</f>
        <v>0</v>
      </c>
      <c r="F24">
        <f>'#三表'!F29</f>
        <v>0</v>
      </c>
      <c r="G24">
        <f>'#三表'!G29</f>
        <v>-6.6854671999999997E-3</v>
      </c>
      <c r="H24">
        <f>'#三表'!H29</f>
        <v>0</v>
      </c>
      <c r="I24">
        <f>'#三表'!I29</f>
        <v>0</v>
      </c>
    </row>
    <row r="25" spans="1:9" x14ac:dyDescent="0.25">
      <c r="A25" t="str">
        <f>'#三表'!A30</f>
        <v xml:space="preserve">        汇兑净收益</v>
      </c>
      <c r="B25">
        <f>'#三表'!B30</f>
        <v>0</v>
      </c>
      <c r="C25">
        <f>'#三表'!C30</f>
        <v>0</v>
      </c>
      <c r="D25">
        <f>'#三表'!D30</f>
        <v>0</v>
      </c>
      <c r="E25">
        <f>'#三表'!E30</f>
        <v>0</v>
      </c>
      <c r="F25">
        <f>'#三表'!F30</f>
        <v>0</v>
      </c>
      <c r="G25">
        <f>'#三表'!G30</f>
        <v>0</v>
      </c>
      <c r="H25">
        <f>'#三表'!H30</f>
        <v>0</v>
      </c>
      <c r="I25">
        <f>'#三表'!I30</f>
        <v>0</v>
      </c>
    </row>
    <row r="26" spans="1:9" x14ac:dyDescent="0.25">
      <c r="A26" t="str">
        <f>'#三表'!A31</f>
        <v xml:space="preserve">        加：营业利润差额(特殊报表科目)</v>
      </c>
      <c r="B26">
        <f>'#三表'!B31</f>
        <v>0</v>
      </c>
      <c r="C26">
        <f>'#三表'!C31</f>
        <v>0</v>
      </c>
      <c r="D26">
        <f>'#三表'!D31</f>
        <v>0</v>
      </c>
      <c r="E26">
        <f>'#三表'!E31</f>
        <v>0</v>
      </c>
      <c r="F26">
        <f>'#三表'!F31</f>
        <v>0</v>
      </c>
      <c r="G26">
        <f>'#三表'!G31</f>
        <v>0</v>
      </c>
      <c r="H26">
        <f>'#三表'!H31</f>
        <v>0</v>
      </c>
      <c r="I26">
        <f>'#三表'!I31</f>
        <v>0</v>
      </c>
    </row>
    <row r="27" spans="1:9" x14ac:dyDescent="0.25">
      <c r="A27" t="str">
        <f>'#三表'!A32</f>
        <v xml:space="preserve">        加：营业利润差额(合计平衡项目)</v>
      </c>
      <c r="B27">
        <f>'#三表'!B32</f>
        <v>0</v>
      </c>
      <c r="C27">
        <f>'#三表'!C32</f>
        <v>0</v>
      </c>
      <c r="D27">
        <f>'#三表'!D32</f>
        <v>0</v>
      </c>
      <c r="E27">
        <f>'#三表'!E32</f>
        <v>0</v>
      </c>
      <c r="F27">
        <f>'#三表'!F32</f>
        <v>0</v>
      </c>
      <c r="G27">
        <f>'#三表'!G32</f>
        <v>0</v>
      </c>
      <c r="H27">
        <f>'#三表'!H32</f>
        <v>0</v>
      </c>
      <c r="I27">
        <f>'#三表'!I32</f>
        <v>0</v>
      </c>
    </row>
    <row r="28" spans="1:9" x14ac:dyDescent="0.25">
      <c r="A28" t="str">
        <f>'#三表'!A33</f>
        <v>四、营业利润</v>
      </c>
      <c r="B28">
        <f>'#三表'!B33</f>
        <v>0.67643533150000001</v>
      </c>
      <c r="C28">
        <f>'#三表'!C33</f>
        <v>0.76137525010000007</v>
      </c>
      <c r="D28">
        <f>'#三表'!D33</f>
        <v>0.83128131540000005</v>
      </c>
      <c r="E28">
        <f>'#三表'!E33</f>
        <v>0.94846110430000008</v>
      </c>
      <c r="F28">
        <f>'#三表'!F33</f>
        <v>1.3880675113000001</v>
      </c>
      <c r="G28">
        <f>'#三表'!G33</f>
        <v>1.5863595394999999</v>
      </c>
      <c r="H28">
        <f>'#三表'!H33</f>
        <v>1.8745878796000002</v>
      </c>
      <c r="I28">
        <f>'#三表'!I33</f>
        <v>0.23838945070000001</v>
      </c>
    </row>
    <row r="29" spans="1:9" x14ac:dyDescent="0.25">
      <c r="A29" t="str">
        <f>'#三表'!A34</f>
        <v xml:space="preserve">        加：营业外收入</v>
      </c>
      <c r="B29">
        <f>'#三表'!B34</f>
        <v>2.4808371699999998E-2</v>
      </c>
      <c r="C29">
        <f>'#三表'!C34</f>
        <v>3.7962427E-2</v>
      </c>
      <c r="D29">
        <f>'#三表'!D34</f>
        <v>3.4884761299999997E-2</v>
      </c>
      <c r="E29">
        <f>'#三表'!E34</f>
        <v>2.4486635600000001E-2</v>
      </c>
      <c r="F29">
        <f>'#三表'!F34</f>
        <v>4.8230151000000004E-3</v>
      </c>
      <c r="G29">
        <f>'#三表'!G34</f>
        <v>8.0963429999999993E-4</v>
      </c>
      <c r="H29">
        <f>'#三表'!H34</f>
        <v>1.1913242E-3</v>
      </c>
      <c r="I29">
        <f>'#三表'!I34</f>
        <v>4.579036E-4</v>
      </c>
    </row>
    <row r="30" spans="1:9" x14ac:dyDescent="0.25">
      <c r="A30" t="str">
        <f>'#三表'!A35</f>
        <v xml:space="preserve">        减：营业外支出</v>
      </c>
      <c r="B30">
        <f>'#三表'!B35</f>
        <v>5.6026325000000004E-3</v>
      </c>
      <c r="C30">
        <f>'#三表'!C35</f>
        <v>3.0625871499999999E-2</v>
      </c>
      <c r="D30">
        <f>'#三表'!D35</f>
        <v>1.0634110400000001E-2</v>
      </c>
      <c r="E30">
        <f>'#三表'!E35</f>
        <v>3.6139354999999997E-3</v>
      </c>
      <c r="F30">
        <f>'#三表'!F35</f>
        <v>5.9420049999999998E-4</v>
      </c>
      <c r="G30">
        <f>'#三表'!G35</f>
        <v>2.2718935099999997E-2</v>
      </c>
      <c r="H30">
        <f>'#三表'!H35</f>
        <v>1.3324741299999998E-2</v>
      </c>
      <c r="I30">
        <f>'#三表'!I35</f>
        <v>0.10581485359999999</v>
      </c>
    </row>
    <row r="31" spans="1:9" x14ac:dyDescent="0.25">
      <c r="A31" t="str">
        <f>'#三表'!A36</f>
        <v xml:space="preserve">        其中：非流动资产处置净损失</v>
      </c>
      <c r="B31">
        <f>'#三表'!B36</f>
        <v>4.4248040000000001E-3</v>
      </c>
      <c r="C31">
        <f>'#三表'!C36</f>
        <v>1.42683176E-2</v>
      </c>
      <c r="D31">
        <f>'#三表'!D36</f>
        <v>6.7159196999999997E-3</v>
      </c>
      <c r="E31">
        <f>'#三表'!E36</f>
        <v>3.3782995000000001E-3</v>
      </c>
      <c r="F31">
        <f>'#三表'!F36</f>
        <v>0</v>
      </c>
      <c r="G31">
        <f>'#三表'!G36</f>
        <v>0</v>
      </c>
      <c r="H31">
        <f>'#三表'!H36</f>
        <v>0</v>
      </c>
      <c r="I31">
        <f>'#三表'!I36</f>
        <v>0</v>
      </c>
    </row>
    <row r="32" spans="1:9" x14ac:dyDescent="0.25">
      <c r="A32" t="str">
        <f>'#三表'!A37</f>
        <v xml:space="preserve">        加：利润总额差额(特殊报表科目)</v>
      </c>
      <c r="B32">
        <f>'#三表'!B37</f>
        <v>0</v>
      </c>
      <c r="C32">
        <f>'#三表'!C37</f>
        <v>0</v>
      </c>
      <c r="D32">
        <f>'#三表'!D37</f>
        <v>0</v>
      </c>
      <c r="E32">
        <f>'#三表'!E37</f>
        <v>0</v>
      </c>
      <c r="F32">
        <f>'#三表'!F37</f>
        <v>0</v>
      </c>
      <c r="G32">
        <f>'#三表'!G37</f>
        <v>0</v>
      </c>
      <c r="H32">
        <f>'#三表'!H37</f>
        <v>0</v>
      </c>
      <c r="I32">
        <f>'#三表'!I37</f>
        <v>0</v>
      </c>
    </row>
    <row r="33" spans="1:9" x14ac:dyDescent="0.25">
      <c r="A33" t="str">
        <f>'#三表'!A38</f>
        <v xml:space="preserve">        加：利润总额差额(合计平衡项目)</v>
      </c>
      <c r="B33">
        <f>'#三表'!B38</f>
        <v>0</v>
      </c>
      <c r="C33">
        <f>'#三表'!C38</f>
        <v>0</v>
      </c>
      <c r="D33">
        <f>'#三表'!D38</f>
        <v>0</v>
      </c>
      <c r="E33">
        <f>'#三表'!E38</f>
        <v>0</v>
      </c>
      <c r="F33">
        <f>'#三表'!F38</f>
        <v>0</v>
      </c>
      <c r="G33">
        <f>'#三表'!G38</f>
        <v>0</v>
      </c>
      <c r="H33">
        <f>'#三表'!H38</f>
        <v>0</v>
      </c>
      <c r="I33">
        <f>'#三表'!I38</f>
        <v>0</v>
      </c>
    </row>
    <row r="34" spans="1:9" x14ac:dyDescent="0.25">
      <c r="A34" t="str">
        <f>'#三表'!A39</f>
        <v>五、利润总额</v>
      </c>
      <c r="B34">
        <f>'#三表'!B39</f>
        <v>0.69564107069999992</v>
      </c>
      <c r="C34">
        <f>'#三表'!C39</f>
        <v>0.76871180560000008</v>
      </c>
      <c r="D34">
        <f>'#三表'!D39</f>
        <v>0.85553196629999995</v>
      </c>
      <c r="E34">
        <f>'#三表'!E39</f>
        <v>0.96933380439999994</v>
      </c>
      <c r="F34">
        <f>'#三表'!F39</f>
        <v>1.3922963259000001</v>
      </c>
      <c r="G34">
        <f>'#三表'!G39</f>
        <v>1.5644502387000001</v>
      </c>
      <c r="H34">
        <f>'#三表'!H39</f>
        <v>1.8624544624999999</v>
      </c>
      <c r="I34">
        <f>'#三表'!I39</f>
        <v>0.1330325007</v>
      </c>
    </row>
    <row r="35" spans="1:9" x14ac:dyDescent="0.25">
      <c r="A35" t="str">
        <f>'#三表'!A40</f>
        <v xml:space="preserve">        减：所得税</v>
      </c>
      <c r="B35">
        <f>'#三表'!B40</f>
        <v>0.18709044309999998</v>
      </c>
      <c r="C35">
        <f>'#三表'!C40</f>
        <v>0.19295919820000001</v>
      </c>
      <c r="D35">
        <f>'#三表'!D40</f>
        <v>0.2124724771</v>
      </c>
      <c r="E35">
        <f>'#三表'!E40</f>
        <v>0.23385589579999999</v>
      </c>
      <c r="F35">
        <f>'#三表'!F40</f>
        <v>0.32648926960000002</v>
      </c>
      <c r="G35">
        <f>'#三表'!G40</f>
        <v>0.40017260119999998</v>
      </c>
      <c r="H35">
        <f>'#三表'!H40</f>
        <v>0.43804590060000004</v>
      </c>
      <c r="I35">
        <f>'#三表'!I40</f>
        <v>8.8529012000000008E-3</v>
      </c>
    </row>
    <row r="36" spans="1:9" x14ac:dyDescent="0.25">
      <c r="A36" t="str">
        <f>'#三表'!A41</f>
        <v xml:space="preserve">        加：未确认的投资损失</v>
      </c>
      <c r="B36">
        <f>'#三表'!B41</f>
        <v>0</v>
      </c>
      <c r="C36">
        <f>'#三表'!C41</f>
        <v>0</v>
      </c>
      <c r="D36">
        <f>'#三表'!D41</f>
        <v>0</v>
      </c>
      <c r="E36">
        <f>'#三表'!E41</f>
        <v>0</v>
      </c>
      <c r="F36">
        <f>'#三表'!F41</f>
        <v>0</v>
      </c>
      <c r="G36">
        <f>'#三表'!G41</f>
        <v>0</v>
      </c>
      <c r="H36">
        <f>'#三表'!H41</f>
        <v>0</v>
      </c>
      <c r="I36">
        <f>'#三表'!I41</f>
        <v>0</v>
      </c>
    </row>
    <row r="37" spans="1:9" x14ac:dyDescent="0.25">
      <c r="A37" t="str">
        <f>'#三表'!A42</f>
        <v xml:space="preserve">        加：净利润差额(特殊报表科目)</v>
      </c>
      <c r="B37">
        <f>'#三表'!B42</f>
        <v>0</v>
      </c>
      <c r="C37">
        <f>'#三表'!C42</f>
        <v>0</v>
      </c>
      <c r="D37">
        <f>'#三表'!D42</f>
        <v>0</v>
      </c>
      <c r="E37">
        <f>'#三表'!E42</f>
        <v>0</v>
      </c>
      <c r="F37">
        <f>'#三表'!F42</f>
        <v>0</v>
      </c>
      <c r="G37">
        <f>'#三表'!G42</f>
        <v>0</v>
      </c>
      <c r="H37">
        <f>'#三表'!H42</f>
        <v>0</v>
      </c>
      <c r="I37">
        <f>'#三表'!I42</f>
        <v>0</v>
      </c>
    </row>
    <row r="38" spans="1:9" x14ac:dyDescent="0.25">
      <c r="A38" t="str">
        <f>'#三表'!A43</f>
        <v xml:space="preserve">        加：净利润差额(合计平衡项目)</v>
      </c>
      <c r="B38">
        <f>'#三表'!B43</f>
        <v>0</v>
      </c>
      <c r="C38">
        <f>'#三表'!C43</f>
        <v>0</v>
      </c>
      <c r="D38">
        <f>'#三表'!D43</f>
        <v>0</v>
      </c>
      <c r="E38">
        <f>'#三表'!E43</f>
        <v>0</v>
      </c>
      <c r="F38">
        <f>'#三表'!F43</f>
        <v>0</v>
      </c>
      <c r="G38">
        <f>'#三表'!G43</f>
        <v>0</v>
      </c>
      <c r="H38">
        <f>'#三表'!H43</f>
        <v>0</v>
      </c>
      <c r="I38">
        <f>'#三表'!I43</f>
        <v>0</v>
      </c>
    </row>
    <row r="39" spans="1:9" x14ac:dyDescent="0.25">
      <c r="A39" t="str">
        <f>'#三表'!A44</f>
        <v>六、净利润</v>
      </c>
      <c r="B39">
        <f>'#三表'!B44</f>
        <v>0.50855062760000003</v>
      </c>
      <c r="C39">
        <f>'#三表'!C44</f>
        <v>0.5757526074</v>
      </c>
      <c r="D39">
        <f>'#三表'!D44</f>
        <v>0.6430594892</v>
      </c>
      <c r="E39">
        <f>'#三表'!E44</f>
        <v>0.73547790859999995</v>
      </c>
      <c r="F39">
        <f>'#三表'!F44</f>
        <v>1.0658070562999999</v>
      </c>
      <c r="G39">
        <f>'#三表'!G44</f>
        <v>1.1642776374999999</v>
      </c>
      <c r="H39">
        <f>'#三表'!H44</f>
        <v>1.4244085619</v>
      </c>
      <c r="I39">
        <f>'#三表'!I44</f>
        <v>0.12417959949999999</v>
      </c>
    </row>
    <row r="40" spans="1:9" x14ac:dyDescent="0.25">
      <c r="A40" t="str">
        <f>'#三表'!A45</f>
        <v xml:space="preserve">        减：少数股东损益</v>
      </c>
      <c r="B40">
        <f>'#三表'!B45</f>
        <v>1.7906385900000002E-2</v>
      </c>
      <c r="C40">
        <f>'#三表'!C45</f>
        <v>1.0571550900000001E-2</v>
      </c>
      <c r="D40">
        <f>'#三表'!D45</f>
        <v>2.84662187E-2</v>
      </c>
      <c r="E40">
        <f>'#三表'!E45</f>
        <v>4.6299260000000002E-2</v>
      </c>
      <c r="F40">
        <f>'#三表'!F45</f>
        <v>0.1273332063</v>
      </c>
      <c r="G40">
        <f>'#三表'!G45</f>
        <v>0.22268668129999999</v>
      </c>
      <c r="H40">
        <f>'#三表'!H45</f>
        <v>0.32020461249999999</v>
      </c>
      <c r="I40">
        <f>'#三表'!I45</f>
        <v>4.7111810999999996E-2</v>
      </c>
    </row>
    <row r="41" spans="1:9" x14ac:dyDescent="0.25">
      <c r="A41" t="str">
        <f>'#三表'!A46</f>
        <v xml:space="preserve">        归属于母公司所有者的净利润</v>
      </c>
      <c r="B41">
        <f>'#三表'!B46</f>
        <v>0.49064424170000004</v>
      </c>
      <c r="C41">
        <f>'#三表'!C46</f>
        <v>0.56518105649999995</v>
      </c>
      <c r="D41">
        <f>'#三表'!D46</f>
        <v>0.61459327050000001</v>
      </c>
      <c r="E41">
        <f>'#三表'!E46</f>
        <v>0.6891786486</v>
      </c>
      <c r="F41">
        <f>'#三表'!F46</f>
        <v>0.93847385000000005</v>
      </c>
      <c r="G41">
        <f>'#三表'!G46</f>
        <v>0.9415909562</v>
      </c>
      <c r="H41">
        <f>'#三表'!H46</f>
        <v>1.1042039494</v>
      </c>
      <c r="I41">
        <f>'#三表'!I46</f>
        <v>7.7067788499999998E-2</v>
      </c>
    </row>
    <row r="42" spans="1:9" x14ac:dyDescent="0.25">
      <c r="A42" t="str">
        <f>'#三表'!A47</f>
        <v xml:space="preserve">        加：其他综合收益</v>
      </c>
      <c r="B42">
        <f>'#三表'!B47</f>
        <v>0</v>
      </c>
      <c r="C42">
        <f>'#三表'!C47</f>
        <v>0</v>
      </c>
      <c r="D42">
        <f>'#三表'!D47</f>
        <v>0</v>
      </c>
      <c r="E42">
        <f>'#三表'!E47</f>
        <v>0</v>
      </c>
      <c r="F42">
        <f>'#三表'!F47</f>
        <v>0</v>
      </c>
      <c r="G42">
        <f>'#三表'!G47</f>
        <v>0</v>
      </c>
      <c r="H42">
        <f>'#三表'!H47</f>
        <v>1.2868954699999999E-2</v>
      </c>
      <c r="I42">
        <f>'#三表'!I47</f>
        <v>1.4992485000000001E-3</v>
      </c>
    </row>
    <row r="43" spans="1:9" x14ac:dyDescent="0.25">
      <c r="A43" t="str">
        <f>'#三表'!A48</f>
        <v>七、综合收益总额</v>
      </c>
      <c r="B43">
        <f>'#三表'!B48</f>
        <v>0.50855062760000003</v>
      </c>
      <c r="C43">
        <f>'#三表'!C48</f>
        <v>0.5757526074</v>
      </c>
      <c r="D43">
        <f>'#三表'!D48</f>
        <v>0.6430594892</v>
      </c>
      <c r="E43">
        <f>'#三表'!E48</f>
        <v>0.73547790859999995</v>
      </c>
      <c r="F43">
        <f>'#三表'!F48</f>
        <v>1.0658070562999999</v>
      </c>
      <c r="G43">
        <f>'#三表'!G48</f>
        <v>1.1642776374999999</v>
      </c>
      <c r="H43">
        <f>'#三表'!H48</f>
        <v>1.4372775166</v>
      </c>
      <c r="I43">
        <f>'#三表'!I48</f>
        <v>0.12567884800000001</v>
      </c>
    </row>
    <row r="44" spans="1:9" x14ac:dyDescent="0.25">
      <c r="A44" t="str">
        <f>'#三表'!A49</f>
        <v xml:space="preserve">        减：归属于少数股东的综合收益总额</v>
      </c>
      <c r="B44">
        <f>'#三表'!B49</f>
        <v>1.7906385900000002E-2</v>
      </c>
      <c r="C44">
        <f>'#三表'!C49</f>
        <v>1.0571550900000001E-2</v>
      </c>
      <c r="D44">
        <f>'#三表'!D49</f>
        <v>2.84662187E-2</v>
      </c>
      <c r="E44">
        <f>'#三表'!E49</f>
        <v>4.6299260000000002E-2</v>
      </c>
      <c r="F44">
        <f>'#三表'!F49</f>
        <v>0.1273332063</v>
      </c>
      <c r="G44">
        <f>'#三表'!G49</f>
        <v>0.22268668129999999</v>
      </c>
      <c r="H44">
        <f>'#三表'!H49</f>
        <v>0.32020461249999999</v>
      </c>
      <c r="I44">
        <f>'#三表'!I49</f>
        <v>4.7111810999999996E-2</v>
      </c>
    </row>
    <row r="45" spans="1:9" x14ac:dyDescent="0.25">
      <c r="A45" t="str">
        <f>'#三表'!A50</f>
        <v xml:space="preserve">        归属于母公司普通股东综合收益总额</v>
      </c>
      <c r="B45">
        <f>'#三表'!B50</f>
        <v>0.49064424170000004</v>
      </c>
      <c r="C45">
        <f>'#三表'!C50</f>
        <v>0.56518105649999995</v>
      </c>
      <c r="D45">
        <f>'#三表'!D50</f>
        <v>0.61459327050000001</v>
      </c>
      <c r="E45">
        <f>'#三表'!E50</f>
        <v>0.6891786486</v>
      </c>
      <c r="F45">
        <f>'#三表'!F50</f>
        <v>0.93847385000000005</v>
      </c>
      <c r="G45">
        <f>'#三表'!G50</f>
        <v>0.9415909562</v>
      </c>
      <c r="H45">
        <f>'#三表'!H50</f>
        <v>1.1170729041</v>
      </c>
      <c r="I45">
        <f>'#三表'!I50</f>
        <v>7.8567037000000006E-2</v>
      </c>
    </row>
    <row r="46" spans="1:9" x14ac:dyDescent="0.25">
      <c r="A46" t="str">
        <f>'#三表'!A51</f>
        <v>八、每股收益：</v>
      </c>
      <c r="B46">
        <f>'#三表'!B51</f>
        <v>0</v>
      </c>
      <c r="C46">
        <f>'#三表'!C51</f>
        <v>0</v>
      </c>
      <c r="D46">
        <f>'#三表'!D51</f>
        <v>0</v>
      </c>
      <c r="E46">
        <f>'#三表'!E51</f>
        <v>0</v>
      </c>
      <c r="F46">
        <f>'#三表'!F51</f>
        <v>0</v>
      </c>
      <c r="G46">
        <f>'#三表'!G51</f>
        <v>0</v>
      </c>
      <c r="H46">
        <f>'#三表'!H51</f>
        <v>0</v>
      </c>
      <c r="I46">
        <f>'#三表'!I51</f>
        <v>0</v>
      </c>
    </row>
    <row r="47" spans="1:9" x14ac:dyDescent="0.25">
      <c r="A47" t="str">
        <f>'#三表'!A52</f>
        <v xml:space="preserve">        (一) 基本每股收益(元)</v>
      </c>
      <c r="B47">
        <f>'#三表'!B52</f>
        <v>1.28</v>
      </c>
      <c r="C47">
        <f>'#三表'!C52</f>
        <v>1.48</v>
      </c>
      <c r="D47">
        <f>'#三表'!D52</f>
        <v>1.61</v>
      </c>
      <c r="E47">
        <f>'#三表'!E52</f>
        <v>1.71</v>
      </c>
      <c r="F47">
        <f>'#三表'!F52</f>
        <v>1.32</v>
      </c>
      <c r="G47">
        <f>'#三表'!G52</f>
        <v>0.49</v>
      </c>
      <c r="H47">
        <f>'#三表'!H52</f>
        <v>0.56000000000000005</v>
      </c>
      <c r="I47">
        <f>'#三表'!I52</f>
        <v>0.04</v>
      </c>
    </row>
    <row r="48" spans="1:9" x14ac:dyDescent="0.25">
      <c r="A48" t="str">
        <f>'#三表'!A53</f>
        <v xml:space="preserve">        (二) 稀释每股收益(元)</v>
      </c>
      <c r="B48">
        <f>'#三表'!B53</f>
        <v>1.28</v>
      </c>
      <c r="C48">
        <f>'#三表'!C53</f>
        <v>1.48</v>
      </c>
      <c r="D48">
        <f>'#三表'!D53</f>
        <v>1.61</v>
      </c>
      <c r="E48">
        <f>'#三表'!E53</f>
        <v>1.71</v>
      </c>
      <c r="F48">
        <f>'#三表'!F53</f>
        <v>1.32</v>
      </c>
      <c r="G48">
        <f>'#三表'!G53</f>
        <v>0.49</v>
      </c>
      <c r="H48">
        <f>'#三表'!H53</f>
        <v>0.56000000000000005</v>
      </c>
      <c r="I48">
        <f>'#三表'!I53</f>
        <v>0.04</v>
      </c>
    </row>
    <row r="49" spans="1:9" x14ac:dyDescent="0.25">
      <c r="A49">
        <f>'#三表'!A54</f>
        <v>0</v>
      </c>
      <c r="B49">
        <f>'#三表'!B54</f>
        <v>0</v>
      </c>
      <c r="C49">
        <f>'#三表'!C54</f>
        <v>0</v>
      </c>
      <c r="D49">
        <f>'#三表'!D54</f>
        <v>0</v>
      </c>
      <c r="E49">
        <f>'#三表'!E54</f>
        <v>0</v>
      </c>
      <c r="F49">
        <f>'#三表'!F54</f>
        <v>0</v>
      </c>
      <c r="G49">
        <f>'#三表'!G54</f>
        <v>0</v>
      </c>
      <c r="H49">
        <f>'#三表'!H54</f>
        <v>0</v>
      </c>
      <c r="I49">
        <f>'#三表'!I54</f>
        <v>0</v>
      </c>
    </row>
    <row r="50" spans="1:9" x14ac:dyDescent="0.25">
      <c r="A50">
        <f>'#三表'!A55</f>
        <v>0</v>
      </c>
      <c r="B50">
        <f>'#三表'!B55</f>
        <v>0</v>
      </c>
      <c r="C50">
        <f>'#三表'!C55</f>
        <v>0</v>
      </c>
      <c r="D50">
        <f>'#三表'!D55</f>
        <v>0</v>
      </c>
      <c r="E50">
        <f>'#三表'!E55</f>
        <v>0</v>
      </c>
      <c r="F50">
        <f>'#三表'!F55</f>
        <v>0</v>
      </c>
      <c r="G50">
        <f>'#三表'!G55</f>
        <v>0</v>
      </c>
      <c r="H50">
        <f>'#三表'!H55</f>
        <v>0</v>
      </c>
      <c r="I50">
        <f>'#三表'!I55</f>
        <v>0</v>
      </c>
    </row>
    <row r="51" spans="1:9" x14ac:dyDescent="0.25">
      <c r="A51">
        <f>'#三表'!A56</f>
        <v>0</v>
      </c>
      <c r="B51">
        <f>'#三表'!B56</f>
        <v>0</v>
      </c>
      <c r="C51">
        <f>'#三表'!C56</f>
        <v>0</v>
      </c>
      <c r="D51">
        <f>'#三表'!D56</f>
        <v>0</v>
      </c>
      <c r="E51">
        <f>'#三表'!E56</f>
        <v>0</v>
      </c>
      <c r="F51">
        <f>'#三表'!F56</f>
        <v>0</v>
      </c>
      <c r="G51">
        <f>'#三表'!G56</f>
        <v>0</v>
      </c>
      <c r="H51">
        <f>'#三表'!H56</f>
        <v>0</v>
      </c>
      <c r="I51">
        <f>'#三表'!I56</f>
        <v>0</v>
      </c>
    </row>
    <row r="52" spans="1:9" x14ac:dyDescent="0.25">
      <c r="A52" t="str">
        <f>'#三表'!A57</f>
        <v>资产负债表(原始货币, 亿元)</v>
      </c>
      <c r="B52">
        <f>'#三表'!B57</f>
        <v>0</v>
      </c>
      <c r="C52">
        <f>'#三表'!C57</f>
        <v>0</v>
      </c>
      <c r="D52">
        <f>'#三表'!D57</f>
        <v>0</v>
      </c>
      <c r="E52">
        <f>'#三表'!E57</f>
        <v>0</v>
      </c>
      <c r="F52">
        <f>'#三表'!F57</f>
        <v>0</v>
      </c>
      <c r="G52">
        <f>'#三表'!G57</f>
        <v>0</v>
      </c>
      <c r="H52">
        <f>'#三表'!H57</f>
        <v>0</v>
      </c>
      <c r="I52">
        <f>'#三表'!I57</f>
        <v>0</v>
      </c>
    </row>
    <row r="53" spans="1:9" x14ac:dyDescent="0.25">
      <c r="A53" t="str">
        <f>'#三表'!A58</f>
        <v>流动资产：</v>
      </c>
      <c r="B53">
        <f>'#三表'!B58</f>
        <v>0</v>
      </c>
      <c r="C53">
        <f>'#三表'!C58</f>
        <v>0</v>
      </c>
      <c r="D53">
        <f>'#三表'!D58</f>
        <v>0</v>
      </c>
      <c r="E53">
        <f>'#三表'!E58</f>
        <v>0</v>
      </c>
      <c r="F53">
        <f>'#三表'!F58</f>
        <v>0</v>
      </c>
      <c r="G53">
        <f>'#三表'!G58</f>
        <v>0</v>
      </c>
      <c r="H53">
        <f>'#三表'!H58</f>
        <v>0</v>
      </c>
      <c r="I53">
        <f>'#三表'!I58</f>
        <v>0</v>
      </c>
    </row>
    <row r="54" spans="1:9" x14ac:dyDescent="0.25">
      <c r="A54" t="str">
        <f>'#三表'!A59</f>
        <v xml:space="preserve">        货币资金</v>
      </c>
      <c r="B54">
        <f>'#三表'!B59</f>
        <v>0.50158721319999999</v>
      </c>
      <c r="C54">
        <f>'#三表'!C59</f>
        <v>0.66491689090000006</v>
      </c>
      <c r="D54">
        <f>'#三表'!D59</f>
        <v>0.96717889719999994</v>
      </c>
      <c r="E54">
        <f>'#三表'!E59</f>
        <v>3.5378426689999998</v>
      </c>
      <c r="F54">
        <f>'#三表'!F59</f>
        <v>1.9649984065999999</v>
      </c>
      <c r="G54">
        <f>'#三表'!G59</f>
        <v>7.0287941557000009</v>
      </c>
      <c r="H54">
        <f>'#三表'!H59</f>
        <v>5.0811170619999997</v>
      </c>
      <c r="I54">
        <f>'#三表'!I59</f>
        <v>4.1034389761999996</v>
      </c>
    </row>
    <row r="55" spans="1:9" x14ac:dyDescent="0.25">
      <c r="A55" t="str">
        <f>'#三表'!A60</f>
        <v xml:space="preserve">        结算备付金</v>
      </c>
      <c r="B55">
        <f>'#三表'!B60</f>
        <v>0</v>
      </c>
      <c r="C55">
        <f>'#三表'!C60</f>
        <v>0</v>
      </c>
      <c r="D55">
        <f>'#三表'!D60</f>
        <v>0</v>
      </c>
      <c r="E55">
        <f>'#三表'!E60</f>
        <v>0</v>
      </c>
      <c r="F55">
        <f>'#三表'!F60</f>
        <v>0</v>
      </c>
      <c r="G55">
        <f>'#三表'!G60</f>
        <v>0</v>
      </c>
      <c r="H55">
        <f>'#三表'!H60</f>
        <v>0</v>
      </c>
      <c r="I55">
        <f>'#三表'!I60</f>
        <v>0</v>
      </c>
    </row>
    <row r="56" spans="1:9" x14ac:dyDescent="0.25">
      <c r="A56" t="str">
        <f>'#三表'!A61</f>
        <v xml:space="preserve">        拆出资金</v>
      </c>
      <c r="B56">
        <f>'#三表'!B61</f>
        <v>0</v>
      </c>
      <c r="C56">
        <f>'#三表'!C61</f>
        <v>0</v>
      </c>
      <c r="D56">
        <f>'#三表'!D61</f>
        <v>0</v>
      </c>
      <c r="E56">
        <f>'#三表'!E61</f>
        <v>0</v>
      </c>
      <c r="F56">
        <f>'#三表'!F61</f>
        <v>0</v>
      </c>
      <c r="G56">
        <f>'#三表'!G61</f>
        <v>0</v>
      </c>
      <c r="H56">
        <f>'#三表'!H61</f>
        <v>0</v>
      </c>
      <c r="I56">
        <f>'#三表'!I61</f>
        <v>0</v>
      </c>
    </row>
    <row r="57" spans="1:9" x14ac:dyDescent="0.25">
      <c r="A57" t="str">
        <f>'#三表'!A62</f>
        <v xml:space="preserve">        交易性金融资产</v>
      </c>
      <c r="B57">
        <f>'#三表'!B62</f>
        <v>0</v>
      </c>
      <c r="C57">
        <f>'#三表'!C62</f>
        <v>0</v>
      </c>
      <c r="D57">
        <f>'#三表'!D62</f>
        <v>0</v>
      </c>
      <c r="E57">
        <f>'#三表'!E62</f>
        <v>0</v>
      </c>
      <c r="F57">
        <f>'#三表'!F62</f>
        <v>0</v>
      </c>
      <c r="G57">
        <f>'#三表'!G62</f>
        <v>0</v>
      </c>
      <c r="H57">
        <f>'#三表'!H62</f>
        <v>0.02</v>
      </c>
      <c r="I57">
        <f>'#三表'!I62</f>
        <v>0</v>
      </c>
    </row>
    <row r="58" spans="1:9" x14ac:dyDescent="0.25">
      <c r="A58" t="str">
        <f>'#三表'!A63</f>
        <v xml:space="preserve">        应收票据</v>
      </c>
      <c r="B58">
        <f>'#三表'!B63</f>
        <v>0.10056085529999999</v>
      </c>
      <c r="C58">
        <f>'#三表'!C63</f>
        <v>0.1223883347</v>
      </c>
      <c r="D58">
        <f>'#三表'!D63</f>
        <v>0.209043427</v>
      </c>
      <c r="E58">
        <f>'#三表'!E63</f>
        <v>0.25403014359999998</v>
      </c>
      <c r="F58">
        <f>'#三表'!F63</f>
        <v>0.1801305533</v>
      </c>
      <c r="G58">
        <f>'#三表'!G63</f>
        <v>0.15715626599999999</v>
      </c>
      <c r="H58">
        <f>'#三表'!H63</f>
        <v>0</v>
      </c>
      <c r="I58">
        <f>'#三表'!I63</f>
        <v>0</v>
      </c>
    </row>
    <row r="59" spans="1:9" x14ac:dyDescent="0.25">
      <c r="A59" t="str">
        <f>'#三表'!A64</f>
        <v xml:space="preserve">        应收账款</v>
      </c>
      <c r="B59">
        <f>'#三表'!B64</f>
        <v>1.8370408773</v>
      </c>
      <c r="C59">
        <f>'#三表'!C64</f>
        <v>2.4112130511000003</v>
      </c>
      <c r="D59">
        <f>'#三表'!D64</f>
        <v>2.7293025917000002</v>
      </c>
      <c r="E59">
        <f>'#三表'!E64</f>
        <v>3.5976531701999996</v>
      </c>
      <c r="F59">
        <f>'#三表'!F64</f>
        <v>5.7684226299999999</v>
      </c>
      <c r="G59">
        <f>'#三表'!G64</f>
        <v>8.5170106680999993</v>
      </c>
      <c r="H59">
        <f>'#三表'!H64</f>
        <v>11.425921056300002</v>
      </c>
      <c r="I59">
        <f>'#三表'!I64</f>
        <v>12.6893952177</v>
      </c>
    </row>
    <row r="60" spans="1:9" x14ac:dyDescent="0.25">
      <c r="A60" t="str">
        <f>'#三表'!A65</f>
        <v xml:space="preserve">        预付款项</v>
      </c>
      <c r="B60">
        <f>'#三表'!B65</f>
        <v>0.18525571219999998</v>
      </c>
      <c r="C60">
        <f>'#三表'!C65</f>
        <v>0.23576792199999999</v>
      </c>
      <c r="D60">
        <f>'#三表'!D65</f>
        <v>0.32647622859999997</v>
      </c>
      <c r="E60">
        <f>'#三表'!E65</f>
        <v>0.56380135630000006</v>
      </c>
      <c r="F60">
        <f>'#三表'!F65</f>
        <v>0.88287065180000002</v>
      </c>
      <c r="G60">
        <f>'#三表'!G65</f>
        <v>0.60302769979999993</v>
      </c>
      <c r="H60">
        <f>'#三表'!H65</f>
        <v>0.76538033769999991</v>
      </c>
      <c r="I60">
        <f>'#三表'!I65</f>
        <v>0.72129652249999998</v>
      </c>
    </row>
    <row r="61" spans="1:9" x14ac:dyDescent="0.25">
      <c r="A61" t="str">
        <f>'#三表'!A66</f>
        <v xml:space="preserve">        应收保费</v>
      </c>
      <c r="B61">
        <f>'#三表'!B66</f>
        <v>0</v>
      </c>
      <c r="C61">
        <f>'#三表'!C66</f>
        <v>0</v>
      </c>
      <c r="D61">
        <f>'#三表'!D66</f>
        <v>0</v>
      </c>
      <c r="E61">
        <f>'#三表'!E66</f>
        <v>0</v>
      </c>
      <c r="F61">
        <f>'#三表'!F66</f>
        <v>0</v>
      </c>
      <c r="G61">
        <f>'#三表'!G66</f>
        <v>0</v>
      </c>
      <c r="H61">
        <f>'#三表'!H66</f>
        <v>0</v>
      </c>
      <c r="I61">
        <f>'#三表'!I66</f>
        <v>0</v>
      </c>
    </row>
    <row r="62" spans="1:9" x14ac:dyDescent="0.25">
      <c r="A62" t="str">
        <f>'#三表'!A67</f>
        <v xml:space="preserve">        应收分保账款</v>
      </c>
      <c r="B62">
        <f>'#三表'!B67</f>
        <v>0</v>
      </c>
      <c r="C62">
        <f>'#三表'!C67</f>
        <v>0</v>
      </c>
      <c r="D62">
        <f>'#三表'!D67</f>
        <v>0</v>
      </c>
      <c r="E62">
        <f>'#三表'!E67</f>
        <v>0</v>
      </c>
      <c r="F62">
        <f>'#三表'!F67</f>
        <v>0</v>
      </c>
      <c r="G62">
        <f>'#三表'!G67</f>
        <v>0</v>
      </c>
      <c r="H62">
        <f>'#三表'!H67</f>
        <v>0</v>
      </c>
      <c r="I62">
        <f>'#三表'!I67</f>
        <v>0</v>
      </c>
    </row>
    <row r="63" spans="1:9" x14ac:dyDescent="0.25">
      <c r="A63" t="str">
        <f>'#三表'!A68</f>
        <v xml:space="preserve">        应收分保合同准备金</v>
      </c>
      <c r="B63">
        <f>'#三表'!B68</f>
        <v>0</v>
      </c>
      <c r="C63">
        <f>'#三表'!C68</f>
        <v>0</v>
      </c>
      <c r="D63">
        <f>'#三表'!D68</f>
        <v>0</v>
      </c>
      <c r="E63">
        <f>'#三表'!E68</f>
        <v>0</v>
      </c>
      <c r="F63">
        <f>'#三表'!F68</f>
        <v>0</v>
      </c>
      <c r="G63">
        <f>'#三表'!G68</f>
        <v>0</v>
      </c>
      <c r="H63">
        <f>'#三表'!H68</f>
        <v>0</v>
      </c>
      <c r="I63">
        <f>'#三表'!I68</f>
        <v>0</v>
      </c>
    </row>
    <row r="64" spans="1:9" x14ac:dyDescent="0.25">
      <c r="A64" t="str">
        <f>'#三表'!A69</f>
        <v xml:space="preserve">        应收利息</v>
      </c>
      <c r="B64">
        <f>'#三表'!B69</f>
        <v>0</v>
      </c>
      <c r="C64">
        <f>'#三表'!C69</f>
        <v>0</v>
      </c>
      <c r="D64">
        <f>'#三表'!D69</f>
        <v>0</v>
      </c>
      <c r="E64">
        <f>'#三表'!E69</f>
        <v>0</v>
      </c>
      <c r="F64">
        <f>'#三表'!F69</f>
        <v>0</v>
      </c>
      <c r="G64">
        <f>'#三表'!G69</f>
        <v>2.0000000000000001E-4</v>
      </c>
      <c r="H64">
        <f>'#三表'!H69</f>
        <v>0</v>
      </c>
      <c r="I64">
        <f>'#三表'!I69</f>
        <v>0</v>
      </c>
    </row>
    <row r="65" spans="1:9" x14ac:dyDescent="0.25">
      <c r="A65" t="str">
        <f>'#三表'!A70</f>
        <v xml:space="preserve">        其他应收款</v>
      </c>
      <c r="B65">
        <f>'#三表'!B70</f>
        <v>7.0061314100000008E-2</v>
      </c>
      <c r="C65">
        <f>'#三表'!C70</f>
        <v>6.9044609000000007E-2</v>
      </c>
      <c r="D65">
        <f>'#三表'!D70</f>
        <v>0.16535999099999998</v>
      </c>
      <c r="E65">
        <f>'#三表'!E70</f>
        <v>0.18371481340000001</v>
      </c>
      <c r="F65">
        <f>'#三表'!F70</f>
        <v>0.1751419977</v>
      </c>
      <c r="G65">
        <f>'#三表'!G70</f>
        <v>0.3131779858</v>
      </c>
      <c r="H65">
        <f>'#三表'!H70</f>
        <v>1.2291105626000001</v>
      </c>
      <c r="I65">
        <f>'#三表'!I70</f>
        <v>1.2422204056000001</v>
      </c>
    </row>
    <row r="66" spans="1:9" x14ac:dyDescent="0.25">
      <c r="A66" t="str">
        <f>'#三表'!A71</f>
        <v xml:space="preserve">        应收股利</v>
      </c>
      <c r="B66">
        <f>'#三表'!B71</f>
        <v>0</v>
      </c>
      <c r="C66">
        <f>'#三表'!C71</f>
        <v>0</v>
      </c>
      <c r="D66">
        <f>'#三表'!D71</f>
        <v>0</v>
      </c>
      <c r="E66">
        <f>'#三表'!E71</f>
        <v>0</v>
      </c>
      <c r="F66">
        <f>'#三表'!F71</f>
        <v>0</v>
      </c>
      <c r="G66">
        <f>'#三表'!G71</f>
        <v>0</v>
      </c>
      <c r="H66">
        <f>'#三表'!H71</f>
        <v>0</v>
      </c>
      <c r="I66">
        <f>'#三表'!I71</f>
        <v>0</v>
      </c>
    </row>
    <row r="67" spans="1:9" x14ac:dyDescent="0.25">
      <c r="A67" t="str">
        <f>'#三表'!A72</f>
        <v xml:space="preserve">        买入返售金融资产</v>
      </c>
      <c r="B67">
        <f>'#三表'!B72</f>
        <v>0</v>
      </c>
      <c r="C67">
        <f>'#三表'!C72</f>
        <v>0</v>
      </c>
      <c r="D67">
        <f>'#三表'!D72</f>
        <v>0</v>
      </c>
      <c r="E67">
        <f>'#三表'!E72</f>
        <v>0</v>
      </c>
      <c r="F67">
        <f>'#三表'!F72</f>
        <v>0</v>
      </c>
      <c r="G67">
        <f>'#三表'!G72</f>
        <v>0</v>
      </c>
      <c r="H67">
        <f>'#三表'!H72</f>
        <v>0</v>
      </c>
      <c r="I67">
        <f>'#三表'!I72</f>
        <v>0</v>
      </c>
    </row>
    <row r="68" spans="1:9" x14ac:dyDescent="0.25">
      <c r="A68" t="str">
        <f>'#三表'!A73</f>
        <v xml:space="preserve">        存货</v>
      </c>
      <c r="B68">
        <f>'#三表'!B73</f>
        <v>0.60852924460000002</v>
      </c>
      <c r="C68">
        <f>'#三表'!C73</f>
        <v>0.55850832539999995</v>
      </c>
      <c r="D68">
        <f>'#三表'!D73</f>
        <v>0.65984942079999997</v>
      </c>
      <c r="E68">
        <f>'#三表'!E73</f>
        <v>0.76051400719999995</v>
      </c>
      <c r="F68">
        <f>'#三表'!F73</f>
        <v>2.0153844496</v>
      </c>
      <c r="G68">
        <f>'#三表'!G73</f>
        <v>2.7434474083999998</v>
      </c>
      <c r="H68">
        <f>'#三表'!H73</f>
        <v>3.4897733782999998</v>
      </c>
      <c r="I68">
        <f>'#三表'!I73</f>
        <v>3.9280526936000002</v>
      </c>
    </row>
    <row r="69" spans="1:9" x14ac:dyDescent="0.25">
      <c r="A69" t="str">
        <f>'#三表'!A74</f>
        <v xml:space="preserve">        其中：消耗性生物资产</v>
      </c>
      <c r="B69">
        <f>'#三表'!B74</f>
        <v>0</v>
      </c>
      <c r="C69">
        <f>'#三表'!C74</f>
        <v>0</v>
      </c>
      <c r="D69">
        <f>'#三表'!D74</f>
        <v>0</v>
      </c>
      <c r="E69">
        <f>'#三表'!E74</f>
        <v>0</v>
      </c>
      <c r="F69">
        <f>'#三表'!F74</f>
        <v>0</v>
      </c>
      <c r="G69">
        <f>'#三表'!G74</f>
        <v>0</v>
      </c>
      <c r="H69">
        <f>'#三表'!H74</f>
        <v>0</v>
      </c>
      <c r="I69">
        <f>'#三表'!I74</f>
        <v>0</v>
      </c>
    </row>
    <row r="70" spans="1:9" x14ac:dyDescent="0.25">
      <c r="A70" t="str">
        <f>'#三表'!A75</f>
        <v xml:space="preserve">        一年内到期的非流动资产</v>
      </c>
      <c r="B70">
        <f>'#三表'!B75</f>
        <v>0</v>
      </c>
      <c r="C70">
        <f>'#三表'!C75</f>
        <v>0</v>
      </c>
      <c r="D70">
        <f>'#三表'!D75</f>
        <v>0</v>
      </c>
      <c r="E70">
        <f>'#三表'!E75</f>
        <v>0</v>
      </c>
      <c r="F70">
        <f>'#三表'!F75</f>
        <v>0</v>
      </c>
      <c r="G70">
        <f>'#三表'!G75</f>
        <v>0</v>
      </c>
      <c r="H70">
        <f>'#三表'!H75</f>
        <v>0</v>
      </c>
      <c r="I70">
        <f>'#三表'!I75</f>
        <v>0</v>
      </c>
    </row>
    <row r="71" spans="1:9" x14ac:dyDescent="0.25">
      <c r="A71" t="str">
        <f>'#三表'!A76</f>
        <v xml:space="preserve">        待摊费用</v>
      </c>
      <c r="B71">
        <f>'#三表'!B76</f>
        <v>0</v>
      </c>
      <c r="C71">
        <f>'#三表'!C76</f>
        <v>0</v>
      </c>
      <c r="D71">
        <f>'#三表'!D76</f>
        <v>0</v>
      </c>
      <c r="E71">
        <f>'#三表'!E76</f>
        <v>0</v>
      </c>
      <c r="F71">
        <f>'#三表'!F76</f>
        <v>0</v>
      </c>
      <c r="G71">
        <f>'#三表'!G76</f>
        <v>0</v>
      </c>
      <c r="H71">
        <f>'#三表'!H76</f>
        <v>0</v>
      </c>
      <c r="I71">
        <f>'#三表'!I76</f>
        <v>0</v>
      </c>
    </row>
    <row r="72" spans="1:9" x14ac:dyDescent="0.25">
      <c r="A72" t="str">
        <f>'#三表'!A77</f>
        <v xml:space="preserve">        其他流动资产</v>
      </c>
      <c r="B72">
        <f>'#三表'!B77</f>
        <v>0</v>
      </c>
      <c r="C72">
        <f>'#三表'!C77</f>
        <v>0</v>
      </c>
      <c r="D72">
        <f>'#三表'!D77</f>
        <v>0</v>
      </c>
      <c r="E72">
        <f>'#三表'!E77</f>
        <v>3.214607E-4</v>
      </c>
      <c r="F72">
        <f>'#三表'!F77</f>
        <v>0.1062797607</v>
      </c>
      <c r="G72">
        <f>'#三表'!G77</f>
        <v>0.14746617679999999</v>
      </c>
      <c r="H72">
        <f>'#三表'!H77</f>
        <v>0.13868321150000001</v>
      </c>
      <c r="I72">
        <f>'#三表'!I77</f>
        <v>5.4990885499999996E-2</v>
      </c>
    </row>
    <row r="73" spans="1:9" x14ac:dyDescent="0.25">
      <c r="A73" t="str">
        <f>'#三表'!A78</f>
        <v xml:space="preserve">        流动资产差额(特殊报表科目)</v>
      </c>
      <c r="B73">
        <f>'#三表'!B78</f>
        <v>0</v>
      </c>
      <c r="C73">
        <f>'#三表'!C78</f>
        <v>0</v>
      </c>
      <c r="D73">
        <f>'#三表'!D78</f>
        <v>0</v>
      </c>
      <c r="E73">
        <f>'#三表'!E78</f>
        <v>0</v>
      </c>
      <c r="F73">
        <f>'#三表'!F78</f>
        <v>0</v>
      </c>
      <c r="G73">
        <f>'#三表'!G78</f>
        <v>0</v>
      </c>
      <c r="H73">
        <f>'#三表'!H78</f>
        <v>0</v>
      </c>
      <c r="I73">
        <f>'#三表'!I78</f>
        <v>0</v>
      </c>
    </row>
    <row r="74" spans="1:9" x14ac:dyDescent="0.25">
      <c r="A74" t="str">
        <f>'#三表'!A79</f>
        <v xml:space="preserve">        流动资产差额(合计平衡项目)</v>
      </c>
      <c r="B74">
        <f>'#三表'!B79</f>
        <v>0</v>
      </c>
      <c r="C74">
        <f>'#三表'!C79</f>
        <v>0</v>
      </c>
      <c r="D74">
        <f>'#三表'!D79</f>
        <v>0</v>
      </c>
      <c r="E74">
        <f>'#三表'!E79</f>
        <v>0</v>
      </c>
      <c r="F74">
        <f>'#三表'!F79</f>
        <v>0</v>
      </c>
      <c r="G74">
        <f>'#三表'!G79</f>
        <v>0</v>
      </c>
      <c r="H74">
        <f>'#三表'!H79</f>
        <v>0</v>
      </c>
      <c r="I74">
        <f>'#三表'!I79</f>
        <v>0</v>
      </c>
    </row>
    <row r="75" spans="1:9" x14ac:dyDescent="0.25">
      <c r="A75" t="str">
        <f>'#三表'!A80</f>
        <v xml:space="preserve">        流动资产合计</v>
      </c>
      <c r="B75">
        <f>'#三表'!B80</f>
        <v>3.3030352167000001</v>
      </c>
      <c r="C75">
        <f>'#三表'!C80</f>
        <v>4.0618391331000003</v>
      </c>
      <c r="D75">
        <f>'#三表'!D80</f>
        <v>5.0572105563000003</v>
      </c>
      <c r="E75">
        <f>'#三表'!E80</f>
        <v>8.8978776203999992</v>
      </c>
      <c r="F75">
        <f>'#三表'!F80</f>
        <v>11.0932284497</v>
      </c>
      <c r="G75">
        <f>'#三表'!G80</f>
        <v>19.510280360599999</v>
      </c>
      <c r="H75">
        <f>'#三表'!H80</f>
        <v>22.2912022358</v>
      </c>
      <c r="I75">
        <f>'#三表'!I80</f>
        <v>22.864715713100001</v>
      </c>
    </row>
    <row r="76" spans="1:9" x14ac:dyDescent="0.25">
      <c r="A76" t="str">
        <f>'#三表'!A81</f>
        <v>非流动资产：</v>
      </c>
      <c r="B76">
        <f>'#三表'!B81</f>
        <v>0</v>
      </c>
      <c r="C76">
        <f>'#三表'!C81</f>
        <v>0</v>
      </c>
      <c r="D76">
        <f>'#三表'!D81</f>
        <v>0</v>
      </c>
      <c r="E76">
        <f>'#三表'!E81</f>
        <v>0</v>
      </c>
      <c r="F76">
        <f>'#三表'!F81</f>
        <v>0</v>
      </c>
      <c r="G76">
        <f>'#三表'!G81</f>
        <v>0</v>
      </c>
      <c r="H76">
        <f>'#三表'!H81</f>
        <v>0</v>
      </c>
      <c r="I76">
        <f>'#三表'!I81</f>
        <v>0</v>
      </c>
    </row>
    <row r="77" spans="1:9" x14ac:dyDescent="0.25">
      <c r="A77" t="str">
        <f>'#三表'!A82</f>
        <v xml:space="preserve">        发放贷款及垫款</v>
      </c>
      <c r="B77">
        <f>'#三表'!B82</f>
        <v>0</v>
      </c>
      <c r="C77">
        <f>'#三表'!C82</f>
        <v>0</v>
      </c>
      <c r="D77">
        <f>'#三表'!D82</f>
        <v>0</v>
      </c>
      <c r="E77">
        <f>'#三表'!E82</f>
        <v>0</v>
      </c>
      <c r="F77">
        <f>'#三表'!F82</f>
        <v>0</v>
      </c>
      <c r="G77">
        <f>'#三表'!G82</f>
        <v>0</v>
      </c>
      <c r="H77">
        <f>'#三表'!H82</f>
        <v>0</v>
      </c>
      <c r="I77">
        <f>'#三表'!I82</f>
        <v>0</v>
      </c>
    </row>
    <row r="78" spans="1:9" x14ac:dyDescent="0.25">
      <c r="A78" t="str">
        <f>'#三表'!A83</f>
        <v xml:space="preserve">        可供出售金融资产</v>
      </c>
      <c r="B78">
        <f>'#三表'!B83</f>
        <v>0</v>
      </c>
      <c r="C78">
        <f>'#三表'!C83</f>
        <v>0.17799999999999999</v>
      </c>
      <c r="D78">
        <f>'#三表'!D83</f>
        <v>0.17799999999999999</v>
      </c>
      <c r="E78">
        <f>'#三表'!E83</f>
        <v>0.17799999999999999</v>
      </c>
      <c r="F78">
        <f>'#三表'!F83</f>
        <v>0.75300999999999996</v>
      </c>
      <c r="G78">
        <f>'#三表'!G83</f>
        <v>0.75300999999999996</v>
      </c>
      <c r="H78">
        <f>'#三表'!H83</f>
        <v>0</v>
      </c>
      <c r="I78">
        <f>'#三表'!I83</f>
        <v>0</v>
      </c>
    </row>
    <row r="79" spans="1:9" x14ac:dyDescent="0.25">
      <c r="A79" t="str">
        <f>'#三表'!A84</f>
        <v xml:space="preserve">        持有至到期投资</v>
      </c>
      <c r="B79">
        <f>'#三表'!B84</f>
        <v>0</v>
      </c>
      <c r="C79">
        <f>'#三表'!C84</f>
        <v>0</v>
      </c>
      <c r="D79">
        <f>'#三表'!D84</f>
        <v>0</v>
      </c>
      <c r="E79">
        <f>'#三表'!E84</f>
        <v>0</v>
      </c>
      <c r="F79">
        <f>'#三表'!F84</f>
        <v>0</v>
      </c>
      <c r="G79">
        <f>'#三表'!G84</f>
        <v>0</v>
      </c>
      <c r="H79">
        <f>'#三表'!H84</f>
        <v>0</v>
      </c>
      <c r="I79">
        <f>'#三表'!I84</f>
        <v>0</v>
      </c>
    </row>
    <row r="80" spans="1:9" x14ac:dyDescent="0.25">
      <c r="A80" t="str">
        <f>'#三表'!A85</f>
        <v xml:space="preserve">        长期应收款</v>
      </c>
      <c r="B80">
        <f>'#三表'!B85</f>
        <v>0</v>
      </c>
      <c r="C80">
        <f>'#三表'!C85</f>
        <v>0</v>
      </c>
      <c r="D80">
        <f>'#三表'!D85</f>
        <v>0</v>
      </c>
      <c r="E80">
        <f>'#三表'!E85</f>
        <v>0</v>
      </c>
      <c r="F80">
        <f>'#三表'!F85</f>
        <v>0</v>
      </c>
      <c r="G80">
        <f>'#三表'!G85</f>
        <v>0.74878736140000002</v>
      </c>
      <c r="H80">
        <f>'#三表'!H85</f>
        <v>0.74872625170000007</v>
      </c>
      <c r="I80">
        <f>'#三表'!I85</f>
        <v>0.65119048319999995</v>
      </c>
    </row>
    <row r="81" spans="1:9" x14ac:dyDescent="0.25">
      <c r="A81" t="str">
        <f>'#三表'!A86</f>
        <v xml:space="preserve">        长期股权投资</v>
      </c>
      <c r="B81">
        <f>'#三表'!B86</f>
        <v>0</v>
      </c>
      <c r="C81">
        <f>'#三表'!C86</f>
        <v>0</v>
      </c>
      <c r="D81">
        <f>'#三表'!D86</f>
        <v>0</v>
      </c>
      <c r="E81">
        <f>'#三表'!E86</f>
        <v>0</v>
      </c>
      <c r="F81">
        <f>'#三表'!F86</f>
        <v>0</v>
      </c>
      <c r="G81">
        <f>'#三表'!G86</f>
        <v>0.2648145328</v>
      </c>
      <c r="H81">
        <f>'#三表'!H86</f>
        <v>0.62440254049999999</v>
      </c>
      <c r="I81">
        <f>'#三表'!I86</f>
        <v>0.62134465230000002</v>
      </c>
    </row>
    <row r="82" spans="1:9" x14ac:dyDescent="0.25">
      <c r="A82" t="str">
        <f>'#三表'!A87</f>
        <v xml:space="preserve">        投资性房地产</v>
      </c>
      <c r="B82">
        <f>'#三表'!B87</f>
        <v>0</v>
      </c>
      <c r="C82">
        <f>'#三表'!C87</f>
        <v>0</v>
      </c>
      <c r="D82">
        <f>'#三表'!D87</f>
        <v>0</v>
      </c>
      <c r="E82">
        <f>'#三表'!E87</f>
        <v>0</v>
      </c>
      <c r="F82">
        <f>'#三表'!F87</f>
        <v>0</v>
      </c>
      <c r="G82">
        <f>'#三表'!G87</f>
        <v>0</v>
      </c>
      <c r="H82">
        <f>'#三表'!H87</f>
        <v>0</v>
      </c>
      <c r="I82">
        <f>'#三表'!I87</f>
        <v>0</v>
      </c>
    </row>
    <row r="83" spans="1:9" x14ac:dyDescent="0.25">
      <c r="A83" t="str">
        <f>'#三表'!A88</f>
        <v xml:space="preserve">        固定资产</v>
      </c>
      <c r="B83">
        <f>'#三表'!B88</f>
        <v>0.95013281780000003</v>
      </c>
      <c r="C83">
        <f>'#三表'!C88</f>
        <v>1.0031214249</v>
      </c>
      <c r="D83">
        <f>'#三表'!D88</f>
        <v>1.2338467113</v>
      </c>
      <c r="E83">
        <f>'#三表'!E88</f>
        <v>1.6023690283000001</v>
      </c>
      <c r="F83">
        <f>'#三表'!F88</f>
        <v>2.0350382158000002</v>
      </c>
      <c r="G83">
        <f>'#三表'!G88</f>
        <v>2.3705936666</v>
      </c>
      <c r="H83">
        <f>'#三表'!H88</f>
        <v>2.360762925</v>
      </c>
      <c r="I83">
        <f>'#三表'!I88</f>
        <v>2.4051877633999998</v>
      </c>
    </row>
    <row r="84" spans="1:9" x14ac:dyDescent="0.25">
      <c r="A84" t="str">
        <f>'#三表'!A89</f>
        <v xml:space="preserve">        在建工程</v>
      </c>
      <c r="B84">
        <f>'#三表'!B89</f>
        <v>0</v>
      </c>
      <c r="C84">
        <f>'#三表'!C89</f>
        <v>0</v>
      </c>
      <c r="D84">
        <f>'#三表'!D89</f>
        <v>0</v>
      </c>
      <c r="E84">
        <f>'#三表'!E89</f>
        <v>9.1933868999999994E-3</v>
      </c>
      <c r="F84">
        <f>'#三表'!F89</f>
        <v>7.39699048E-2</v>
      </c>
      <c r="G84">
        <f>'#三表'!G89</f>
        <v>2.2294535600000002E-2</v>
      </c>
      <c r="H84">
        <f>'#三表'!H89</f>
        <v>0.10707902279999999</v>
      </c>
      <c r="I84">
        <f>'#三表'!I89</f>
        <v>9.7331450199999989E-2</v>
      </c>
    </row>
    <row r="85" spans="1:9" x14ac:dyDescent="0.25">
      <c r="A85" t="str">
        <f>'#三表'!A90</f>
        <v xml:space="preserve">        工程物资</v>
      </c>
      <c r="B85">
        <f>'#三表'!B90</f>
        <v>0</v>
      </c>
      <c r="C85">
        <f>'#三表'!C90</f>
        <v>0</v>
      </c>
      <c r="D85">
        <f>'#三表'!D90</f>
        <v>0</v>
      </c>
      <c r="E85">
        <f>'#三表'!E90</f>
        <v>0</v>
      </c>
      <c r="F85">
        <f>'#三表'!F90</f>
        <v>0</v>
      </c>
      <c r="G85">
        <f>'#三表'!G90</f>
        <v>0</v>
      </c>
      <c r="H85">
        <f>'#三表'!H90</f>
        <v>0</v>
      </c>
      <c r="I85">
        <f>'#三表'!I90</f>
        <v>0</v>
      </c>
    </row>
    <row r="86" spans="1:9" x14ac:dyDescent="0.25">
      <c r="A86" t="str">
        <f>'#三表'!A91</f>
        <v xml:space="preserve">        固定资产清理</v>
      </c>
      <c r="B86">
        <f>'#三表'!B91</f>
        <v>0</v>
      </c>
      <c r="C86">
        <f>'#三表'!C91</f>
        <v>0</v>
      </c>
      <c r="D86">
        <f>'#三表'!D91</f>
        <v>0</v>
      </c>
      <c r="E86">
        <f>'#三表'!E91</f>
        <v>0</v>
      </c>
      <c r="F86">
        <f>'#三表'!F91</f>
        <v>0</v>
      </c>
      <c r="G86">
        <f>'#三表'!G91</f>
        <v>0</v>
      </c>
      <c r="H86">
        <f>'#三表'!H91</f>
        <v>0</v>
      </c>
      <c r="I86">
        <f>'#三表'!I91</f>
        <v>0</v>
      </c>
    </row>
    <row r="87" spans="1:9" x14ac:dyDescent="0.25">
      <c r="A87" t="str">
        <f>'#三表'!A92</f>
        <v xml:space="preserve">        生产性生物资产</v>
      </c>
      <c r="B87">
        <f>'#三表'!B92</f>
        <v>0</v>
      </c>
      <c r="C87">
        <f>'#三表'!C92</f>
        <v>0</v>
      </c>
      <c r="D87">
        <f>'#三表'!D92</f>
        <v>0</v>
      </c>
      <c r="E87">
        <f>'#三表'!E92</f>
        <v>0</v>
      </c>
      <c r="F87">
        <f>'#三表'!F92</f>
        <v>0</v>
      </c>
      <c r="G87">
        <f>'#三表'!G92</f>
        <v>0</v>
      </c>
      <c r="H87">
        <f>'#三表'!H92</f>
        <v>0</v>
      </c>
      <c r="I87">
        <f>'#三表'!I92</f>
        <v>0</v>
      </c>
    </row>
    <row r="88" spans="1:9" x14ac:dyDescent="0.25">
      <c r="A88" t="str">
        <f>'#三表'!A93</f>
        <v xml:space="preserve">        油气资产</v>
      </c>
      <c r="B88">
        <f>'#三表'!B93</f>
        <v>0</v>
      </c>
      <c r="C88">
        <f>'#三表'!C93</f>
        <v>0</v>
      </c>
      <c r="D88">
        <f>'#三表'!D93</f>
        <v>0</v>
      </c>
      <c r="E88">
        <f>'#三表'!E93</f>
        <v>0</v>
      </c>
      <c r="F88">
        <f>'#三表'!F93</f>
        <v>0</v>
      </c>
      <c r="G88">
        <f>'#三表'!G93</f>
        <v>0</v>
      </c>
      <c r="H88">
        <f>'#三表'!H93</f>
        <v>0</v>
      </c>
      <c r="I88">
        <f>'#三表'!I93</f>
        <v>0</v>
      </c>
    </row>
    <row r="89" spans="1:9" x14ac:dyDescent="0.25">
      <c r="A89" t="str">
        <f>'#三表'!A94</f>
        <v xml:space="preserve">        无形资产</v>
      </c>
      <c r="B89">
        <f>'#三表'!B94</f>
        <v>8.1485840000000004E-2</v>
      </c>
      <c r="C89">
        <f>'#三表'!C94</f>
        <v>7.9948314100000001E-2</v>
      </c>
      <c r="D89">
        <f>'#三表'!D94</f>
        <v>7.7523978100000002E-2</v>
      </c>
      <c r="E89">
        <f>'#三表'!E94</f>
        <v>7.601104639999999E-2</v>
      </c>
      <c r="F89">
        <f>'#三表'!F94</f>
        <v>7.4263700099999996E-2</v>
      </c>
      <c r="G89">
        <f>'#三表'!G94</f>
        <v>9.0455350899999995E-2</v>
      </c>
      <c r="H89">
        <f>'#三表'!H94</f>
        <v>0.11327646539999998</v>
      </c>
      <c r="I89">
        <f>'#三表'!I94</f>
        <v>0.10686529779999999</v>
      </c>
    </row>
    <row r="90" spans="1:9" x14ac:dyDescent="0.25">
      <c r="A90" t="str">
        <f>'#三表'!A95</f>
        <v xml:space="preserve">        开发支出</v>
      </c>
      <c r="B90">
        <f>'#三表'!B95</f>
        <v>0</v>
      </c>
      <c r="C90">
        <f>'#三表'!C95</f>
        <v>0</v>
      </c>
      <c r="D90">
        <f>'#三表'!D95</f>
        <v>0</v>
      </c>
      <c r="E90">
        <f>'#三表'!E95</f>
        <v>0</v>
      </c>
      <c r="F90">
        <f>'#三表'!F95</f>
        <v>0</v>
      </c>
      <c r="G90">
        <f>'#三表'!G95</f>
        <v>0</v>
      </c>
      <c r="H90">
        <f>'#三表'!H95</f>
        <v>0</v>
      </c>
      <c r="I90">
        <f>'#三表'!I95</f>
        <v>0</v>
      </c>
    </row>
    <row r="91" spans="1:9" x14ac:dyDescent="0.25">
      <c r="A91" t="str">
        <f>'#三表'!A96</f>
        <v xml:space="preserve">        商誉</v>
      </c>
      <c r="B91">
        <f>'#三表'!B96</f>
        <v>0</v>
      </c>
      <c r="C91">
        <f>'#三表'!C96</f>
        <v>0</v>
      </c>
      <c r="D91">
        <f>'#三表'!D96</f>
        <v>0</v>
      </c>
      <c r="E91">
        <f>'#三表'!E96</f>
        <v>0</v>
      </c>
      <c r="F91">
        <f>'#三表'!F96</f>
        <v>1.1291185590999999</v>
      </c>
      <c r="G91">
        <f>'#三表'!G96</f>
        <v>1.2103100349</v>
      </c>
      <c r="H91">
        <f>'#三表'!H96</f>
        <v>1.5426109753999999</v>
      </c>
      <c r="I91">
        <f>'#三表'!I96</f>
        <v>1.5426109753999999</v>
      </c>
    </row>
    <row r="92" spans="1:9" x14ac:dyDescent="0.25">
      <c r="A92" t="str">
        <f>'#三表'!A97</f>
        <v xml:space="preserve">        长期待摊费用</v>
      </c>
      <c r="B92">
        <f>'#三表'!B97</f>
        <v>5.3505520999999993E-3</v>
      </c>
      <c r="C92">
        <f>'#三表'!C97</f>
        <v>3.225E-3</v>
      </c>
      <c r="D92">
        <f>'#三表'!D97</f>
        <v>2.2878094700000001E-2</v>
      </c>
      <c r="E92">
        <f>'#三表'!E97</f>
        <v>7.3447539300000003E-2</v>
      </c>
      <c r="F92">
        <f>'#三表'!F97</f>
        <v>0.30622184299999999</v>
      </c>
      <c r="G92">
        <f>'#三表'!G97</f>
        <v>0.34586753609999998</v>
      </c>
      <c r="H92">
        <f>'#三表'!H97</f>
        <v>0.46316741710000003</v>
      </c>
      <c r="I92">
        <f>'#三表'!I97</f>
        <v>0.46302238149999997</v>
      </c>
    </row>
    <row r="93" spans="1:9" x14ac:dyDescent="0.25">
      <c r="A93" t="str">
        <f>'#三表'!A98</f>
        <v xml:space="preserve">        递延所得税资产</v>
      </c>
      <c r="B93">
        <f>'#三表'!B98</f>
        <v>3.7907828300000002E-2</v>
      </c>
      <c r="C93">
        <f>'#三表'!C98</f>
        <v>4.9591835399999999E-2</v>
      </c>
      <c r="D93">
        <f>'#三表'!D98</f>
        <v>6.3207336099999997E-2</v>
      </c>
      <c r="E93">
        <f>'#三表'!E98</f>
        <v>8.7910582400000006E-2</v>
      </c>
      <c r="F93">
        <f>'#三表'!F98</f>
        <v>0.13241206680000001</v>
      </c>
      <c r="G93">
        <f>'#三表'!G98</f>
        <v>0.2117970441</v>
      </c>
      <c r="H93">
        <f>'#三表'!H98</f>
        <v>0.33267587799999998</v>
      </c>
      <c r="I93">
        <f>'#三表'!I98</f>
        <v>0.39884297790000001</v>
      </c>
    </row>
    <row r="94" spans="1:9" x14ac:dyDescent="0.25">
      <c r="A94" t="str">
        <f>'#三表'!A99</f>
        <v xml:space="preserve">        其他非流动资产</v>
      </c>
      <c r="B94">
        <f>'#三表'!B99</f>
        <v>0</v>
      </c>
      <c r="C94">
        <f>'#三表'!C99</f>
        <v>0</v>
      </c>
      <c r="D94">
        <f>'#三表'!D99</f>
        <v>0</v>
      </c>
      <c r="E94">
        <f>'#三表'!E99</f>
        <v>0</v>
      </c>
      <c r="F94">
        <f>'#三表'!F99</f>
        <v>9.6643796699999993E-2</v>
      </c>
      <c r="G94">
        <f>'#三表'!G99</f>
        <v>0.29991336839999999</v>
      </c>
      <c r="H94">
        <f>'#三表'!H99</f>
        <v>0.80586313610000004</v>
      </c>
      <c r="I94">
        <f>'#三表'!I99</f>
        <v>0.7609134381999999</v>
      </c>
    </row>
    <row r="95" spans="1:9" x14ac:dyDescent="0.25">
      <c r="A95" t="str">
        <f>'#三表'!A100</f>
        <v xml:space="preserve">        非流动资产差额(特殊报表科目)</v>
      </c>
      <c r="B95">
        <f>'#三表'!B100</f>
        <v>0</v>
      </c>
      <c r="C95">
        <f>'#三表'!C100</f>
        <v>0</v>
      </c>
      <c r="D95">
        <f>'#三表'!D100</f>
        <v>0</v>
      </c>
      <c r="E95">
        <f>'#三表'!E100</f>
        <v>0</v>
      </c>
      <c r="F95">
        <f>'#三表'!F100</f>
        <v>0</v>
      </c>
      <c r="G95">
        <f>'#三表'!G100</f>
        <v>0</v>
      </c>
      <c r="H95">
        <f>'#三表'!H100</f>
        <v>0</v>
      </c>
      <c r="I95">
        <f>'#三表'!I100</f>
        <v>0</v>
      </c>
    </row>
    <row r="96" spans="1:9" x14ac:dyDescent="0.25">
      <c r="A96" t="str">
        <f>'#三表'!A101</f>
        <v xml:space="preserve">        非流动资产差额(合计平衡项目)</v>
      </c>
      <c r="B96">
        <f>'#三表'!B101</f>
        <v>0</v>
      </c>
      <c r="C96">
        <f>'#三表'!C101</f>
        <v>0</v>
      </c>
      <c r="D96">
        <f>'#三表'!D101</f>
        <v>0</v>
      </c>
      <c r="E96">
        <f>'#三表'!E101</f>
        <v>0</v>
      </c>
      <c r="F96">
        <f>'#三表'!F101</f>
        <v>0</v>
      </c>
      <c r="G96">
        <f>'#三表'!G101</f>
        <v>0</v>
      </c>
      <c r="H96">
        <f>'#三表'!H101</f>
        <v>0</v>
      </c>
      <c r="I96">
        <f>'#三表'!I101</f>
        <v>0</v>
      </c>
    </row>
    <row r="97" spans="1:9" x14ac:dyDescent="0.25">
      <c r="A97" t="str">
        <f>'#三表'!A102</f>
        <v xml:space="preserve">        非流动资产合计</v>
      </c>
      <c r="B97">
        <f>'#三表'!B102</f>
        <v>1.0748770381999999</v>
      </c>
      <c r="C97">
        <f>'#三表'!C102</f>
        <v>1.3138865743999999</v>
      </c>
      <c r="D97">
        <f>'#三表'!D102</f>
        <v>1.5754561202000001</v>
      </c>
      <c r="E97">
        <f>'#三表'!E102</f>
        <v>2.0269315833000001</v>
      </c>
      <c r="F97">
        <f>'#三表'!F102</f>
        <v>4.6006780863000003</v>
      </c>
      <c r="G97">
        <f>'#三表'!G102</f>
        <v>6.3178434308</v>
      </c>
      <c r="H97">
        <f>'#三表'!H102</f>
        <v>7.7793626229999999</v>
      </c>
      <c r="I97">
        <f>'#三表'!I102</f>
        <v>7.7301064289000001</v>
      </c>
    </row>
    <row r="98" spans="1:9" x14ac:dyDescent="0.25">
      <c r="A98" t="str">
        <f>'#三表'!A103</f>
        <v xml:space="preserve">        资产差额(特殊报表科目)</v>
      </c>
      <c r="B98">
        <f>'#三表'!B103</f>
        <v>0</v>
      </c>
      <c r="C98">
        <f>'#三表'!C103</f>
        <v>0</v>
      </c>
      <c r="D98">
        <f>'#三表'!D103</f>
        <v>0</v>
      </c>
      <c r="E98">
        <f>'#三表'!E103</f>
        <v>0</v>
      </c>
      <c r="F98">
        <f>'#三表'!F103</f>
        <v>0</v>
      </c>
      <c r="G98">
        <f>'#三表'!G103</f>
        <v>0</v>
      </c>
      <c r="H98">
        <f>'#三表'!H103</f>
        <v>0</v>
      </c>
      <c r="I98">
        <f>'#三表'!I103</f>
        <v>0</v>
      </c>
    </row>
    <row r="99" spans="1:9" x14ac:dyDescent="0.25">
      <c r="A99" t="str">
        <f>'#三表'!A104</f>
        <v xml:space="preserve">        资产差额(合计平衡项目)</v>
      </c>
      <c r="B99">
        <f>'#三表'!B104</f>
        <v>0</v>
      </c>
      <c r="C99">
        <f>'#三表'!C104</f>
        <v>0</v>
      </c>
      <c r="D99">
        <f>'#三表'!D104</f>
        <v>0</v>
      </c>
      <c r="E99">
        <f>'#三表'!E104</f>
        <v>0</v>
      </c>
      <c r="F99">
        <f>'#三表'!F104</f>
        <v>0</v>
      </c>
      <c r="G99">
        <f>'#三表'!G104</f>
        <v>0</v>
      </c>
      <c r="H99">
        <f>'#三表'!H104</f>
        <v>0</v>
      </c>
      <c r="I99">
        <f>'#三表'!I104</f>
        <v>0</v>
      </c>
    </row>
    <row r="100" spans="1:9" x14ac:dyDescent="0.25">
      <c r="A100" t="str">
        <f>'#三表'!A105</f>
        <v xml:space="preserve">        资产总计</v>
      </c>
      <c r="B100">
        <f>'#三表'!B105</f>
        <v>4.3779122549</v>
      </c>
      <c r="C100">
        <f>'#三表'!C105</f>
        <v>5.3757257075</v>
      </c>
      <c r="D100">
        <f>'#三表'!D105</f>
        <v>6.6326666764999995</v>
      </c>
      <c r="E100">
        <f>'#三表'!E105</f>
        <v>10.924809203699999</v>
      </c>
      <c r="F100">
        <f>'#三表'!F105</f>
        <v>15.693906535999998</v>
      </c>
      <c r="G100">
        <f>'#三表'!G105</f>
        <v>25.828123791399999</v>
      </c>
      <c r="H100">
        <f>'#三表'!H105</f>
        <v>30.070564858800001</v>
      </c>
      <c r="I100">
        <f>'#三表'!I105</f>
        <v>30.594822141999998</v>
      </c>
    </row>
    <row r="101" spans="1:9" x14ac:dyDescent="0.25">
      <c r="A101" t="str">
        <f>'#三表'!A106</f>
        <v>流动负债：</v>
      </c>
      <c r="B101">
        <f>'#三表'!B106</f>
        <v>0</v>
      </c>
      <c r="C101">
        <f>'#三表'!C106</f>
        <v>0</v>
      </c>
      <c r="D101">
        <f>'#三表'!D106</f>
        <v>0</v>
      </c>
      <c r="E101">
        <f>'#三表'!E106</f>
        <v>0</v>
      </c>
      <c r="F101">
        <f>'#三表'!F106</f>
        <v>0</v>
      </c>
      <c r="G101">
        <f>'#三表'!G106</f>
        <v>0</v>
      </c>
      <c r="H101">
        <f>'#三表'!H106</f>
        <v>0</v>
      </c>
      <c r="I101">
        <f>'#三表'!I106</f>
        <v>0</v>
      </c>
    </row>
    <row r="102" spans="1:9" x14ac:dyDescent="0.25">
      <c r="A102" t="str">
        <f>'#三表'!A107</f>
        <v xml:space="preserve">        短期借款</v>
      </c>
      <c r="B102">
        <f>'#三表'!B107</f>
        <v>0.24640000000000001</v>
      </c>
      <c r="C102">
        <f>'#三表'!C107</f>
        <v>0.61</v>
      </c>
      <c r="D102">
        <f>'#三表'!D107</f>
        <v>0.98</v>
      </c>
      <c r="E102">
        <f>'#三表'!E107</f>
        <v>1.4139999999999999</v>
      </c>
      <c r="F102">
        <f>'#三表'!F107</f>
        <v>2.8662399999999999</v>
      </c>
      <c r="G102">
        <f>'#三表'!G107</f>
        <v>6.7053500000000001</v>
      </c>
      <c r="H102">
        <f>'#三表'!H107</f>
        <v>8.0921002075999997</v>
      </c>
      <c r="I102">
        <f>'#三表'!I107</f>
        <v>7.5934124638</v>
      </c>
    </row>
    <row r="103" spans="1:9" x14ac:dyDescent="0.25">
      <c r="A103" t="str">
        <f>'#三表'!A108</f>
        <v xml:space="preserve">        向中央银行借款</v>
      </c>
      <c r="B103">
        <f>'#三表'!B108</f>
        <v>0</v>
      </c>
      <c r="C103">
        <f>'#三表'!C108</f>
        <v>0</v>
      </c>
      <c r="D103">
        <f>'#三表'!D108</f>
        <v>0</v>
      </c>
      <c r="E103">
        <f>'#三表'!E108</f>
        <v>0</v>
      </c>
      <c r="F103">
        <f>'#三表'!F108</f>
        <v>0</v>
      </c>
      <c r="G103">
        <f>'#三表'!G108</f>
        <v>0</v>
      </c>
      <c r="H103">
        <f>'#三表'!H108</f>
        <v>0</v>
      </c>
      <c r="I103">
        <f>'#三表'!I108</f>
        <v>0</v>
      </c>
    </row>
    <row r="104" spans="1:9" x14ac:dyDescent="0.25">
      <c r="A104" t="str">
        <f>'#三表'!A109</f>
        <v xml:space="preserve">        吸收存款及同业存放</v>
      </c>
      <c r="B104">
        <f>'#三表'!B109</f>
        <v>0</v>
      </c>
      <c r="C104">
        <f>'#三表'!C109</f>
        <v>0</v>
      </c>
      <c r="D104">
        <f>'#三表'!D109</f>
        <v>0</v>
      </c>
      <c r="E104">
        <f>'#三表'!E109</f>
        <v>0</v>
      </c>
      <c r="F104">
        <f>'#三表'!F109</f>
        <v>0</v>
      </c>
      <c r="G104">
        <f>'#三表'!G109</f>
        <v>0</v>
      </c>
      <c r="H104">
        <f>'#三表'!H109</f>
        <v>0</v>
      </c>
      <c r="I104">
        <f>'#三表'!I109</f>
        <v>0</v>
      </c>
    </row>
    <row r="105" spans="1:9" x14ac:dyDescent="0.25">
      <c r="A105" t="str">
        <f>'#三表'!A110</f>
        <v xml:space="preserve">        拆入资金</v>
      </c>
      <c r="B105">
        <f>'#三表'!B110</f>
        <v>0</v>
      </c>
      <c r="C105">
        <f>'#三表'!C110</f>
        <v>0</v>
      </c>
      <c r="D105">
        <f>'#三表'!D110</f>
        <v>0</v>
      </c>
      <c r="E105">
        <f>'#三表'!E110</f>
        <v>0</v>
      </c>
      <c r="F105">
        <f>'#三表'!F110</f>
        <v>0</v>
      </c>
      <c r="G105">
        <f>'#三表'!G110</f>
        <v>0</v>
      </c>
      <c r="H105">
        <f>'#三表'!H110</f>
        <v>0</v>
      </c>
      <c r="I105">
        <f>'#三表'!I110</f>
        <v>0</v>
      </c>
    </row>
    <row r="106" spans="1:9" x14ac:dyDescent="0.25">
      <c r="A106" t="str">
        <f>'#三表'!A111</f>
        <v xml:space="preserve">        交易性金融负债</v>
      </c>
      <c r="B106">
        <f>'#三表'!B111</f>
        <v>0</v>
      </c>
      <c r="C106">
        <f>'#三表'!C111</f>
        <v>0</v>
      </c>
      <c r="D106">
        <f>'#三表'!D111</f>
        <v>0</v>
      </c>
      <c r="E106">
        <f>'#三表'!E111</f>
        <v>0</v>
      </c>
      <c r="F106">
        <f>'#三表'!F111</f>
        <v>0</v>
      </c>
      <c r="G106">
        <f>'#三表'!G111</f>
        <v>0</v>
      </c>
      <c r="H106">
        <f>'#三表'!H111</f>
        <v>0</v>
      </c>
      <c r="I106">
        <f>'#三表'!I111</f>
        <v>0</v>
      </c>
    </row>
    <row r="107" spans="1:9" x14ac:dyDescent="0.25">
      <c r="A107" t="str">
        <f>'#三表'!A112</f>
        <v xml:space="preserve">        应付票据</v>
      </c>
      <c r="B107">
        <f>'#三表'!B112</f>
        <v>0</v>
      </c>
      <c r="C107">
        <f>'#三表'!C112</f>
        <v>0</v>
      </c>
      <c r="D107">
        <f>'#三表'!D112</f>
        <v>0</v>
      </c>
      <c r="E107">
        <f>'#三表'!E112</f>
        <v>0</v>
      </c>
      <c r="F107">
        <f>'#三表'!F112</f>
        <v>0</v>
      </c>
      <c r="G107">
        <f>'#三表'!G112</f>
        <v>0</v>
      </c>
      <c r="H107">
        <f>'#三表'!H112</f>
        <v>0</v>
      </c>
      <c r="I107">
        <f>'#三表'!I112</f>
        <v>0</v>
      </c>
    </row>
    <row r="108" spans="1:9" x14ac:dyDescent="0.25">
      <c r="A108" t="str">
        <f>'#三表'!A113</f>
        <v xml:space="preserve">        应付账款</v>
      </c>
      <c r="B108">
        <f>'#三表'!B113</f>
        <v>0.1466149511</v>
      </c>
      <c r="C108">
        <f>'#三表'!C113</f>
        <v>0.19182223760000003</v>
      </c>
      <c r="D108">
        <f>'#三表'!D113</f>
        <v>0.2582452368</v>
      </c>
      <c r="E108">
        <f>'#三表'!E113</f>
        <v>8.4596286800000003E-2</v>
      </c>
      <c r="F108">
        <f>'#三表'!F113</f>
        <v>0.55956937130000006</v>
      </c>
      <c r="G108">
        <f>'#三表'!G113</f>
        <v>0.99309080090000001</v>
      </c>
      <c r="H108">
        <f>'#三表'!H113</f>
        <v>2.3573114046999999</v>
      </c>
      <c r="I108">
        <f>'#三表'!I113</f>
        <v>2.0131068889999999</v>
      </c>
    </row>
    <row r="109" spans="1:9" x14ac:dyDescent="0.25">
      <c r="A109" t="str">
        <f>'#三表'!A114</f>
        <v xml:space="preserve">        预收款项</v>
      </c>
      <c r="B109">
        <f>'#三表'!B114</f>
        <v>6.0638021299999997E-2</v>
      </c>
      <c r="C109">
        <f>'#三表'!C114</f>
        <v>7.9786425499999994E-2</v>
      </c>
      <c r="D109">
        <f>'#三表'!D114</f>
        <v>6.4135374500000009E-2</v>
      </c>
      <c r="E109">
        <f>'#三表'!E114</f>
        <v>0.1355163335</v>
      </c>
      <c r="F109">
        <f>'#三表'!F114</f>
        <v>0.18928217949999998</v>
      </c>
      <c r="G109">
        <f>'#三表'!G114</f>
        <v>0.29296264989999998</v>
      </c>
      <c r="H109">
        <f>'#三表'!H114</f>
        <v>0.34955591460000002</v>
      </c>
      <c r="I109">
        <f>'#三表'!I114</f>
        <v>0.33708245209999999</v>
      </c>
    </row>
    <row r="110" spans="1:9" x14ac:dyDescent="0.25">
      <c r="A110" t="str">
        <f>'#三表'!A115</f>
        <v xml:space="preserve">        卖出回购金融资产款</v>
      </c>
      <c r="B110">
        <f>'#三表'!B115</f>
        <v>0</v>
      </c>
      <c r="C110">
        <f>'#三表'!C115</f>
        <v>0</v>
      </c>
      <c r="D110">
        <f>'#三表'!D115</f>
        <v>0</v>
      </c>
      <c r="E110">
        <f>'#三表'!E115</f>
        <v>0</v>
      </c>
      <c r="F110">
        <f>'#三表'!F115</f>
        <v>0</v>
      </c>
      <c r="G110">
        <f>'#三表'!G115</f>
        <v>0</v>
      </c>
      <c r="H110">
        <f>'#三表'!H115</f>
        <v>0</v>
      </c>
      <c r="I110">
        <f>'#三表'!I115</f>
        <v>0</v>
      </c>
    </row>
    <row r="111" spans="1:9" x14ac:dyDescent="0.25">
      <c r="A111" t="str">
        <f>'#三表'!A116</f>
        <v xml:space="preserve">        应付手续费及佣金</v>
      </c>
      <c r="B111">
        <f>'#三表'!B116</f>
        <v>0</v>
      </c>
      <c r="C111">
        <f>'#三表'!C116</f>
        <v>0</v>
      </c>
      <c r="D111">
        <f>'#三表'!D116</f>
        <v>0</v>
      </c>
      <c r="E111">
        <f>'#三表'!E116</f>
        <v>0</v>
      </c>
      <c r="F111">
        <f>'#三表'!F116</f>
        <v>0</v>
      </c>
      <c r="G111">
        <f>'#三表'!G116</f>
        <v>0</v>
      </c>
      <c r="H111">
        <f>'#三表'!H116</f>
        <v>0</v>
      </c>
      <c r="I111">
        <f>'#三表'!I116</f>
        <v>0</v>
      </c>
    </row>
    <row r="112" spans="1:9" x14ac:dyDescent="0.25">
      <c r="A112" t="str">
        <f>'#三表'!A117</f>
        <v xml:space="preserve">        应付职工薪酬</v>
      </c>
      <c r="B112">
        <f>'#三表'!B117</f>
        <v>4.3551416399999994E-2</v>
      </c>
      <c r="C112">
        <f>'#三表'!C117</f>
        <v>7.9589292800000003E-2</v>
      </c>
      <c r="D112">
        <f>'#三表'!D117</f>
        <v>0.1271836167</v>
      </c>
      <c r="E112">
        <f>'#三表'!E117</f>
        <v>0.18334525879999999</v>
      </c>
      <c r="F112">
        <f>'#三表'!F117</f>
        <v>0.25382698730000003</v>
      </c>
      <c r="G112">
        <f>'#三表'!G117</f>
        <v>0.23211313089999999</v>
      </c>
      <c r="H112">
        <f>'#三表'!H117</f>
        <v>0.29771940299999999</v>
      </c>
      <c r="I112">
        <f>'#三表'!I117</f>
        <v>0.2033740829</v>
      </c>
    </row>
    <row r="113" spans="1:9" x14ac:dyDescent="0.25">
      <c r="A113" t="str">
        <f>'#三表'!A118</f>
        <v xml:space="preserve">        应交税费</v>
      </c>
      <c r="B113">
        <f>'#三表'!B118</f>
        <v>8.0861271499999998E-2</v>
      </c>
      <c r="C113">
        <f>'#三表'!C118</f>
        <v>6.5380221799999999E-2</v>
      </c>
      <c r="D113">
        <f>'#三表'!D118</f>
        <v>9.7382382799999986E-2</v>
      </c>
      <c r="E113">
        <f>'#三表'!E118</f>
        <v>9.5452783999999999E-2</v>
      </c>
      <c r="F113">
        <f>'#三表'!F118</f>
        <v>0.2400715182</v>
      </c>
      <c r="G113">
        <f>'#三表'!G118</f>
        <v>0.30692036049999999</v>
      </c>
      <c r="H113">
        <f>'#三表'!H118</f>
        <v>0.37793356310000004</v>
      </c>
      <c r="I113">
        <f>'#三表'!I118</f>
        <v>0.12867815599999999</v>
      </c>
    </row>
    <row r="114" spans="1:9" x14ac:dyDescent="0.25">
      <c r="A114" t="str">
        <f>'#三表'!A119</f>
        <v xml:space="preserve">        应付利息</v>
      </c>
      <c r="B114">
        <f>'#三表'!B119</f>
        <v>0</v>
      </c>
      <c r="C114">
        <f>'#三表'!C119</f>
        <v>0</v>
      </c>
      <c r="D114">
        <f>'#三表'!D119</f>
        <v>0</v>
      </c>
      <c r="E114">
        <f>'#三表'!E119</f>
        <v>0</v>
      </c>
      <c r="F114">
        <f>'#三表'!F119</f>
        <v>9.1325E-4</v>
      </c>
      <c r="G114">
        <f>'#三表'!G119</f>
        <v>9.4126712999999997E-3</v>
      </c>
      <c r="H114">
        <f>'#三表'!H119</f>
        <v>0</v>
      </c>
      <c r="I114">
        <f>'#三表'!I119</f>
        <v>0</v>
      </c>
    </row>
    <row r="115" spans="1:9" x14ac:dyDescent="0.25">
      <c r="A115" t="str">
        <f>'#三表'!A120</f>
        <v xml:space="preserve">        其他应付款</v>
      </c>
      <c r="B115">
        <f>'#三表'!B120</f>
        <v>6.80264857E-2</v>
      </c>
      <c r="C115">
        <f>'#三表'!C120</f>
        <v>5.14779104E-2</v>
      </c>
      <c r="D115">
        <f>'#三表'!D120</f>
        <v>7.1408638099999991E-2</v>
      </c>
      <c r="E115">
        <f>'#三表'!E120</f>
        <v>9.1938610700000006E-2</v>
      </c>
      <c r="F115">
        <f>'#三表'!F120</f>
        <v>0.88653780730000009</v>
      </c>
      <c r="G115">
        <f>'#三表'!G120</f>
        <v>0.54490112670000002</v>
      </c>
      <c r="H115">
        <f>'#三表'!H120</f>
        <v>1.3287854869</v>
      </c>
      <c r="I115">
        <f>'#三表'!I120</f>
        <v>1.3113532682</v>
      </c>
    </row>
    <row r="116" spans="1:9" x14ac:dyDescent="0.25">
      <c r="A116" t="str">
        <f>'#三表'!A121</f>
        <v xml:space="preserve">        应付分保账款</v>
      </c>
      <c r="B116">
        <f>'#三表'!B121</f>
        <v>0</v>
      </c>
      <c r="C116">
        <f>'#三表'!C121</f>
        <v>0</v>
      </c>
      <c r="D116">
        <f>'#三表'!D121</f>
        <v>0</v>
      </c>
      <c r="E116">
        <f>'#三表'!E121</f>
        <v>0</v>
      </c>
      <c r="F116">
        <f>'#三表'!F121</f>
        <v>0</v>
      </c>
      <c r="G116">
        <f>'#三表'!G121</f>
        <v>0</v>
      </c>
      <c r="H116">
        <f>'#三表'!H121</f>
        <v>0</v>
      </c>
      <c r="I116">
        <f>'#三表'!I121</f>
        <v>0</v>
      </c>
    </row>
    <row r="117" spans="1:9" x14ac:dyDescent="0.25">
      <c r="A117" t="str">
        <f>'#三表'!A122</f>
        <v xml:space="preserve">        保险合同准备金</v>
      </c>
      <c r="B117">
        <f>'#三表'!B122</f>
        <v>0</v>
      </c>
      <c r="C117">
        <f>'#三表'!C122</f>
        <v>0</v>
      </c>
      <c r="D117">
        <f>'#三表'!D122</f>
        <v>0</v>
      </c>
      <c r="E117">
        <f>'#三表'!E122</f>
        <v>0</v>
      </c>
      <c r="F117">
        <f>'#三表'!F122</f>
        <v>0</v>
      </c>
      <c r="G117">
        <f>'#三表'!G122</f>
        <v>0</v>
      </c>
      <c r="H117">
        <f>'#三表'!H122</f>
        <v>0</v>
      </c>
      <c r="I117">
        <f>'#三表'!I122</f>
        <v>0</v>
      </c>
    </row>
    <row r="118" spans="1:9" x14ac:dyDescent="0.25">
      <c r="A118" t="str">
        <f>'#三表'!A123</f>
        <v xml:space="preserve">        代理买卖证券款</v>
      </c>
      <c r="B118">
        <f>'#三表'!B123</f>
        <v>0</v>
      </c>
      <c r="C118">
        <f>'#三表'!C123</f>
        <v>0</v>
      </c>
      <c r="D118">
        <f>'#三表'!D123</f>
        <v>0</v>
      </c>
      <c r="E118">
        <f>'#三表'!E123</f>
        <v>0</v>
      </c>
      <c r="F118">
        <f>'#三表'!F123</f>
        <v>0</v>
      </c>
      <c r="G118">
        <f>'#三表'!G123</f>
        <v>0</v>
      </c>
      <c r="H118">
        <f>'#三表'!H123</f>
        <v>0</v>
      </c>
      <c r="I118">
        <f>'#三表'!I123</f>
        <v>0</v>
      </c>
    </row>
    <row r="119" spans="1:9" x14ac:dyDescent="0.25">
      <c r="A119" t="str">
        <f>'#三表'!A124</f>
        <v xml:space="preserve">        代理承销证券款</v>
      </c>
      <c r="B119">
        <f>'#三表'!B124</f>
        <v>0</v>
      </c>
      <c r="C119">
        <f>'#三表'!C124</f>
        <v>0</v>
      </c>
      <c r="D119">
        <f>'#三表'!D124</f>
        <v>0</v>
      </c>
      <c r="E119">
        <f>'#三表'!E124</f>
        <v>0</v>
      </c>
      <c r="F119">
        <f>'#三表'!F124</f>
        <v>0</v>
      </c>
      <c r="G119">
        <f>'#三表'!G124</f>
        <v>0</v>
      </c>
      <c r="H119">
        <f>'#三表'!H124</f>
        <v>0</v>
      </c>
      <c r="I119">
        <f>'#三表'!I124</f>
        <v>0</v>
      </c>
    </row>
    <row r="120" spans="1:9" x14ac:dyDescent="0.25">
      <c r="A120" t="str">
        <f>'#三表'!A125</f>
        <v xml:space="preserve">        一年内到期的非流动负债</v>
      </c>
      <c r="B120">
        <f>'#三表'!B125</f>
        <v>5.7059714900000003E-2</v>
      </c>
      <c r="C120">
        <f>'#三表'!C125</f>
        <v>2.2796526000000003E-3</v>
      </c>
      <c r="D120">
        <f>'#三表'!D125</f>
        <v>0.22198217719999999</v>
      </c>
      <c r="E120">
        <f>'#三表'!E125</f>
        <v>6.3772800000000004E-2</v>
      </c>
      <c r="F120">
        <f>'#三表'!F125</f>
        <v>0.2360839961</v>
      </c>
      <c r="G120">
        <f>'#三表'!G125</f>
        <v>0.10463160210000001</v>
      </c>
      <c r="H120">
        <f>'#三表'!H125</f>
        <v>0.22309889239999997</v>
      </c>
      <c r="I120">
        <f>'#三表'!I125</f>
        <v>0.10642062839999999</v>
      </c>
    </row>
    <row r="121" spans="1:9" x14ac:dyDescent="0.25">
      <c r="A121" t="str">
        <f>'#三表'!A126</f>
        <v xml:space="preserve">        应付股利</v>
      </c>
      <c r="B121">
        <f>'#三表'!B126</f>
        <v>0</v>
      </c>
      <c r="C121">
        <f>'#三表'!C126</f>
        <v>0</v>
      </c>
      <c r="D121">
        <f>'#三表'!D126</f>
        <v>0</v>
      </c>
      <c r="E121">
        <f>'#三表'!E126</f>
        <v>0</v>
      </c>
      <c r="F121">
        <f>'#三表'!F126</f>
        <v>9.1481999999999994E-2</v>
      </c>
      <c r="G121">
        <f>'#三表'!G126</f>
        <v>6.6960000000000006E-2</v>
      </c>
      <c r="H121">
        <f>'#三表'!H126</f>
        <v>6.2153808399999996E-2</v>
      </c>
      <c r="I121">
        <f>'#三表'!I126</f>
        <v>6.2153808399999996E-2</v>
      </c>
    </row>
    <row r="122" spans="1:9" x14ac:dyDescent="0.25">
      <c r="A122" t="str">
        <f>'#三表'!A127</f>
        <v xml:space="preserve">        预提费用</v>
      </c>
      <c r="B122">
        <f>'#三表'!B127</f>
        <v>0</v>
      </c>
      <c r="C122">
        <f>'#三表'!C127</f>
        <v>0</v>
      </c>
      <c r="D122">
        <f>'#三表'!D127</f>
        <v>0</v>
      </c>
      <c r="E122">
        <f>'#三表'!E127</f>
        <v>0</v>
      </c>
      <c r="F122">
        <f>'#三表'!F127</f>
        <v>0</v>
      </c>
      <c r="G122">
        <f>'#三表'!G127</f>
        <v>0</v>
      </c>
      <c r="H122">
        <f>'#三表'!H127</f>
        <v>0</v>
      </c>
      <c r="I122">
        <f>'#三表'!I127</f>
        <v>0</v>
      </c>
    </row>
    <row r="123" spans="1:9" x14ac:dyDescent="0.25">
      <c r="A123" t="str">
        <f>'#三表'!A128</f>
        <v xml:space="preserve">        递延收益-流动负债</v>
      </c>
      <c r="B123">
        <f>'#三表'!B128</f>
        <v>0</v>
      </c>
      <c r="C123">
        <f>'#三表'!C128</f>
        <v>0</v>
      </c>
      <c r="D123">
        <f>'#三表'!D128</f>
        <v>0</v>
      </c>
      <c r="E123">
        <f>'#三表'!E128</f>
        <v>0</v>
      </c>
      <c r="F123">
        <f>'#三表'!F128</f>
        <v>0</v>
      </c>
      <c r="G123">
        <f>'#三表'!G128</f>
        <v>0</v>
      </c>
      <c r="H123">
        <f>'#三表'!H128</f>
        <v>0</v>
      </c>
      <c r="I123">
        <f>'#三表'!I128</f>
        <v>0</v>
      </c>
    </row>
    <row r="124" spans="1:9" x14ac:dyDescent="0.25">
      <c r="A124" t="str">
        <f>'#三表'!A129</f>
        <v xml:space="preserve">        应付短期债券</v>
      </c>
      <c r="B124">
        <f>'#三表'!B129</f>
        <v>0</v>
      </c>
      <c r="C124">
        <f>'#三表'!C129</f>
        <v>0</v>
      </c>
      <c r="D124">
        <f>'#三表'!D129</f>
        <v>0</v>
      </c>
      <c r="E124">
        <f>'#三表'!E129</f>
        <v>0</v>
      </c>
      <c r="F124">
        <f>'#三表'!F129</f>
        <v>0</v>
      </c>
      <c r="G124">
        <f>'#三表'!G129</f>
        <v>0</v>
      </c>
      <c r="H124">
        <f>'#三表'!H129</f>
        <v>0</v>
      </c>
      <c r="I124">
        <f>'#三表'!I129</f>
        <v>0</v>
      </c>
    </row>
    <row r="125" spans="1:9" x14ac:dyDescent="0.25">
      <c r="A125" t="str">
        <f>'#三表'!A130</f>
        <v xml:space="preserve">        其他流动负债</v>
      </c>
      <c r="B125">
        <f>'#三表'!B130</f>
        <v>0</v>
      </c>
      <c r="C125">
        <f>'#三表'!C130</f>
        <v>0</v>
      </c>
      <c r="D125">
        <f>'#三表'!D130</f>
        <v>0</v>
      </c>
      <c r="E125">
        <f>'#三表'!E130</f>
        <v>0</v>
      </c>
      <c r="F125">
        <f>'#三表'!F130</f>
        <v>0</v>
      </c>
      <c r="G125">
        <f>'#三表'!G130</f>
        <v>8.6824741999999996E-2</v>
      </c>
      <c r="H125">
        <f>'#三表'!H130</f>
        <v>0.11241529369999999</v>
      </c>
      <c r="I125">
        <f>'#三表'!I130</f>
        <v>9.8040562799999995E-2</v>
      </c>
    </row>
    <row r="126" spans="1:9" x14ac:dyDescent="0.25">
      <c r="A126" t="str">
        <f>'#三表'!A131</f>
        <v xml:space="preserve">        流动负债差额(特殊报表科目)</v>
      </c>
      <c r="B126">
        <f>'#三表'!B131</f>
        <v>0</v>
      </c>
      <c r="C126">
        <f>'#三表'!C131</f>
        <v>0</v>
      </c>
      <c r="D126">
        <f>'#三表'!D131</f>
        <v>0</v>
      </c>
      <c r="E126">
        <f>'#三表'!E131</f>
        <v>0</v>
      </c>
      <c r="F126">
        <f>'#三表'!F131</f>
        <v>0</v>
      </c>
      <c r="G126">
        <f>'#三表'!G131</f>
        <v>0</v>
      </c>
      <c r="H126">
        <f>'#三表'!H131</f>
        <v>0</v>
      </c>
      <c r="I126">
        <f>'#三表'!I131</f>
        <v>0</v>
      </c>
    </row>
    <row r="127" spans="1:9" x14ac:dyDescent="0.25">
      <c r="A127" t="str">
        <f>'#三表'!A132</f>
        <v xml:space="preserve">        流动负债差额(合计平衡项目)</v>
      </c>
      <c r="B127">
        <f>'#三表'!B132</f>
        <v>0</v>
      </c>
      <c r="C127">
        <f>'#三表'!C132</f>
        <v>0</v>
      </c>
      <c r="D127">
        <f>'#三表'!D132</f>
        <v>0</v>
      </c>
      <c r="E127">
        <f>'#三表'!E132</f>
        <v>0</v>
      </c>
      <c r="F127">
        <f>'#三表'!F132</f>
        <v>0</v>
      </c>
      <c r="G127">
        <f>'#三表'!G132</f>
        <v>0</v>
      </c>
      <c r="H127">
        <f>'#三表'!H132</f>
        <v>0</v>
      </c>
      <c r="I127">
        <f>'#三表'!I132</f>
        <v>0</v>
      </c>
    </row>
    <row r="128" spans="1:9" x14ac:dyDescent="0.25">
      <c r="A128" t="str">
        <f>'#三表'!A133</f>
        <v xml:space="preserve">        流动负债合计</v>
      </c>
      <c r="B128">
        <f>'#三表'!B133</f>
        <v>0.70315186090000004</v>
      </c>
      <c r="C128">
        <f>'#三表'!C133</f>
        <v>1.0803357406999998</v>
      </c>
      <c r="D128">
        <f>'#三表'!D133</f>
        <v>1.8203374261</v>
      </c>
      <c r="E128">
        <f>'#三表'!E133</f>
        <v>2.0686220737999998</v>
      </c>
      <c r="F128">
        <f>'#三表'!F133</f>
        <v>5.3240071097000001</v>
      </c>
      <c r="G128">
        <f>'#三表'!G133</f>
        <v>9.3431670842999992</v>
      </c>
      <c r="H128">
        <f>'#三表'!H133</f>
        <v>13.2010739744</v>
      </c>
      <c r="I128">
        <f>'#三表'!I133</f>
        <v>11.853622311600001</v>
      </c>
    </row>
    <row r="129" spans="1:9" x14ac:dyDescent="0.25">
      <c r="A129" t="str">
        <f>'#三表'!A134</f>
        <v>非流动负债：</v>
      </c>
      <c r="B129">
        <f>'#三表'!B134</f>
        <v>0</v>
      </c>
      <c r="C129">
        <f>'#三表'!C134</f>
        <v>0</v>
      </c>
      <c r="D129">
        <f>'#三表'!D134</f>
        <v>0</v>
      </c>
      <c r="E129">
        <f>'#三表'!E134</f>
        <v>0</v>
      </c>
      <c r="F129">
        <f>'#三表'!F134</f>
        <v>0</v>
      </c>
      <c r="G129">
        <f>'#三表'!G134</f>
        <v>0</v>
      </c>
      <c r="H129">
        <f>'#三表'!H134</f>
        <v>0</v>
      </c>
      <c r="I129">
        <f>'#三表'!I134</f>
        <v>0</v>
      </c>
    </row>
    <row r="130" spans="1:9" x14ac:dyDescent="0.25">
      <c r="A130" t="str">
        <f>'#三表'!A135</f>
        <v xml:space="preserve">        长期借款</v>
      </c>
      <c r="B130">
        <f>'#三表'!B135</f>
        <v>0.19500000000000001</v>
      </c>
      <c r="C130">
        <f>'#三表'!C135</f>
        <v>0.22655</v>
      </c>
      <c r="D130">
        <f>'#三表'!D135</f>
        <v>3.8175000000000001E-2</v>
      </c>
      <c r="E130">
        <f>'#三表'!E135</f>
        <v>0.2</v>
      </c>
      <c r="F130">
        <f>'#三表'!F135</f>
        <v>0.282744</v>
      </c>
      <c r="G130">
        <f>'#三表'!G135</f>
        <v>9.4247999999999998E-2</v>
      </c>
      <c r="H130">
        <f>'#三表'!H135</f>
        <v>0.5</v>
      </c>
      <c r="I130">
        <f>'#三表'!I135</f>
        <v>2.2999999999999998</v>
      </c>
    </row>
    <row r="131" spans="1:9" x14ac:dyDescent="0.25">
      <c r="A131" t="str">
        <f>'#三表'!A136</f>
        <v xml:space="preserve">        应付债券</v>
      </c>
      <c r="B131">
        <f>'#三表'!B136</f>
        <v>0</v>
      </c>
      <c r="C131">
        <f>'#三表'!C136</f>
        <v>0</v>
      </c>
      <c r="D131">
        <f>'#三表'!D136</f>
        <v>0</v>
      </c>
      <c r="E131">
        <f>'#三表'!E136</f>
        <v>0</v>
      </c>
      <c r="F131">
        <f>'#三表'!F136</f>
        <v>0</v>
      </c>
      <c r="G131">
        <f>'#三表'!G136</f>
        <v>0</v>
      </c>
      <c r="H131">
        <f>'#三表'!H136</f>
        <v>0</v>
      </c>
      <c r="I131">
        <f>'#三表'!I136</f>
        <v>0</v>
      </c>
    </row>
    <row r="132" spans="1:9" x14ac:dyDescent="0.25">
      <c r="A132" t="str">
        <f>'#三表'!A137</f>
        <v xml:space="preserve">        长期应付款</v>
      </c>
      <c r="B132">
        <f>'#三表'!B137</f>
        <v>1.4907607199999999E-2</v>
      </c>
      <c r="C132">
        <f>'#三表'!C137</f>
        <v>0</v>
      </c>
      <c r="D132">
        <f>'#三表'!D137</f>
        <v>5.8460179000000001E-2</v>
      </c>
      <c r="E132">
        <f>'#三表'!E137</f>
        <v>5.3031717300000003E-2</v>
      </c>
      <c r="F132">
        <f>'#三表'!F137</f>
        <v>1.4684708400000001E-2</v>
      </c>
      <c r="G132">
        <f>'#三表'!G137</f>
        <v>8.7722570000000005E-4</v>
      </c>
      <c r="H132">
        <f>'#三表'!H137</f>
        <v>0</v>
      </c>
      <c r="I132">
        <f>'#三表'!I137</f>
        <v>0</v>
      </c>
    </row>
    <row r="133" spans="1:9" x14ac:dyDescent="0.25">
      <c r="A133" t="str">
        <f>'#三表'!A138</f>
        <v xml:space="preserve">        专项应付款</v>
      </c>
      <c r="B133">
        <f>'#三表'!B138</f>
        <v>0</v>
      </c>
      <c r="C133">
        <f>'#三表'!C138</f>
        <v>0</v>
      </c>
      <c r="D133">
        <f>'#三表'!D138</f>
        <v>0</v>
      </c>
      <c r="E133">
        <f>'#三表'!E138</f>
        <v>0</v>
      </c>
      <c r="F133">
        <f>'#三表'!F138</f>
        <v>0</v>
      </c>
      <c r="G133">
        <f>'#三表'!G138</f>
        <v>0</v>
      </c>
      <c r="H133">
        <f>'#三表'!H138</f>
        <v>0</v>
      </c>
      <c r="I133">
        <f>'#三表'!I138</f>
        <v>0</v>
      </c>
    </row>
    <row r="134" spans="1:9" x14ac:dyDescent="0.25">
      <c r="A134" t="str">
        <f>'#三表'!A139</f>
        <v xml:space="preserve">        预计负债</v>
      </c>
      <c r="B134">
        <f>'#三表'!B139</f>
        <v>0</v>
      </c>
      <c r="C134">
        <f>'#三表'!C139</f>
        <v>4.3095726000000004E-3</v>
      </c>
      <c r="D134">
        <f>'#三表'!D139</f>
        <v>5.9341880000000008E-3</v>
      </c>
      <c r="E134">
        <f>'#三表'!E139</f>
        <v>4.3839102000000005E-3</v>
      </c>
      <c r="F134">
        <f>'#三表'!F139</f>
        <v>3.2552127000000002E-3</v>
      </c>
      <c r="G134">
        <f>'#三表'!G139</f>
        <v>0</v>
      </c>
      <c r="H134">
        <f>'#三表'!H139</f>
        <v>0</v>
      </c>
      <c r="I134">
        <f>'#三表'!I139</f>
        <v>0</v>
      </c>
    </row>
    <row r="135" spans="1:9" x14ac:dyDescent="0.25">
      <c r="A135" t="str">
        <f>'#三表'!A140</f>
        <v xml:space="preserve">        递延所得税负债</v>
      </c>
      <c r="B135">
        <f>'#三表'!B140</f>
        <v>0</v>
      </c>
      <c r="C135">
        <f>'#三表'!C140</f>
        <v>0</v>
      </c>
      <c r="D135">
        <f>'#三表'!D140</f>
        <v>0</v>
      </c>
      <c r="E135">
        <f>'#三表'!E140</f>
        <v>0</v>
      </c>
      <c r="F135">
        <f>'#三表'!F140</f>
        <v>0</v>
      </c>
      <c r="G135">
        <f>'#三表'!G140</f>
        <v>4.2195342599999998E-2</v>
      </c>
      <c r="H135">
        <f>'#三表'!H140</f>
        <v>4.9295942800000006E-2</v>
      </c>
      <c r="I135">
        <f>'#三表'!I140</f>
        <v>3.7878858700000004E-2</v>
      </c>
    </row>
    <row r="136" spans="1:9" x14ac:dyDescent="0.25">
      <c r="A136" t="str">
        <f>'#三表'!A141</f>
        <v xml:space="preserve">        递延收益-非流动负债</v>
      </c>
      <c r="B136">
        <f>'#三表'!B141</f>
        <v>5.1749999999999999E-3</v>
      </c>
      <c r="C136">
        <f>'#三表'!C141</f>
        <v>4.5999999999999999E-3</v>
      </c>
      <c r="D136">
        <f>'#三表'!D141</f>
        <v>6.77E-3</v>
      </c>
      <c r="E136">
        <f>'#三表'!E141</f>
        <v>5.8900000000000003E-3</v>
      </c>
      <c r="F136">
        <f>'#三表'!F141</f>
        <v>5.0099999999999997E-3</v>
      </c>
      <c r="G136">
        <f>'#三表'!G141</f>
        <v>1.925E-2</v>
      </c>
      <c r="H136">
        <f>'#三表'!H141</f>
        <v>3.2499999999999999E-3</v>
      </c>
      <c r="I136">
        <f>'#三表'!I141</f>
        <v>2.81E-3</v>
      </c>
    </row>
    <row r="137" spans="1:9" x14ac:dyDescent="0.25">
      <c r="A137" t="str">
        <f>'#三表'!A142</f>
        <v xml:space="preserve">        其他非流动负债</v>
      </c>
      <c r="B137">
        <f>'#三表'!B142</f>
        <v>0</v>
      </c>
      <c r="C137">
        <f>'#三表'!C142</f>
        <v>0</v>
      </c>
      <c r="D137">
        <f>'#三表'!D142</f>
        <v>0</v>
      </c>
      <c r="E137">
        <f>'#三表'!E142</f>
        <v>0</v>
      </c>
      <c r="F137">
        <f>'#三表'!F142</f>
        <v>0</v>
      </c>
      <c r="G137">
        <f>'#三表'!G142</f>
        <v>0</v>
      </c>
      <c r="H137">
        <f>'#三表'!H142</f>
        <v>0</v>
      </c>
      <c r="I137">
        <f>'#三表'!I142</f>
        <v>0</v>
      </c>
    </row>
    <row r="138" spans="1:9" x14ac:dyDescent="0.25">
      <c r="A138" t="str">
        <f>'#三表'!A143</f>
        <v xml:space="preserve">        非流动负债差额(特殊报表科目)</v>
      </c>
      <c r="B138">
        <f>'#三表'!B143</f>
        <v>0</v>
      </c>
      <c r="C138">
        <f>'#三表'!C143</f>
        <v>0</v>
      </c>
      <c r="D138">
        <f>'#三表'!D143</f>
        <v>0</v>
      </c>
      <c r="E138">
        <f>'#三表'!E143</f>
        <v>0</v>
      </c>
      <c r="F138">
        <f>'#三表'!F143</f>
        <v>0</v>
      </c>
      <c r="G138">
        <f>'#三表'!G143</f>
        <v>0</v>
      </c>
      <c r="H138">
        <f>'#三表'!H143</f>
        <v>0</v>
      </c>
      <c r="I138">
        <f>'#三表'!I143</f>
        <v>0</v>
      </c>
    </row>
    <row r="139" spans="1:9" x14ac:dyDescent="0.25">
      <c r="A139" t="str">
        <f>'#三表'!A144</f>
        <v xml:space="preserve">        非流动负债差额(合计平衡项目)</v>
      </c>
      <c r="B139">
        <f>'#三表'!B144</f>
        <v>0</v>
      </c>
      <c r="C139">
        <f>'#三表'!C144</f>
        <v>0</v>
      </c>
      <c r="D139">
        <f>'#三表'!D144</f>
        <v>0</v>
      </c>
      <c r="E139">
        <f>'#三表'!E144</f>
        <v>0</v>
      </c>
      <c r="F139">
        <f>'#三表'!F144</f>
        <v>0</v>
      </c>
      <c r="G139">
        <f>'#三表'!G144</f>
        <v>0</v>
      </c>
      <c r="H139">
        <f>'#三表'!H144</f>
        <v>0</v>
      </c>
      <c r="I139">
        <f>'#三表'!I144</f>
        <v>0</v>
      </c>
    </row>
    <row r="140" spans="1:9" x14ac:dyDescent="0.25">
      <c r="A140" t="str">
        <f>'#三表'!A145</f>
        <v xml:space="preserve">        非流动负债合计</v>
      </c>
      <c r="B140">
        <f>'#三表'!B145</f>
        <v>0.2150826072</v>
      </c>
      <c r="C140">
        <f>'#三表'!C145</f>
        <v>0.23545957260000003</v>
      </c>
      <c r="D140">
        <f>'#三表'!D145</f>
        <v>0.10933936699999999</v>
      </c>
      <c r="E140">
        <f>'#三表'!E145</f>
        <v>0.26330562749999997</v>
      </c>
      <c r="F140">
        <f>'#三表'!F145</f>
        <v>0.3321758192</v>
      </c>
      <c r="G140">
        <f>'#三表'!G145</f>
        <v>0.22890436010000001</v>
      </c>
      <c r="H140">
        <f>'#三表'!H145</f>
        <v>0.65896912389999995</v>
      </c>
      <c r="I140">
        <f>'#三表'!I145</f>
        <v>2.4471120397999999</v>
      </c>
    </row>
    <row r="141" spans="1:9" x14ac:dyDescent="0.25">
      <c r="A141" t="str">
        <f>'#三表'!A146</f>
        <v xml:space="preserve">        负债差额(特殊报表科目)</v>
      </c>
      <c r="B141">
        <f>'#三表'!B146</f>
        <v>0</v>
      </c>
      <c r="C141">
        <f>'#三表'!C146</f>
        <v>0</v>
      </c>
      <c r="D141">
        <f>'#三表'!D146</f>
        <v>0</v>
      </c>
      <c r="E141">
        <f>'#三表'!E146</f>
        <v>0</v>
      </c>
      <c r="F141">
        <f>'#三表'!F146</f>
        <v>0</v>
      </c>
      <c r="G141">
        <f>'#三表'!G146</f>
        <v>0</v>
      </c>
      <c r="H141">
        <f>'#三表'!H146</f>
        <v>0</v>
      </c>
      <c r="I141">
        <f>'#三表'!I146</f>
        <v>0</v>
      </c>
    </row>
    <row r="142" spans="1:9" x14ac:dyDescent="0.25">
      <c r="A142" t="str">
        <f>'#三表'!A147</f>
        <v xml:space="preserve">        负债差额(合计平衡项目)</v>
      </c>
      <c r="B142">
        <f>'#三表'!B147</f>
        <v>0</v>
      </c>
      <c r="C142">
        <f>'#三表'!C147</f>
        <v>0</v>
      </c>
      <c r="D142">
        <f>'#三表'!D147</f>
        <v>0</v>
      </c>
      <c r="E142">
        <f>'#三表'!E147</f>
        <v>0</v>
      </c>
      <c r="F142">
        <f>'#三表'!F147</f>
        <v>0</v>
      </c>
      <c r="G142">
        <f>'#三表'!G147</f>
        <v>0</v>
      </c>
      <c r="H142">
        <f>'#三表'!H147</f>
        <v>0</v>
      </c>
      <c r="I142">
        <f>'#三表'!I147</f>
        <v>0</v>
      </c>
    </row>
    <row r="143" spans="1:9" x14ac:dyDescent="0.25">
      <c r="A143" t="str">
        <f>'#三表'!A148</f>
        <v xml:space="preserve">        负债合计</v>
      </c>
      <c r="B143">
        <f>'#三表'!B148</f>
        <v>0.91823446809999998</v>
      </c>
      <c r="C143">
        <f>'#三表'!C148</f>
        <v>1.3157953133</v>
      </c>
      <c r="D143">
        <f>'#三表'!D148</f>
        <v>1.9296767931000001</v>
      </c>
      <c r="E143">
        <f>'#三表'!E148</f>
        <v>2.3319277013000002</v>
      </c>
      <c r="F143">
        <f>'#三表'!F148</f>
        <v>5.6561829288999999</v>
      </c>
      <c r="G143">
        <f>'#三表'!G148</f>
        <v>9.5720714444000006</v>
      </c>
      <c r="H143">
        <f>'#三表'!H148</f>
        <v>13.860043098299998</v>
      </c>
      <c r="I143">
        <f>'#三表'!I148</f>
        <v>14.300734351400001</v>
      </c>
    </row>
    <row r="144" spans="1:9" x14ac:dyDescent="0.25">
      <c r="A144" t="str">
        <f>'#三表'!A149</f>
        <v>所有者权益(或股东权益)：</v>
      </c>
      <c r="B144">
        <f>'#三表'!B149</f>
        <v>0</v>
      </c>
      <c r="C144">
        <f>'#三表'!C149</f>
        <v>0</v>
      </c>
      <c r="D144">
        <f>'#三表'!D149</f>
        <v>0</v>
      </c>
      <c r="E144">
        <f>'#三表'!E149</f>
        <v>0</v>
      </c>
      <c r="F144">
        <f>'#三表'!F149</f>
        <v>0</v>
      </c>
      <c r="G144">
        <f>'#三表'!G149</f>
        <v>0</v>
      </c>
      <c r="H144">
        <f>'#三表'!H149</f>
        <v>0</v>
      </c>
      <c r="I144">
        <f>'#三表'!I149</f>
        <v>0</v>
      </c>
    </row>
    <row r="145" spans="1:9" x14ac:dyDescent="0.25">
      <c r="A145" t="str">
        <f>'#三表'!A150</f>
        <v xml:space="preserve">        实收资本(或股本)</v>
      </c>
      <c r="B145">
        <f>'#三表'!B150</f>
        <v>0.38200000000000001</v>
      </c>
      <c r="C145">
        <f>'#三表'!C150</f>
        <v>0.38200000000000001</v>
      </c>
      <c r="D145">
        <f>'#三表'!D150</f>
        <v>0.38200000000000001</v>
      </c>
      <c r="E145">
        <f>'#三表'!E150</f>
        <v>0.50939999999999996</v>
      </c>
      <c r="F145">
        <f>'#三表'!F150</f>
        <v>0.71316000000000002</v>
      </c>
      <c r="G145">
        <f>'#三表'!G150</f>
        <v>2.0514370899999999</v>
      </c>
      <c r="H145">
        <f>'#三表'!H150</f>
        <v>2.0514370899999999</v>
      </c>
      <c r="I145">
        <f>'#三表'!I150</f>
        <v>2.0514370899999999</v>
      </c>
    </row>
    <row r="146" spans="1:9" x14ac:dyDescent="0.25">
      <c r="A146" t="str">
        <f>'#三表'!A151</f>
        <v xml:space="preserve">        资本公积金</v>
      </c>
      <c r="B146">
        <f>'#三表'!B151</f>
        <v>1.8963819309000001</v>
      </c>
      <c r="C146">
        <f>'#三表'!C151</f>
        <v>1.8963819309000001</v>
      </c>
      <c r="D146">
        <f>'#三表'!D151</f>
        <v>1.8963819309000001</v>
      </c>
      <c r="E146">
        <f>'#三表'!E151</f>
        <v>4.9088956413</v>
      </c>
      <c r="F146">
        <f>'#三表'!F151</f>
        <v>4.7051356413000001</v>
      </c>
      <c r="G146">
        <f>'#三表'!G151</f>
        <v>9.2508888959000011</v>
      </c>
      <c r="H146">
        <f>'#三表'!H151</f>
        <v>8.4869981225999993</v>
      </c>
      <c r="I146">
        <f>'#三表'!I151</f>
        <v>8.5971587262</v>
      </c>
    </row>
    <row r="147" spans="1:9" x14ac:dyDescent="0.25">
      <c r="A147" t="str">
        <f>'#三表'!A152</f>
        <v xml:space="preserve">        减：库存股</v>
      </c>
      <c r="B147">
        <f>'#三表'!B152</f>
        <v>0</v>
      </c>
      <c r="C147">
        <f>'#三表'!C152</f>
        <v>0</v>
      </c>
      <c r="D147">
        <f>'#三表'!D152</f>
        <v>0</v>
      </c>
      <c r="E147">
        <f>'#三表'!E152</f>
        <v>0</v>
      </c>
      <c r="F147">
        <f>'#三表'!F152</f>
        <v>0</v>
      </c>
      <c r="G147">
        <f>'#三表'!G152</f>
        <v>0.88041086329999996</v>
      </c>
      <c r="H147">
        <f>'#三表'!H152</f>
        <v>1.6206721983000001</v>
      </c>
      <c r="I147">
        <f>'#三表'!I152</f>
        <v>1.6206721983000001</v>
      </c>
    </row>
    <row r="148" spans="1:9" x14ac:dyDescent="0.25">
      <c r="A148" t="str">
        <f>'#三表'!A153</f>
        <v xml:space="preserve">        专项储备</v>
      </c>
      <c r="B148">
        <f>'#三表'!B153</f>
        <v>0</v>
      </c>
      <c r="C148">
        <f>'#三表'!C153</f>
        <v>0</v>
      </c>
      <c r="D148">
        <f>'#三表'!D153</f>
        <v>0</v>
      </c>
      <c r="E148">
        <f>'#三表'!E153</f>
        <v>0</v>
      </c>
      <c r="F148">
        <f>'#三表'!F153</f>
        <v>0</v>
      </c>
      <c r="G148">
        <f>'#三表'!G153</f>
        <v>0</v>
      </c>
      <c r="H148">
        <f>'#三表'!H153</f>
        <v>0</v>
      </c>
      <c r="I148">
        <f>'#三表'!I153</f>
        <v>0</v>
      </c>
    </row>
    <row r="149" spans="1:9" x14ac:dyDescent="0.25">
      <c r="A149" t="str">
        <f>'#三表'!A154</f>
        <v xml:space="preserve">        盈余公积金</v>
      </c>
      <c r="B149">
        <f>'#三表'!B154</f>
        <v>7.393124429999999E-2</v>
      </c>
      <c r="C149">
        <f>'#三表'!C154</f>
        <v>0.1183320108</v>
      </c>
      <c r="D149">
        <f>'#三表'!D154</f>
        <v>0.16635575899999999</v>
      </c>
      <c r="E149">
        <f>'#三表'!E154</f>
        <v>0.21165579640000001</v>
      </c>
      <c r="F149">
        <f>'#三表'!F154</f>
        <v>0.25622203230000001</v>
      </c>
      <c r="G149">
        <f>'#三表'!G154</f>
        <v>0.27338760049999999</v>
      </c>
      <c r="H149">
        <f>'#三表'!H154</f>
        <v>0.36577098959999998</v>
      </c>
      <c r="I149">
        <f>'#三表'!I154</f>
        <v>0.36577098959999998</v>
      </c>
    </row>
    <row r="150" spans="1:9" x14ac:dyDescent="0.25">
      <c r="A150" t="str">
        <f>'#三表'!A155</f>
        <v xml:space="preserve">        一般风险准备</v>
      </c>
      <c r="B150">
        <f>'#三表'!B155</f>
        <v>0</v>
      </c>
      <c r="C150">
        <f>'#三表'!C155</f>
        <v>0</v>
      </c>
      <c r="D150">
        <f>'#三表'!D155</f>
        <v>0</v>
      </c>
      <c r="E150">
        <f>'#三表'!E155</f>
        <v>0</v>
      </c>
      <c r="F150">
        <f>'#三表'!F155</f>
        <v>0</v>
      </c>
      <c r="G150">
        <f>'#三表'!G155</f>
        <v>0</v>
      </c>
      <c r="H150">
        <f>'#三表'!H155</f>
        <v>0</v>
      </c>
      <c r="I150">
        <f>'#三表'!I155</f>
        <v>0</v>
      </c>
    </row>
    <row r="151" spans="1:9" x14ac:dyDescent="0.25">
      <c r="A151" t="str">
        <f>'#三表'!A156</f>
        <v xml:space="preserve">        未分配利润</v>
      </c>
      <c r="B151">
        <f>'#三表'!B156</f>
        <v>1.0749599575</v>
      </c>
      <c r="C151">
        <f>'#三表'!C156</f>
        <v>1.5957402475</v>
      </c>
      <c r="D151">
        <f>'#三表'!D156</f>
        <v>2.1623097697999998</v>
      </c>
      <c r="E151">
        <f>'#三表'!E156</f>
        <v>2.8061883810000001</v>
      </c>
      <c r="F151">
        <f>'#三表'!F156</f>
        <v>3.6593439951</v>
      </c>
      <c r="G151">
        <f>'#三表'!G156</f>
        <v>4.5124533831000004</v>
      </c>
      <c r="H151">
        <f>'#三表'!H156</f>
        <v>5.5835952207000004</v>
      </c>
      <c r="I151">
        <f>'#三表'!I156</f>
        <v>5.5023995876999994</v>
      </c>
    </row>
    <row r="152" spans="1:9" x14ac:dyDescent="0.25">
      <c r="A152" t="str">
        <f>'#三表'!A157</f>
        <v xml:space="preserve">        外币报表折算差额</v>
      </c>
      <c r="B152">
        <f>'#三表'!B157</f>
        <v>0</v>
      </c>
      <c r="C152">
        <f>'#三表'!C157</f>
        <v>0</v>
      </c>
      <c r="D152">
        <f>'#三表'!D157</f>
        <v>0</v>
      </c>
      <c r="E152">
        <f>'#三表'!E157</f>
        <v>0</v>
      </c>
      <c r="F152">
        <f>'#三表'!F157</f>
        <v>0</v>
      </c>
      <c r="G152">
        <f>'#三表'!G157</f>
        <v>0</v>
      </c>
      <c r="H152">
        <f>'#三表'!H157</f>
        <v>0</v>
      </c>
      <c r="I152">
        <f>'#三表'!I157</f>
        <v>0</v>
      </c>
    </row>
    <row r="153" spans="1:9" x14ac:dyDescent="0.25">
      <c r="A153" t="str">
        <f>'#三表'!A158</f>
        <v xml:space="preserve">        未确认的投资损失</v>
      </c>
      <c r="B153">
        <f>'#三表'!B158</f>
        <v>0</v>
      </c>
      <c r="C153">
        <f>'#三表'!C158</f>
        <v>0</v>
      </c>
      <c r="D153">
        <f>'#三表'!D158</f>
        <v>0</v>
      </c>
      <c r="E153">
        <f>'#三表'!E158</f>
        <v>0</v>
      </c>
      <c r="F153">
        <f>'#三表'!F158</f>
        <v>0</v>
      </c>
      <c r="G153">
        <f>'#三表'!G158</f>
        <v>0</v>
      </c>
      <c r="H153">
        <f>'#三表'!H158</f>
        <v>0</v>
      </c>
      <c r="I153">
        <f>'#三表'!I158</f>
        <v>0</v>
      </c>
    </row>
    <row r="154" spans="1:9" x14ac:dyDescent="0.25">
      <c r="A154" t="str">
        <f>'#三表'!A159</f>
        <v xml:space="preserve">        少数股东权益</v>
      </c>
      <c r="B154">
        <f>'#三表'!B159</f>
        <v>3.2404654099999999E-2</v>
      </c>
      <c r="C154">
        <f>'#三表'!C159</f>
        <v>6.7476204999999997E-2</v>
      </c>
      <c r="D154">
        <f>'#三表'!D159</f>
        <v>9.5942423699999987E-2</v>
      </c>
      <c r="E154">
        <f>'#三表'!E159</f>
        <v>0.1567416837</v>
      </c>
      <c r="F154">
        <f>'#三表'!F159</f>
        <v>0.7038619384</v>
      </c>
      <c r="G154">
        <f>'#三表'!G159</f>
        <v>1.0482962408000001</v>
      </c>
      <c r="H154">
        <f>'#三表'!H159</f>
        <v>1.3187940276999999</v>
      </c>
      <c r="I154">
        <f>'#三表'!I159</f>
        <v>1.3659058387</v>
      </c>
    </row>
    <row r="155" spans="1:9" x14ac:dyDescent="0.25">
      <c r="A155" t="str">
        <f>'#三表'!A160</f>
        <v xml:space="preserve">        股东权益差额(特殊报表科目)</v>
      </c>
      <c r="B155">
        <f>'#三表'!B160</f>
        <v>0</v>
      </c>
      <c r="C155">
        <f>'#三表'!C160</f>
        <v>0</v>
      </c>
      <c r="D155">
        <f>'#三表'!D160</f>
        <v>0</v>
      </c>
      <c r="E155">
        <f>'#三表'!E160</f>
        <v>0</v>
      </c>
      <c r="F155">
        <f>'#三表'!F160</f>
        <v>0</v>
      </c>
      <c r="G155">
        <f>'#三表'!G160</f>
        <v>0</v>
      </c>
      <c r="H155">
        <f>'#三表'!H160</f>
        <v>0</v>
      </c>
      <c r="I155">
        <f>'#三表'!I160</f>
        <v>0</v>
      </c>
    </row>
    <row r="156" spans="1:9" x14ac:dyDescent="0.25">
      <c r="A156" t="str">
        <f>'#三表'!A161</f>
        <v xml:space="preserve">        股权权益差额(合计平衡项目)</v>
      </c>
      <c r="B156">
        <f>'#三表'!B161</f>
        <v>0</v>
      </c>
      <c r="C156">
        <f>'#三表'!C161</f>
        <v>0</v>
      </c>
      <c r="D156">
        <f>'#三表'!D161</f>
        <v>0</v>
      </c>
      <c r="E156">
        <f>'#三表'!E161</f>
        <v>0</v>
      </c>
      <c r="F156">
        <f>'#三表'!F161</f>
        <v>0</v>
      </c>
      <c r="G156">
        <f>'#三表'!G161</f>
        <v>0</v>
      </c>
      <c r="H156">
        <f>'#三表'!H161</f>
        <v>0</v>
      </c>
      <c r="I156">
        <f>'#三表'!I161</f>
        <v>0</v>
      </c>
    </row>
    <row r="157" spans="1:9" x14ac:dyDescent="0.25">
      <c r="A157" t="str">
        <f>'#三表'!A162</f>
        <v xml:space="preserve">        归属于母公司所有者权益合计</v>
      </c>
      <c r="B157">
        <f>'#三表'!B162</f>
        <v>3.4272731326999999</v>
      </c>
      <c r="C157">
        <f>'#三表'!C162</f>
        <v>3.9924541892000001</v>
      </c>
      <c r="D157">
        <f>'#三表'!D162</f>
        <v>4.6070474597000004</v>
      </c>
      <c r="E157">
        <f>'#三表'!E162</f>
        <v>8.4361398186999992</v>
      </c>
      <c r="F157">
        <f>'#三表'!F162</f>
        <v>9.3338616687000009</v>
      </c>
      <c r="G157">
        <f>'#三表'!G162</f>
        <v>15.2077561062</v>
      </c>
      <c r="H157">
        <f>'#三表'!H162</f>
        <v>14.8917277328</v>
      </c>
      <c r="I157">
        <f>'#三表'!I162</f>
        <v>14.928181951900001</v>
      </c>
    </row>
    <row r="158" spans="1:9" x14ac:dyDescent="0.25">
      <c r="A158" t="str">
        <f>'#三表'!A163</f>
        <v xml:space="preserve">        所有者权益合计</v>
      </c>
      <c r="B158">
        <f>'#三表'!B163</f>
        <v>3.4596777867999999</v>
      </c>
      <c r="C158">
        <f>'#三表'!C163</f>
        <v>4.0599303942000002</v>
      </c>
      <c r="D158">
        <f>'#三表'!D163</f>
        <v>4.7029898833999999</v>
      </c>
      <c r="E158">
        <f>'#三表'!E163</f>
        <v>8.5928815024000009</v>
      </c>
      <c r="F158">
        <f>'#三表'!F163</f>
        <v>10.0377236071</v>
      </c>
      <c r="G158">
        <f>'#三表'!G163</f>
        <v>16.256052347000001</v>
      </c>
      <c r="H158">
        <f>'#三表'!H163</f>
        <v>16.210521760500001</v>
      </c>
      <c r="I158">
        <f>'#三表'!I163</f>
        <v>16.294087790599999</v>
      </c>
    </row>
    <row r="159" spans="1:9" x14ac:dyDescent="0.25">
      <c r="A159" t="str">
        <f>'#三表'!A164</f>
        <v xml:space="preserve">        负债及股东权益差额(特殊报表项目)</v>
      </c>
      <c r="B159">
        <f>'#三表'!B164</f>
        <v>0</v>
      </c>
      <c r="C159">
        <f>'#三表'!C164</f>
        <v>0</v>
      </c>
      <c r="D159">
        <f>'#三表'!D164</f>
        <v>0</v>
      </c>
      <c r="E159">
        <f>'#三表'!E164</f>
        <v>0</v>
      </c>
      <c r="F159">
        <f>'#三表'!F164</f>
        <v>0</v>
      </c>
      <c r="G159">
        <f>'#三表'!G164</f>
        <v>0</v>
      </c>
      <c r="H159">
        <f>'#三表'!H164</f>
        <v>0</v>
      </c>
      <c r="I159">
        <f>'#三表'!I164</f>
        <v>0</v>
      </c>
    </row>
    <row r="160" spans="1:9" x14ac:dyDescent="0.25">
      <c r="A160" t="str">
        <f>'#三表'!A165</f>
        <v xml:space="preserve">        负债及股东权益差额(合计平衡项目)</v>
      </c>
      <c r="B160">
        <f>'#三表'!B165</f>
        <v>0</v>
      </c>
      <c r="C160">
        <f>'#三表'!C165</f>
        <v>0</v>
      </c>
      <c r="D160">
        <f>'#三表'!D165</f>
        <v>0</v>
      </c>
      <c r="E160">
        <f>'#三表'!E165</f>
        <v>0</v>
      </c>
      <c r="F160">
        <f>'#三表'!F165</f>
        <v>0</v>
      </c>
      <c r="G160">
        <f>'#三表'!G165</f>
        <v>0</v>
      </c>
      <c r="H160">
        <f>'#三表'!H165</f>
        <v>0</v>
      </c>
      <c r="I160">
        <f>'#三表'!I165</f>
        <v>0</v>
      </c>
    </row>
    <row r="161" spans="1:9" x14ac:dyDescent="0.25">
      <c r="A161" t="str">
        <f>'#三表'!A166</f>
        <v xml:space="preserve">        负债和所有者权益总计</v>
      </c>
      <c r="B161">
        <f>'#三表'!B166</f>
        <v>4.3779122549</v>
      </c>
      <c r="C161">
        <f>'#三表'!C166</f>
        <v>5.3757257075</v>
      </c>
      <c r="D161">
        <f>'#三表'!D166</f>
        <v>6.6326666764999995</v>
      </c>
      <c r="E161">
        <f>'#三表'!E166</f>
        <v>10.924809203699999</v>
      </c>
      <c r="F161">
        <f>'#三表'!F166</f>
        <v>15.693906535999998</v>
      </c>
      <c r="G161">
        <f>'#三表'!G166</f>
        <v>25.828123791399999</v>
      </c>
      <c r="H161">
        <f>'#三表'!H166</f>
        <v>30.070564858800001</v>
      </c>
      <c r="I161">
        <f>'#三表'!I166</f>
        <v>30.594822141999998</v>
      </c>
    </row>
    <row r="162" spans="1:9" x14ac:dyDescent="0.25">
      <c r="A162">
        <f>'#三表'!A167</f>
        <v>0</v>
      </c>
      <c r="B162">
        <f>'#三表'!B167</f>
        <v>0</v>
      </c>
      <c r="C162">
        <f>'#三表'!C167</f>
        <v>0</v>
      </c>
      <c r="D162">
        <f>'#三表'!D167</f>
        <v>0</v>
      </c>
      <c r="E162">
        <f>'#三表'!E167</f>
        <v>0</v>
      </c>
      <c r="F162">
        <f>'#三表'!F167</f>
        <v>0</v>
      </c>
      <c r="G162">
        <f>'#三表'!G167</f>
        <v>0</v>
      </c>
      <c r="H162">
        <f>'#三表'!H167</f>
        <v>0</v>
      </c>
      <c r="I162">
        <f>'#三表'!I167</f>
        <v>0</v>
      </c>
    </row>
    <row r="163" spans="1:9" x14ac:dyDescent="0.25">
      <c r="A163">
        <f>'#三表'!A168</f>
        <v>0</v>
      </c>
      <c r="B163">
        <f>'#三表'!B168</f>
        <v>0</v>
      </c>
      <c r="C163">
        <f>'#三表'!C168</f>
        <v>0</v>
      </c>
      <c r="D163">
        <f>'#三表'!D168</f>
        <v>0</v>
      </c>
      <c r="E163">
        <f>'#三表'!E168</f>
        <v>0</v>
      </c>
      <c r="F163">
        <f>'#三表'!F168</f>
        <v>0</v>
      </c>
      <c r="G163">
        <f>'#三表'!G168</f>
        <v>0</v>
      </c>
      <c r="H163">
        <f>'#三表'!H168</f>
        <v>0</v>
      </c>
      <c r="I163">
        <f>'#三表'!I168</f>
        <v>0</v>
      </c>
    </row>
    <row r="164" spans="1:9" x14ac:dyDescent="0.25">
      <c r="A164">
        <f>'#三表'!A169</f>
        <v>0</v>
      </c>
      <c r="B164">
        <f>'#三表'!B169</f>
        <v>0</v>
      </c>
      <c r="C164">
        <f>'#三表'!C169</f>
        <v>0</v>
      </c>
      <c r="D164">
        <f>'#三表'!D169</f>
        <v>0</v>
      </c>
      <c r="E164">
        <f>'#三表'!E169</f>
        <v>0</v>
      </c>
      <c r="F164">
        <f>'#三表'!F169</f>
        <v>0</v>
      </c>
      <c r="G164">
        <f>'#三表'!G169</f>
        <v>0</v>
      </c>
      <c r="H164">
        <f>'#三表'!H169</f>
        <v>0</v>
      </c>
      <c r="I164">
        <f>'#三表'!I169</f>
        <v>0</v>
      </c>
    </row>
    <row r="165" spans="1:9" x14ac:dyDescent="0.25">
      <c r="A165" t="str">
        <f>'#三表'!A170</f>
        <v>现金流量表(原始货币, 亿元)</v>
      </c>
      <c r="B165">
        <f>'#三表'!B170</f>
        <v>0</v>
      </c>
      <c r="C165">
        <f>'#三表'!C170</f>
        <v>0</v>
      </c>
      <c r="D165">
        <f>'#三表'!D170</f>
        <v>0</v>
      </c>
      <c r="E165">
        <f>'#三表'!E170</f>
        <v>0</v>
      </c>
      <c r="F165">
        <f>'#三表'!F170</f>
        <v>0</v>
      </c>
      <c r="G165">
        <f>'#三表'!G170</f>
        <v>0</v>
      </c>
      <c r="H165">
        <f>'#三表'!H170</f>
        <v>0</v>
      </c>
      <c r="I165">
        <f>'#三表'!I170</f>
        <v>0</v>
      </c>
    </row>
    <row r="166" spans="1:9" x14ac:dyDescent="0.25">
      <c r="A166" t="str">
        <f>'#三表'!A171</f>
        <v>一、经营活动产生的现金流量：</v>
      </c>
      <c r="B166">
        <f>'#三表'!B171</f>
        <v>0</v>
      </c>
      <c r="C166">
        <f>'#三表'!C171</f>
        <v>0</v>
      </c>
      <c r="D166">
        <f>'#三表'!D171</f>
        <v>0</v>
      </c>
      <c r="E166">
        <f>'#三表'!E171</f>
        <v>0</v>
      </c>
      <c r="F166">
        <f>'#三表'!F171</f>
        <v>0</v>
      </c>
      <c r="G166">
        <f>'#三表'!G171</f>
        <v>0</v>
      </c>
      <c r="H166">
        <f>'#三表'!H171</f>
        <v>0</v>
      </c>
      <c r="I166">
        <f>'#三表'!I171</f>
        <v>0</v>
      </c>
    </row>
    <row r="167" spans="1:9" x14ac:dyDescent="0.25">
      <c r="A167" t="str">
        <f>'#三表'!A172</f>
        <v xml:space="preserve">        销售商品、提供劳务收到的现金</v>
      </c>
      <c r="B167">
        <f>'#三表'!B172</f>
        <v>3.9713094407999998</v>
      </c>
      <c r="C167">
        <f>'#三表'!C172</f>
        <v>4.5956706350000003</v>
      </c>
      <c r="D167">
        <f>'#三表'!D172</f>
        <v>5.7866769098999997</v>
      </c>
      <c r="E167">
        <f>'#三表'!E172</f>
        <v>6.4497795250000003</v>
      </c>
      <c r="F167">
        <f>'#三表'!F172</f>
        <v>8.6660073465999989</v>
      </c>
      <c r="G167">
        <f>'#三表'!G172</f>
        <v>12.7653413261</v>
      </c>
      <c r="H167">
        <f>'#三表'!H172</f>
        <v>18.191689858499998</v>
      </c>
      <c r="I167">
        <f>'#三表'!I172</f>
        <v>6.9392342004999996</v>
      </c>
    </row>
    <row r="168" spans="1:9" x14ac:dyDescent="0.25">
      <c r="A168" t="str">
        <f>'#三表'!A173</f>
        <v xml:space="preserve">        收到的税费返还</v>
      </c>
      <c r="B168">
        <f>'#三表'!B173</f>
        <v>0</v>
      </c>
      <c r="C168">
        <f>'#三表'!C173</f>
        <v>0</v>
      </c>
      <c r="D168">
        <f>'#三表'!D173</f>
        <v>0</v>
      </c>
      <c r="E168">
        <f>'#三表'!E173</f>
        <v>0</v>
      </c>
      <c r="F168">
        <f>'#三表'!F173</f>
        <v>0</v>
      </c>
      <c r="G168">
        <f>'#三表'!G173</f>
        <v>0</v>
      </c>
      <c r="H168">
        <f>'#三表'!H173</f>
        <v>0</v>
      </c>
      <c r="I168">
        <f>'#三表'!I173</f>
        <v>0</v>
      </c>
    </row>
    <row r="169" spans="1:9" x14ac:dyDescent="0.25">
      <c r="A169" t="str">
        <f>'#三表'!A174</f>
        <v xml:space="preserve">        收到其他与经营活动有关的现金</v>
      </c>
      <c r="B169">
        <f>'#三表'!B174</f>
        <v>0.15791614939999998</v>
      </c>
      <c r="C169">
        <f>'#三表'!C174</f>
        <v>4.8322070599999996E-2</v>
      </c>
      <c r="D169">
        <f>'#三表'!D174</f>
        <v>0.16420218580000001</v>
      </c>
      <c r="E169">
        <f>'#三表'!E174</f>
        <v>7.6381922300000002E-2</v>
      </c>
      <c r="F169">
        <f>'#三表'!F174</f>
        <v>0.19928790120000001</v>
      </c>
      <c r="G169">
        <f>'#三表'!G174</f>
        <v>0.23287549059999998</v>
      </c>
      <c r="H169">
        <f>'#三表'!H174</f>
        <v>0.26663511359999997</v>
      </c>
      <c r="I169">
        <f>'#三表'!I174</f>
        <v>4.7903002E-2</v>
      </c>
    </row>
    <row r="170" spans="1:9" x14ac:dyDescent="0.25">
      <c r="A170" t="str">
        <f>'#三表'!A175</f>
        <v xml:space="preserve">        保户储金净增加额</v>
      </c>
      <c r="B170">
        <f>'#三表'!B175</f>
        <v>0</v>
      </c>
      <c r="C170">
        <f>'#三表'!C175</f>
        <v>0</v>
      </c>
      <c r="D170">
        <f>'#三表'!D175</f>
        <v>0</v>
      </c>
      <c r="E170">
        <f>'#三表'!E175</f>
        <v>0</v>
      </c>
      <c r="F170">
        <f>'#三表'!F175</f>
        <v>0</v>
      </c>
      <c r="G170">
        <f>'#三表'!G175</f>
        <v>0</v>
      </c>
      <c r="H170">
        <f>'#三表'!H175</f>
        <v>0</v>
      </c>
      <c r="I170">
        <f>'#三表'!I175</f>
        <v>0</v>
      </c>
    </row>
    <row r="171" spans="1:9" x14ac:dyDescent="0.25">
      <c r="A171" t="str">
        <f>'#三表'!A176</f>
        <v xml:space="preserve">        客户存款和同业存放款项净增加额</v>
      </c>
      <c r="B171">
        <f>'#三表'!B176</f>
        <v>0</v>
      </c>
      <c r="C171">
        <f>'#三表'!C176</f>
        <v>0</v>
      </c>
      <c r="D171">
        <f>'#三表'!D176</f>
        <v>0</v>
      </c>
      <c r="E171">
        <f>'#三表'!E176</f>
        <v>0</v>
      </c>
      <c r="F171">
        <f>'#三表'!F176</f>
        <v>0</v>
      </c>
      <c r="G171">
        <f>'#三表'!G176</f>
        <v>0</v>
      </c>
      <c r="H171">
        <f>'#三表'!H176</f>
        <v>0</v>
      </c>
      <c r="I171">
        <f>'#三表'!I176</f>
        <v>0</v>
      </c>
    </row>
    <row r="172" spans="1:9" x14ac:dyDescent="0.25">
      <c r="A172" t="str">
        <f>'#三表'!A177</f>
        <v xml:space="preserve">        向中央银行借款净增加额</v>
      </c>
      <c r="B172">
        <f>'#三表'!B177</f>
        <v>0</v>
      </c>
      <c r="C172">
        <f>'#三表'!C177</f>
        <v>0</v>
      </c>
      <c r="D172">
        <f>'#三表'!D177</f>
        <v>0</v>
      </c>
      <c r="E172">
        <f>'#三表'!E177</f>
        <v>0</v>
      </c>
      <c r="F172">
        <f>'#三表'!F177</f>
        <v>0</v>
      </c>
      <c r="G172">
        <f>'#三表'!G177</f>
        <v>0</v>
      </c>
      <c r="H172">
        <f>'#三表'!H177</f>
        <v>0</v>
      </c>
      <c r="I172">
        <f>'#三表'!I177</f>
        <v>0</v>
      </c>
    </row>
    <row r="173" spans="1:9" x14ac:dyDescent="0.25">
      <c r="A173" t="str">
        <f>'#三表'!A178</f>
        <v xml:space="preserve">        向其他金融机构拆入资金净增加额</v>
      </c>
      <c r="B173">
        <f>'#三表'!B178</f>
        <v>0</v>
      </c>
      <c r="C173">
        <f>'#三表'!C178</f>
        <v>0</v>
      </c>
      <c r="D173">
        <f>'#三表'!D178</f>
        <v>0</v>
      </c>
      <c r="E173">
        <f>'#三表'!E178</f>
        <v>0</v>
      </c>
      <c r="F173">
        <f>'#三表'!F178</f>
        <v>0</v>
      </c>
      <c r="G173">
        <f>'#三表'!G178</f>
        <v>0</v>
      </c>
      <c r="H173">
        <f>'#三表'!H178</f>
        <v>0</v>
      </c>
      <c r="I173">
        <f>'#三表'!I178</f>
        <v>0</v>
      </c>
    </row>
    <row r="174" spans="1:9" x14ac:dyDescent="0.25">
      <c r="A174" t="str">
        <f>'#三表'!A179</f>
        <v xml:space="preserve">        收取利息和手续费净增加额</v>
      </c>
      <c r="B174">
        <f>'#三表'!B179</f>
        <v>0</v>
      </c>
      <c r="C174">
        <f>'#三表'!C179</f>
        <v>0</v>
      </c>
      <c r="D174">
        <f>'#三表'!D179</f>
        <v>0</v>
      </c>
      <c r="E174">
        <f>'#三表'!E179</f>
        <v>0</v>
      </c>
      <c r="F174">
        <f>'#三表'!F179</f>
        <v>0</v>
      </c>
      <c r="G174">
        <f>'#三表'!G179</f>
        <v>0</v>
      </c>
      <c r="H174">
        <f>'#三表'!H179</f>
        <v>0</v>
      </c>
      <c r="I174">
        <f>'#三表'!I179</f>
        <v>0</v>
      </c>
    </row>
    <row r="175" spans="1:9" x14ac:dyDescent="0.25">
      <c r="A175" t="str">
        <f>'#三表'!A180</f>
        <v xml:space="preserve">        收到的原保险合同保费取得的现金</v>
      </c>
      <c r="B175">
        <f>'#三表'!B180</f>
        <v>0</v>
      </c>
      <c r="C175">
        <f>'#三表'!C180</f>
        <v>0</v>
      </c>
      <c r="D175">
        <f>'#三表'!D180</f>
        <v>0</v>
      </c>
      <c r="E175">
        <f>'#三表'!E180</f>
        <v>0</v>
      </c>
      <c r="F175">
        <f>'#三表'!F180</f>
        <v>0</v>
      </c>
      <c r="G175">
        <f>'#三表'!G180</f>
        <v>0</v>
      </c>
      <c r="H175">
        <f>'#三表'!H180</f>
        <v>0</v>
      </c>
      <c r="I175">
        <f>'#三表'!I180</f>
        <v>0</v>
      </c>
    </row>
    <row r="176" spans="1:9" x14ac:dyDescent="0.25">
      <c r="A176" t="str">
        <f>'#三表'!A181</f>
        <v xml:space="preserve">        收到的再保业务现金净额</v>
      </c>
      <c r="B176">
        <f>'#三表'!B181</f>
        <v>0</v>
      </c>
      <c r="C176">
        <f>'#三表'!C181</f>
        <v>0</v>
      </c>
      <c r="D176">
        <f>'#三表'!D181</f>
        <v>0</v>
      </c>
      <c r="E176">
        <f>'#三表'!E181</f>
        <v>0</v>
      </c>
      <c r="F176">
        <f>'#三表'!F181</f>
        <v>0</v>
      </c>
      <c r="G176">
        <f>'#三表'!G181</f>
        <v>0</v>
      </c>
      <c r="H176">
        <f>'#三表'!H181</f>
        <v>0</v>
      </c>
      <c r="I176">
        <f>'#三表'!I181</f>
        <v>0</v>
      </c>
    </row>
    <row r="177" spans="1:9" x14ac:dyDescent="0.25">
      <c r="A177" t="str">
        <f>'#三表'!A182</f>
        <v xml:space="preserve">        处置交易性金融资产净增加额</v>
      </c>
      <c r="B177">
        <f>'#三表'!B182</f>
        <v>0</v>
      </c>
      <c r="C177">
        <f>'#三表'!C182</f>
        <v>0</v>
      </c>
      <c r="D177">
        <f>'#三表'!D182</f>
        <v>0</v>
      </c>
      <c r="E177">
        <f>'#三表'!E182</f>
        <v>0</v>
      </c>
      <c r="F177">
        <f>'#三表'!F182</f>
        <v>0</v>
      </c>
      <c r="G177">
        <f>'#三表'!G182</f>
        <v>0</v>
      </c>
      <c r="H177">
        <f>'#三表'!H182</f>
        <v>0</v>
      </c>
      <c r="I177">
        <f>'#三表'!I182</f>
        <v>0</v>
      </c>
    </row>
    <row r="178" spans="1:9" x14ac:dyDescent="0.25">
      <c r="A178" t="str">
        <f>'#三表'!A183</f>
        <v xml:space="preserve">        拆入资金净增加额</v>
      </c>
      <c r="B178">
        <f>'#三表'!B183</f>
        <v>0</v>
      </c>
      <c r="C178">
        <f>'#三表'!C183</f>
        <v>0</v>
      </c>
      <c r="D178">
        <f>'#三表'!D183</f>
        <v>0</v>
      </c>
      <c r="E178">
        <f>'#三表'!E183</f>
        <v>0</v>
      </c>
      <c r="F178">
        <f>'#三表'!F183</f>
        <v>0</v>
      </c>
      <c r="G178">
        <f>'#三表'!G183</f>
        <v>0</v>
      </c>
      <c r="H178">
        <f>'#三表'!H183</f>
        <v>0</v>
      </c>
      <c r="I178">
        <f>'#三表'!I183</f>
        <v>0</v>
      </c>
    </row>
    <row r="179" spans="1:9" x14ac:dyDescent="0.25">
      <c r="A179" t="str">
        <f>'#三表'!A184</f>
        <v xml:space="preserve">        回购业务资金净增加额</v>
      </c>
      <c r="B179">
        <f>'#三表'!B184</f>
        <v>0</v>
      </c>
      <c r="C179">
        <f>'#三表'!C184</f>
        <v>0</v>
      </c>
      <c r="D179">
        <f>'#三表'!D184</f>
        <v>0</v>
      </c>
      <c r="E179">
        <f>'#三表'!E184</f>
        <v>0</v>
      </c>
      <c r="F179">
        <f>'#三表'!F184</f>
        <v>0</v>
      </c>
      <c r="G179">
        <f>'#三表'!G184</f>
        <v>0</v>
      </c>
      <c r="H179">
        <f>'#三表'!H184</f>
        <v>0</v>
      </c>
      <c r="I179">
        <f>'#三表'!I184</f>
        <v>0</v>
      </c>
    </row>
    <row r="180" spans="1:9" x14ac:dyDescent="0.25">
      <c r="A180" t="str">
        <f>'#三表'!A185</f>
        <v xml:space="preserve">        经营活动现金流入差额(特殊报表科目)</v>
      </c>
      <c r="B180">
        <f>'#三表'!B185</f>
        <v>0</v>
      </c>
      <c r="C180">
        <f>'#三表'!C185</f>
        <v>0</v>
      </c>
      <c r="D180">
        <f>'#三表'!D185</f>
        <v>0</v>
      </c>
      <c r="E180">
        <f>'#三表'!E185</f>
        <v>0</v>
      </c>
      <c r="F180">
        <f>'#三表'!F185</f>
        <v>0</v>
      </c>
      <c r="G180">
        <f>'#三表'!G185</f>
        <v>0</v>
      </c>
      <c r="H180">
        <f>'#三表'!H185</f>
        <v>0</v>
      </c>
      <c r="I180">
        <f>'#三表'!I185</f>
        <v>0</v>
      </c>
    </row>
    <row r="181" spans="1:9" x14ac:dyDescent="0.25">
      <c r="A181" t="str">
        <f>'#三表'!A186</f>
        <v xml:space="preserve">        经营活动现金流入差额(合计平衡项目)</v>
      </c>
      <c r="B181">
        <f>'#三表'!B186</f>
        <v>0</v>
      </c>
      <c r="C181">
        <f>'#三表'!C186</f>
        <v>0</v>
      </c>
      <c r="D181">
        <f>'#三表'!D186</f>
        <v>0</v>
      </c>
      <c r="E181">
        <f>'#三表'!E186</f>
        <v>0</v>
      </c>
      <c r="F181">
        <f>'#三表'!F186</f>
        <v>0</v>
      </c>
      <c r="G181">
        <f>'#三表'!G186</f>
        <v>0</v>
      </c>
      <c r="H181">
        <f>'#三表'!H186</f>
        <v>0</v>
      </c>
      <c r="I181">
        <f>'#三表'!I186</f>
        <v>0</v>
      </c>
    </row>
    <row r="182" spans="1:9" x14ac:dyDescent="0.25">
      <c r="A182" t="str">
        <f>'#三表'!A187</f>
        <v xml:space="preserve">        经营活动现金流入小计</v>
      </c>
      <c r="B182">
        <f>'#三表'!B187</f>
        <v>4.1292255901999999</v>
      </c>
      <c r="C182">
        <f>'#三表'!C187</f>
        <v>4.6439927055999997</v>
      </c>
      <c r="D182">
        <f>'#三表'!D187</f>
        <v>5.9508790957000004</v>
      </c>
      <c r="E182">
        <f>'#三表'!E187</f>
        <v>6.5261614472999998</v>
      </c>
      <c r="F182">
        <f>'#三表'!F187</f>
        <v>8.8652952477999989</v>
      </c>
      <c r="G182">
        <f>'#三表'!G187</f>
        <v>12.998216816700001</v>
      </c>
      <c r="H182">
        <f>'#三表'!H187</f>
        <v>18.458324972100002</v>
      </c>
      <c r="I182">
        <f>'#三表'!I187</f>
        <v>6.9871372024999996</v>
      </c>
    </row>
    <row r="183" spans="1:9" x14ac:dyDescent="0.25">
      <c r="A183" t="str">
        <f>'#三表'!A188</f>
        <v xml:space="preserve">        购买商品、接受劳务支付的现金</v>
      </c>
      <c r="B183">
        <f>'#三表'!B188</f>
        <v>2.6394968490999999</v>
      </c>
      <c r="C183">
        <f>'#三表'!C188</f>
        <v>2.9578352394</v>
      </c>
      <c r="D183">
        <f>'#三表'!D188</f>
        <v>3.9202414306</v>
      </c>
      <c r="E183">
        <f>'#三表'!E188</f>
        <v>5.0030794847000006</v>
      </c>
      <c r="F183">
        <f>'#三表'!F188</f>
        <v>7.2508640476999995</v>
      </c>
      <c r="G183">
        <f>'#三表'!G188</f>
        <v>10.073928845599999</v>
      </c>
      <c r="H183">
        <f>'#三表'!H188</f>
        <v>13.4002761307</v>
      </c>
      <c r="I183">
        <f>'#三表'!I188</f>
        <v>5.9678562112</v>
      </c>
    </row>
    <row r="184" spans="1:9" x14ac:dyDescent="0.25">
      <c r="A184" t="str">
        <f>'#三表'!A189</f>
        <v xml:space="preserve">        支付给职工以及为职工支付的现金</v>
      </c>
      <c r="B184">
        <f>'#三表'!B189</f>
        <v>0.27452777909999998</v>
      </c>
      <c r="C184">
        <f>'#三表'!C189</f>
        <v>0.35160517219999998</v>
      </c>
      <c r="D184">
        <f>'#三表'!D189</f>
        <v>0.44937421969999997</v>
      </c>
      <c r="E184">
        <f>'#三表'!E189</f>
        <v>0.5010923196</v>
      </c>
      <c r="F184">
        <f>'#三表'!F189</f>
        <v>0.81865627750000003</v>
      </c>
      <c r="G184">
        <f>'#三表'!G189</f>
        <v>1.2288898525</v>
      </c>
      <c r="H184">
        <f>'#三表'!H189</f>
        <v>1.4050359353999999</v>
      </c>
      <c r="I184">
        <f>'#三表'!I189</f>
        <v>0.76039171379999992</v>
      </c>
    </row>
    <row r="185" spans="1:9" x14ac:dyDescent="0.25">
      <c r="A185" t="str">
        <f>'#三表'!A190</f>
        <v xml:space="preserve">        支付的各项税费</v>
      </c>
      <c r="B185">
        <f>'#三表'!B190</f>
        <v>0.49692066330000001</v>
      </c>
      <c r="C185">
        <f>'#三表'!C190</f>
        <v>0.55255628379999999</v>
      </c>
      <c r="D185">
        <f>'#三表'!D190</f>
        <v>0.55202970429999998</v>
      </c>
      <c r="E185">
        <f>'#三表'!E190</f>
        <v>0.66806697969999995</v>
      </c>
      <c r="F185">
        <f>'#三表'!F190</f>
        <v>0.73753948110000001</v>
      </c>
      <c r="G185">
        <f>'#三表'!G190</f>
        <v>1.2345448707</v>
      </c>
      <c r="H185">
        <f>'#三表'!H190</f>
        <v>1.3226192253</v>
      </c>
      <c r="I185">
        <f>'#三表'!I190</f>
        <v>0.49793740850000001</v>
      </c>
    </row>
    <row r="186" spans="1:9" x14ac:dyDescent="0.25">
      <c r="A186" t="str">
        <f>'#三表'!A191</f>
        <v xml:space="preserve">        支付其他与经营活动有关的现金</v>
      </c>
      <c r="B186">
        <f>'#三表'!B191</f>
        <v>0.39292789159999997</v>
      </c>
      <c r="C186">
        <f>'#三表'!C191</f>
        <v>0.4813423194</v>
      </c>
      <c r="D186">
        <f>'#三表'!D191</f>
        <v>0.56816862779999999</v>
      </c>
      <c r="E186">
        <f>'#三表'!E191</f>
        <v>0.52408378509999998</v>
      </c>
      <c r="F186">
        <f>'#三表'!F191</f>
        <v>0.69075772930000012</v>
      </c>
      <c r="G186">
        <f>'#三表'!G191</f>
        <v>1.0991381086000001</v>
      </c>
      <c r="H186">
        <f>'#三表'!H191</f>
        <v>1.3911600359</v>
      </c>
      <c r="I186">
        <f>'#三表'!I191</f>
        <v>0.88831678959999993</v>
      </c>
    </row>
    <row r="187" spans="1:9" x14ac:dyDescent="0.25">
      <c r="A187" t="str">
        <f>'#三表'!A192</f>
        <v xml:space="preserve">        客户贷款及垫款净增加额</v>
      </c>
      <c r="B187">
        <f>'#三表'!B192</f>
        <v>0</v>
      </c>
      <c r="C187">
        <f>'#三表'!C192</f>
        <v>0</v>
      </c>
      <c r="D187">
        <f>'#三表'!D192</f>
        <v>0</v>
      </c>
      <c r="E187">
        <f>'#三表'!E192</f>
        <v>0</v>
      </c>
      <c r="F187">
        <f>'#三表'!F192</f>
        <v>0</v>
      </c>
      <c r="G187">
        <f>'#三表'!G192</f>
        <v>0</v>
      </c>
      <c r="H187">
        <f>'#三表'!H192</f>
        <v>0</v>
      </c>
      <c r="I187">
        <f>'#三表'!I192</f>
        <v>0</v>
      </c>
    </row>
    <row r="188" spans="1:9" x14ac:dyDescent="0.25">
      <c r="A188" t="str">
        <f>'#三表'!A193</f>
        <v xml:space="preserve">        存放央行和同业款项净增加额</v>
      </c>
      <c r="B188">
        <f>'#三表'!B193</f>
        <v>0</v>
      </c>
      <c r="C188">
        <f>'#三表'!C193</f>
        <v>0</v>
      </c>
      <c r="D188">
        <f>'#三表'!D193</f>
        <v>0</v>
      </c>
      <c r="E188">
        <f>'#三表'!E193</f>
        <v>0</v>
      </c>
      <c r="F188">
        <f>'#三表'!F193</f>
        <v>0</v>
      </c>
      <c r="G188">
        <f>'#三表'!G193</f>
        <v>0</v>
      </c>
      <c r="H188">
        <f>'#三表'!H193</f>
        <v>0</v>
      </c>
      <c r="I188">
        <f>'#三表'!I193</f>
        <v>0</v>
      </c>
    </row>
    <row r="189" spans="1:9" x14ac:dyDescent="0.25">
      <c r="A189" t="str">
        <f>'#三表'!A194</f>
        <v xml:space="preserve">        支付原保险合同赔付款项的现金</v>
      </c>
      <c r="B189">
        <f>'#三表'!B194</f>
        <v>0</v>
      </c>
      <c r="C189">
        <f>'#三表'!C194</f>
        <v>0</v>
      </c>
      <c r="D189">
        <f>'#三表'!D194</f>
        <v>0</v>
      </c>
      <c r="E189">
        <f>'#三表'!E194</f>
        <v>0</v>
      </c>
      <c r="F189">
        <f>'#三表'!F194</f>
        <v>0</v>
      </c>
      <c r="G189">
        <f>'#三表'!G194</f>
        <v>0</v>
      </c>
      <c r="H189">
        <f>'#三表'!H194</f>
        <v>0</v>
      </c>
      <c r="I189">
        <f>'#三表'!I194</f>
        <v>0</v>
      </c>
    </row>
    <row r="190" spans="1:9" x14ac:dyDescent="0.25">
      <c r="A190" t="str">
        <f>'#三表'!A195</f>
        <v xml:space="preserve">        支付手续费的现金</v>
      </c>
      <c r="B190">
        <f>'#三表'!B195</f>
        <v>0</v>
      </c>
      <c r="C190">
        <f>'#三表'!C195</f>
        <v>0</v>
      </c>
      <c r="D190">
        <f>'#三表'!D195</f>
        <v>0</v>
      </c>
      <c r="E190">
        <f>'#三表'!E195</f>
        <v>0</v>
      </c>
      <c r="F190">
        <f>'#三表'!F195</f>
        <v>0</v>
      </c>
      <c r="G190">
        <f>'#三表'!G195</f>
        <v>0</v>
      </c>
      <c r="H190">
        <f>'#三表'!H195</f>
        <v>0</v>
      </c>
      <c r="I190">
        <f>'#三表'!I195</f>
        <v>0</v>
      </c>
    </row>
    <row r="191" spans="1:9" x14ac:dyDescent="0.25">
      <c r="A191" t="str">
        <f>'#三表'!A196</f>
        <v xml:space="preserve">        支付保单红利的现金</v>
      </c>
      <c r="B191">
        <f>'#三表'!B196</f>
        <v>0</v>
      </c>
      <c r="C191">
        <f>'#三表'!C196</f>
        <v>0</v>
      </c>
      <c r="D191">
        <f>'#三表'!D196</f>
        <v>0</v>
      </c>
      <c r="E191">
        <f>'#三表'!E196</f>
        <v>0</v>
      </c>
      <c r="F191">
        <f>'#三表'!F196</f>
        <v>0</v>
      </c>
      <c r="G191">
        <f>'#三表'!G196</f>
        <v>0</v>
      </c>
      <c r="H191">
        <f>'#三表'!H196</f>
        <v>0</v>
      </c>
      <c r="I191">
        <f>'#三表'!I196</f>
        <v>0</v>
      </c>
    </row>
    <row r="192" spans="1:9" x14ac:dyDescent="0.25">
      <c r="A192" t="str">
        <f>'#三表'!A197</f>
        <v xml:space="preserve">        经营活动现金流出差额(特殊报表科目)</v>
      </c>
      <c r="B192">
        <f>'#三表'!B197</f>
        <v>0</v>
      </c>
      <c r="C192">
        <f>'#三表'!C197</f>
        <v>0</v>
      </c>
      <c r="D192">
        <f>'#三表'!D197</f>
        <v>0</v>
      </c>
      <c r="E192">
        <f>'#三表'!E197</f>
        <v>0</v>
      </c>
      <c r="F192">
        <f>'#三表'!F197</f>
        <v>0</v>
      </c>
      <c r="G192">
        <f>'#三表'!G197</f>
        <v>0</v>
      </c>
      <c r="H192">
        <f>'#三表'!H197</f>
        <v>0</v>
      </c>
      <c r="I192">
        <f>'#三表'!I197</f>
        <v>0</v>
      </c>
    </row>
    <row r="193" spans="1:9" x14ac:dyDescent="0.25">
      <c r="A193" t="str">
        <f>'#三表'!A198</f>
        <v xml:space="preserve">        经营活动现金流出差额(合计平衡项目)</v>
      </c>
      <c r="B193">
        <f>'#三表'!B198</f>
        <v>0</v>
      </c>
      <c r="C193">
        <f>'#三表'!C198</f>
        <v>0</v>
      </c>
      <c r="D193">
        <f>'#三表'!D198</f>
        <v>0</v>
      </c>
      <c r="E193">
        <f>'#三表'!E198</f>
        <v>0</v>
      </c>
      <c r="F193">
        <f>'#三表'!F198</f>
        <v>0</v>
      </c>
      <c r="G193">
        <f>'#三表'!G198</f>
        <v>0</v>
      </c>
      <c r="H193">
        <f>'#三表'!H198</f>
        <v>0</v>
      </c>
      <c r="I193">
        <f>'#三表'!I198</f>
        <v>0</v>
      </c>
    </row>
    <row r="194" spans="1:9" x14ac:dyDescent="0.25">
      <c r="A194" t="str">
        <f>'#三表'!A199</f>
        <v xml:space="preserve">        经营活动现金流出小计</v>
      </c>
      <c r="B194">
        <f>'#三表'!B199</f>
        <v>3.8038731830999999</v>
      </c>
      <c r="C194">
        <f>'#三表'!C199</f>
        <v>4.3433390148000006</v>
      </c>
      <c r="D194">
        <f>'#三表'!D199</f>
        <v>5.4898139824000003</v>
      </c>
      <c r="E194">
        <f>'#三表'!E199</f>
        <v>6.6963225690999995</v>
      </c>
      <c r="F194">
        <f>'#三表'!F199</f>
        <v>9.4978175355999994</v>
      </c>
      <c r="G194">
        <f>'#三表'!G199</f>
        <v>13.6365016774</v>
      </c>
      <c r="H194">
        <f>'#三表'!H199</f>
        <v>17.5190913273</v>
      </c>
      <c r="I194">
        <f>'#三表'!I199</f>
        <v>8.1145021230999994</v>
      </c>
    </row>
    <row r="195" spans="1:9" x14ac:dyDescent="0.25">
      <c r="A195" t="str">
        <f>'#三表'!A200</f>
        <v xml:space="preserve">        经营活动产生的现金流量净额差额(合计平衡项目)</v>
      </c>
      <c r="B195">
        <f>'#三表'!B200</f>
        <v>0</v>
      </c>
      <c r="C195">
        <f>'#三表'!C200</f>
        <v>0</v>
      </c>
      <c r="D195">
        <f>'#三表'!D200</f>
        <v>0</v>
      </c>
      <c r="E195">
        <f>'#三表'!E200</f>
        <v>0</v>
      </c>
      <c r="F195">
        <f>'#三表'!F200</f>
        <v>0</v>
      </c>
      <c r="G195">
        <f>'#三表'!G200</f>
        <v>0</v>
      </c>
      <c r="H195">
        <f>'#三表'!H200</f>
        <v>0</v>
      </c>
      <c r="I195">
        <f>'#三表'!I200</f>
        <v>0</v>
      </c>
    </row>
    <row r="196" spans="1:9" x14ac:dyDescent="0.25">
      <c r="A196" t="str">
        <f>'#三表'!A201</f>
        <v xml:space="preserve">        经营活动产生的现金流量净额</v>
      </c>
      <c r="B196">
        <f>'#三表'!B201</f>
        <v>0.32535240710000002</v>
      </c>
      <c r="C196">
        <f>'#三表'!C201</f>
        <v>0.30065369079999998</v>
      </c>
      <c r="D196">
        <f>'#三表'!D201</f>
        <v>0.4610651133</v>
      </c>
      <c r="E196">
        <f>'#三表'!E201</f>
        <v>-0.17016112180000001</v>
      </c>
      <c r="F196">
        <f>'#三表'!F201</f>
        <v>-0.63252228779999997</v>
      </c>
      <c r="G196">
        <f>'#三表'!G201</f>
        <v>-0.63828486070000001</v>
      </c>
      <c r="H196">
        <f>'#三表'!H201</f>
        <v>0.93923364480000004</v>
      </c>
      <c r="I196">
        <f>'#三表'!I201</f>
        <v>-1.1273649206</v>
      </c>
    </row>
    <row r="197" spans="1:9" x14ac:dyDescent="0.25">
      <c r="A197" t="str">
        <f>'#三表'!A202</f>
        <v>二、投资活动产生的现金流量：</v>
      </c>
      <c r="B197">
        <f>'#三表'!B202</f>
        <v>0</v>
      </c>
      <c r="C197">
        <f>'#三表'!C202</f>
        <v>0</v>
      </c>
      <c r="D197">
        <f>'#三表'!D202</f>
        <v>0</v>
      </c>
      <c r="E197">
        <f>'#三表'!E202</f>
        <v>0</v>
      </c>
      <c r="F197">
        <f>'#三表'!F202</f>
        <v>0</v>
      </c>
      <c r="G197">
        <f>'#三表'!G202</f>
        <v>0</v>
      </c>
      <c r="H197">
        <f>'#三表'!H202</f>
        <v>0</v>
      </c>
      <c r="I197">
        <f>'#三表'!I202</f>
        <v>0</v>
      </c>
    </row>
    <row r="198" spans="1:9" x14ac:dyDescent="0.25">
      <c r="A198" t="str">
        <f>'#三表'!A203</f>
        <v xml:space="preserve">        收回投资收到的现金</v>
      </c>
      <c r="B198">
        <f>'#三表'!B203</f>
        <v>2.5600009999999999E-2</v>
      </c>
      <c r="C198">
        <f>'#三表'!C203</f>
        <v>0</v>
      </c>
      <c r="D198">
        <f>'#三表'!D203</f>
        <v>0</v>
      </c>
      <c r="E198">
        <f>'#三表'!E203</f>
        <v>0</v>
      </c>
      <c r="F198">
        <f>'#三表'!F203</f>
        <v>0</v>
      </c>
      <c r="G198">
        <f>'#三表'!G203</f>
        <v>0</v>
      </c>
      <c r="H198">
        <f>'#三表'!H203</f>
        <v>5.5E-2</v>
      </c>
      <c r="I198">
        <f>'#三表'!I203</f>
        <v>0.02</v>
      </c>
    </row>
    <row r="199" spans="1:9" x14ac:dyDescent="0.25">
      <c r="A199" t="str">
        <f>'#三表'!A204</f>
        <v xml:space="preserve">        取得投资收益收到的现金</v>
      </c>
      <c r="B199">
        <f>'#三表'!B204</f>
        <v>0</v>
      </c>
      <c r="C199">
        <f>'#三表'!C204</f>
        <v>0</v>
      </c>
      <c r="D199">
        <f>'#三表'!D204</f>
        <v>0</v>
      </c>
      <c r="E199">
        <f>'#三表'!E204</f>
        <v>0</v>
      </c>
      <c r="F199">
        <f>'#三表'!F204</f>
        <v>0</v>
      </c>
      <c r="G199">
        <f>'#三表'!G204</f>
        <v>3.7601059999999996E-4</v>
      </c>
      <c r="H199">
        <f>'#三表'!H204</f>
        <v>4.5833080000000001E-4</v>
      </c>
      <c r="I199">
        <f>'#三表'!I204</f>
        <v>6.4638930000000003E-4</v>
      </c>
    </row>
    <row r="200" spans="1:9" x14ac:dyDescent="0.25">
      <c r="A200" t="str">
        <f>'#三表'!A205</f>
        <v xml:space="preserve">        处置固定资产、无形资产和其他长期资产收回的现金净额</v>
      </c>
      <c r="B200">
        <f>'#三表'!B205</f>
        <v>0</v>
      </c>
      <c r="C200">
        <f>'#三表'!C205</f>
        <v>4.2914640000000002E-4</v>
      </c>
      <c r="D200">
        <f>'#三表'!D205</f>
        <v>0</v>
      </c>
      <c r="E200">
        <f>'#三表'!E205</f>
        <v>0</v>
      </c>
      <c r="F200">
        <f>'#三表'!F205</f>
        <v>5.9184528000000005E-3</v>
      </c>
      <c r="G200">
        <f>'#三表'!G205</f>
        <v>3.93581052E-2</v>
      </c>
      <c r="H200">
        <f>'#三表'!H205</f>
        <v>1.24456879E-2</v>
      </c>
      <c r="I200">
        <f>'#三表'!I205</f>
        <v>1.90027E-4</v>
      </c>
    </row>
    <row r="201" spans="1:9" x14ac:dyDescent="0.25">
      <c r="A201" t="str">
        <f>'#三表'!A206</f>
        <v xml:space="preserve">        处置子公司及其他营业单位收到的现金净额</v>
      </c>
      <c r="B201">
        <f>'#三表'!B206</f>
        <v>0</v>
      </c>
      <c r="C201">
        <f>'#三表'!C206</f>
        <v>0</v>
      </c>
      <c r="D201">
        <f>'#三表'!D206</f>
        <v>0</v>
      </c>
      <c r="E201">
        <f>'#三表'!E206</f>
        <v>0</v>
      </c>
      <c r="F201">
        <f>'#三表'!F206</f>
        <v>0</v>
      </c>
      <c r="G201">
        <f>'#三表'!G206</f>
        <v>0</v>
      </c>
      <c r="H201">
        <f>'#三表'!H206</f>
        <v>0</v>
      </c>
      <c r="I201">
        <f>'#三表'!I206</f>
        <v>0</v>
      </c>
    </row>
    <row r="202" spans="1:9" x14ac:dyDescent="0.25">
      <c r="A202" t="str">
        <f>'#三表'!A207</f>
        <v xml:space="preserve">        收到其他与投资活动有关的现金</v>
      </c>
      <c r="B202">
        <f>'#三表'!B207</f>
        <v>0</v>
      </c>
      <c r="C202">
        <f>'#三表'!C207</f>
        <v>0</v>
      </c>
      <c r="D202">
        <f>'#三表'!D207</f>
        <v>0</v>
      </c>
      <c r="E202">
        <f>'#三表'!E207</f>
        <v>0</v>
      </c>
      <c r="F202">
        <f>'#三表'!F207</f>
        <v>0</v>
      </c>
      <c r="G202">
        <f>'#三表'!G207</f>
        <v>0</v>
      </c>
      <c r="H202">
        <f>'#三表'!H207</f>
        <v>0</v>
      </c>
      <c r="I202">
        <f>'#三表'!I207</f>
        <v>0</v>
      </c>
    </row>
    <row r="203" spans="1:9" x14ac:dyDescent="0.25">
      <c r="A203" t="str">
        <f>'#三表'!A208</f>
        <v xml:space="preserve">        投资活动现金流入差额(特殊报表科目)</v>
      </c>
      <c r="B203">
        <f>'#三表'!B208</f>
        <v>0</v>
      </c>
      <c r="C203">
        <f>'#三表'!C208</f>
        <v>0</v>
      </c>
      <c r="D203">
        <f>'#三表'!D208</f>
        <v>0</v>
      </c>
      <c r="E203">
        <f>'#三表'!E208</f>
        <v>0</v>
      </c>
      <c r="F203">
        <f>'#三表'!F208</f>
        <v>0</v>
      </c>
      <c r="G203">
        <f>'#三表'!G208</f>
        <v>0</v>
      </c>
      <c r="H203">
        <f>'#三表'!H208</f>
        <v>0</v>
      </c>
      <c r="I203">
        <f>'#三表'!I208</f>
        <v>0</v>
      </c>
    </row>
    <row r="204" spans="1:9" x14ac:dyDescent="0.25">
      <c r="A204" t="str">
        <f>'#三表'!A209</f>
        <v xml:space="preserve">        投资活动现金流入差额(合计平衡项目)</v>
      </c>
      <c r="B204">
        <f>'#三表'!B209</f>
        <v>0</v>
      </c>
      <c r="C204">
        <f>'#三表'!C209</f>
        <v>0</v>
      </c>
      <c r="D204">
        <f>'#三表'!D209</f>
        <v>0</v>
      </c>
      <c r="E204">
        <f>'#三表'!E209</f>
        <v>0</v>
      </c>
      <c r="F204">
        <f>'#三表'!F209</f>
        <v>0</v>
      </c>
      <c r="G204">
        <f>'#三表'!G209</f>
        <v>0</v>
      </c>
      <c r="H204">
        <f>'#三表'!H209</f>
        <v>0</v>
      </c>
      <c r="I204">
        <f>'#三表'!I209</f>
        <v>0</v>
      </c>
    </row>
    <row r="205" spans="1:9" x14ac:dyDescent="0.25">
      <c r="A205" t="str">
        <f>'#三表'!A210</f>
        <v xml:space="preserve">        投资活动现金流入小计</v>
      </c>
      <c r="B205">
        <f>'#三表'!B210</f>
        <v>2.5600009999999999E-2</v>
      </c>
      <c r="C205">
        <f>'#三表'!C210</f>
        <v>4.2914640000000002E-4</v>
      </c>
      <c r="D205">
        <f>'#三表'!D210</f>
        <v>0</v>
      </c>
      <c r="E205">
        <f>'#三表'!E210</f>
        <v>0</v>
      </c>
      <c r="F205">
        <f>'#三表'!F210</f>
        <v>5.9184528000000005E-3</v>
      </c>
      <c r="G205">
        <f>'#三表'!G210</f>
        <v>3.9734115800000004E-2</v>
      </c>
      <c r="H205">
        <f>'#三表'!H210</f>
        <v>6.7904018699999999E-2</v>
      </c>
      <c r="I205">
        <f>'#三表'!I210</f>
        <v>2.0836416300000001E-2</v>
      </c>
    </row>
    <row r="206" spans="1:9" x14ac:dyDescent="0.25">
      <c r="A206" t="str">
        <f>'#三表'!A211</f>
        <v xml:space="preserve">        购建固定资产、无形资产和其他长期资产支付的现金</v>
      </c>
      <c r="B206">
        <f>'#三表'!B211</f>
        <v>0.34348022299999997</v>
      </c>
      <c r="C206">
        <f>'#三表'!C211</f>
        <v>0.31733071329999996</v>
      </c>
      <c r="D206">
        <f>'#三表'!D211</f>
        <v>0.40468408039999998</v>
      </c>
      <c r="E206">
        <f>'#三表'!E211</f>
        <v>0.69037503430000002</v>
      </c>
      <c r="F206">
        <f>'#三表'!F211</f>
        <v>1.1600968178</v>
      </c>
      <c r="G206">
        <f>'#三表'!G211</f>
        <v>1.1854384456</v>
      </c>
      <c r="H206">
        <f>'#三表'!H211</f>
        <v>0.96490751019999998</v>
      </c>
      <c r="I206">
        <f>'#三表'!I211</f>
        <v>0.56443431630000007</v>
      </c>
    </row>
    <row r="207" spans="1:9" x14ac:dyDescent="0.25">
      <c r="A207" t="str">
        <f>'#三表'!A212</f>
        <v xml:space="preserve">        投资支付的现金</v>
      </c>
      <c r="B207">
        <f>'#三表'!B212</f>
        <v>0</v>
      </c>
      <c r="C207">
        <f>'#三表'!C212</f>
        <v>0.17799999999999999</v>
      </c>
      <c r="D207">
        <f>'#三表'!D212</f>
        <v>0</v>
      </c>
      <c r="E207">
        <f>'#三表'!E212</f>
        <v>0</v>
      </c>
      <c r="F207">
        <f>'#三表'!F212</f>
        <v>0.57501000000000002</v>
      </c>
      <c r="G207">
        <f>'#三表'!G212</f>
        <v>0.28649999999999998</v>
      </c>
      <c r="H207">
        <f>'#三表'!H212</f>
        <v>0.87474799999999997</v>
      </c>
      <c r="I207">
        <f>'#三表'!I212</f>
        <v>0.13926720000000001</v>
      </c>
    </row>
    <row r="208" spans="1:9" x14ac:dyDescent="0.25">
      <c r="A208" t="str">
        <f>'#三表'!A213</f>
        <v xml:space="preserve">        取得子公司及其他营业单位支付的现金净额</v>
      </c>
      <c r="B208">
        <f>'#三表'!B213</f>
        <v>0</v>
      </c>
      <c r="C208">
        <f>'#三表'!C213</f>
        <v>0</v>
      </c>
      <c r="D208">
        <f>'#三表'!D213</f>
        <v>0</v>
      </c>
      <c r="E208">
        <f>'#三表'!E213</f>
        <v>0</v>
      </c>
      <c r="F208">
        <f>'#三表'!F213</f>
        <v>0.75674458040000003</v>
      </c>
      <c r="G208">
        <f>'#三表'!G213</f>
        <v>0.82571416330000003</v>
      </c>
      <c r="H208">
        <f>'#三表'!H213</f>
        <v>0.35227388859999997</v>
      </c>
      <c r="I208">
        <f>'#三表'!I213</f>
        <v>0</v>
      </c>
    </row>
    <row r="209" spans="1:9" x14ac:dyDescent="0.25">
      <c r="A209" t="str">
        <f>'#三表'!A214</f>
        <v xml:space="preserve">        支付其他与投资活动有关的现金</v>
      </c>
      <c r="B209">
        <f>'#三表'!B214</f>
        <v>2.5499999999999998E-2</v>
      </c>
      <c r="C209">
        <f>'#三表'!C214</f>
        <v>0</v>
      </c>
      <c r="D209">
        <f>'#三表'!D214</f>
        <v>0</v>
      </c>
      <c r="E209">
        <f>'#三表'!E214</f>
        <v>0</v>
      </c>
      <c r="F209">
        <f>'#三表'!F214</f>
        <v>0</v>
      </c>
      <c r="G209">
        <f>'#三表'!G214</f>
        <v>0.03</v>
      </c>
      <c r="H209">
        <f>'#三表'!H214</f>
        <v>0.7</v>
      </c>
      <c r="I209">
        <f>'#三表'!I214</f>
        <v>0</v>
      </c>
    </row>
    <row r="210" spans="1:9" x14ac:dyDescent="0.25">
      <c r="A210" t="str">
        <f>'#三表'!A215</f>
        <v xml:space="preserve">        投资活动现金流出差额(特殊报表科目)</v>
      </c>
      <c r="B210">
        <f>'#三表'!B215</f>
        <v>0</v>
      </c>
      <c r="C210">
        <f>'#三表'!C215</f>
        <v>0</v>
      </c>
      <c r="D210">
        <f>'#三表'!D215</f>
        <v>0</v>
      </c>
      <c r="E210">
        <f>'#三表'!E215</f>
        <v>0</v>
      </c>
      <c r="F210">
        <f>'#三表'!F215</f>
        <v>0</v>
      </c>
      <c r="G210">
        <f>'#三表'!G215</f>
        <v>0</v>
      </c>
      <c r="H210">
        <f>'#三表'!H215</f>
        <v>0</v>
      </c>
      <c r="I210">
        <f>'#三表'!I215</f>
        <v>0</v>
      </c>
    </row>
    <row r="211" spans="1:9" x14ac:dyDescent="0.25">
      <c r="A211" t="str">
        <f>'#三表'!A216</f>
        <v xml:space="preserve">        投资活动现金流出差额(合计平衡项目)</v>
      </c>
      <c r="B211">
        <f>'#三表'!B216</f>
        <v>0</v>
      </c>
      <c r="C211">
        <f>'#三表'!C216</f>
        <v>0</v>
      </c>
      <c r="D211">
        <f>'#三表'!D216</f>
        <v>0</v>
      </c>
      <c r="E211">
        <f>'#三表'!E216</f>
        <v>0</v>
      </c>
      <c r="F211">
        <f>'#三表'!F216</f>
        <v>0</v>
      </c>
      <c r="G211">
        <f>'#三表'!G216</f>
        <v>0</v>
      </c>
      <c r="H211">
        <f>'#三表'!H216</f>
        <v>0</v>
      </c>
      <c r="I211">
        <f>'#三表'!I216</f>
        <v>0</v>
      </c>
    </row>
    <row r="212" spans="1:9" x14ac:dyDescent="0.25">
      <c r="A212" t="str">
        <f>'#三表'!A217</f>
        <v xml:space="preserve">        投资活动现金流出小计</v>
      </c>
      <c r="B212">
        <f>'#三表'!B217</f>
        <v>0.368980223</v>
      </c>
      <c r="C212">
        <f>'#三表'!C217</f>
        <v>0.4953307133</v>
      </c>
      <c r="D212">
        <f>'#三表'!D217</f>
        <v>0.40468408039999998</v>
      </c>
      <c r="E212">
        <f>'#三表'!E217</f>
        <v>0.69037503430000002</v>
      </c>
      <c r="F212">
        <f>'#三表'!F217</f>
        <v>2.4918513982000001</v>
      </c>
      <c r="G212">
        <f>'#三表'!G217</f>
        <v>2.3276526088999998</v>
      </c>
      <c r="H212">
        <f>'#三表'!H217</f>
        <v>2.8919293987999999</v>
      </c>
      <c r="I212">
        <f>'#三表'!I217</f>
        <v>0.7037015163</v>
      </c>
    </row>
    <row r="213" spans="1:9" x14ac:dyDescent="0.25">
      <c r="A213" t="str">
        <f>'#三表'!A218</f>
        <v xml:space="preserve">        投资活动产生的现金流量净额差额(合计平衡项目)</v>
      </c>
      <c r="B213">
        <f>'#三表'!B218</f>
        <v>0</v>
      </c>
      <c r="C213">
        <f>'#三表'!C218</f>
        <v>0</v>
      </c>
      <c r="D213">
        <f>'#三表'!D218</f>
        <v>0</v>
      </c>
      <c r="E213">
        <f>'#三表'!E218</f>
        <v>0</v>
      </c>
      <c r="F213">
        <f>'#三表'!F218</f>
        <v>0</v>
      </c>
      <c r="G213">
        <f>'#三表'!G218</f>
        <v>0</v>
      </c>
      <c r="H213">
        <f>'#三表'!H218</f>
        <v>0</v>
      </c>
      <c r="I213">
        <f>'#三表'!I218</f>
        <v>0</v>
      </c>
    </row>
    <row r="214" spans="1:9" x14ac:dyDescent="0.25">
      <c r="A214" t="str">
        <f>'#三表'!A219</f>
        <v xml:space="preserve">        投资活动产生的现金流量净额</v>
      </c>
      <c r="B214">
        <f>'#三表'!B219</f>
        <v>-0.34338021299999999</v>
      </c>
      <c r="C214">
        <f>'#三表'!C219</f>
        <v>-0.49490156689999998</v>
      </c>
      <c r="D214">
        <f>'#三表'!D219</f>
        <v>-0.40468408039999998</v>
      </c>
      <c r="E214">
        <f>'#三表'!E219</f>
        <v>-0.69037503430000002</v>
      </c>
      <c r="F214">
        <f>'#三表'!F219</f>
        <v>-2.4859329454000001</v>
      </c>
      <c r="G214">
        <f>'#三表'!G219</f>
        <v>-2.2879184930999998</v>
      </c>
      <c r="H214">
        <f>'#三表'!H219</f>
        <v>-2.8240253800999997</v>
      </c>
      <c r="I214">
        <f>'#三表'!I219</f>
        <v>-0.6828651</v>
      </c>
    </row>
    <row r="215" spans="1:9" x14ac:dyDescent="0.25">
      <c r="A215" t="str">
        <f>'#三表'!A220</f>
        <v>三、筹资活动产生的现金流量：</v>
      </c>
      <c r="B215">
        <f>'#三表'!B220</f>
        <v>0</v>
      </c>
      <c r="C215">
        <f>'#三表'!C220</f>
        <v>0</v>
      </c>
      <c r="D215">
        <f>'#三表'!D220</f>
        <v>0</v>
      </c>
      <c r="E215">
        <f>'#三表'!E220</f>
        <v>0</v>
      </c>
      <c r="F215">
        <f>'#三表'!F220</f>
        <v>0</v>
      </c>
      <c r="G215">
        <f>'#三表'!G220</f>
        <v>0</v>
      </c>
      <c r="H215">
        <f>'#三表'!H220</f>
        <v>0</v>
      </c>
      <c r="I215">
        <f>'#三表'!I220</f>
        <v>0</v>
      </c>
    </row>
    <row r="216" spans="1:9" x14ac:dyDescent="0.25">
      <c r="A216" t="str">
        <f>'#三表'!A221</f>
        <v xml:space="preserve">        吸收投资收到的现金</v>
      </c>
      <c r="B216">
        <f>'#三表'!B221</f>
        <v>0</v>
      </c>
      <c r="C216">
        <f>'#三表'!C221</f>
        <v>2.4500000000000001E-2</v>
      </c>
      <c r="D216">
        <f>'#三表'!D221</f>
        <v>0</v>
      </c>
      <c r="E216">
        <f>'#三表'!E221</f>
        <v>3.1544137104000001</v>
      </c>
      <c r="F216">
        <f>'#三表'!F221</f>
        <v>0.1072</v>
      </c>
      <c r="G216">
        <f>'#三表'!G221</f>
        <v>6.0968301679999994</v>
      </c>
      <c r="H216">
        <f>'#三表'!H221</f>
        <v>0.46391525500000003</v>
      </c>
      <c r="I216">
        <f>'#三表'!I221</f>
        <v>1.03E-2</v>
      </c>
    </row>
    <row r="217" spans="1:9" x14ac:dyDescent="0.25">
      <c r="A217" t="str">
        <f>'#三表'!A222</f>
        <v xml:space="preserve">        其中：子公司吸收少数股东投资收到的现金</v>
      </c>
      <c r="B217">
        <f>'#三表'!B222</f>
        <v>0</v>
      </c>
      <c r="C217">
        <f>'#三表'!C222</f>
        <v>2.4500000000000001E-2</v>
      </c>
      <c r="D217">
        <f>'#三表'!D222</f>
        <v>0</v>
      </c>
      <c r="E217">
        <f>'#三表'!E222</f>
        <v>0</v>
      </c>
      <c r="F217">
        <f>'#三表'!F222</f>
        <v>0.1072</v>
      </c>
      <c r="G217">
        <f>'#三表'!G222</f>
        <v>2.0750000000000001E-2</v>
      </c>
      <c r="H217">
        <f>'#三表'!H222</f>
        <v>4.4999999999999998E-2</v>
      </c>
      <c r="I217">
        <f>'#三表'!I222</f>
        <v>1.03E-2</v>
      </c>
    </row>
    <row r="218" spans="1:9" x14ac:dyDescent="0.25">
      <c r="A218" t="str">
        <f>'#三表'!A223</f>
        <v xml:space="preserve">        取得借款收到的现金</v>
      </c>
      <c r="B218">
        <f>'#三表'!B223</f>
        <v>0.53441751689999994</v>
      </c>
      <c r="C218">
        <f>'#三表'!C223</f>
        <v>0.76400000000000001</v>
      </c>
      <c r="D218">
        <f>'#三表'!D223</f>
        <v>1.35</v>
      </c>
      <c r="E218">
        <f>'#三表'!E223</f>
        <v>1.6439999999999999</v>
      </c>
      <c r="F218">
        <f>'#三表'!F223</f>
        <v>3.0689839999999999</v>
      </c>
      <c r="G218">
        <f>'#三表'!G223</f>
        <v>7.1753499999999999</v>
      </c>
      <c r="H218">
        <f>'#三表'!H223</f>
        <v>9.2812589621000008</v>
      </c>
      <c r="I218">
        <f>'#三表'!I223</f>
        <v>8.0322764636000006</v>
      </c>
    </row>
    <row r="219" spans="1:9" x14ac:dyDescent="0.25">
      <c r="A219" t="str">
        <f>'#三表'!A224</f>
        <v xml:space="preserve">        收到其他与筹资活动有关的现金</v>
      </c>
      <c r="B219">
        <f>'#三表'!B224</f>
        <v>3.27E-2</v>
      </c>
      <c r="C219">
        <f>'#三表'!C224</f>
        <v>0</v>
      </c>
      <c r="D219">
        <f>'#三表'!D224</f>
        <v>0</v>
      </c>
      <c r="E219">
        <f>'#三表'!E224</f>
        <v>0.03</v>
      </c>
      <c r="F219">
        <f>'#三表'!F224</f>
        <v>0</v>
      </c>
      <c r="G219">
        <f>'#三表'!G224</f>
        <v>7.6499999999999999E-2</v>
      </c>
      <c r="H219">
        <f>'#三表'!H224</f>
        <v>0.40558</v>
      </c>
      <c r="I219">
        <f>'#三表'!I224</f>
        <v>8.8999999999999996E-2</v>
      </c>
    </row>
    <row r="220" spans="1:9" x14ac:dyDescent="0.25">
      <c r="A220" t="str">
        <f>'#三表'!A225</f>
        <v xml:space="preserve">        发行债券收到的现金</v>
      </c>
      <c r="B220">
        <f>'#三表'!B225</f>
        <v>0</v>
      </c>
      <c r="C220">
        <f>'#三表'!C225</f>
        <v>0</v>
      </c>
      <c r="D220">
        <f>'#三表'!D225</f>
        <v>0</v>
      </c>
      <c r="E220">
        <f>'#三表'!E225</f>
        <v>0</v>
      </c>
      <c r="F220">
        <f>'#三表'!F225</f>
        <v>0</v>
      </c>
      <c r="G220">
        <f>'#三表'!G225</f>
        <v>0</v>
      </c>
      <c r="H220">
        <f>'#三表'!H225</f>
        <v>0</v>
      </c>
      <c r="I220">
        <f>'#三表'!I225</f>
        <v>0</v>
      </c>
    </row>
    <row r="221" spans="1:9" x14ac:dyDescent="0.25">
      <c r="A221" t="str">
        <f>'#三表'!A226</f>
        <v xml:space="preserve">        筹资活动现金流入差额(特殊报表科目)</v>
      </c>
      <c r="B221">
        <f>'#三表'!B226</f>
        <v>0</v>
      </c>
      <c r="C221">
        <f>'#三表'!C226</f>
        <v>0</v>
      </c>
      <c r="D221">
        <f>'#三表'!D226</f>
        <v>0</v>
      </c>
      <c r="E221">
        <f>'#三表'!E226</f>
        <v>0</v>
      </c>
      <c r="F221">
        <f>'#三表'!F226</f>
        <v>0</v>
      </c>
      <c r="G221">
        <f>'#三表'!G226</f>
        <v>0</v>
      </c>
      <c r="H221">
        <f>'#三表'!H226</f>
        <v>0</v>
      </c>
      <c r="I221">
        <f>'#三表'!I226</f>
        <v>0</v>
      </c>
    </row>
    <row r="222" spans="1:9" x14ac:dyDescent="0.25">
      <c r="A222" t="str">
        <f>'#三表'!A227</f>
        <v xml:space="preserve">        筹资活动现金流入差额(合计平衡项目)</v>
      </c>
      <c r="B222">
        <f>'#三表'!B227</f>
        <v>0</v>
      </c>
      <c r="C222">
        <f>'#三表'!C227</f>
        <v>0</v>
      </c>
      <c r="D222">
        <f>'#三表'!D227</f>
        <v>0</v>
      </c>
      <c r="E222">
        <f>'#三表'!E227</f>
        <v>0</v>
      </c>
      <c r="F222">
        <f>'#三表'!F227</f>
        <v>0</v>
      </c>
      <c r="G222">
        <f>'#三表'!G227</f>
        <v>0</v>
      </c>
      <c r="H222">
        <f>'#三表'!H227</f>
        <v>0</v>
      </c>
      <c r="I222">
        <f>'#三表'!I227</f>
        <v>0</v>
      </c>
    </row>
    <row r="223" spans="1:9" x14ac:dyDescent="0.25">
      <c r="A223" t="str">
        <f>'#三表'!A228</f>
        <v xml:space="preserve">        筹资活动现金流入小计</v>
      </c>
      <c r="B223">
        <f>'#三表'!B228</f>
        <v>0.56711751690000001</v>
      </c>
      <c r="C223">
        <f>'#三表'!C228</f>
        <v>0.78849999999999998</v>
      </c>
      <c r="D223">
        <f>'#三表'!D228</f>
        <v>1.35</v>
      </c>
      <c r="E223">
        <f>'#三表'!E228</f>
        <v>4.8284137104000004</v>
      </c>
      <c r="F223">
        <f>'#三表'!F228</f>
        <v>3.1761840000000001</v>
      </c>
      <c r="G223">
        <f>'#三表'!G228</f>
        <v>13.348680168</v>
      </c>
      <c r="H223">
        <f>'#三表'!H228</f>
        <v>10.150754217100001</v>
      </c>
      <c r="I223">
        <f>'#三表'!I228</f>
        <v>8.1315764636000001</v>
      </c>
    </row>
    <row r="224" spans="1:9" x14ac:dyDescent="0.25">
      <c r="A224" t="str">
        <f>'#三表'!A229</f>
        <v xml:space="preserve">        偿还债务支付的现金</v>
      </c>
      <c r="B224">
        <f>'#三表'!B229</f>
        <v>0.47676285729999995</v>
      </c>
      <c r="C224">
        <f>'#三表'!C229</f>
        <v>0.42590971490000001</v>
      </c>
      <c r="D224">
        <f>'#三表'!D229</f>
        <v>0.99837500000000001</v>
      </c>
      <c r="E224">
        <f>'#三表'!E229</f>
        <v>1.2833591771999999</v>
      </c>
      <c r="F224">
        <f>'#三表'!F229</f>
        <v>1.4139999999999999</v>
      </c>
      <c r="G224">
        <f>'#三表'!G229</f>
        <v>3.6304880000000002</v>
      </c>
      <c r="H224">
        <f>'#三表'!H229</f>
        <v>7.5938460000000001</v>
      </c>
      <c r="I224">
        <f>'#三表'!I229</f>
        <v>6.8476424715999995</v>
      </c>
    </row>
    <row r="225" spans="1:9" x14ac:dyDescent="0.25">
      <c r="A225" t="str">
        <f>'#三表'!A230</f>
        <v xml:space="preserve">        分配股利、利润或偿付利息支付的现金</v>
      </c>
      <c r="B225">
        <f>'#三表'!B230</f>
        <v>3.8400504199999998E-2</v>
      </c>
      <c r="C225">
        <f>'#三表'!C230</f>
        <v>4.2384776700000001E-2</v>
      </c>
      <c r="D225">
        <f>'#三表'!D230</f>
        <v>7.2992442099999999E-2</v>
      </c>
      <c r="E225">
        <f>'#三表'!E230</f>
        <v>7.5197947500000001E-2</v>
      </c>
      <c r="F225">
        <f>'#三表'!F230</f>
        <v>0.14725667720000002</v>
      </c>
      <c r="G225">
        <f>'#三表'!G230</f>
        <v>0.37215651090000001</v>
      </c>
      <c r="H225">
        <f>'#三表'!H230</f>
        <v>0.50100708020000007</v>
      </c>
      <c r="I225">
        <f>'#三表'!I230</f>
        <v>0.41454711360000002</v>
      </c>
    </row>
    <row r="226" spans="1:9" x14ac:dyDescent="0.25">
      <c r="A226" t="str">
        <f>'#三表'!A231</f>
        <v xml:space="preserve">        其中：子公司支付给少数股东的股利、利润</v>
      </c>
      <c r="B226">
        <f>'#三表'!B231</f>
        <v>0</v>
      </c>
      <c r="C226">
        <f>'#三表'!C231</f>
        <v>0</v>
      </c>
      <c r="D226">
        <f>'#三表'!D231</f>
        <v>0</v>
      </c>
      <c r="E226">
        <f>'#三表'!E231</f>
        <v>0</v>
      </c>
      <c r="F226">
        <f>'#三表'!F231</f>
        <v>0</v>
      </c>
      <c r="G226">
        <f>'#三表'!G231</f>
        <v>0</v>
      </c>
      <c r="H226">
        <f>'#三表'!H231</f>
        <v>0</v>
      </c>
      <c r="I226">
        <f>'#三表'!I231</f>
        <v>0</v>
      </c>
    </row>
    <row r="227" spans="1:9" x14ac:dyDescent="0.25">
      <c r="A227" t="str">
        <f>'#三表'!A232</f>
        <v xml:space="preserve">        支付其他与筹资活动有关的现金</v>
      </c>
      <c r="B227">
        <f>'#三表'!B232</f>
        <v>4.1436052399999999E-2</v>
      </c>
      <c r="C227">
        <f>'#三表'!C232</f>
        <v>1.26279546E-2</v>
      </c>
      <c r="D227">
        <f>'#三表'!D232</f>
        <v>3.27515845E-2</v>
      </c>
      <c r="E227">
        <f>'#三表'!E232</f>
        <v>4.0256657799999998E-2</v>
      </c>
      <c r="F227">
        <f>'#三表'!F232</f>
        <v>6.9316351999999998E-2</v>
      </c>
      <c r="G227">
        <f>'#三表'!G232</f>
        <v>1.5872965541999999</v>
      </c>
      <c r="H227">
        <f>'#三表'!H232</f>
        <v>2.0087261827999998</v>
      </c>
      <c r="I227">
        <f>'#三表'!I232</f>
        <v>4.1535999999999997E-2</v>
      </c>
    </row>
    <row r="228" spans="1:9" x14ac:dyDescent="0.25">
      <c r="A228" t="str">
        <f>'#三表'!A233</f>
        <v xml:space="preserve">        筹资活动现金流出差额(特殊报表科目)</v>
      </c>
      <c r="B228">
        <f>'#三表'!B233</f>
        <v>0</v>
      </c>
      <c r="C228">
        <f>'#三表'!C233</f>
        <v>0</v>
      </c>
      <c r="D228">
        <f>'#三表'!D233</f>
        <v>0</v>
      </c>
      <c r="E228">
        <f>'#三表'!E233</f>
        <v>0</v>
      </c>
      <c r="F228">
        <f>'#三表'!F233</f>
        <v>0</v>
      </c>
      <c r="G228">
        <f>'#三表'!G233</f>
        <v>0</v>
      </c>
      <c r="H228">
        <f>'#三表'!H233</f>
        <v>0</v>
      </c>
      <c r="I228">
        <f>'#三表'!I233</f>
        <v>0</v>
      </c>
    </row>
    <row r="229" spans="1:9" x14ac:dyDescent="0.25">
      <c r="A229" t="str">
        <f>'#三表'!A234</f>
        <v xml:space="preserve">        筹资活动现金流出差额(合计平衡项目)</v>
      </c>
      <c r="B229">
        <f>'#三表'!B234</f>
        <v>0</v>
      </c>
      <c r="C229">
        <f>'#三表'!C234</f>
        <v>0</v>
      </c>
      <c r="D229">
        <f>'#三表'!D234</f>
        <v>0</v>
      </c>
      <c r="E229">
        <f>'#三表'!E234</f>
        <v>0</v>
      </c>
      <c r="F229">
        <f>'#三表'!F234</f>
        <v>0</v>
      </c>
      <c r="G229">
        <f>'#三表'!G234</f>
        <v>0</v>
      </c>
      <c r="H229">
        <f>'#三表'!H234</f>
        <v>0</v>
      </c>
      <c r="I229">
        <f>'#三表'!I234</f>
        <v>0</v>
      </c>
    </row>
    <row r="230" spans="1:9" x14ac:dyDescent="0.25">
      <c r="A230" t="str">
        <f>'#三表'!A235</f>
        <v xml:space="preserve">        筹资活动现金流出小计</v>
      </c>
      <c r="B230">
        <f>'#三表'!B235</f>
        <v>0.55659941390000001</v>
      </c>
      <c r="C230">
        <f>'#三表'!C235</f>
        <v>0.48092244619999996</v>
      </c>
      <c r="D230">
        <f>'#三表'!D235</f>
        <v>1.1041190266000001</v>
      </c>
      <c r="E230">
        <f>'#三表'!E235</f>
        <v>1.3988137825</v>
      </c>
      <c r="F230">
        <f>'#三表'!F235</f>
        <v>1.6305730291999998</v>
      </c>
      <c r="G230">
        <f>'#三表'!G235</f>
        <v>5.5899410650999997</v>
      </c>
      <c r="H230">
        <f>'#三表'!H235</f>
        <v>10.103579263</v>
      </c>
      <c r="I230">
        <f>'#三表'!I235</f>
        <v>7.3037255851999996</v>
      </c>
    </row>
    <row r="231" spans="1:9" x14ac:dyDescent="0.25">
      <c r="A231" t="str">
        <f>'#三表'!A236</f>
        <v xml:space="preserve">        筹资活动产生的现金流量净额差额(合计平衡项目)</v>
      </c>
      <c r="B231">
        <f>'#三表'!B236</f>
        <v>0</v>
      </c>
      <c r="C231">
        <f>'#三表'!C236</f>
        <v>0</v>
      </c>
      <c r="D231">
        <f>'#三表'!D236</f>
        <v>0</v>
      </c>
      <c r="E231">
        <f>'#三表'!E236</f>
        <v>0</v>
      </c>
      <c r="F231">
        <f>'#三表'!F236</f>
        <v>0</v>
      </c>
      <c r="G231">
        <f>'#三表'!G236</f>
        <v>0</v>
      </c>
      <c r="H231">
        <f>'#三表'!H236</f>
        <v>0</v>
      </c>
      <c r="I231">
        <f>'#三表'!I236</f>
        <v>0</v>
      </c>
    </row>
    <row r="232" spans="1:9" x14ac:dyDescent="0.25">
      <c r="A232" t="str">
        <f>'#三表'!A237</f>
        <v xml:space="preserve">        筹资活动产生的现金流量净额</v>
      </c>
      <c r="B232">
        <f>'#三表'!B237</f>
        <v>1.0518103000000001E-2</v>
      </c>
      <c r="C232">
        <f>'#三表'!C237</f>
        <v>0.30757755380000001</v>
      </c>
      <c r="D232">
        <f>'#三表'!D237</f>
        <v>0.24588097340000001</v>
      </c>
      <c r="E232">
        <f>'#三表'!E237</f>
        <v>3.4295999279</v>
      </c>
      <c r="F232">
        <f>'#三表'!F237</f>
        <v>1.5456109708000001</v>
      </c>
      <c r="G232">
        <f>'#三表'!G237</f>
        <v>7.7587391028999999</v>
      </c>
      <c r="H232">
        <f>'#三表'!H237</f>
        <v>4.7174954099999999E-2</v>
      </c>
      <c r="I232">
        <f>'#三表'!I237</f>
        <v>0.82785087840000005</v>
      </c>
    </row>
    <row r="233" spans="1:9" x14ac:dyDescent="0.25">
      <c r="A233" t="str">
        <f>'#三表'!A238</f>
        <v>四、现金及现金等价物净增加：</v>
      </c>
      <c r="B233">
        <f>'#三表'!B238</f>
        <v>0</v>
      </c>
      <c r="C233">
        <f>'#三表'!C238</f>
        <v>0</v>
      </c>
      <c r="D233">
        <f>'#三表'!D238</f>
        <v>0</v>
      </c>
      <c r="E233">
        <f>'#三表'!E238</f>
        <v>0</v>
      </c>
      <c r="F233">
        <f>'#三表'!F238</f>
        <v>0</v>
      </c>
      <c r="G233">
        <f>'#三表'!G238</f>
        <v>0</v>
      </c>
      <c r="H233">
        <f>'#三表'!H238</f>
        <v>0</v>
      </c>
      <c r="I233">
        <f>'#三表'!I238</f>
        <v>0</v>
      </c>
    </row>
    <row r="234" spans="1:9" x14ac:dyDescent="0.25">
      <c r="A234" t="str">
        <f>'#三表'!A239</f>
        <v xml:space="preserve">        汇率变动对现金的影响</v>
      </c>
      <c r="B234">
        <f>'#三表'!B239</f>
        <v>0</v>
      </c>
      <c r="C234">
        <f>'#三表'!C239</f>
        <v>0</v>
      </c>
      <c r="D234">
        <f>'#三表'!D239</f>
        <v>0</v>
      </c>
      <c r="E234">
        <f>'#三表'!E239</f>
        <v>0</v>
      </c>
      <c r="F234">
        <f>'#三表'!F239</f>
        <v>0</v>
      </c>
      <c r="G234">
        <f>'#三表'!G239</f>
        <v>0</v>
      </c>
      <c r="H234">
        <f>'#三表'!H239</f>
        <v>7.4389999999999998E-7</v>
      </c>
      <c r="I234">
        <f>'#三表'!I239</f>
        <v>0</v>
      </c>
    </row>
    <row r="235" spans="1:9" x14ac:dyDescent="0.25">
      <c r="A235" t="str">
        <f>'#三表'!A240</f>
        <v xml:space="preserve">        直接法-现金及现金等价物净增加额差额(特殊报表科目)</v>
      </c>
      <c r="B235">
        <f>'#三表'!B240</f>
        <v>0</v>
      </c>
      <c r="C235">
        <f>'#三表'!C240</f>
        <v>0</v>
      </c>
      <c r="D235">
        <f>'#三表'!D240</f>
        <v>0</v>
      </c>
      <c r="E235">
        <f>'#三表'!E240</f>
        <v>0</v>
      </c>
      <c r="F235">
        <f>'#三表'!F240</f>
        <v>0</v>
      </c>
      <c r="G235">
        <f>'#三表'!G240</f>
        <v>0</v>
      </c>
      <c r="H235">
        <f>'#三表'!H240</f>
        <v>0</v>
      </c>
      <c r="I235">
        <f>'#三表'!I240</f>
        <v>0</v>
      </c>
    </row>
    <row r="236" spans="1:9" x14ac:dyDescent="0.25">
      <c r="A236" t="str">
        <f>'#三表'!A241</f>
        <v xml:space="preserve">        直接法-现金及现金等价物净增加额差额(合计平衡项目)</v>
      </c>
      <c r="B236">
        <f>'#三表'!B241</f>
        <v>0</v>
      </c>
      <c r="C236">
        <f>'#三表'!C241</f>
        <v>0</v>
      </c>
      <c r="D236">
        <f>'#三表'!D241</f>
        <v>0</v>
      </c>
      <c r="E236">
        <f>'#三表'!E241</f>
        <v>0</v>
      </c>
      <c r="F236">
        <f>'#三表'!F241</f>
        <v>0</v>
      </c>
      <c r="G236">
        <f>'#三表'!G241</f>
        <v>0</v>
      </c>
      <c r="H236">
        <f>'#三表'!H241</f>
        <v>0</v>
      </c>
      <c r="I236">
        <f>'#三表'!I241</f>
        <v>0</v>
      </c>
    </row>
    <row r="237" spans="1:9" x14ac:dyDescent="0.25">
      <c r="A237" t="str">
        <f>'#三表'!A242</f>
        <v xml:space="preserve">        现金及现金等价物净增加额</v>
      </c>
      <c r="B237">
        <f>'#三表'!B242</f>
        <v>-7.5097029000000008E-3</v>
      </c>
      <c r="C237">
        <f>'#三表'!C242</f>
        <v>0.11332967769999999</v>
      </c>
      <c r="D237">
        <f>'#三表'!D242</f>
        <v>0.3022620063</v>
      </c>
      <c r="E237">
        <f>'#三表'!E242</f>
        <v>2.5690637718000002</v>
      </c>
      <c r="F237">
        <f>'#三表'!F242</f>
        <v>-1.5728442624000001</v>
      </c>
      <c r="G237">
        <f>'#三表'!G242</f>
        <v>4.8325357490999998</v>
      </c>
      <c r="H237">
        <f>'#三表'!H242</f>
        <v>-1.8376160372999999</v>
      </c>
      <c r="I237">
        <f>'#三表'!I242</f>
        <v>-0.9823791422</v>
      </c>
    </row>
    <row r="238" spans="1:9" x14ac:dyDescent="0.25">
      <c r="A238" t="str">
        <f>'#三表'!A243</f>
        <v xml:space="preserve">        期初现金及现金等价物余额</v>
      </c>
      <c r="B238">
        <f>'#三表'!B243</f>
        <v>0.50909691609999996</v>
      </c>
      <c r="C238">
        <f>'#三表'!C243</f>
        <v>0.50158721319999999</v>
      </c>
      <c r="D238">
        <f>'#三表'!D243</f>
        <v>0.61491689090000001</v>
      </c>
      <c r="E238">
        <f>'#三表'!E243</f>
        <v>0.91717889720000001</v>
      </c>
      <c r="F238">
        <f>'#三表'!F243</f>
        <v>3.4862426689999997</v>
      </c>
      <c r="G238">
        <f>'#三表'!G243</f>
        <v>1.9133984066</v>
      </c>
      <c r="H238">
        <f>'#三表'!H243</f>
        <v>6.7459341557000005</v>
      </c>
      <c r="I238">
        <f>'#三表'!I243</f>
        <v>4.9083181183999995</v>
      </c>
    </row>
    <row r="239" spans="1:9" x14ac:dyDescent="0.25">
      <c r="A239" t="str">
        <f>'#三表'!A244</f>
        <v xml:space="preserve">        期末现金及现金等价物余额</v>
      </c>
      <c r="B239">
        <f>'#三表'!B244</f>
        <v>0.50158721319999999</v>
      </c>
      <c r="C239">
        <f>'#三表'!C244</f>
        <v>0.61491689090000001</v>
      </c>
      <c r="D239">
        <f>'#三表'!D244</f>
        <v>0.91717889720000001</v>
      </c>
      <c r="E239">
        <f>'#三表'!E244</f>
        <v>3.4862426689999997</v>
      </c>
      <c r="F239">
        <f>'#三表'!F244</f>
        <v>1.9133984066</v>
      </c>
      <c r="G239">
        <f>'#三表'!G244</f>
        <v>6.7459341557000005</v>
      </c>
      <c r="H239">
        <f>'#三表'!H244</f>
        <v>4.9083181183999995</v>
      </c>
      <c r="I239">
        <f>'#三表'!I244</f>
        <v>3.9259389761999999</v>
      </c>
    </row>
    <row r="240" spans="1:9" x14ac:dyDescent="0.25">
      <c r="A240" t="str">
        <f>'#三表'!A245</f>
        <v>补充资料：</v>
      </c>
      <c r="B240">
        <f>'#三表'!B245</f>
        <v>0</v>
      </c>
      <c r="C240">
        <f>'#三表'!C245</f>
        <v>0</v>
      </c>
      <c r="D240">
        <f>'#三表'!D245</f>
        <v>0</v>
      </c>
      <c r="E240">
        <f>'#三表'!E245</f>
        <v>0</v>
      </c>
      <c r="F240">
        <f>'#三表'!F245</f>
        <v>0</v>
      </c>
      <c r="G240">
        <f>'#三表'!G245</f>
        <v>0</v>
      </c>
      <c r="H240">
        <f>'#三表'!H245</f>
        <v>0</v>
      </c>
      <c r="I240">
        <f>'#三表'!I245</f>
        <v>0</v>
      </c>
    </row>
    <row r="241" spans="1:9" x14ac:dyDescent="0.25">
      <c r="A241" t="str">
        <f>'#三表'!A246</f>
        <v xml:space="preserve">        净利润</v>
      </c>
      <c r="B241">
        <f>'#三表'!B246</f>
        <v>0.50855062760000003</v>
      </c>
      <c r="C241">
        <f>'#三表'!C246</f>
        <v>0.5757526074</v>
      </c>
      <c r="D241">
        <f>'#三表'!D246</f>
        <v>0.6430594892</v>
      </c>
      <c r="E241">
        <f>'#三表'!E246</f>
        <v>0.73547790859999995</v>
      </c>
      <c r="F241">
        <f>'#三表'!F246</f>
        <v>1.0658070562999999</v>
      </c>
      <c r="G241">
        <f>'#三表'!G246</f>
        <v>1.1642776374999999</v>
      </c>
      <c r="H241">
        <f>'#三表'!H246</f>
        <v>1.4244085619</v>
      </c>
      <c r="I241">
        <f>'#三表'!I246</f>
        <v>0.12417959949999999</v>
      </c>
    </row>
    <row r="242" spans="1:9" x14ac:dyDescent="0.25">
      <c r="A242" t="str">
        <f>'#三表'!A247</f>
        <v xml:space="preserve">        加：资产减值准备</v>
      </c>
      <c r="B242">
        <f>'#三表'!B247</f>
        <v>7.4332975999999995E-2</v>
      </c>
      <c r="C242">
        <f>'#三表'!C247</f>
        <v>4.3623139900000003E-2</v>
      </c>
      <c r="D242">
        <f>'#三表'!D247</f>
        <v>5.0000215399999999E-2</v>
      </c>
      <c r="E242">
        <f>'#三表'!E247</f>
        <v>9.9424398900000002E-2</v>
      </c>
      <c r="F242">
        <f>'#三表'!F247</f>
        <v>0.1244370657</v>
      </c>
      <c r="G242">
        <f>'#三表'!G247</f>
        <v>0.1646357893</v>
      </c>
      <c r="H242">
        <f>'#三表'!H247</f>
        <v>0.20738962670000002</v>
      </c>
      <c r="I242">
        <f>'#三表'!I247</f>
        <v>0</v>
      </c>
    </row>
    <row r="243" spans="1:9" x14ac:dyDescent="0.25">
      <c r="A243" t="str">
        <f>'#三表'!A248</f>
        <v xml:space="preserve">        固定资产折旧、油气资产折耗、生产性生物资产折旧</v>
      </c>
      <c r="B243">
        <f>'#三表'!B248</f>
        <v>0.19985197230000001</v>
      </c>
      <c r="C243">
        <f>'#三表'!C248</f>
        <v>0.25248275450000002</v>
      </c>
      <c r="D243">
        <f>'#三表'!D248</f>
        <v>0.29216193530000001</v>
      </c>
      <c r="E243">
        <f>'#三表'!E248</f>
        <v>0.36603645869999996</v>
      </c>
      <c r="F243">
        <f>'#三表'!F248</f>
        <v>0.47815596090000001</v>
      </c>
      <c r="G243">
        <f>'#三表'!G248</f>
        <v>0.58291575770000004</v>
      </c>
      <c r="H243">
        <f>'#三表'!H248</f>
        <v>0.64541555110000004</v>
      </c>
      <c r="I243">
        <f>'#三表'!I248</f>
        <v>0.39041122610000001</v>
      </c>
    </row>
    <row r="244" spans="1:9" x14ac:dyDescent="0.25">
      <c r="A244" t="str">
        <f>'#三表'!A249</f>
        <v xml:space="preserve">        无形资产摊销</v>
      </c>
      <c r="B244">
        <f>'#三表'!B249</f>
        <v>2.3615748000000002E-3</v>
      </c>
      <c r="C244">
        <f>'#三表'!C249</f>
        <v>2.4550015999999998E-3</v>
      </c>
      <c r="D244">
        <f>'#三表'!D249</f>
        <v>2.424336E-3</v>
      </c>
      <c r="E244">
        <f>'#三表'!E249</f>
        <v>2.3867180999999999E-3</v>
      </c>
      <c r="F244">
        <f>'#三表'!F249</f>
        <v>2.5982462999999999E-3</v>
      </c>
      <c r="G244">
        <f>'#三表'!G249</f>
        <v>5.9076049000000002E-3</v>
      </c>
      <c r="H244">
        <f>'#三表'!H249</f>
        <v>1.5823592899999999E-2</v>
      </c>
      <c r="I244">
        <f>'#三表'!I249</f>
        <v>1.7068479399999999E-2</v>
      </c>
    </row>
    <row r="245" spans="1:9" x14ac:dyDescent="0.25">
      <c r="A245" t="str">
        <f>'#三表'!A250</f>
        <v xml:space="preserve">        长期待摊费用摊销</v>
      </c>
      <c r="B245">
        <f>'#三表'!B250</f>
        <v>8.6390355000000012E-3</v>
      </c>
      <c r="C245">
        <f>'#三表'!C250</f>
        <v>2.1255520999999998E-3</v>
      </c>
      <c r="D245">
        <f>'#三表'!D250</f>
        <v>2.0283582999999997E-3</v>
      </c>
      <c r="E245">
        <f>'#三表'!E250</f>
        <v>1.1452276200000002E-2</v>
      </c>
      <c r="F245">
        <f>'#三表'!F250</f>
        <v>3.1321961799999999E-2</v>
      </c>
      <c r="G245">
        <f>'#三表'!G250</f>
        <v>8.8256612200000001E-2</v>
      </c>
      <c r="H245">
        <f>'#三表'!H250</f>
        <v>0.1242414986</v>
      </c>
      <c r="I245">
        <f>'#三表'!I250</f>
        <v>0.11948738380000001</v>
      </c>
    </row>
    <row r="246" spans="1:9" x14ac:dyDescent="0.25">
      <c r="A246" t="str">
        <f>'#三表'!A251</f>
        <v xml:space="preserve">        待摊费用减少</v>
      </c>
      <c r="B246">
        <f>'#三表'!B251</f>
        <v>0</v>
      </c>
      <c r="C246">
        <f>'#三表'!C251</f>
        <v>0</v>
      </c>
      <c r="D246">
        <f>'#三表'!D251</f>
        <v>0</v>
      </c>
      <c r="E246">
        <f>'#三表'!E251</f>
        <v>0</v>
      </c>
      <c r="F246">
        <f>'#三表'!F251</f>
        <v>0</v>
      </c>
      <c r="G246">
        <f>'#三表'!G251</f>
        <v>0</v>
      </c>
      <c r="H246">
        <f>'#三表'!H251</f>
        <v>0</v>
      </c>
      <c r="I246">
        <f>'#三表'!I251</f>
        <v>0</v>
      </c>
    </row>
    <row r="247" spans="1:9" x14ac:dyDescent="0.25">
      <c r="A247" t="str">
        <f>'#三表'!A252</f>
        <v xml:space="preserve">        预提费用增加</v>
      </c>
      <c r="B247">
        <f>'#三表'!B252</f>
        <v>0</v>
      </c>
      <c r="C247">
        <f>'#三表'!C252</f>
        <v>0</v>
      </c>
      <c r="D247">
        <f>'#三表'!D252</f>
        <v>0</v>
      </c>
      <c r="E247">
        <f>'#三表'!E252</f>
        <v>0</v>
      </c>
      <c r="F247">
        <f>'#三表'!F252</f>
        <v>0</v>
      </c>
      <c r="G247">
        <f>'#三表'!G252</f>
        <v>0</v>
      </c>
      <c r="H247">
        <f>'#三表'!H252</f>
        <v>0</v>
      </c>
      <c r="I247">
        <f>'#三表'!I252</f>
        <v>0</v>
      </c>
    </row>
    <row r="248" spans="1:9" x14ac:dyDescent="0.25">
      <c r="A248" t="str">
        <f>'#三表'!A253</f>
        <v xml:space="preserve">        处置固定资产、无形资产和其他长期资产的损失</v>
      </c>
      <c r="B248">
        <f>'#三表'!B253</f>
        <v>1.1743997E-3</v>
      </c>
      <c r="C248">
        <f>'#三表'!C253</f>
        <v>1.42683176E-2</v>
      </c>
      <c r="D248">
        <f>'#三表'!D253</f>
        <v>6.7159196999999997E-3</v>
      </c>
      <c r="E248">
        <f>'#三表'!E253</f>
        <v>2.9411919E-3</v>
      </c>
      <c r="F248">
        <f>'#三表'!F253</f>
        <v>-3.5879515000000004E-3</v>
      </c>
      <c r="G248">
        <f>'#三表'!G253</f>
        <v>2.7353453900000001E-2</v>
      </c>
      <c r="H248">
        <f>'#三表'!H253</f>
        <v>1.6088267999999999E-3</v>
      </c>
      <c r="I248">
        <f>'#三表'!I253</f>
        <v>0</v>
      </c>
    </row>
    <row r="249" spans="1:9" x14ac:dyDescent="0.25">
      <c r="A249" t="str">
        <f>'#三表'!A254</f>
        <v xml:space="preserve">        固定资产报废损失</v>
      </c>
      <c r="B249">
        <f>'#三表'!B254</f>
        <v>0</v>
      </c>
      <c r="C249">
        <f>'#三表'!C254</f>
        <v>0</v>
      </c>
      <c r="D249">
        <f>'#三表'!D254</f>
        <v>0</v>
      </c>
      <c r="E249">
        <f>'#三表'!E254</f>
        <v>0</v>
      </c>
      <c r="F249">
        <f>'#三表'!F254</f>
        <v>0</v>
      </c>
      <c r="G249">
        <f>'#三表'!G254</f>
        <v>3.6643050000000001E-3</v>
      </c>
      <c r="H249">
        <f>'#三表'!H254</f>
        <v>5.3242639E-3</v>
      </c>
      <c r="I249">
        <f>'#三表'!I254</f>
        <v>0</v>
      </c>
    </row>
    <row r="250" spans="1:9" x14ac:dyDescent="0.25">
      <c r="A250" t="str">
        <f>'#三表'!A255</f>
        <v xml:space="preserve">        公允价值变动损失</v>
      </c>
      <c r="B250">
        <f>'#三表'!B255</f>
        <v>0</v>
      </c>
      <c r="C250">
        <f>'#三表'!C255</f>
        <v>0</v>
      </c>
      <c r="D250">
        <f>'#三表'!D255</f>
        <v>0</v>
      </c>
      <c r="E250">
        <f>'#三表'!E255</f>
        <v>0</v>
      </c>
      <c r="F250">
        <f>'#三表'!F255</f>
        <v>0</v>
      </c>
      <c r="G250">
        <f>'#三表'!G255</f>
        <v>0</v>
      </c>
      <c r="H250">
        <f>'#三表'!H255</f>
        <v>0</v>
      </c>
      <c r="I250">
        <f>'#三表'!I255</f>
        <v>0</v>
      </c>
    </row>
    <row r="251" spans="1:9" x14ac:dyDescent="0.25">
      <c r="A251" t="str">
        <f>'#三表'!A256</f>
        <v xml:space="preserve">        财务费用</v>
      </c>
      <c r="B251">
        <f>'#三表'!B256</f>
        <v>3.8680397700000001E-2</v>
      </c>
      <c r="C251">
        <f>'#三表'!C256</f>
        <v>4.2384776700000001E-2</v>
      </c>
      <c r="D251">
        <f>'#三表'!D256</f>
        <v>7.8677665999999993E-2</v>
      </c>
      <c r="E251">
        <f>'#三表'!E256</f>
        <v>8.4669512699999991E-2</v>
      </c>
      <c r="F251">
        <f>'#三表'!F256</f>
        <v>0.10929849720000001</v>
      </c>
      <c r="G251">
        <f>'#三表'!G256</f>
        <v>0.30657222789999999</v>
      </c>
      <c r="H251">
        <f>'#三表'!H256</f>
        <v>0.43547565439999997</v>
      </c>
      <c r="I251">
        <f>'#三表'!I256</f>
        <v>0.36355577859999999</v>
      </c>
    </row>
    <row r="252" spans="1:9" x14ac:dyDescent="0.25">
      <c r="A252" t="str">
        <f>'#三表'!A257</f>
        <v xml:space="preserve">        投资损失</v>
      </c>
      <c r="B252">
        <f>'#三表'!B257</f>
        <v>1.0811193600000001E-2</v>
      </c>
      <c r="C252">
        <f>'#三表'!C257</f>
        <v>0</v>
      </c>
      <c r="D252">
        <f>'#三表'!D257</f>
        <v>0</v>
      </c>
      <c r="E252">
        <f>'#三表'!E257</f>
        <v>0</v>
      </c>
      <c r="F252">
        <f>'#三表'!F257</f>
        <v>-1.0307044899999999E-2</v>
      </c>
      <c r="G252">
        <f>'#三表'!G257</f>
        <v>6.3094565999999999E-3</v>
      </c>
      <c r="H252">
        <f>'#三表'!H257</f>
        <v>-3.4463384999999999E-3</v>
      </c>
      <c r="I252">
        <f>'#三表'!I257</f>
        <v>3.0578882E-3</v>
      </c>
    </row>
    <row r="253" spans="1:9" x14ac:dyDescent="0.25">
      <c r="A253" t="str">
        <f>'#三表'!A258</f>
        <v xml:space="preserve">        递延所得税资产减少</v>
      </c>
      <c r="B253">
        <f>'#三表'!B258</f>
        <v>-1.4772665500000001E-2</v>
      </c>
      <c r="C253">
        <f>'#三表'!C258</f>
        <v>-1.1684007099999999E-2</v>
      </c>
      <c r="D253">
        <f>'#三表'!D258</f>
        <v>-1.36155007E-2</v>
      </c>
      <c r="E253">
        <f>'#三表'!E258</f>
        <v>-2.4703246299999999E-2</v>
      </c>
      <c r="F253">
        <f>'#三表'!F258</f>
        <v>-3.3440941699999997E-2</v>
      </c>
      <c r="G253">
        <f>'#三表'!G258</f>
        <v>-6.9119962600000001E-2</v>
      </c>
      <c r="H253">
        <f>'#三表'!H258</f>
        <v>-0.1287047123</v>
      </c>
      <c r="I253">
        <f>'#三表'!I258</f>
        <v>-5.5558037599999999E-2</v>
      </c>
    </row>
    <row r="254" spans="1:9" x14ac:dyDescent="0.25">
      <c r="A254" t="str">
        <f>'#三表'!A259</f>
        <v xml:space="preserve">        递延所得税负债增加</v>
      </c>
      <c r="B254">
        <f>'#三表'!B259</f>
        <v>0</v>
      </c>
      <c r="C254">
        <f>'#三表'!C259</f>
        <v>0</v>
      </c>
      <c r="D254">
        <f>'#三表'!D259</f>
        <v>0</v>
      </c>
      <c r="E254">
        <f>'#三表'!E259</f>
        <v>0</v>
      </c>
      <c r="F254">
        <f>'#三表'!F259</f>
        <v>0</v>
      </c>
      <c r="G254">
        <f>'#三表'!G259</f>
        <v>2.6604436800000002E-2</v>
      </c>
      <c r="H254">
        <f>'#三表'!H259</f>
        <v>-1.0989025999999999E-3</v>
      </c>
      <c r="I254">
        <f>'#三表'!I259</f>
        <v>4.9974939999999999E-4</v>
      </c>
    </row>
    <row r="255" spans="1:9" x14ac:dyDescent="0.25">
      <c r="A255" t="str">
        <f>'#三表'!A260</f>
        <v xml:space="preserve">        存货的减少</v>
      </c>
      <c r="B255">
        <f>'#三表'!B260</f>
        <v>0.29748161440000004</v>
      </c>
      <c r="C255">
        <f>'#三表'!C260</f>
        <v>-3.6137618199999999E-2</v>
      </c>
      <c r="D255">
        <f>'#三表'!D260</f>
        <v>-0.1102299843</v>
      </c>
      <c r="E255">
        <f>'#三表'!E260</f>
        <v>-0.12803658400000001</v>
      </c>
      <c r="F255">
        <f>'#三表'!F260</f>
        <v>-0.8796754389</v>
      </c>
      <c r="G255">
        <f>'#三表'!G260</f>
        <v>-0.65033053689999998</v>
      </c>
      <c r="H255">
        <f>'#三表'!H260</f>
        <v>-0.73406662019999991</v>
      </c>
      <c r="I255">
        <f>'#三表'!I260</f>
        <v>-0.432244405</v>
      </c>
    </row>
    <row r="256" spans="1:9" x14ac:dyDescent="0.25">
      <c r="A256" t="str">
        <f>'#三表'!A261</f>
        <v xml:space="preserve">        经营性应收项目的减少</v>
      </c>
      <c r="B256">
        <f>'#三表'!B261</f>
        <v>-0.68710604260000008</v>
      </c>
      <c r="C256">
        <f>'#三表'!C261</f>
        <v>-0.65655780750000003</v>
      </c>
      <c r="D256">
        <f>'#三表'!D261</f>
        <v>-0.56373286200000006</v>
      </c>
      <c r="E256">
        <f>'#三表'!E261</f>
        <v>-0.95382662730000001</v>
      </c>
      <c r="F256">
        <f>'#三表'!F261</f>
        <v>-1.5059342358000001</v>
      </c>
      <c r="G256">
        <f>'#三表'!G261</f>
        <v>-2.7236123569999999</v>
      </c>
      <c r="H256">
        <f>'#三表'!H261</f>
        <v>-2.4387753521</v>
      </c>
      <c r="I256">
        <f>'#三表'!I261</f>
        <v>-1.4263931153</v>
      </c>
    </row>
    <row r="257" spans="1:9" x14ac:dyDescent="0.25">
      <c r="A257" t="str">
        <f>'#三表'!A262</f>
        <v xml:space="preserve">        经营性应付项目的增加</v>
      </c>
      <c r="B257">
        <f>'#三表'!B262</f>
        <v>-0.1146526764</v>
      </c>
      <c r="C257">
        <f>'#三表'!C262</f>
        <v>7.1940973800000002E-2</v>
      </c>
      <c r="D257">
        <f>'#三表'!D262</f>
        <v>7.35755404E-2</v>
      </c>
      <c r="E257">
        <f>'#三表'!E262</f>
        <v>-0.36598312929999999</v>
      </c>
      <c r="F257">
        <f>'#三表'!F262</f>
        <v>-1.2075463200000001E-2</v>
      </c>
      <c r="G257">
        <f>'#三表'!G262</f>
        <v>0.42740071399999996</v>
      </c>
      <c r="H257">
        <f>'#三表'!H262</f>
        <v>1.3113175921</v>
      </c>
      <c r="I257">
        <f>'#三表'!I262</f>
        <v>-0.40572054960000004</v>
      </c>
    </row>
    <row r="258" spans="1:9" x14ac:dyDescent="0.25">
      <c r="A258" t="str">
        <f>'#三表'!A263</f>
        <v xml:space="preserve">        未确认的投资损失</v>
      </c>
      <c r="B258">
        <f>'#三表'!B263</f>
        <v>0</v>
      </c>
      <c r="C258">
        <f>'#三表'!C263</f>
        <v>0</v>
      </c>
      <c r="D258">
        <f>'#三表'!D263</f>
        <v>0</v>
      </c>
      <c r="E258">
        <f>'#三表'!E263</f>
        <v>0</v>
      </c>
      <c r="F258">
        <f>'#三表'!F263</f>
        <v>0</v>
      </c>
      <c r="G258">
        <f>'#三表'!G263</f>
        <v>0</v>
      </c>
      <c r="H258">
        <f>'#三表'!H263</f>
        <v>0</v>
      </c>
      <c r="I258">
        <f>'#三表'!I263</f>
        <v>0</v>
      </c>
    </row>
    <row r="259" spans="1:9" x14ac:dyDescent="0.25">
      <c r="A259" t="str">
        <f>'#三表'!A264</f>
        <v xml:space="preserve">        其他</v>
      </c>
      <c r="B259">
        <f>'#三表'!B264</f>
        <v>0</v>
      </c>
      <c r="C259">
        <f>'#三表'!C264</f>
        <v>0</v>
      </c>
      <c r="D259">
        <f>'#三表'!D264</f>
        <v>0</v>
      </c>
      <c r="E259">
        <f>'#三表'!E264</f>
        <v>0</v>
      </c>
      <c r="F259">
        <f>'#三表'!F264</f>
        <v>8.8000000000000003E-4</v>
      </c>
      <c r="G259">
        <f>'#三表'!G264</f>
        <v>8.8000000000000003E-4</v>
      </c>
      <c r="H259">
        <f>'#三表'!H264</f>
        <v>7.4320402100000002E-2</v>
      </c>
      <c r="I259">
        <f>'#三表'!I264</f>
        <v>1.2008508500000001E-2</v>
      </c>
    </row>
    <row r="260" spans="1:9" x14ac:dyDescent="0.25">
      <c r="A260" t="str">
        <f>'#三表'!A265</f>
        <v xml:space="preserve">        间接法-经营活动现金流量净额差额(特殊报表科目)</v>
      </c>
      <c r="B260">
        <f>'#三表'!B265</f>
        <v>0</v>
      </c>
      <c r="C260">
        <f>'#三表'!C265</f>
        <v>0</v>
      </c>
      <c r="D260">
        <f>'#三表'!D265</f>
        <v>0</v>
      </c>
      <c r="E260">
        <f>'#三表'!E265</f>
        <v>0</v>
      </c>
      <c r="F260">
        <f>'#三表'!F265</f>
        <v>0</v>
      </c>
      <c r="G260">
        <f>'#三表'!G265</f>
        <v>0</v>
      </c>
      <c r="H260">
        <f>'#三表'!H265</f>
        <v>0</v>
      </c>
      <c r="I260">
        <f>'#三表'!I265</f>
        <v>0</v>
      </c>
    </row>
    <row r="261" spans="1:9" x14ac:dyDescent="0.25">
      <c r="A261" t="str">
        <f>'#三表'!A266</f>
        <v xml:space="preserve">        间接法-经营活动现金流量净额差额(合计平衡项目)</v>
      </c>
      <c r="B261">
        <f>'#三表'!B266</f>
        <v>0</v>
      </c>
      <c r="C261">
        <f>'#三表'!C266</f>
        <v>0</v>
      </c>
      <c r="D261">
        <f>'#三表'!D266</f>
        <v>0</v>
      </c>
      <c r="E261">
        <f>'#三表'!E266</f>
        <v>0</v>
      </c>
      <c r="F261">
        <f>'#三表'!F266</f>
        <v>0</v>
      </c>
      <c r="G261">
        <f>'#三表'!G266</f>
        <v>0</v>
      </c>
      <c r="H261">
        <f>'#三表'!H266</f>
        <v>0</v>
      </c>
      <c r="I261">
        <f>'#三表'!I266</f>
        <v>0</v>
      </c>
    </row>
    <row r="262" spans="1:9" x14ac:dyDescent="0.25">
      <c r="A262" t="str">
        <f>'#三表'!A267</f>
        <v xml:space="preserve">        经营活动产生的现金流量净额</v>
      </c>
      <c r="B262">
        <f>'#三表'!B267</f>
        <v>0.32535240710000002</v>
      </c>
      <c r="C262">
        <f>'#三表'!C267</f>
        <v>0.30065369079999998</v>
      </c>
      <c r="D262">
        <f>'#三表'!D267</f>
        <v>0.4610651133</v>
      </c>
      <c r="E262">
        <f>'#三表'!E267</f>
        <v>-0.17016112180000001</v>
      </c>
      <c r="F262">
        <f>'#三表'!F267</f>
        <v>-0.63252228779999997</v>
      </c>
      <c r="G262">
        <f>'#三表'!G267</f>
        <v>-0.63828486070000001</v>
      </c>
      <c r="H262">
        <f>'#三表'!H267</f>
        <v>0.93923364480000004</v>
      </c>
      <c r="I262">
        <f>'#三表'!I267</f>
        <v>-1.1273649206</v>
      </c>
    </row>
    <row r="263" spans="1:9" x14ac:dyDescent="0.25">
      <c r="A263" t="str">
        <f>'#三表'!A268</f>
        <v xml:space="preserve">        债务转为资本</v>
      </c>
      <c r="B263">
        <f>'#三表'!B268</f>
        <v>0</v>
      </c>
      <c r="C263">
        <f>'#三表'!C268</f>
        <v>0</v>
      </c>
      <c r="D263">
        <f>'#三表'!D268</f>
        <v>0</v>
      </c>
      <c r="E263">
        <f>'#三表'!E268</f>
        <v>0</v>
      </c>
      <c r="F263">
        <f>'#三表'!F268</f>
        <v>0</v>
      </c>
      <c r="G263">
        <f>'#三表'!G268</f>
        <v>0</v>
      </c>
      <c r="H263">
        <f>'#三表'!H268</f>
        <v>0</v>
      </c>
      <c r="I263">
        <f>'#三表'!I268</f>
        <v>0</v>
      </c>
    </row>
    <row r="264" spans="1:9" x14ac:dyDescent="0.25">
      <c r="A264" t="str">
        <f>'#三表'!A269</f>
        <v xml:space="preserve">        一年内到期的可转换公司债券</v>
      </c>
      <c r="B264">
        <f>'#三表'!B269</f>
        <v>0</v>
      </c>
      <c r="C264">
        <f>'#三表'!C269</f>
        <v>0</v>
      </c>
      <c r="D264">
        <f>'#三表'!D269</f>
        <v>0</v>
      </c>
      <c r="E264">
        <f>'#三表'!E269</f>
        <v>0</v>
      </c>
      <c r="F264">
        <f>'#三表'!F269</f>
        <v>0</v>
      </c>
      <c r="G264">
        <f>'#三表'!G269</f>
        <v>0</v>
      </c>
      <c r="H264">
        <f>'#三表'!H269</f>
        <v>0</v>
      </c>
      <c r="I264">
        <f>'#三表'!I269</f>
        <v>0</v>
      </c>
    </row>
    <row r="265" spans="1:9" x14ac:dyDescent="0.25">
      <c r="A265" t="str">
        <f>'#三表'!A270</f>
        <v xml:space="preserve">        融资租入固定资产</v>
      </c>
      <c r="B265">
        <f>'#三表'!B270</f>
        <v>9.9431914000000007E-3</v>
      </c>
      <c r="C265">
        <f>'#三表'!C270</f>
        <v>0</v>
      </c>
      <c r="D265">
        <f>'#三表'!D270</f>
        <v>8.4257646500000005E-2</v>
      </c>
      <c r="E265">
        <f>'#三表'!E270</f>
        <v>3.32962339E-2</v>
      </c>
      <c r="F265">
        <f>'#三表'!F270</f>
        <v>0</v>
      </c>
      <c r="G265">
        <f>'#三表'!G270</f>
        <v>0</v>
      </c>
      <c r="H265">
        <f>'#三表'!H270</f>
        <v>0</v>
      </c>
      <c r="I265">
        <f>'#三表'!I270</f>
        <v>0</v>
      </c>
    </row>
    <row r="266" spans="1:9" x14ac:dyDescent="0.25">
      <c r="A266" t="str">
        <f>'#三表'!A271</f>
        <v xml:space="preserve">        现金的期末余额</v>
      </c>
      <c r="B266">
        <f>'#三表'!B271</f>
        <v>0.50158721319999999</v>
      </c>
      <c r="C266">
        <f>'#三表'!C271</f>
        <v>0.61491689090000001</v>
      </c>
      <c r="D266">
        <f>'#三表'!D271</f>
        <v>0.91717889720000001</v>
      </c>
      <c r="E266">
        <f>'#三表'!E271</f>
        <v>3.4862426689999997</v>
      </c>
      <c r="F266">
        <f>'#三表'!F271</f>
        <v>1.9133984066</v>
      </c>
      <c r="G266">
        <f>'#三表'!G271</f>
        <v>6.7459341557000005</v>
      </c>
      <c r="H266">
        <f>'#三表'!H271</f>
        <v>4.9083181183999995</v>
      </c>
      <c r="I266">
        <f>'#三表'!I271</f>
        <v>3.9259389761999999</v>
      </c>
    </row>
    <row r="267" spans="1:9" x14ac:dyDescent="0.25">
      <c r="A267" t="str">
        <f>'#三表'!A272</f>
        <v xml:space="preserve">        减：现金的期初余额</v>
      </c>
      <c r="B267">
        <f>'#三表'!B272</f>
        <v>0.50909691609999996</v>
      </c>
      <c r="C267">
        <f>'#三表'!C272</f>
        <v>0.50158721319999999</v>
      </c>
      <c r="D267">
        <f>'#三表'!D272</f>
        <v>0.61491689090000001</v>
      </c>
      <c r="E267">
        <f>'#三表'!E272</f>
        <v>0.91717889720000001</v>
      </c>
      <c r="F267">
        <f>'#三表'!F272</f>
        <v>3.4862426689999997</v>
      </c>
      <c r="G267">
        <f>'#三表'!G272</f>
        <v>1.9133984066</v>
      </c>
      <c r="H267">
        <f>'#三表'!H272</f>
        <v>6.7459341557000005</v>
      </c>
      <c r="I267">
        <f>'#三表'!I272</f>
        <v>4.9083181183999995</v>
      </c>
    </row>
    <row r="268" spans="1:9" x14ac:dyDescent="0.25">
      <c r="A268" t="str">
        <f>'#三表'!A273</f>
        <v xml:space="preserve">        加：现金等价物的期末余额</v>
      </c>
      <c r="B268">
        <f>'#三表'!B273</f>
        <v>0</v>
      </c>
      <c r="C268">
        <f>'#三表'!C273</f>
        <v>0</v>
      </c>
      <c r="D268">
        <f>'#三表'!D273</f>
        <v>0</v>
      </c>
      <c r="E268">
        <f>'#三表'!E273</f>
        <v>0</v>
      </c>
      <c r="F268">
        <f>'#三表'!F273</f>
        <v>0</v>
      </c>
      <c r="G268">
        <f>'#三表'!G273</f>
        <v>0</v>
      </c>
      <c r="H268">
        <f>'#三表'!H273</f>
        <v>0</v>
      </c>
      <c r="I268">
        <f>'#三表'!I273</f>
        <v>0</v>
      </c>
    </row>
    <row r="269" spans="1:9" x14ac:dyDescent="0.25">
      <c r="A269" t="str">
        <f>'#三表'!A274</f>
        <v xml:space="preserve">        减：现金等价物的期初余额</v>
      </c>
      <c r="B269">
        <f>'#三表'!B274</f>
        <v>0</v>
      </c>
      <c r="C269">
        <f>'#三表'!C274</f>
        <v>0</v>
      </c>
      <c r="D269">
        <f>'#三表'!D274</f>
        <v>0</v>
      </c>
      <c r="E269">
        <f>'#三表'!E274</f>
        <v>0</v>
      </c>
      <c r="F269">
        <f>'#三表'!F274</f>
        <v>0</v>
      </c>
      <c r="G269">
        <f>'#三表'!G274</f>
        <v>0</v>
      </c>
      <c r="H269">
        <f>'#三表'!H274</f>
        <v>0</v>
      </c>
      <c r="I269">
        <f>'#三表'!I274</f>
        <v>0</v>
      </c>
    </row>
    <row r="270" spans="1:9" x14ac:dyDescent="0.25">
      <c r="A270" t="str">
        <f>'#三表'!A275</f>
        <v xml:space="preserve">        加：间接法-现金净增加额差额(特殊报表科目)</v>
      </c>
      <c r="B270">
        <f>'#三表'!B275</f>
        <v>0</v>
      </c>
      <c r="C270">
        <f>'#三表'!C275</f>
        <v>0</v>
      </c>
      <c r="D270">
        <f>'#三表'!D275</f>
        <v>0</v>
      </c>
      <c r="E270">
        <f>'#三表'!E275</f>
        <v>0</v>
      </c>
      <c r="F270">
        <f>'#三表'!F275</f>
        <v>0</v>
      </c>
      <c r="G270">
        <f>'#三表'!G275</f>
        <v>0</v>
      </c>
      <c r="H270">
        <f>'#三表'!H275</f>
        <v>0</v>
      </c>
      <c r="I270">
        <f>'#三表'!I275</f>
        <v>0</v>
      </c>
    </row>
    <row r="271" spans="1:9" x14ac:dyDescent="0.25">
      <c r="A271" t="str">
        <f>'#三表'!A276</f>
        <v xml:space="preserve">        加：间接法-现金净增加额差额(合计平衡项目)</v>
      </c>
      <c r="B271">
        <f>'#三表'!B276</f>
        <v>0</v>
      </c>
      <c r="C271">
        <f>'#三表'!C276</f>
        <v>0</v>
      </c>
      <c r="D271">
        <f>'#三表'!D276</f>
        <v>0</v>
      </c>
      <c r="E271">
        <f>'#三表'!E276</f>
        <v>0</v>
      </c>
      <c r="F271">
        <f>'#三表'!F276</f>
        <v>0</v>
      </c>
      <c r="G271">
        <f>'#三表'!G276</f>
        <v>0</v>
      </c>
      <c r="H271">
        <f>'#三表'!H276</f>
        <v>0</v>
      </c>
      <c r="I271">
        <f>'#三表'!I276</f>
        <v>0</v>
      </c>
    </row>
    <row r="272" spans="1:9" x14ac:dyDescent="0.25">
      <c r="A272" t="str">
        <f>'#三表'!A277</f>
        <v xml:space="preserve">        间接法-现金及现金等价物净增加额</v>
      </c>
      <c r="B272">
        <f>'#三表'!B277</f>
        <v>-7.5097029000000008E-3</v>
      </c>
      <c r="C272">
        <f>'#三表'!C277</f>
        <v>0.11332967769999999</v>
      </c>
      <c r="D272">
        <f>'#三表'!D277</f>
        <v>0.3022620063</v>
      </c>
      <c r="E272">
        <f>'#三表'!E277</f>
        <v>2.5690637718000002</v>
      </c>
      <c r="F272">
        <f>'#三表'!F277</f>
        <v>-1.5728442624000001</v>
      </c>
      <c r="G272">
        <f>'#三表'!G277</f>
        <v>4.8325357490999998</v>
      </c>
      <c r="H272">
        <f>'#三表'!H277</f>
        <v>-1.8376160372999999</v>
      </c>
      <c r="I272">
        <f>'#三表'!I277</f>
        <v>-0.9823791422</v>
      </c>
    </row>
    <row r="273" spans="1:9" x14ac:dyDescent="0.25">
      <c r="A273">
        <f>'#三表'!A278</f>
        <v>0</v>
      </c>
      <c r="B273">
        <f>'#三表'!B278</f>
        <v>0</v>
      </c>
      <c r="C273">
        <f>'#三表'!C278</f>
        <v>0</v>
      </c>
      <c r="D273">
        <f>'#三表'!D278</f>
        <v>0</v>
      </c>
      <c r="E273">
        <f>'#三表'!E278</f>
        <v>0</v>
      </c>
      <c r="F273">
        <f>'#三表'!F278</f>
        <v>0</v>
      </c>
      <c r="G273">
        <f>'#三表'!G278</f>
        <v>0</v>
      </c>
      <c r="H273">
        <f>'#三表'!H278</f>
        <v>0</v>
      </c>
      <c r="I273">
        <f>'#三表'!I278</f>
        <v>0</v>
      </c>
    </row>
    <row r="274" spans="1:9" x14ac:dyDescent="0.25">
      <c r="A274">
        <f>'#三表'!A279</f>
        <v>0</v>
      </c>
      <c r="B274">
        <f>'#三表'!B279</f>
        <v>0</v>
      </c>
      <c r="C274">
        <f>'#三表'!C279</f>
        <v>0</v>
      </c>
      <c r="D274">
        <f>'#三表'!D279</f>
        <v>0</v>
      </c>
      <c r="E274">
        <f>'#三表'!E279</f>
        <v>0</v>
      </c>
      <c r="F274">
        <f>'#三表'!F279</f>
        <v>0</v>
      </c>
      <c r="G274">
        <f>'#三表'!G279</f>
        <v>0</v>
      </c>
      <c r="H274">
        <f>'#三表'!H279</f>
        <v>0</v>
      </c>
      <c r="I274">
        <f>'#三表'!I279</f>
        <v>0</v>
      </c>
    </row>
    <row r="275" spans="1:9" x14ac:dyDescent="0.25">
      <c r="A275">
        <f>'#三表'!A280</f>
        <v>0</v>
      </c>
      <c r="B275">
        <f>'#三表'!B280</f>
        <v>0</v>
      </c>
      <c r="C275">
        <f>'#三表'!C280</f>
        <v>0</v>
      </c>
      <c r="D275">
        <f>'#三表'!D280</f>
        <v>0</v>
      </c>
      <c r="E275">
        <f>'#三表'!E280</f>
        <v>0</v>
      </c>
      <c r="F275">
        <f>'#三表'!F280</f>
        <v>0</v>
      </c>
      <c r="G275">
        <f>'#三表'!G280</f>
        <v>0</v>
      </c>
      <c r="H275">
        <f>'#三表'!H280</f>
        <v>0</v>
      </c>
      <c r="I275">
        <f>'#三表'!I280</f>
        <v>0</v>
      </c>
    </row>
    <row r="276" spans="1:9" x14ac:dyDescent="0.25">
      <c r="A276">
        <f>'#三表'!A281</f>
        <v>0</v>
      </c>
      <c r="B276">
        <f>'#三表'!B281</f>
        <v>0</v>
      </c>
      <c r="C276">
        <f>'#三表'!C281</f>
        <v>0</v>
      </c>
      <c r="D276">
        <f>'#三表'!D281</f>
        <v>0</v>
      </c>
      <c r="E276">
        <f>'#三表'!E281</f>
        <v>0</v>
      </c>
      <c r="F276">
        <f>'#三表'!F281</f>
        <v>0</v>
      </c>
      <c r="G276">
        <f>'#三表'!G281</f>
        <v>0</v>
      </c>
      <c r="H276">
        <f>'#三表'!H281</f>
        <v>0</v>
      </c>
      <c r="I276">
        <f>'#三表'!I281</f>
        <v>0</v>
      </c>
    </row>
    <row r="277" spans="1:9" x14ac:dyDescent="0.25">
      <c r="A277">
        <f>'#三表'!A282</f>
        <v>0</v>
      </c>
      <c r="B277">
        <f>'#三表'!B282</f>
        <v>0</v>
      </c>
      <c r="C277">
        <f>'#三表'!C282</f>
        <v>0</v>
      </c>
      <c r="D277">
        <f>'#三表'!D282</f>
        <v>0</v>
      </c>
      <c r="E277">
        <f>'#三表'!E282</f>
        <v>0</v>
      </c>
      <c r="F277">
        <f>'#三表'!F282</f>
        <v>0</v>
      </c>
      <c r="G277">
        <f>'#三表'!G282</f>
        <v>0</v>
      </c>
      <c r="H277">
        <f>'#三表'!H282</f>
        <v>0</v>
      </c>
      <c r="I277">
        <f>'#三表'!I282</f>
        <v>0</v>
      </c>
    </row>
    <row r="278" spans="1:9" x14ac:dyDescent="0.25">
      <c r="A278">
        <f>'#三表'!A283</f>
        <v>0</v>
      </c>
      <c r="B278">
        <f>'#三表'!B283</f>
        <v>0</v>
      </c>
      <c r="C278">
        <f>'#三表'!C283</f>
        <v>0</v>
      </c>
      <c r="D278">
        <f>'#三表'!D283</f>
        <v>0</v>
      </c>
      <c r="E278">
        <f>'#三表'!E283</f>
        <v>0</v>
      </c>
      <c r="F278">
        <f>'#三表'!F283</f>
        <v>0</v>
      </c>
      <c r="G278">
        <f>'#三表'!G283</f>
        <v>0</v>
      </c>
      <c r="H278">
        <f>'#三表'!H283</f>
        <v>0</v>
      </c>
      <c r="I278">
        <f>'#三表'!I283</f>
        <v>0</v>
      </c>
    </row>
    <row r="279" spans="1:9" x14ac:dyDescent="0.25">
      <c r="A279">
        <f>'#三表'!A284</f>
        <v>0</v>
      </c>
      <c r="B279">
        <f>'#三表'!B284</f>
        <v>0</v>
      </c>
      <c r="C279">
        <f>'#三表'!C284</f>
        <v>0</v>
      </c>
      <c r="D279">
        <f>'#三表'!D284</f>
        <v>0</v>
      </c>
      <c r="E279">
        <f>'#三表'!E284</f>
        <v>0</v>
      </c>
      <c r="F279">
        <f>'#三表'!F284</f>
        <v>0</v>
      </c>
      <c r="G279">
        <f>'#三表'!G284</f>
        <v>0</v>
      </c>
      <c r="H279">
        <f>'#三表'!H284</f>
        <v>0</v>
      </c>
      <c r="I279">
        <f>'#三表'!I284</f>
        <v>0</v>
      </c>
    </row>
    <row r="280" spans="1:9" x14ac:dyDescent="0.25">
      <c r="A280">
        <f>'#三表'!A285</f>
        <v>0</v>
      </c>
      <c r="B280">
        <f>'#三表'!B285</f>
        <v>0</v>
      </c>
      <c r="C280">
        <f>'#三表'!C285</f>
        <v>0</v>
      </c>
      <c r="D280">
        <f>'#三表'!D285</f>
        <v>0</v>
      </c>
      <c r="E280">
        <f>'#三表'!E285</f>
        <v>0</v>
      </c>
      <c r="F280">
        <f>'#三表'!F285</f>
        <v>0</v>
      </c>
      <c r="G280">
        <f>'#三表'!G285</f>
        <v>0</v>
      </c>
      <c r="H280">
        <f>'#三表'!H285</f>
        <v>0</v>
      </c>
      <c r="I280">
        <f>'#三表'!I285</f>
        <v>0</v>
      </c>
    </row>
    <row r="281" spans="1:9" x14ac:dyDescent="0.25">
      <c r="A281">
        <f>'#三表'!A286</f>
        <v>0</v>
      </c>
      <c r="B281">
        <f>'#三表'!B286</f>
        <v>0</v>
      </c>
      <c r="C281">
        <f>'#三表'!C286</f>
        <v>0</v>
      </c>
      <c r="D281">
        <f>'#三表'!D286</f>
        <v>0</v>
      </c>
      <c r="E281">
        <f>'#三表'!E286</f>
        <v>0</v>
      </c>
      <c r="F281">
        <f>'#三表'!F286</f>
        <v>0</v>
      </c>
      <c r="G281">
        <f>'#三表'!G286</f>
        <v>0</v>
      </c>
      <c r="H281">
        <f>'#三表'!H286</f>
        <v>0</v>
      </c>
      <c r="I281">
        <f>'#三表'!I286</f>
        <v>0</v>
      </c>
    </row>
    <row r="282" spans="1:9" x14ac:dyDescent="0.25">
      <c r="A282">
        <f>'#三表'!A287</f>
        <v>0</v>
      </c>
      <c r="B282">
        <f>'#三表'!B287</f>
        <v>0</v>
      </c>
      <c r="C282">
        <f>'#三表'!C287</f>
        <v>0</v>
      </c>
      <c r="D282">
        <f>'#三表'!D287</f>
        <v>0</v>
      </c>
      <c r="E282">
        <f>'#三表'!E287</f>
        <v>0</v>
      </c>
      <c r="F282">
        <f>'#三表'!F287</f>
        <v>0</v>
      </c>
      <c r="G282">
        <f>'#三表'!G287</f>
        <v>0</v>
      </c>
      <c r="H282">
        <f>'#三表'!H287</f>
        <v>0</v>
      </c>
      <c r="I282">
        <f>'#三表'!I287</f>
        <v>0</v>
      </c>
    </row>
    <row r="283" spans="1:9" x14ac:dyDescent="0.25">
      <c r="A283">
        <f>'#三表'!A288</f>
        <v>0</v>
      </c>
      <c r="B283">
        <f>'#三表'!B288</f>
        <v>0</v>
      </c>
      <c r="C283">
        <f>'#三表'!C288</f>
        <v>0</v>
      </c>
      <c r="D283">
        <f>'#三表'!D288</f>
        <v>0</v>
      </c>
      <c r="E283">
        <f>'#三表'!E288</f>
        <v>0</v>
      </c>
      <c r="F283">
        <f>'#三表'!F288</f>
        <v>0</v>
      </c>
      <c r="G283">
        <f>'#三表'!G288</f>
        <v>0</v>
      </c>
      <c r="H283">
        <f>'#三表'!H288</f>
        <v>0</v>
      </c>
      <c r="I283">
        <f>'#三表'!I288</f>
        <v>0</v>
      </c>
    </row>
    <row r="284" spans="1:9" x14ac:dyDescent="0.25">
      <c r="A284">
        <f>'#三表'!A289</f>
        <v>0</v>
      </c>
      <c r="B284">
        <f>'#三表'!B289</f>
        <v>0</v>
      </c>
      <c r="C284">
        <f>'#三表'!C289</f>
        <v>0</v>
      </c>
      <c r="D284">
        <f>'#三表'!D289</f>
        <v>0</v>
      </c>
      <c r="E284">
        <f>'#三表'!E289</f>
        <v>0</v>
      </c>
      <c r="F284">
        <f>'#三表'!F289</f>
        <v>0</v>
      </c>
      <c r="G284">
        <f>'#三表'!G289</f>
        <v>0</v>
      </c>
      <c r="H284">
        <f>'#三表'!H289</f>
        <v>0</v>
      </c>
      <c r="I284">
        <f>'#三表'!I289</f>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workbookViewId="0">
      <selection activeCell="G17" sqref="G17"/>
    </sheetView>
  </sheetViews>
  <sheetFormatPr defaultRowHeight="13.8" x14ac:dyDescent="0.25"/>
  <cols>
    <col min="1" max="1" width="28" customWidth="1"/>
    <col min="2" max="6" width="11.21875" bestFit="1" customWidth="1"/>
    <col min="7" max="7" width="10.109375" bestFit="1" customWidth="1"/>
  </cols>
  <sheetData>
    <row r="1" spans="1:7" x14ac:dyDescent="0.25">
      <c r="A1" t="str">
        <f>'#财务风险'!B3</f>
        <v>报告参数</v>
      </c>
      <c r="B1" s="92">
        <f>'#财务风险'!C3</f>
        <v>42369</v>
      </c>
      <c r="C1" s="92">
        <f>'#财务风险'!D3</f>
        <v>42735</v>
      </c>
      <c r="D1" s="92">
        <f>'#财务风险'!E3</f>
        <v>43100</v>
      </c>
      <c r="E1" s="92">
        <f>'#财务风险'!F3</f>
        <v>43465</v>
      </c>
      <c r="F1" s="92">
        <f>'#财务风险'!G3</f>
        <v>43830</v>
      </c>
      <c r="G1" s="92">
        <f>'#财务风险'!H3</f>
        <v>44012</v>
      </c>
    </row>
    <row r="2" spans="1:7" x14ac:dyDescent="0.25">
      <c r="A2" t="str">
        <f>'#财务风险'!B4</f>
        <v>总债务/(总债务+所有者权益）</v>
      </c>
      <c r="B2" s="94">
        <f>'#财务风险'!C4</f>
        <v>0.21637826408089827</v>
      </c>
      <c r="C2" s="94">
        <f>'#财务风险'!D4</f>
        <v>0.16765373472199963</v>
      </c>
      <c r="D2" s="94">
        <f>'#财务风险'!E4</f>
        <v>0.2578009342354825</v>
      </c>
      <c r="E2" s="94">
        <f>'#财务风险'!F4</f>
        <v>0.30152317732705736</v>
      </c>
      <c r="F2" s="94">
        <f>'#财务风险'!G4</f>
        <v>0.35477329658662421</v>
      </c>
      <c r="G2" s="94">
        <f>'#财务风险'!H4</f>
        <v>0.3803096973164366</v>
      </c>
    </row>
    <row r="3" spans="1:7" x14ac:dyDescent="0.25">
      <c r="A3" t="str">
        <f>'#财务风险'!B5</f>
        <v>EBITDA/营业收入</v>
      </c>
      <c r="B3" s="94">
        <f>'#财务风险'!C5</f>
        <v>0.23154348510718459</v>
      </c>
      <c r="C3" s="94">
        <f>'#财务风险'!D5</f>
        <v>0.22819536320388342</v>
      </c>
      <c r="D3" s="94">
        <f>'#财务风险'!E5</f>
        <v>0.21753557974358056</v>
      </c>
      <c r="E3" s="94">
        <f>'#财务风险'!F5</f>
        <v>0.18944484491095412</v>
      </c>
      <c r="F3" s="94">
        <f>'#财务风险'!G5</f>
        <v>0.16748242216298737</v>
      </c>
      <c r="G3" s="94">
        <f>'#财务风险'!H5</f>
        <v>0.11507122868274078</v>
      </c>
    </row>
    <row r="4" spans="1:7" x14ac:dyDescent="0.25">
      <c r="A4" t="str">
        <f>'#财务风险'!B6</f>
        <v>EBITDA/利息支出（x）</v>
      </c>
      <c r="B4" s="94">
        <f>'#财务风险'!C6</f>
        <v>16.801637253345167</v>
      </c>
      <c r="C4" s="94">
        <f>'#财务风险'!D6</f>
        <v>19.036869828129284</v>
      </c>
      <c r="D4" s="94">
        <f>'#财务风险'!E6</f>
        <v>13.598371488990789</v>
      </c>
      <c r="E4" s="94">
        <f>'#财务风险'!F6</f>
        <v>6.7064086135809688</v>
      </c>
      <c r="F4" s="94">
        <f>'#财务风险'!G6</f>
        <v>6.1201144017285678</v>
      </c>
      <c r="G4" s="94">
        <f>'#财务风险'!H6</f>
        <v>2.14195941442927</v>
      </c>
    </row>
    <row r="5" spans="1:7" x14ac:dyDescent="0.25">
      <c r="A5" t="str">
        <f>'#财务风险'!B7</f>
        <v>经营性净现金流/流动负债</v>
      </c>
      <c r="B5" s="94">
        <f>'#财务风险'!C7</f>
        <v>0.25328552096399704</v>
      </c>
      <c r="C5" s="94">
        <f>'#财务风险'!D7</f>
        <v>-8.2258196871804079E-2</v>
      </c>
      <c r="D5" s="94">
        <f>'#财务风险'!E7</f>
        <v>-0.1188056805272827</v>
      </c>
      <c r="E5" s="94">
        <f>'#财务风险'!F7</f>
        <v>-6.8315685135563547E-2</v>
      </c>
      <c r="F5" s="94">
        <f>'#财务风险'!G7</f>
        <v>7.1148275255588742E-2</v>
      </c>
      <c r="G5" s="94">
        <f>'#财务风险'!H7</f>
        <v>-9.5107207819229767E-2</v>
      </c>
    </row>
    <row r="6" spans="1:7" x14ac:dyDescent="0.25">
      <c r="A6" t="str">
        <f>'#财务风险'!B8</f>
        <v>流动比例</v>
      </c>
      <c r="B6" s="95">
        <f>'#财务风险'!C8</f>
        <v>2.7781720486486239</v>
      </c>
      <c r="C6" s="95">
        <f>'#财务风险'!D8</f>
        <v>4.3013548647167106</v>
      </c>
      <c r="D6" s="95">
        <f>'#财务风险'!E8</f>
        <v>2.0836238985272666</v>
      </c>
      <c r="E6" s="95">
        <f>'#财务风险'!F8</f>
        <v>2.0881870338575599</v>
      </c>
      <c r="F6" s="95">
        <f>'#财务风险'!G8</f>
        <v>1.6885900555536546</v>
      </c>
      <c r="G6" s="95">
        <f>'#财务风险'!H8</f>
        <v>1.9289222409865803</v>
      </c>
    </row>
    <row r="7" spans="1:7" x14ac:dyDescent="0.25">
      <c r="A7" t="str">
        <f>'#财务风险'!B9</f>
        <v>速动比例</v>
      </c>
      <c r="B7" s="95">
        <f>'#财务风险'!C9</f>
        <v>2.4156846266250596</v>
      </c>
      <c r="C7" s="95">
        <f>'#财务风险'!D9</f>
        <v>3.9337120667246359</v>
      </c>
      <c r="D7" s="95">
        <f>'#财务风险'!E9</f>
        <v>1.7050773624176327</v>
      </c>
      <c r="E7" s="95">
        <f>'#财务风险'!F9</f>
        <v>1.7945556149129049</v>
      </c>
      <c r="F7" s="95">
        <f>'#财务风险'!G9</f>
        <v>1.4242347928630967</v>
      </c>
      <c r="G7" s="95">
        <f>'#财务风险'!H9</f>
        <v>1.5975422973421811</v>
      </c>
    </row>
    <row r="8" spans="1:7" x14ac:dyDescent="0.25">
      <c r="A8" t="str">
        <f>'#财务风险'!B10</f>
        <v>现金比率</v>
      </c>
      <c r="B8" s="95">
        <f>'#财务风险'!C10</f>
        <v>0.6461562056217286</v>
      </c>
      <c r="C8" s="95">
        <f>'#财务风险'!D10</f>
        <v>1.8330428069127376</v>
      </c>
      <c r="D8" s="95">
        <f>'#财务风险'!E10</f>
        <v>0.40291624629721334</v>
      </c>
      <c r="E8" s="95">
        <f>'#财务风险'!F10</f>
        <v>0.76911290966583212</v>
      </c>
      <c r="F8" s="95">
        <f>'#财务风险'!G10</f>
        <v>0.38641682274429112</v>
      </c>
      <c r="G8" s="95">
        <f>'#财务风险'!H10</f>
        <v>0.34617595097359888</v>
      </c>
    </row>
    <row r="9" spans="1:7" x14ac:dyDescent="0.25">
      <c r="A9" t="str">
        <f>'#财务风险'!B11</f>
        <v>货币资金/有息负债</v>
      </c>
      <c r="B9" s="95">
        <f>'#财务风险'!C11</f>
        <v>0.74477588997435584</v>
      </c>
      <c r="C9" s="95">
        <f>'#财务风险'!D11</f>
        <v>2.0440452018919628</v>
      </c>
      <c r="D9" s="95">
        <f>'#财务风险'!E11</f>
        <v>0.56358949048229601</v>
      </c>
      <c r="E9" s="95">
        <f>'#财务风险'!F11</f>
        <v>1.0016062698492201</v>
      </c>
      <c r="F9" s="95">
        <f>'#财务风险'!G11</f>
        <v>0.57006400077026775</v>
      </c>
      <c r="G9" s="95">
        <f>'#财务风险'!H11</f>
        <v>0.41035074669403587</v>
      </c>
    </row>
    <row r="10" spans="1:7" x14ac:dyDescent="0.25">
      <c r="A10" t="str">
        <f>'#财务风险'!B12</f>
        <v>EBITDA/总债务（x）</v>
      </c>
      <c r="B10" s="95">
        <f>'#财务风险'!C12</f>
        <v>0.94438329238772578</v>
      </c>
      <c r="C10" s="95">
        <f>'#财务风险'!D12</f>
        <v>0.82709140379015567</v>
      </c>
      <c r="D10" s="95">
        <f>'#财务风险'!E12</f>
        <v>0.57433142717370589</v>
      </c>
      <c r="E10" s="95">
        <f>'#财务风险'!F12</f>
        <v>0.35565739403276914</v>
      </c>
      <c r="F10" s="95">
        <f>'#财务风险'!G12</f>
        <v>0.3440074274785942</v>
      </c>
      <c r="G10" s="95">
        <f>'#财务风险'!H12</f>
        <v>8.8795791341018213E-2</v>
      </c>
    </row>
    <row r="11" spans="1:7" x14ac:dyDescent="0.25">
      <c r="A11" t="str">
        <f>'#财务风险'!B13</f>
        <v>CFO(亿元）</v>
      </c>
      <c r="B11" s="95">
        <f>'#财务风险'!C13</f>
        <v>0.4610651133</v>
      </c>
      <c r="C11" s="95">
        <f>'#财务风险'!D13</f>
        <v>-0.17016112180000001</v>
      </c>
      <c r="D11" s="95">
        <f>'#财务风险'!E13</f>
        <v>-0.63252228779999997</v>
      </c>
      <c r="E11" s="95">
        <f>'#财务风险'!F13</f>
        <v>-0.63828486070000001</v>
      </c>
      <c r="F11" s="95">
        <f>'#财务风险'!G13</f>
        <v>0.93923364480000004</v>
      </c>
      <c r="G11" s="95">
        <f>'#财务风险'!H13</f>
        <v>-1.1273649206</v>
      </c>
    </row>
    <row r="12" spans="1:7" x14ac:dyDescent="0.25">
      <c r="A12" t="str">
        <f>'#财务风险'!B14</f>
        <v>FFO(亿元）</v>
      </c>
      <c r="B12" s="95">
        <f>'#财务风险'!C14</f>
        <v>-2.4735460106000002</v>
      </c>
      <c r="C12" s="95">
        <f>'#财务风险'!D14</f>
        <v>-4.4303528965999988</v>
      </c>
      <c r="D12" s="95">
        <f>'#财务风险'!E14</f>
        <v>-7.9745878901999996</v>
      </c>
      <c r="E12" s="95">
        <f>'#财务风险'!F14</f>
        <v>-5.9728623879000002</v>
      </c>
      <c r="F12" s="95">
        <f>'#财务风险'!G14</f>
        <v>-9.9885106539000006</v>
      </c>
      <c r="G12" s="95">
        <f>'#财务风险'!H14</f>
        <v>-13.120837464299999</v>
      </c>
    </row>
    <row r="13" spans="1:7" x14ac:dyDescent="0.25">
      <c r="A13" t="str">
        <f>'#财务风险'!B15</f>
        <v>FCF(亿元）</v>
      </c>
      <c r="B13" s="95">
        <f>'#财务风险'!C15</f>
        <v>5.6381032900000017E-2</v>
      </c>
      <c r="C13" s="95">
        <f>'#财务风险'!D15</f>
        <v>-0.8605361561</v>
      </c>
      <c r="D13" s="95">
        <f>'#财务风险'!E15</f>
        <v>-1.7926191056</v>
      </c>
      <c r="E13" s="95">
        <f>'#财务风险'!F15</f>
        <v>-1.8237233063</v>
      </c>
      <c r="F13" s="95">
        <f>'#财务风险'!G15</f>
        <v>-2.567386539999994E-2</v>
      </c>
      <c r="G13" s="95">
        <f>'#财务风险'!H15</f>
        <v>-1.6917992369000001</v>
      </c>
    </row>
    <row r="14" spans="1:7" x14ac:dyDescent="0.25">
      <c r="A14" t="str">
        <f>'#财务风险'!B16</f>
        <v>现金类资产</v>
      </c>
      <c r="B14" s="95">
        <f>'#财务风险'!C16</f>
        <v>1.1762223241999998</v>
      </c>
      <c r="C14" s="95">
        <f>'#财务风险'!D16</f>
        <v>3.7918728125999999</v>
      </c>
      <c r="D14" s="95">
        <f>'#财务风险'!E16</f>
        <v>2.1451289599000001</v>
      </c>
      <c r="E14" s="95">
        <f>'#财务风险'!F16</f>
        <v>7.1859504217000012</v>
      </c>
      <c r="F14" s="95">
        <f>'#财务风险'!G16</f>
        <v>5.1011170619999993</v>
      </c>
      <c r="G14" s="95">
        <f>'#财务风险'!H16</f>
        <v>4.1034389761999996</v>
      </c>
    </row>
    <row r="15" spans="1:7" x14ac:dyDescent="0.25">
      <c r="A15" t="str">
        <f>'#财务风险'!B17</f>
        <v>短期债务</v>
      </c>
      <c r="B15" s="95">
        <f>'#财务风险'!C17</f>
        <v>1.2019821771999999</v>
      </c>
      <c r="C15" s="95">
        <f>'#财务风险'!D17</f>
        <v>1.4777727999999999</v>
      </c>
      <c r="D15" s="95">
        <f>'#财务风险'!E17</f>
        <v>3.1891487381000001</v>
      </c>
      <c r="E15" s="95">
        <f>'#财务风险'!F17</f>
        <v>6.9223968958000004</v>
      </c>
      <c r="F15" s="95">
        <f>'#财务风险'!G17</f>
        <v>8.4132396627999988</v>
      </c>
      <c r="G15" s="95">
        <f>'#财务风险'!H17</f>
        <v>7.6998330922000005</v>
      </c>
    </row>
    <row r="16" spans="1:7" x14ac:dyDescent="0.25">
      <c r="A16" t="str">
        <f>'#财务风险'!B18</f>
        <v>长期债务</v>
      </c>
      <c r="B16" s="95">
        <f>'#财务风险'!C18</f>
        <v>9.6635179000000002E-2</v>
      </c>
      <c r="C16" s="95">
        <f>'#财务风险'!D18</f>
        <v>0.25303171730000001</v>
      </c>
      <c r="D16" s="95">
        <f>'#财务风险'!E18</f>
        <v>0.29742870840000002</v>
      </c>
      <c r="E16" s="95">
        <f>'#财务风险'!F18</f>
        <v>9.5125225699999996E-2</v>
      </c>
      <c r="F16" s="95">
        <f>'#财务风险'!G18</f>
        <v>0.5</v>
      </c>
      <c r="G16" s="95">
        <f>'#财务风险'!H18</f>
        <v>2.2999999999999998</v>
      </c>
    </row>
    <row r="17" spans="1:7" x14ac:dyDescent="0.25">
      <c r="A17" t="str">
        <f>'#财务风险'!B19</f>
        <v>总债务</v>
      </c>
      <c r="B17" s="95">
        <f>'#财务风险'!C19</f>
        <v>1.2986173561999999</v>
      </c>
      <c r="C17" s="95">
        <f>'#财务风险'!D19</f>
        <v>1.7308045173</v>
      </c>
      <c r="D17" s="95">
        <f>'#财务风险'!E19</f>
        <v>3.4865774465000001</v>
      </c>
      <c r="E17" s="95">
        <f>'#财务风险'!F19</f>
        <v>7.0175221215000008</v>
      </c>
      <c r="F17" s="95">
        <f>'#财务风险'!G19</f>
        <v>8.9132396627999988</v>
      </c>
      <c r="G17" s="95">
        <f>'#财务风险'!H19</f>
        <v>9.9998330921999994</v>
      </c>
    </row>
    <row r="18" spans="1:7" x14ac:dyDescent="0.25">
      <c r="A18" t="str">
        <f>'#财务风险'!B20</f>
        <v>流动负债</v>
      </c>
      <c r="B18" s="95">
        <f>'#财务风险'!C20</f>
        <v>1.8203374261</v>
      </c>
      <c r="C18" s="95">
        <f>'#财务风险'!D20</f>
        <v>2.0686220737999998</v>
      </c>
      <c r="D18" s="95">
        <f>'#财务风险'!E20</f>
        <v>5.3240071097000001</v>
      </c>
      <c r="E18" s="95">
        <f>'#财务风险'!F20</f>
        <v>9.3431670842999992</v>
      </c>
      <c r="F18" s="95">
        <f>'#财务风险'!G20</f>
        <v>13.2010739744</v>
      </c>
      <c r="G18" s="95">
        <f>'#财务风险'!H20</f>
        <v>11.853622311600001</v>
      </c>
    </row>
    <row r="19" spans="1:7" x14ac:dyDescent="0.25">
      <c r="A19" t="str">
        <f>'#财务风险'!B21</f>
        <v>营运资本增减变动</v>
      </c>
      <c r="B19" s="95">
        <f>'#财务风险'!C21</f>
        <v>2.9346111239000003</v>
      </c>
      <c r="C19" s="95">
        <f>'#财务风险'!D21</f>
        <v>4.2601917747999991</v>
      </c>
      <c r="D19" s="95">
        <f>'#财务风险'!E21</f>
        <v>7.3420656023999999</v>
      </c>
      <c r="E19" s="95">
        <f>'#财务风险'!F21</f>
        <v>5.3345775272000004</v>
      </c>
      <c r="F19" s="95">
        <f>'#财务风险'!G21</f>
        <v>10.9277442987</v>
      </c>
      <c r="G19" s="95">
        <f>'#财务风险'!H21</f>
        <v>11.993472543699999</v>
      </c>
    </row>
    <row r="20" spans="1:7" x14ac:dyDescent="0.25">
      <c r="A20" t="str">
        <f>'#财务风险'!B22</f>
        <v>资本支出</v>
      </c>
      <c r="B20" s="95">
        <f>'#财务风险'!C22</f>
        <v>0.40468408039999998</v>
      </c>
      <c r="C20" s="95">
        <f>'#财务风险'!D22</f>
        <v>0.69037503430000002</v>
      </c>
      <c r="D20" s="95">
        <f>'#财务风险'!E22</f>
        <v>1.1600968178</v>
      </c>
      <c r="E20" s="95">
        <f>'#财务风险'!F22</f>
        <v>1.1854384456</v>
      </c>
      <c r="F20" s="95">
        <f>'#财务风险'!G22</f>
        <v>0.96490751019999998</v>
      </c>
      <c r="G20" s="95">
        <f>'#财务风险'!H22</f>
        <v>0.56443431630000007</v>
      </c>
    </row>
    <row r="21" spans="1:7" x14ac:dyDescent="0.25">
      <c r="A21" t="str">
        <f>'#财务风险'!B23</f>
        <v>所有者权益</v>
      </c>
      <c r="B21" s="95">
        <f>'#财务风险'!C23</f>
        <v>4.7029898833999999</v>
      </c>
      <c r="C21" s="95">
        <f>'#财务风险'!D23</f>
        <v>8.5928815024000009</v>
      </c>
      <c r="D21" s="95">
        <f>'#财务风险'!E23</f>
        <v>10.0377236071</v>
      </c>
      <c r="E21" s="95">
        <f>'#财务风险'!F23</f>
        <v>16.256052347000001</v>
      </c>
      <c r="F21" s="95">
        <f>'#财务风险'!G23</f>
        <v>16.210521760500001</v>
      </c>
      <c r="G21" s="95">
        <f>'#财务风险'!H23</f>
        <v>16.294087790599999</v>
      </c>
    </row>
    <row r="22" spans="1:7" x14ac:dyDescent="0.25">
      <c r="A22" t="str">
        <f>'#财务风险'!B24</f>
        <v>资产总计</v>
      </c>
      <c r="B22" s="95">
        <f>'#财务风险'!C24</f>
        <v>6.6326666764999995</v>
      </c>
      <c r="C22" s="95">
        <f>'#财务风险'!D24</f>
        <v>10.924809203699999</v>
      </c>
      <c r="D22" s="95">
        <f>'#财务风险'!E24</f>
        <v>15.693906535999998</v>
      </c>
      <c r="E22" s="95">
        <f>'#财务风险'!F24</f>
        <v>25.828123791399999</v>
      </c>
      <c r="F22" s="95">
        <f>'#财务风险'!G24</f>
        <v>30.070564858800001</v>
      </c>
      <c r="G22" s="95">
        <f>'#财务风险'!H24</f>
        <v>30.594822141999998</v>
      </c>
    </row>
    <row r="23" spans="1:7" x14ac:dyDescent="0.25">
      <c r="A23" t="str">
        <f>'#财务风险'!B25</f>
        <v>营业收入</v>
      </c>
      <c r="B23" s="95">
        <f>'#财务风险'!C25</f>
        <v>5.2965970250999996</v>
      </c>
      <c r="C23" s="95">
        <f>'#财务风险'!D25</f>
        <v>6.2732805688999997</v>
      </c>
      <c r="D23" s="95">
        <f>'#财务风险'!E25</f>
        <v>9.2051654408000001</v>
      </c>
      <c r="E23" s="95">
        <f>'#财务风险'!F25</f>
        <v>13.1744605216</v>
      </c>
      <c r="F23" s="95">
        <f>'#财务风险'!G25</f>
        <v>18.3077161609</v>
      </c>
      <c r="G23" s="95">
        <f>'#财务风险'!H25</f>
        <v>7.7164648614999996</v>
      </c>
    </row>
    <row r="24" spans="1:7" x14ac:dyDescent="0.25">
      <c r="A24" t="str">
        <f>'#财务风险'!B26</f>
        <v>EBITDA</v>
      </c>
      <c r="B24" s="95">
        <f>'#财务风险'!C26</f>
        <v>1.2263925344</v>
      </c>
      <c r="C24" s="95">
        <f>'#财务风险'!D26</f>
        <v>1.4315335378999998</v>
      </c>
      <c r="D24" s="95">
        <f>'#财务风险'!E26</f>
        <v>2.0024510008000003</v>
      </c>
      <c r="E24" s="95">
        <f>'#财务风险'!F26</f>
        <v>2.4958336302999999</v>
      </c>
      <c r="F24" s="95">
        <f>'#财务风险'!G26</f>
        <v>3.0662206469000002</v>
      </c>
      <c r="G24" s="95">
        <f>'#财务风险'!H26</f>
        <v>0.88794309270000005</v>
      </c>
    </row>
    <row r="25" spans="1:7" x14ac:dyDescent="0.25">
      <c r="A25" t="str">
        <f>'#财务风险'!B27</f>
        <v>利息支出</v>
      </c>
      <c r="B25" s="95">
        <f>'#财务风险'!C27</f>
        <v>7.2992442099999999E-2</v>
      </c>
      <c r="C25" s="95">
        <f>'#财务风险'!D27</f>
        <v>7.5197947500000001E-2</v>
      </c>
      <c r="D25" s="95">
        <f>'#财务风险'!E27</f>
        <v>0.14725667720000002</v>
      </c>
      <c r="E25" s="95">
        <f>'#财务风险'!F27</f>
        <v>0.37215651090000001</v>
      </c>
      <c r="F25" s="95">
        <f>'#财务风险'!G27</f>
        <v>0.50100708020000007</v>
      </c>
      <c r="G25" s="95">
        <f>'#财务风险'!H27</f>
        <v>0.41454711360000002</v>
      </c>
    </row>
    <row r="26" spans="1:7" x14ac:dyDescent="0.25">
      <c r="A26" t="str">
        <f>'#财务风险'!B28</f>
        <v>经营性净现金流</v>
      </c>
      <c r="B26" s="95">
        <f>'#财务风险'!C28</f>
        <v>0.4610651133</v>
      </c>
      <c r="C26" s="95">
        <f>'#财务风险'!D28</f>
        <v>-0.17016112180000001</v>
      </c>
      <c r="D26" s="95">
        <f>'#财务风险'!E28</f>
        <v>-0.63252228779999997</v>
      </c>
      <c r="E26" s="95">
        <f>'#财务风险'!F28</f>
        <v>-0.63828486070000001</v>
      </c>
      <c r="F26" s="95">
        <f>'#财务风险'!G28</f>
        <v>0.93923364480000004</v>
      </c>
      <c r="G26" s="95">
        <f>'#财务风险'!H28</f>
        <v>-1.1273649206</v>
      </c>
    </row>
    <row r="27" spans="1:7" x14ac:dyDescent="0.25">
      <c r="A27" t="str">
        <f>'#财务风险'!B29</f>
        <v>投资性净现金流</v>
      </c>
      <c r="B27" s="95">
        <f>'#财务风险'!C29</f>
        <v>-0.40468408039999998</v>
      </c>
      <c r="C27" s="95">
        <f>'#财务风险'!D29</f>
        <v>-0.69037503430000002</v>
      </c>
      <c r="D27" s="95">
        <f>'#财务风险'!E29</f>
        <v>-2.4859329454000001</v>
      </c>
      <c r="E27" s="95">
        <f>'#财务风险'!F29</f>
        <v>-2.2879184930999998</v>
      </c>
      <c r="F27" s="95">
        <f>'#财务风险'!G29</f>
        <v>-2.8240253800999997</v>
      </c>
      <c r="G27" s="95">
        <f>'#财务风险'!H29</f>
        <v>-0.6828651</v>
      </c>
    </row>
    <row r="28" spans="1:7" x14ac:dyDescent="0.25">
      <c r="A28" t="str">
        <f>'#财务风险'!B30</f>
        <v>资产负债率</v>
      </c>
      <c r="B28" s="94">
        <f>'#财务风险'!C30</f>
        <v>0.29093528850725747</v>
      </c>
      <c r="C28" s="94">
        <f>'#财务风险'!D30</f>
        <v>0.21345248761966695</v>
      </c>
      <c r="D28" s="94">
        <f>'#财务风险'!E30</f>
        <v>0.36040630902990101</v>
      </c>
      <c r="E28" s="94">
        <f>'#财务风险'!F30</f>
        <v>0.37060653424571299</v>
      </c>
      <c r="F28" s="94">
        <f>'#财务风险'!G30</f>
        <v>0.46091728450667691</v>
      </c>
      <c r="G28" s="94">
        <f>'#财务风险'!H30</f>
        <v>0.46742335304405047</v>
      </c>
    </row>
    <row r="29" spans="1:7" x14ac:dyDescent="0.25">
      <c r="A29" t="str">
        <f>'#财务风险'!B31</f>
        <v>债务融资成本（估）</v>
      </c>
      <c r="B29" s="95" t="e">
        <f>'#财务风险'!C31</f>
        <v>#REF!</v>
      </c>
      <c r="C29" s="95">
        <f>'#财务风险'!D31</f>
        <v>5.7906162381845434E-2</v>
      </c>
      <c r="D29" s="95">
        <f>'#财务风险'!E31</f>
        <v>8.507990112581619E-2</v>
      </c>
      <c r="E29" s="95">
        <f>'#财务风险'!F31</f>
        <v>0.10673978037504638</v>
      </c>
      <c r="F29" s="95">
        <f>'#财务风险'!G31</f>
        <v>7.139373008387602E-2</v>
      </c>
      <c r="G29" s="95">
        <f>'#财务风险'!H31</f>
        <v>4.6509140254596779E-2</v>
      </c>
    </row>
    <row r="30" spans="1:7" x14ac:dyDescent="0.25">
      <c r="A30" t="str">
        <f>'#财务风险'!B32</f>
        <v>长短期债务比</v>
      </c>
      <c r="B30" s="95">
        <f>'#财务风险'!C32</f>
        <v>12.4383499843261</v>
      </c>
      <c r="C30" s="95">
        <f>'#财务风险'!D32</f>
        <v>5.8402670454467955</v>
      </c>
      <c r="D30" s="95">
        <f>'#财务风险'!E32</f>
        <v>10.722397159493566</v>
      </c>
      <c r="E30" s="95">
        <f>'#财务风险'!F32</f>
        <v>72.771410999133124</v>
      </c>
      <c r="F30" s="95">
        <f>'#财务风险'!G32</f>
        <v>16.826479325599998</v>
      </c>
      <c r="G30" s="95">
        <f>'#财务风险'!H32</f>
        <v>3.3477535183478264</v>
      </c>
    </row>
    <row r="31" spans="1:7" x14ac:dyDescent="0.25">
      <c r="A31" t="str">
        <f>'#财务风险'!B33</f>
        <v>（应收账款+应收票据）/主营业务收入</v>
      </c>
      <c r="B31" s="94">
        <f>'#财务风险'!C33</f>
        <v>0.49405926992851951</v>
      </c>
      <c r="C31" s="94">
        <f>'#财务风险'!D33</f>
        <v>0.56929079922852754</v>
      </c>
      <c r="D31" s="94">
        <f>'#财务风险'!E33</f>
        <v>0.55476110505962539</v>
      </c>
      <c r="E31" s="94">
        <f>'#财务风险'!F33</f>
        <v>0.61398231300140627</v>
      </c>
      <c r="F31" s="94">
        <f>'#财务风险'!G33</f>
        <v>0.64621904098912364</v>
      </c>
      <c r="G31" s="94">
        <f>'#财务风险'!H33</f>
        <v>0.6584077518679714</v>
      </c>
    </row>
    <row r="32" spans="1:7" x14ac:dyDescent="0.25">
      <c r="A32" t="str">
        <f>'#财务风险'!B34</f>
        <v>预付账款/营业成本</v>
      </c>
      <c r="B32" s="94">
        <f>'#财务风险'!C34</f>
        <v>9.5345371345688268E-2</v>
      </c>
      <c r="C32" s="94">
        <f>'#财务风险'!D34</f>
        <v>0.13790031642576714</v>
      </c>
      <c r="D32" s="94">
        <f>'#财务风险'!E34</f>
        <v>0.14462822472427103</v>
      </c>
      <c r="E32" s="94">
        <f>'#财务风险'!F34</f>
        <v>6.7043938357951846E-2</v>
      </c>
      <c r="F32" s="94">
        <f>'#财务风险'!G34</f>
        <v>5.8445554819301297E-2</v>
      </c>
      <c r="G32" s="94">
        <f>'#财务风险'!H34</f>
        <v>0.12491292126616332</v>
      </c>
    </row>
    <row r="33" spans="1:7" x14ac:dyDescent="0.25">
      <c r="A33" t="str">
        <f>'#财务风险'!B35</f>
        <v>（应付账款+应付票据）/营业成本</v>
      </c>
      <c r="B33" s="94">
        <f>'#财务风险'!C35</f>
        <v>7.5418930519191879E-2</v>
      </c>
      <c r="C33" s="94">
        <f>'#财务风险'!D35</f>
        <v>2.0691427198265763E-2</v>
      </c>
      <c r="D33" s="94">
        <f>'#财务风险'!E35</f>
        <v>9.1666343893294047E-2</v>
      </c>
      <c r="E33" s="94">
        <f>'#财务风险'!F35</f>
        <v>0.1104107132416484</v>
      </c>
      <c r="F33" s="94">
        <f>'#财务风险'!G35</f>
        <v>0.18000772445184021</v>
      </c>
      <c r="G33" s="94">
        <f>'#财务风险'!H35</f>
        <v>0.34862647258364954</v>
      </c>
    </row>
    <row r="34" spans="1:7" x14ac:dyDescent="0.25">
      <c r="A34" t="str">
        <f>'#财务风险'!B36</f>
        <v>（固定资产+在建工程）/总资产</v>
      </c>
      <c r="B34" s="94">
        <f>'#财务风险'!C36</f>
        <v>0.18602573768279429</v>
      </c>
      <c r="C34" s="94">
        <f>'#财务风险'!D36</f>
        <v>0.14751401009861101</v>
      </c>
      <c r="D34" s="94">
        <f>'#财务风险'!E36</f>
        <v>0.13438388432874765</v>
      </c>
      <c r="E34" s="94">
        <f>'#财务风险'!F36</f>
        <v>9.264661349488966E-2</v>
      </c>
      <c r="F34" s="94">
        <f>'#财务风险'!G36</f>
        <v>8.2068360185053132E-2</v>
      </c>
      <c r="G34" s="94">
        <f>'#财务风险'!H36</f>
        <v>8.1795514351580043E-2</v>
      </c>
    </row>
    <row r="35" spans="1:7" x14ac:dyDescent="0.25">
      <c r="A35" t="str">
        <f>'#财务风险'!B37</f>
        <v>（营业收入-销售商品、提供劳务收到的现金）/总资产</v>
      </c>
      <c r="B35" s="94">
        <f>'#财务风险'!C37</f>
        <v>-7.3888815570423177E-2</v>
      </c>
      <c r="C35" s="94">
        <f>'#财务风险'!D37</f>
        <v>-1.615579300370977E-2</v>
      </c>
      <c r="D35" s="94">
        <f>'#财务风险'!E37</f>
        <v>3.4354613554199213E-2</v>
      </c>
      <c r="E35" s="94">
        <f>'#财务风险'!F37</f>
        <v>1.584006638671235E-2</v>
      </c>
      <c r="F35" s="94">
        <f>'#财务风险'!G37</f>
        <v>3.8584676724503614E-3</v>
      </c>
      <c r="G35" s="94">
        <f>'#财务风险'!H37</f>
        <v>2.5403993440217855E-2</v>
      </c>
    </row>
    <row r="36" spans="1:7" x14ac:dyDescent="0.25">
      <c r="A36" t="str">
        <f>'#财务风险'!B38</f>
        <v>销售费用/收入</v>
      </c>
      <c r="B36" s="94">
        <f>'#财务风险'!C38</f>
        <v>8.1520572181314463E-2</v>
      </c>
      <c r="C36" s="94">
        <f>'#财务风险'!D38</f>
        <v>8.1211015050986671E-2</v>
      </c>
      <c r="D36" s="94">
        <f>'#财务风险'!E38</f>
        <v>8.790549547468815E-2</v>
      </c>
      <c r="E36" s="94">
        <f>'#财务风险'!F38</f>
        <v>7.3832215163970025E-2</v>
      </c>
      <c r="F36" s="94">
        <f>'#财务风险'!G38</f>
        <v>6.3772273687173281E-2</v>
      </c>
      <c r="G36" s="94">
        <f>'#财务风险'!H38</f>
        <v>6.1523341014438959E-2</v>
      </c>
    </row>
    <row r="37" spans="1:7" x14ac:dyDescent="0.25">
      <c r="A37" t="str">
        <f>'#财务风险'!B39</f>
        <v>管理费用/收入</v>
      </c>
      <c r="B37" s="94">
        <f>'#财务风险'!C39</f>
        <v>8.4400877352295831E-2</v>
      </c>
      <c r="C37" s="94">
        <f>'#财务风险'!D39</f>
        <v>8.0081138183189737E-2</v>
      </c>
      <c r="D37" s="94">
        <f>'#财务风险'!E39</f>
        <v>7.868374549681674E-2</v>
      </c>
      <c r="E37" s="94">
        <f>'#财务风险'!F39</f>
        <v>7.8534089430353796E-2</v>
      </c>
      <c r="F37" s="94">
        <f>'#财务风险'!G39</f>
        <v>7.6260300287032942E-2</v>
      </c>
      <c r="G37" s="94">
        <f>'#财务风险'!H39</f>
        <v>9.9259148618880813E-2</v>
      </c>
    </row>
    <row r="38" spans="1:7" x14ac:dyDescent="0.25">
      <c r="A38" t="str">
        <f>'#财务风险'!B40</f>
        <v>财务费用/收入</v>
      </c>
      <c r="B38" s="94">
        <f>'#财务风险'!C40</f>
        <v>1.4017667975901609E-2</v>
      </c>
      <c r="C38" s="94">
        <f>'#财务风险'!D40</f>
        <v>1.3123003123457509E-2</v>
      </c>
      <c r="D38" s="94">
        <f>'#财务风险'!E40</f>
        <v>1.0654724950981024E-2</v>
      </c>
      <c r="E38" s="94">
        <f>'#财务风险'!F40</f>
        <v>1.9302757512010486E-2</v>
      </c>
      <c r="F38" s="94">
        <f>'#财务风险'!G40</f>
        <v>2.2847499825966126E-2</v>
      </c>
      <c r="G38" s="94">
        <f>'#财务风险'!H40</f>
        <v>2.9539887343657284E-2</v>
      </c>
    </row>
    <row r="39" spans="1:7" x14ac:dyDescent="0.25">
      <c r="B39" s="94"/>
      <c r="C39" s="94"/>
      <c r="D39" s="94"/>
      <c r="E39" s="94"/>
      <c r="F39" s="94"/>
      <c r="G39" s="94"/>
    </row>
    <row r="40" spans="1:7" x14ac:dyDescent="0.25">
      <c r="B40" s="94"/>
      <c r="C40" s="94"/>
      <c r="D40" s="94"/>
      <c r="E40" s="94"/>
      <c r="F40" s="94"/>
      <c r="G40" s="94"/>
    </row>
    <row r="41" spans="1:7" x14ac:dyDescent="0.25">
      <c r="B41" s="94"/>
      <c r="C41" s="94"/>
      <c r="D41" s="94"/>
      <c r="E41" s="94"/>
      <c r="F41" s="94"/>
      <c r="G41" s="94"/>
    </row>
    <row r="42" spans="1:7" x14ac:dyDescent="0.25">
      <c r="B42" s="94"/>
      <c r="C42" s="94"/>
      <c r="D42" s="94"/>
      <c r="E42" s="94"/>
      <c r="F42" s="94"/>
      <c r="G42" s="94"/>
    </row>
    <row r="43" spans="1:7" x14ac:dyDescent="0.25">
      <c r="B43" s="94"/>
      <c r="C43" s="94"/>
      <c r="D43" s="94"/>
      <c r="E43" s="94"/>
      <c r="F43" s="94"/>
      <c r="G43" s="94"/>
    </row>
    <row r="44" spans="1:7" x14ac:dyDescent="0.25">
      <c r="B44" s="94"/>
      <c r="C44" s="94"/>
      <c r="D44" s="94"/>
      <c r="E44" s="94"/>
      <c r="F44" s="94"/>
      <c r="G44" s="94"/>
    </row>
    <row r="45" spans="1:7" x14ac:dyDescent="0.25">
      <c r="B45" s="94"/>
      <c r="C45" s="94"/>
      <c r="D45" s="94"/>
      <c r="E45" s="94"/>
      <c r="F45" s="94"/>
      <c r="G45" s="94"/>
    </row>
    <row r="46" spans="1:7" x14ac:dyDescent="0.25">
      <c r="B46" s="94"/>
      <c r="C46" s="94"/>
      <c r="D46" s="94"/>
      <c r="E46" s="94"/>
      <c r="F46" s="94"/>
      <c r="G46" s="94"/>
    </row>
    <row r="47" spans="1:7" x14ac:dyDescent="0.25">
      <c r="B47" s="94"/>
      <c r="C47" s="94"/>
      <c r="D47" s="94"/>
      <c r="E47" s="94"/>
      <c r="F47" s="94"/>
      <c r="G47" s="94"/>
    </row>
    <row r="48" spans="1:7" x14ac:dyDescent="0.25">
      <c r="B48" s="94"/>
      <c r="C48" s="94"/>
      <c r="D48" s="94"/>
      <c r="E48" s="94"/>
      <c r="F48" s="94"/>
      <c r="G48" s="94"/>
    </row>
    <row r="49" spans="2:7" x14ac:dyDescent="0.25">
      <c r="B49" s="94"/>
      <c r="C49" s="94"/>
      <c r="D49" s="94"/>
      <c r="E49" s="94"/>
      <c r="F49" s="94"/>
      <c r="G49" s="94"/>
    </row>
    <row r="50" spans="2:7" x14ac:dyDescent="0.25">
      <c r="B50" s="94"/>
      <c r="C50" s="94"/>
      <c r="D50" s="94"/>
      <c r="E50" s="94"/>
      <c r="F50" s="94"/>
      <c r="G50" s="94"/>
    </row>
    <row r="51" spans="2:7" x14ac:dyDescent="0.25">
      <c r="B51" s="94"/>
      <c r="C51" s="94"/>
      <c r="D51" s="94"/>
      <c r="E51" s="94"/>
      <c r="F51" s="94"/>
      <c r="G51" s="94"/>
    </row>
    <row r="52" spans="2:7" x14ac:dyDescent="0.25">
      <c r="B52" s="94"/>
      <c r="C52" s="94"/>
      <c r="D52" s="94"/>
      <c r="E52" s="94"/>
      <c r="F52" s="94"/>
      <c r="G52" s="94"/>
    </row>
    <row r="53" spans="2:7" x14ac:dyDescent="0.25">
      <c r="B53" s="94"/>
      <c r="C53" s="94"/>
      <c r="D53" s="94"/>
      <c r="E53" s="94"/>
      <c r="F53" s="94"/>
      <c r="G53" s="94"/>
    </row>
    <row r="54" spans="2:7" x14ac:dyDescent="0.25">
      <c r="B54" s="94"/>
      <c r="C54" s="94"/>
      <c r="D54" s="94"/>
      <c r="E54" s="94"/>
      <c r="F54" s="94"/>
      <c r="G54" s="94"/>
    </row>
    <row r="55" spans="2:7" x14ac:dyDescent="0.25">
      <c r="B55" s="94"/>
      <c r="C55" s="94"/>
      <c r="D55" s="94"/>
      <c r="E55" s="94"/>
      <c r="F55" s="94"/>
      <c r="G55" s="94"/>
    </row>
    <row r="56" spans="2:7" x14ac:dyDescent="0.25">
      <c r="B56" s="94"/>
      <c r="C56" s="94"/>
      <c r="D56" s="94"/>
      <c r="E56" s="94"/>
      <c r="F56" s="94"/>
      <c r="G56" s="94"/>
    </row>
    <row r="57" spans="2:7" x14ac:dyDescent="0.25">
      <c r="B57" s="94"/>
      <c r="C57" s="94"/>
      <c r="D57" s="94"/>
      <c r="E57" s="94"/>
      <c r="F57" s="94"/>
      <c r="G57" s="94"/>
    </row>
    <row r="58" spans="2:7" x14ac:dyDescent="0.25">
      <c r="B58" s="94"/>
      <c r="C58" s="94"/>
      <c r="D58" s="94"/>
      <c r="E58" s="94"/>
      <c r="F58" s="94"/>
      <c r="G58" s="94"/>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opLeftCell="A7" workbookViewId="0">
      <selection activeCell="B29" sqref="B29"/>
    </sheetView>
  </sheetViews>
  <sheetFormatPr defaultRowHeight="13.8" x14ac:dyDescent="0.25"/>
  <cols>
    <col min="1" max="1" width="26.77734375" customWidth="1"/>
    <col min="2" max="2" width="25.6640625" customWidth="1"/>
  </cols>
  <sheetData>
    <row r="1" spans="1:2" x14ac:dyDescent="0.25">
      <c r="B1" t="s">
        <v>463</v>
      </c>
    </row>
    <row r="2" spans="1:2" x14ac:dyDescent="0.25">
      <c r="A2" s="1" t="s">
        <v>0</v>
      </c>
      <c r="B2" s="9" t="str">
        <f>简介!B2</f>
        <v>113601.SH</v>
      </c>
    </row>
    <row r="3" spans="1:2" x14ac:dyDescent="0.25">
      <c r="A3" s="1" t="s">
        <v>2</v>
      </c>
      <c r="B3" s="1" t="str">
        <f>[1]!cb_info_name(B2)</f>
        <v>塞力转债</v>
      </c>
    </row>
    <row r="4" spans="1:2" x14ac:dyDescent="0.25">
      <c r="A4" s="1" t="s">
        <v>30</v>
      </c>
      <c r="B4" s="1">
        <f>[1]!cb_info_listeddate(B2)</f>
        <v>0</v>
      </c>
    </row>
    <row r="5" spans="1:2" x14ac:dyDescent="0.25">
      <c r="A5" s="1" t="s">
        <v>31</v>
      </c>
      <c r="B5" s="1" t="str">
        <f>[1]!cb_clause_conversion_2_swapsharestartdate(B2)</f>
        <v>2021-03-01</v>
      </c>
    </row>
    <row r="6" spans="1:2" x14ac:dyDescent="0.25">
      <c r="A6" s="1" t="s">
        <v>32</v>
      </c>
      <c r="B6" s="1" t="str">
        <f>[1]!cb_clause_putoption_conditionalputbackstartenddate(B2)</f>
        <v>2024-08-21</v>
      </c>
    </row>
    <row r="7" spans="1:2" x14ac:dyDescent="0.25">
      <c r="A7" s="1" t="s">
        <v>1</v>
      </c>
      <c r="B7" s="1" t="str">
        <f>[1]!cb_info_underlyingcode(B2)</f>
        <v>603716.SH</v>
      </c>
    </row>
    <row r="8" spans="1:2" x14ac:dyDescent="0.25">
      <c r="A8" s="1" t="s">
        <v>4</v>
      </c>
      <c r="B8" s="1" t="str">
        <f>[1]!cb_info_underlyingname(B2)</f>
        <v>塞力斯</v>
      </c>
    </row>
    <row r="9" spans="1:2" x14ac:dyDescent="0.25">
      <c r="A9" s="1" t="s">
        <v>34</v>
      </c>
      <c r="B9" s="6">
        <f>[1]!s_ipo_listdays(B7,[2]日期!$A$2)</f>
        <v>1394</v>
      </c>
    </row>
    <row r="10" spans="1:2" x14ac:dyDescent="0.25">
      <c r="A10" s="1" t="s">
        <v>35</v>
      </c>
      <c r="B10" s="7">
        <f>[1]!s_dq_close(B7,[2]日期!$A$2,1)</f>
        <v>16.489999999999998</v>
      </c>
    </row>
    <row r="11" spans="1:2" x14ac:dyDescent="0.25">
      <c r="A11" s="1" t="s">
        <v>36</v>
      </c>
      <c r="B11" s="5">
        <f>[1]!s_risk_stdevr100(B7,"")</f>
        <v>42.143844604492188</v>
      </c>
    </row>
    <row r="12" spans="1:2" x14ac:dyDescent="0.25">
      <c r="A12" s="1" t="s">
        <v>37</v>
      </c>
      <c r="B12" s="1">
        <f>[1]!cb_clause_conversion2_swapshareprice(B2,)</f>
        <v>16.98</v>
      </c>
    </row>
    <row r="13" spans="1:2" x14ac:dyDescent="0.25">
      <c r="A13" s="1" t="s">
        <v>38</v>
      </c>
      <c r="B13" s="5">
        <f>[1]!cb_clause_calloption_triggerproportion(B2)</f>
        <v>130</v>
      </c>
    </row>
    <row r="14" spans="1:2" x14ac:dyDescent="0.25">
      <c r="A14" s="1" t="s">
        <v>39</v>
      </c>
      <c r="B14" s="8">
        <f>[1]!cb_clause_calloption_redeemspan(B2)</f>
        <v>15</v>
      </c>
    </row>
    <row r="15" spans="1:2" x14ac:dyDescent="0.25">
      <c r="A15" s="1" t="s">
        <v>40</v>
      </c>
      <c r="B15" s="8">
        <f>[1]!cb_clause_calloption_redeemmaxspan(B2)</f>
        <v>30</v>
      </c>
    </row>
    <row r="16" spans="1:2" x14ac:dyDescent="0.25">
      <c r="A16" s="1" t="s">
        <v>41</v>
      </c>
      <c r="B16" s="5">
        <f>[1]!cb_clause_putoption_redeem_triggerproportion(B2)</f>
        <v>70</v>
      </c>
    </row>
    <row r="17" spans="1:2" x14ac:dyDescent="0.25">
      <c r="A17" s="1" t="s">
        <v>42</v>
      </c>
      <c r="B17" s="8">
        <f>[1]!cb_clause_putoption_putbacktriggerspan(B2)</f>
        <v>30</v>
      </c>
    </row>
    <row r="18" spans="1:2" x14ac:dyDescent="0.25">
      <c r="A18" s="1" t="s">
        <v>43</v>
      </c>
      <c r="B18" s="8">
        <f>[1]!cb_clause_putoption_putbacktriggermaxspan(B2)</f>
        <v>30</v>
      </c>
    </row>
    <row r="19" spans="1:2" x14ac:dyDescent="0.25">
      <c r="A19" s="1" t="s">
        <v>44</v>
      </c>
      <c r="B19" s="5" t="str">
        <f>[1]!cb_clause_putoption_resellingpriceexplaination(B2)</f>
        <v>将其持有的可转换公司债券全部或部分按债券面值加上当期应计利息的价格回售给公司.</v>
      </c>
    </row>
    <row r="20" spans="1:2" x14ac:dyDescent="0.25">
      <c r="A20" s="1" t="s">
        <v>45</v>
      </c>
      <c r="B20" s="4" t="str">
        <f>[1]!cb_clause_interest(B2,"4")</f>
        <v>第一年0.50%，第二年0.80%，第三年1.00%，第四年1.50%，第五年2.50%，第六年3.00%。</v>
      </c>
    </row>
    <row r="21" spans="1:2" x14ac:dyDescent="0.25">
      <c r="A21" s="1" t="s">
        <v>46</v>
      </c>
      <c r="B21" s="1" t="str">
        <f>[1]!cb_clause_interest(B2,"6")</f>
        <v>在本次发行的可转换公司债券期满后五个交易日内，公司将以本次发行可转债的票面面值115%（含最后一期年度利息）的价格向投资者赎回全部未转股的可转债。</v>
      </c>
    </row>
    <row r="22" spans="1:2" x14ac:dyDescent="0.25">
      <c r="A22" s="1" t="s">
        <v>48</v>
      </c>
      <c r="B22" s="5">
        <f>[1]!cb_anal_diluterate(B2,"")</f>
        <v>13.492853261944287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4"/>
  <sheetViews>
    <sheetView topLeftCell="A13" zoomScale="70" zoomScaleNormal="70" workbookViewId="0">
      <pane xSplit="1" topLeftCell="B1" activePane="topRight" state="frozen"/>
      <selection pane="topRight" activeCell="B16" sqref="B16"/>
    </sheetView>
  </sheetViews>
  <sheetFormatPr defaultColWidth="8.21875" defaultRowHeight="13.8" x14ac:dyDescent="0.25"/>
  <cols>
    <col min="1" max="1" width="10" style="20" customWidth="1"/>
    <col min="2" max="2" width="24.77734375" style="20" customWidth="1"/>
    <col min="3" max="9" width="12.109375" style="20" bestFit="1" customWidth="1"/>
    <col min="10" max="12" width="11" style="20" bestFit="1" customWidth="1"/>
    <col min="13" max="16384" width="8.21875" style="20"/>
  </cols>
  <sheetData>
    <row r="1" spans="1:8" s="10" customFormat="1" x14ac:dyDescent="0.25">
      <c r="A1" s="64"/>
      <c r="B1" s="65" t="s">
        <v>49</v>
      </c>
      <c r="C1" s="11" t="str">
        <f>简介!B4</f>
        <v>603716.SH</v>
      </c>
      <c r="D1" s="64"/>
      <c r="E1" s="64"/>
      <c r="F1" s="64"/>
      <c r="G1" s="64"/>
      <c r="H1" s="64"/>
    </row>
    <row r="2" spans="1:8" s="10" customFormat="1" x14ac:dyDescent="0.25">
      <c r="A2" s="64"/>
      <c r="B2" s="65" t="s">
        <v>50</v>
      </c>
      <c r="C2" s="12" t="str">
        <f>[1]!s_info_name($C$1)</f>
        <v>塞力斯</v>
      </c>
      <c r="D2" s="64"/>
      <c r="E2" s="64"/>
      <c r="F2" s="64"/>
      <c r="G2" s="64"/>
      <c r="H2" s="64"/>
    </row>
    <row r="3" spans="1:8" s="10" customFormat="1" x14ac:dyDescent="0.25">
      <c r="A3" s="63" t="s">
        <v>51</v>
      </c>
      <c r="B3" s="13" t="s">
        <v>52</v>
      </c>
      <c r="C3" s="14">
        <f>'#三表'!D3</f>
        <v>42369</v>
      </c>
      <c r="D3" s="15">
        <f>'#三表'!E3</f>
        <v>42735</v>
      </c>
      <c r="E3" s="14">
        <f>'#三表'!F3</f>
        <v>43100</v>
      </c>
      <c r="F3" s="14">
        <f>'#三表'!G3</f>
        <v>43465</v>
      </c>
      <c r="G3" s="14">
        <f>'#三表'!H3</f>
        <v>43830</v>
      </c>
      <c r="H3" s="14">
        <f>'#三表'!I3</f>
        <v>44012</v>
      </c>
    </row>
    <row r="4" spans="1:8" ht="27.6" x14ac:dyDescent="0.25">
      <c r="A4" s="16" t="s">
        <v>53</v>
      </c>
      <c r="B4" s="17" t="s">
        <v>54</v>
      </c>
      <c r="C4" s="18">
        <f t="shared" ref="C4:H4" si="0">C19/(C19+C23)</f>
        <v>0.21637826408089827</v>
      </c>
      <c r="D4" s="19">
        <f t="shared" si="0"/>
        <v>0.16765373472199963</v>
      </c>
      <c r="E4" s="19">
        <f t="shared" si="0"/>
        <v>0.2578009342354825</v>
      </c>
      <c r="F4" s="19">
        <f t="shared" si="0"/>
        <v>0.30152317732705736</v>
      </c>
      <c r="G4" s="19">
        <f t="shared" si="0"/>
        <v>0.35477329658662421</v>
      </c>
      <c r="H4" s="19">
        <f t="shared" si="0"/>
        <v>0.3803096973164366</v>
      </c>
    </row>
    <row r="5" spans="1:8" x14ac:dyDescent="0.25">
      <c r="A5" s="21" t="s">
        <v>55</v>
      </c>
      <c r="B5" s="17" t="s">
        <v>56</v>
      </c>
      <c r="C5" s="18">
        <f t="shared" ref="C5:F5" si="1">C26/C25</f>
        <v>0.23154348510718459</v>
      </c>
      <c r="D5" s="19">
        <f t="shared" si="1"/>
        <v>0.22819536320388342</v>
      </c>
      <c r="E5" s="19">
        <f t="shared" si="1"/>
        <v>0.21753557974358056</v>
      </c>
      <c r="F5" s="19">
        <f t="shared" si="1"/>
        <v>0.18944484491095412</v>
      </c>
      <c r="G5" s="19">
        <f>G26/G25</f>
        <v>0.16748242216298737</v>
      </c>
      <c r="H5" s="19">
        <f t="shared" ref="H5" si="2">H26/H25</f>
        <v>0.11507122868274078</v>
      </c>
    </row>
    <row r="6" spans="1:8" x14ac:dyDescent="0.25">
      <c r="A6" s="84" t="s">
        <v>57</v>
      </c>
      <c r="B6" s="17" t="s">
        <v>58</v>
      </c>
      <c r="C6" s="22">
        <f t="shared" ref="C6:D6" si="3">C26/C27</f>
        <v>16.801637253345167</v>
      </c>
      <c r="D6" s="22">
        <f t="shared" si="3"/>
        <v>19.036869828129284</v>
      </c>
      <c r="E6" s="23">
        <f>E26/E27</f>
        <v>13.598371488990789</v>
      </c>
      <c r="F6" s="23">
        <f>F26/F27</f>
        <v>6.7064086135809688</v>
      </c>
      <c r="G6" s="23">
        <f t="shared" ref="G6:H6" si="4">G26/G27</f>
        <v>6.1201144017285678</v>
      </c>
      <c r="H6" s="23">
        <f t="shared" si="4"/>
        <v>2.14195941442927</v>
      </c>
    </row>
    <row r="7" spans="1:8" x14ac:dyDescent="0.25">
      <c r="A7" s="85"/>
      <c r="B7" s="24" t="s">
        <v>59</v>
      </c>
      <c r="C7" s="25">
        <f t="shared" ref="C7:H7" si="5">C28/C20</f>
        <v>0.25328552096399704</v>
      </c>
      <c r="D7" s="26">
        <f t="shared" si="5"/>
        <v>-8.2258196871804079E-2</v>
      </c>
      <c r="E7" s="26">
        <f t="shared" si="5"/>
        <v>-0.1188056805272827</v>
      </c>
      <c r="F7" s="26">
        <f t="shared" si="5"/>
        <v>-6.8315685135563547E-2</v>
      </c>
      <c r="G7" s="26">
        <f t="shared" si="5"/>
        <v>7.1148275255588742E-2</v>
      </c>
      <c r="H7" s="26">
        <f t="shared" si="5"/>
        <v>-9.5107207819229767E-2</v>
      </c>
    </row>
    <row r="8" spans="1:8" x14ac:dyDescent="0.25">
      <c r="A8" s="85"/>
      <c r="B8" s="24" t="s">
        <v>60</v>
      </c>
      <c r="C8" s="25">
        <f>'#三表'!D80/'#三表'!D133</f>
        <v>2.7781720486486239</v>
      </c>
      <c r="D8" s="25">
        <f>'#三表'!E80/'#三表'!E133</f>
        <v>4.3013548647167106</v>
      </c>
      <c r="E8" s="25">
        <f>'#三表'!F80/'#三表'!F133</f>
        <v>2.0836238985272666</v>
      </c>
      <c r="F8" s="25">
        <f>'#三表'!G80/'#三表'!G133</f>
        <v>2.0881870338575599</v>
      </c>
      <c r="G8" s="25">
        <f>'#三表'!H80/'#三表'!H133</f>
        <v>1.6885900555536546</v>
      </c>
      <c r="H8" s="25">
        <f>'#三表'!I80/'#三表'!I133</f>
        <v>1.9289222409865803</v>
      </c>
    </row>
    <row r="9" spans="1:8" x14ac:dyDescent="0.25">
      <c r="A9" s="85"/>
      <c r="B9" s="24" t="s">
        <v>61</v>
      </c>
      <c r="C9" s="25">
        <f>('#三表'!D80-'#三表'!D73)/'#三表'!D133</f>
        <v>2.4156846266250596</v>
      </c>
      <c r="D9" s="25">
        <f>('#三表'!E80-'#三表'!E73)/'#三表'!E133</f>
        <v>3.9337120667246359</v>
      </c>
      <c r="E9" s="25">
        <f>('#三表'!F80-'#三表'!F73)/'#三表'!F133</f>
        <v>1.7050773624176327</v>
      </c>
      <c r="F9" s="25">
        <f>('#三表'!G80-'#三表'!G73)/'#三表'!G133</f>
        <v>1.7945556149129049</v>
      </c>
      <c r="G9" s="25">
        <f>('#三表'!H80-'#三表'!H73)/'#三表'!H133</f>
        <v>1.4242347928630967</v>
      </c>
      <c r="H9" s="25">
        <f>('#三表'!I80-'#三表'!I73)/'#三表'!I133</f>
        <v>1.5975422973421811</v>
      </c>
    </row>
    <row r="10" spans="1:8" x14ac:dyDescent="0.25">
      <c r="A10" s="86"/>
      <c r="B10" s="24" t="s">
        <v>62</v>
      </c>
      <c r="C10" s="25">
        <f t="shared" ref="C10:H10" si="6">C16/C20</f>
        <v>0.6461562056217286</v>
      </c>
      <c r="D10" s="26">
        <f t="shared" si="6"/>
        <v>1.8330428069127376</v>
      </c>
      <c r="E10" s="26">
        <f t="shared" si="6"/>
        <v>0.40291624629721334</v>
      </c>
      <c r="F10" s="26">
        <f t="shared" si="6"/>
        <v>0.76911290966583212</v>
      </c>
      <c r="G10" s="26">
        <f t="shared" si="6"/>
        <v>0.38641682274429112</v>
      </c>
      <c r="H10" s="26">
        <f t="shared" si="6"/>
        <v>0.34617595097359888</v>
      </c>
    </row>
    <row r="11" spans="1:8" x14ac:dyDescent="0.25">
      <c r="A11" s="84" t="s">
        <v>63</v>
      </c>
      <c r="B11" s="24" t="s">
        <v>64</v>
      </c>
      <c r="C11" s="25">
        <f>'#三表'!D59/'#财务风险'!C19</f>
        <v>0.74477588997435584</v>
      </c>
      <c r="D11" s="25">
        <f>'#三表'!E59/'#财务风险'!D19</f>
        <v>2.0440452018919628</v>
      </c>
      <c r="E11" s="25">
        <f>'#三表'!F59/'#财务风险'!E19</f>
        <v>0.56358949048229601</v>
      </c>
      <c r="F11" s="25">
        <f>'#三表'!G59/'#财务风险'!F19</f>
        <v>1.0016062698492201</v>
      </c>
      <c r="G11" s="25">
        <f>'#三表'!H59/'#财务风险'!G19</f>
        <v>0.57006400077026775</v>
      </c>
      <c r="H11" s="25">
        <f>'#三表'!I59/'#财务风险'!H19</f>
        <v>0.41035074669403587</v>
      </c>
    </row>
    <row r="12" spans="1:8" x14ac:dyDescent="0.25">
      <c r="A12" s="87"/>
      <c r="B12" s="17" t="s">
        <v>65</v>
      </c>
      <c r="C12" s="18">
        <f t="shared" ref="C12:H12" si="7">C26/C19</f>
        <v>0.94438329238772578</v>
      </c>
      <c r="D12" s="19">
        <f t="shared" si="7"/>
        <v>0.82709140379015567</v>
      </c>
      <c r="E12" s="19">
        <f t="shared" si="7"/>
        <v>0.57433142717370589</v>
      </c>
      <c r="F12" s="19">
        <f t="shared" si="7"/>
        <v>0.35565739403276914</v>
      </c>
      <c r="G12" s="19">
        <f t="shared" si="7"/>
        <v>0.3440074274785942</v>
      </c>
      <c r="H12" s="19">
        <f t="shared" si="7"/>
        <v>8.8795791341018213E-2</v>
      </c>
    </row>
    <row r="13" spans="1:8" x14ac:dyDescent="0.25">
      <c r="A13" s="88" t="s">
        <v>66</v>
      </c>
      <c r="B13" s="27" t="s">
        <v>67</v>
      </c>
      <c r="C13" s="28">
        <f t="shared" ref="C13:H13" si="8">C28</f>
        <v>0.4610651133</v>
      </c>
      <c r="D13" s="28">
        <f t="shared" si="8"/>
        <v>-0.17016112180000001</v>
      </c>
      <c r="E13" s="28">
        <f t="shared" si="8"/>
        <v>-0.63252228779999997</v>
      </c>
      <c r="F13" s="28">
        <f t="shared" si="8"/>
        <v>-0.63828486070000001</v>
      </c>
      <c r="G13" s="28">
        <f t="shared" si="8"/>
        <v>0.93923364480000004</v>
      </c>
      <c r="H13" s="28">
        <f t="shared" si="8"/>
        <v>-1.1273649206</v>
      </c>
    </row>
    <row r="14" spans="1:8" x14ac:dyDescent="0.25">
      <c r="A14" s="88"/>
      <c r="B14" s="27" t="s">
        <v>68</v>
      </c>
      <c r="C14" s="28">
        <f t="shared" ref="C14:H14" si="9">C13-C21</f>
        <v>-2.4735460106000002</v>
      </c>
      <c r="D14" s="28">
        <f t="shared" si="9"/>
        <v>-4.4303528965999988</v>
      </c>
      <c r="E14" s="28">
        <f t="shared" si="9"/>
        <v>-7.9745878901999996</v>
      </c>
      <c r="F14" s="28">
        <f t="shared" si="9"/>
        <v>-5.9728623879000002</v>
      </c>
      <c r="G14" s="28">
        <f t="shared" si="9"/>
        <v>-9.9885106539000006</v>
      </c>
      <c r="H14" s="28">
        <f t="shared" si="9"/>
        <v>-13.120837464299999</v>
      </c>
    </row>
    <row r="15" spans="1:8" x14ac:dyDescent="0.25">
      <c r="A15" s="89"/>
      <c r="B15" s="29" t="s">
        <v>69</v>
      </c>
      <c r="C15" s="30">
        <f t="shared" ref="C15:H15" si="10">C13-C22</f>
        <v>5.6381032900000017E-2</v>
      </c>
      <c r="D15" s="30">
        <f t="shared" si="10"/>
        <v>-0.8605361561</v>
      </c>
      <c r="E15" s="30">
        <f t="shared" si="10"/>
        <v>-1.7926191056</v>
      </c>
      <c r="F15" s="30">
        <f t="shared" si="10"/>
        <v>-1.8237233063</v>
      </c>
      <c r="G15" s="30">
        <f t="shared" si="10"/>
        <v>-2.567386539999994E-2</v>
      </c>
      <c r="H15" s="30">
        <f t="shared" si="10"/>
        <v>-1.6917992369000001</v>
      </c>
    </row>
    <row r="16" spans="1:8" x14ac:dyDescent="0.25">
      <c r="A16" s="90" t="s">
        <v>70</v>
      </c>
      <c r="B16" s="31" t="s">
        <v>71</v>
      </c>
      <c r="C16" s="32">
        <f>'#三表'!D59+'#三表'!D62+'#三表'!D63</f>
        <v>1.1762223241999998</v>
      </c>
      <c r="D16" s="32">
        <f>'#三表'!E59+'#三表'!E62+'#三表'!E63</f>
        <v>3.7918728125999999</v>
      </c>
      <c r="E16" s="32">
        <f>'#三表'!F59+'#三表'!F62+'#三表'!F63</f>
        <v>2.1451289599000001</v>
      </c>
      <c r="F16" s="32">
        <f>'#三表'!G59+'#三表'!G62+'#三表'!G63</f>
        <v>7.1859504217000012</v>
      </c>
      <c r="G16" s="32">
        <f>'#三表'!H59+'#三表'!H62+'#三表'!H63</f>
        <v>5.1011170619999993</v>
      </c>
      <c r="H16" s="32">
        <f>'#三表'!I59+'#三表'!I62+'#三表'!I63</f>
        <v>4.1034389761999996</v>
      </c>
    </row>
    <row r="17" spans="1:8" x14ac:dyDescent="0.25">
      <c r="A17" s="90"/>
      <c r="B17" s="33" t="s">
        <v>72</v>
      </c>
      <c r="C17" s="34">
        <f>'#三表'!D107+'#三表'!D111+'#三表'!D112+'#三表'!D125+'#三表'!E129+'#三表'!E130</f>
        <v>1.2019821771999999</v>
      </c>
      <c r="D17" s="34">
        <f>'#三表'!E107+'#三表'!E111+'#三表'!E112+'#三表'!E125+'#三表'!F129+'#三表'!F130</f>
        <v>1.4777727999999999</v>
      </c>
      <c r="E17" s="34">
        <f>'#三表'!F107+'#三表'!F111+'#三表'!F112+'#三表'!F125+'#三表'!G129+'#三表'!G130</f>
        <v>3.1891487381000001</v>
      </c>
      <c r="F17" s="34">
        <f>'#三表'!G107+'#三表'!G111+'#三表'!G112+'#三表'!G125+'#三表'!H129+'#三表'!H130</f>
        <v>6.9223968958000004</v>
      </c>
      <c r="G17" s="34">
        <f>'#三表'!H107+'#三表'!H111+'#三表'!H112+'#三表'!H125+'#三表'!I129+'#三表'!I130</f>
        <v>8.4132396627999988</v>
      </c>
      <c r="H17" s="34">
        <f>'#三表'!I107+'#三表'!I111+'#三表'!I112+'#三表'!I125+'#三表'!J129+'#三表'!J130</f>
        <v>7.6998330922000005</v>
      </c>
    </row>
    <row r="18" spans="1:8" ht="17.399999999999999" customHeight="1" x14ac:dyDescent="0.25">
      <c r="A18" s="90"/>
      <c r="B18" s="33" t="s">
        <v>73</v>
      </c>
      <c r="C18" s="34">
        <f>'#三表'!D135+'#三表'!D136+'#三表'!D137</f>
        <v>9.6635179000000002E-2</v>
      </c>
      <c r="D18" s="34">
        <f>'#三表'!E135+'#三表'!E136+'#三表'!E137</f>
        <v>0.25303171730000001</v>
      </c>
      <c r="E18" s="34">
        <f>'#三表'!F135+'#三表'!F136+'#三表'!F137</f>
        <v>0.29742870840000002</v>
      </c>
      <c r="F18" s="34">
        <f>'#三表'!G135+'#三表'!G136+'#三表'!G137</f>
        <v>9.5125225699999996E-2</v>
      </c>
      <c r="G18" s="34">
        <f>'#三表'!H135+'#三表'!H136+'#三表'!H137</f>
        <v>0.5</v>
      </c>
      <c r="H18" s="34">
        <f>'#三表'!I135+'#三表'!I136+'#三表'!I137</f>
        <v>2.2999999999999998</v>
      </c>
    </row>
    <row r="19" spans="1:8" x14ac:dyDescent="0.25">
      <c r="A19" s="90"/>
      <c r="B19" s="33" t="s">
        <v>74</v>
      </c>
      <c r="C19" s="34">
        <f t="shared" ref="C19:H19" si="11">C17+C18</f>
        <v>1.2986173561999999</v>
      </c>
      <c r="D19" s="35">
        <f t="shared" si="11"/>
        <v>1.7308045173</v>
      </c>
      <c r="E19" s="35">
        <f t="shared" si="11"/>
        <v>3.4865774465000001</v>
      </c>
      <c r="F19" s="35">
        <f t="shared" si="11"/>
        <v>7.0175221215000008</v>
      </c>
      <c r="G19" s="35">
        <f t="shared" si="11"/>
        <v>8.9132396627999988</v>
      </c>
      <c r="H19" s="96">
        <f t="shared" si="11"/>
        <v>9.9998330921999994</v>
      </c>
    </row>
    <row r="20" spans="1:8" x14ac:dyDescent="0.25">
      <c r="A20" s="90"/>
      <c r="B20" s="33" t="s">
        <v>75</v>
      </c>
      <c r="C20" s="34">
        <f>'#三表'!D133</f>
        <v>1.8203374261</v>
      </c>
      <c r="D20" s="35">
        <f>'#三表'!E133</f>
        <v>2.0686220737999998</v>
      </c>
      <c r="E20" s="35">
        <f>'#三表'!F133</f>
        <v>5.3240071097000001</v>
      </c>
      <c r="F20" s="35">
        <f>'#三表'!G133</f>
        <v>9.3431670842999992</v>
      </c>
      <c r="G20" s="35">
        <f>'#三表'!H133</f>
        <v>13.2010739744</v>
      </c>
      <c r="H20" s="35">
        <f>'#三表'!I133</f>
        <v>11.853622311600001</v>
      </c>
    </row>
    <row r="21" spans="1:8" x14ac:dyDescent="0.25">
      <c r="A21" s="90"/>
      <c r="B21" s="33" t="s">
        <v>76</v>
      </c>
      <c r="C21" s="34">
        <f>'#三表'!D80-'#三表'!D133-'#三表'!D242</f>
        <v>2.9346111239000003</v>
      </c>
      <c r="D21" s="35">
        <f>'#三表'!E80-'#三表'!E133-'#三表'!E242</f>
        <v>4.2601917747999991</v>
      </c>
      <c r="E21" s="35">
        <f>'#三表'!F80-'#三表'!F133-'#三表'!F242</f>
        <v>7.3420656023999999</v>
      </c>
      <c r="F21" s="35">
        <f>'#三表'!G80-'#三表'!G133-'#三表'!G242</f>
        <v>5.3345775272000004</v>
      </c>
      <c r="G21" s="35">
        <f>'#三表'!H80-'#三表'!H133-'#三表'!H242</f>
        <v>10.9277442987</v>
      </c>
      <c r="H21" s="35">
        <f>'#三表'!I80-'#三表'!I133-'#三表'!I242</f>
        <v>11.993472543699999</v>
      </c>
    </row>
    <row r="22" spans="1:8" x14ac:dyDescent="0.25">
      <c r="A22" s="90"/>
      <c r="B22" s="33" t="s">
        <v>77</v>
      </c>
      <c r="C22" s="34">
        <f>'#三表'!D211</f>
        <v>0.40468408039999998</v>
      </c>
      <c r="D22" s="34">
        <f>'#三表'!E211</f>
        <v>0.69037503430000002</v>
      </c>
      <c r="E22" s="34">
        <f>'#三表'!F211</f>
        <v>1.1600968178</v>
      </c>
      <c r="F22" s="34">
        <f>'#三表'!G211</f>
        <v>1.1854384456</v>
      </c>
      <c r="G22" s="34">
        <f>'#三表'!H211</f>
        <v>0.96490751019999998</v>
      </c>
      <c r="H22" s="34">
        <f>'#三表'!I211</f>
        <v>0.56443431630000007</v>
      </c>
    </row>
    <row r="23" spans="1:8" x14ac:dyDescent="0.25">
      <c r="A23" s="90"/>
      <c r="B23" s="24" t="s">
        <v>78</v>
      </c>
      <c r="C23" s="22">
        <f>'#三表'!D163</f>
        <v>4.7029898833999999</v>
      </c>
      <c r="D23" s="23">
        <f>'#三表'!E163</f>
        <v>8.5928815024000009</v>
      </c>
      <c r="E23" s="23">
        <f>'#三表'!F163</f>
        <v>10.0377236071</v>
      </c>
      <c r="F23" s="23">
        <f>'#三表'!G163</f>
        <v>16.256052347000001</v>
      </c>
      <c r="G23" s="23">
        <f>'#三表'!H163</f>
        <v>16.210521760500001</v>
      </c>
      <c r="H23" s="23">
        <f>'#三表'!I163</f>
        <v>16.294087790599999</v>
      </c>
    </row>
    <row r="24" spans="1:8" x14ac:dyDescent="0.25">
      <c r="A24" s="90"/>
      <c r="B24" s="17" t="s">
        <v>79</v>
      </c>
      <c r="C24" s="22">
        <f>'#三表'!D105</f>
        <v>6.6326666764999995</v>
      </c>
      <c r="D24" s="23">
        <f>'#三表'!E105</f>
        <v>10.924809203699999</v>
      </c>
      <c r="E24" s="23">
        <f>'#三表'!F105</f>
        <v>15.693906535999998</v>
      </c>
      <c r="F24" s="23">
        <f>'#三表'!G105</f>
        <v>25.828123791399999</v>
      </c>
      <c r="G24" s="23">
        <f>'#三表'!H105</f>
        <v>30.070564858800001</v>
      </c>
      <c r="H24" s="36">
        <f>'#三表'!I105</f>
        <v>30.594822141999998</v>
      </c>
    </row>
    <row r="25" spans="1:8" x14ac:dyDescent="0.25">
      <c r="A25" s="90"/>
      <c r="B25" s="17" t="s">
        <v>80</v>
      </c>
      <c r="C25" s="22">
        <f>'#三表'!D7</f>
        <v>5.2965970250999996</v>
      </c>
      <c r="D25" s="23">
        <f>'#三表'!E7</f>
        <v>6.2732805688999997</v>
      </c>
      <c r="E25" s="23">
        <f>'#三表'!F7</f>
        <v>9.2051654408000001</v>
      </c>
      <c r="F25" s="23">
        <f>'#三表'!G7</f>
        <v>13.1744605216</v>
      </c>
      <c r="G25" s="23">
        <f>'#三表'!H7</f>
        <v>18.3077161609</v>
      </c>
      <c r="H25" s="23">
        <f>'#三表'!I7</f>
        <v>7.7164648614999996</v>
      </c>
    </row>
    <row r="26" spans="1:8" x14ac:dyDescent="0.25">
      <c r="A26" s="90"/>
      <c r="B26" s="24" t="s">
        <v>81</v>
      </c>
      <c r="C26" s="22">
        <f>'#三表'!D24+'#三表'!D39+'#三表'!D248+'#三表'!D249+'#三表'!D250</f>
        <v>1.2263925344</v>
      </c>
      <c r="D26" s="23">
        <f>'#三表'!E24+'#三表'!E39+'#三表'!E248+'#三表'!E249+'#三表'!E250</f>
        <v>1.4315335378999998</v>
      </c>
      <c r="E26" s="23">
        <f>'#三表'!F24+'#三表'!F39+'#三表'!F248+'#三表'!F249+'#三表'!F250</f>
        <v>2.0024510008000003</v>
      </c>
      <c r="F26" s="23">
        <f>'#三表'!G24+'#三表'!G39+'#三表'!G248+'#三表'!G249+'#三表'!G250</f>
        <v>2.4958336302999999</v>
      </c>
      <c r="G26" s="23">
        <f>'#三表'!H24+'#三表'!H39+'#三表'!H248+'#三表'!H249+'#三表'!H250</f>
        <v>3.0662206469000002</v>
      </c>
      <c r="H26" s="23">
        <f>'#三表'!I24+'#三表'!I39+'#三表'!I248+'#三表'!I249+'#三表'!I250</f>
        <v>0.88794309270000005</v>
      </c>
    </row>
    <row r="27" spans="1:8" x14ac:dyDescent="0.25">
      <c r="A27" s="90"/>
      <c r="B27" s="24" t="s">
        <v>82</v>
      </c>
      <c r="C27" s="22">
        <f>'#三表'!D230-'#三表'!D231</f>
        <v>7.2992442099999999E-2</v>
      </c>
      <c r="D27" s="23">
        <f>'#三表'!E230-'#三表'!E231</f>
        <v>7.5197947500000001E-2</v>
      </c>
      <c r="E27" s="23">
        <f>'#三表'!F230-'#三表'!F231</f>
        <v>0.14725667720000002</v>
      </c>
      <c r="F27" s="23">
        <f>'#三表'!G230-'#三表'!G231</f>
        <v>0.37215651090000001</v>
      </c>
      <c r="G27" s="23">
        <f>'#三表'!H230-'#三表'!H231</f>
        <v>0.50100708020000007</v>
      </c>
      <c r="H27" s="23">
        <f>'#三表'!I230-'#三表'!I231</f>
        <v>0.41454711360000002</v>
      </c>
    </row>
    <row r="28" spans="1:8" x14ac:dyDescent="0.25">
      <c r="A28" s="90"/>
      <c r="B28" s="33" t="s">
        <v>83</v>
      </c>
      <c r="C28" s="34">
        <f>'#三表'!D201</f>
        <v>0.4610651133</v>
      </c>
      <c r="D28" s="35">
        <f>'#三表'!E201</f>
        <v>-0.17016112180000001</v>
      </c>
      <c r="E28" s="35">
        <f>'#三表'!F201</f>
        <v>-0.63252228779999997</v>
      </c>
      <c r="F28" s="23">
        <f>'#三表'!G201</f>
        <v>-0.63828486070000001</v>
      </c>
      <c r="G28" s="23">
        <f>'#三表'!H201</f>
        <v>0.93923364480000004</v>
      </c>
      <c r="H28" s="23">
        <f>'#三表'!I201</f>
        <v>-1.1273649206</v>
      </c>
    </row>
    <row r="29" spans="1:8" x14ac:dyDescent="0.25">
      <c r="A29" s="90"/>
      <c r="B29" s="33" t="s">
        <v>84</v>
      </c>
      <c r="C29" s="34">
        <f>'#三表'!D219</f>
        <v>-0.40468408039999998</v>
      </c>
      <c r="D29" s="35">
        <f>'#三表'!E219</f>
        <v>-0.69037503430000002</v>
      </c>
      <c r="E29" s="35">
        <f>'#三表'!F219</f>
        <v>-2.4859329454000001</v>
      </c>
      <c r="F29" s="35">
        <f>'#三表'!G219</f>
        <v>-2.2879184930999998</v>
      </c>
      <c r="G29" s="35">
        <f>'#三表'!H219</f>
        <v>-2.8240253800999997</v>
      </c>
      <c r="H29" s="35">
        <f>'#三表'!I219</f>
        <v>-0.6828651</v>
      </c>
    </row>
    <row r="30" spans="1:8" x14ac:dyDescent="0.25">
      <c r="A30" s="90"/>
      <c r="B30" s="33" t="s">
        <v>85</v>
      </c>
      <c r="C30" s="37">
        <f t="shared" ref="C30:H30" si="12">1-C23/C24</f>
        <v>0.29093528850725747</v>
      </c>
      <c r="D30" s="37">
        <f t="shared" si="12"/>
        <v>0.21345248761966695</v>
      </c>
      <c r="E30" s="37">
        <f t="shared" si="12"/>
        <v>0.36040630902990101</v>
      </c>
      <c r="F30" s="37">
        <f t="shared" si="12"/>
        <v>0.37060653424571299</v>
      </c>
      <c r="G30" s="37">
        <f t="shared" si="12"/>
        <v>0.46091728450667691</v>
      </c>
      <c r="H30" s="38">
        <f t="shared" si="12"/>
        <v>0.46742335304405047</v>
      </c>
    </row>
    <row r="31" spans="1:8" x14ac:dyDescent="0.25">
      <c r="A31" s="90"/>
      <c r="B31" s="33" t="s">
        <v>86</v>
      </c>
      <c r="C31" s="37" t="e">
        <f>C27/#REF!</f>
        <v>#REF!</v>
      </c>
      <c r="D31" s="37">
        <f t="shared" ref="D31:H31" si="13">D27/C19</f>
        <v>5.7906162381845434E-2</v>
      </c>
      <c r="E31" s="37">
        <f t="shared" si="13"/>
        <v>8.507990112581619E-2</v>
      </c>
      <c r="F31" s="37">
        <f t="shared" si="13"/>
        <v>0.10673978037504638</v>
      </c>
      <c r="G31" s="37">
        <f t="shared" si="13"/>
        <v>7.139373008387602E-2</v>
      </c>
      <c r="H31" s="37">
        <f t="shared" si="13"/>
        <v>4.6509140254596779E-2</v>
      </c>
    </row>
    <row r="32" spans="1:8" x14ac:dyDescent="0.25">
      <c r="A32" s="91"/>
      <c r="B32" s="39" t="s">
        <v>87</v>
      </c>
      <c r="C32" s="40">
        <f t="shared" ref="C32:H32" si="14">C17/C18</f>
        <v>12.4383499843261</v>
      </c>
      <c r="D32" s="41">
        <f t="shared" si="14"/>
        <v>5.8402670454467955</v>
      </c>
      <c r="E32" s="41">
        <f t="shared" si="14"/>
        <v>10.722397159493566</v>
      </c>
      <c r="F32" s="41">
        <f t="shared" si="14"/>
        <v>72.771410999133124</v>
      </c>
      <c r="G32" s="41">
        <f t="shared" si="14"/>
        <v>16.826479325599998</v>
      </c>
      <c r="H32" s="41">
        <f t="shared" si="14"/>
        <v>3.3477535183478264</v>
      </c>
    </row>
    <row r="33" spans="1:8" ht="27.6" x14ac:dyDescent="0.25">
      <c r="A33" s="66"/>
      <c r="B33" s="67" t="s">
        <v>88</v>
      </c>
      <c r="C33" s="68">
        <f>('#三表'!B63+'#三表'!B64)/'#三表'!B7</f>
        <v>0.49405926992851951</v>
      </c>
      <c r="D33" s="68">
        <f>('#三表'!C63+'#三表'!C64)/'#三表'!C7</f>
        <v>0.56929079922852754</v>
      </c>
      <c r="E33" s="68">
        <f>('#三表'!D63+'#三表'!D64)/'#三表'!D7</f>
        <v>0.55476110505962539</v>
      </c>
      <c r="F33" s="68">
        <f>('#三表'!E63+'#三表'!E64)/'#三表'!E7</f>
        <v>0.61398231300140627</v>
      </c>
      <c r="G33" s="68">
        <f>('#三表'!F63+'#三表'!F64)/'#三表'!F7</f>
        <v>0.64621904098912364</v>
      </c>
      <c r="H33" s="68">
        <f>('#三表'!G63+'#三表'!G64)/'#三表'!G7</f>
        <v>0.6584077518679714</v>
      </c>
    </row>
    <row r="34" spans="1:8" x14ac:dyDescent="0.25">
      <c r="A34" s="66"/>
      <c r="B34" s="66" t="s">
        <v>89</v>
      </c>
      <c r="C34" s="68">
        <f>'#三表'!D65/'#三表'!D13</f>
        <v>9.5345371345688268E-2</v>
      </c>
      <c r="D34" s="68">
        <f>'#三表'!E65/'#三表'!E13</f>
        <v>0.13790031642576714</v>
      </c>
      <c r="E34" s="68">
        <f>'#三表'!F65/'#三表'!F13</f>
        <v>0.14462822472427103</v>
      </c>
      <c r="F34" s="68">
        <f>'#三表'!G65/'#三表'!G13</f>
        <v>6.7043938357951846E-2</v>
      </c>
      <c r="G34" s="68">
        <f>'#三表'!H65/'#三表'!H13</f>
        <v>5.8445554819301297E-2</v>
      </c>
      <c r="H34" s="68">
        <f>'#三表'!I65/'#三表'!I13</f>
        <v>0.12491292126616332</v>
      </c>
    </row>
    <row r="35" spans="1:8" ht="27.6" x14ac:dyDescent="0.25">
      <c r="A35" s="66"/>
      <c r="B35" s="66" t="s">
        <v>90</v>
      </c>
      <c r="C35" s="68">
        <f>('#三表'!D112+'#三表'!D113)/'#三表'!D13</f>
        <v>7.5418930519191879E-2</v>
      </c>
      <c r="D35" s="68">
        <f>('#三表'!E112+'#三表'!E113)/'#三表'!E13</f>
        <v>2.0691427198265763E-2</v>
      </c>
      <c r="E35" s="68">
        <f>('#三表'!F112+'#三表'!F113)/'#三表'!F13</f>
        <v>9.1666343893294047E-2</v>
      </c>
      <c r="F35" s="68">
        <f>('#三表'!G112+'#三表'!G113)/'#三表'!G13</f>
        <v>0.1104107132416484</v>
      </c>
      <c r="G35" s="68">
        <f>('#三表'!H112+'#三表'!H113)/'#三表'!H13</f>
        <v>0.18000772445184021</v>
      </c>
      <c r="H35" s="68">
        <f>('#三表'!I112+'#三表'!I113)/'#三表'!I13</f>
        <v>0.34862647258364954</v>
      </c>
    </row>
    <row r="36" spans="1:8" ht="27.6" x14ac:dyDescent="0.25">
      <c r="A36" s="66"/>
      <c r="B36" s="66" t="s">
        <v>91</v>
      </c>
      <c r="C36" s="68">
        <f>('#三表'!D88+'#三表'!D89)/'#三表'!D105</f>
        <v>0.18602573768279429</v>
      </c>
      <c r="D36" s="68">
        <f>('#三表'!E88+'#三表'!E89)/'#三表'!E105</f>
        <v>0.14751401009861101</v>
      </c>
      <c r="E36" s="68">
        <f>('#三表'!F88+'#三表'!F89)/'#三表'!F105</f>
        <v>0.13438388432874765</v>
      </c>
      <c r="F36" s="68">
        <f>('#三表'!G88+'#三表'!G89)/'#三表'!G105</f>
        <v>9.264661349488966E-2</v>
      </c>
      <c r="G36" s="68">
        <f>('#三表'!H88+'#三表'!H89)/'#三表'!H105</f>
        <v>8.2068360185053132E-2</v>
      </c>
      <c r="H36" s="68">
        <f>('#三表'!I88+'#三表'!I89)/'#三表'!I105</f>
        <v>8.1795514351580043E-2</v>
      </c>
    </row>
    <row r="37" spans="1:8" ht="41.4" x14ac:dyDescent="0.25">
      <c r="A37" s="66"/>
      <c r="B37" s="66" t="s">
        <v>92</v>
      </c>
      <c r="C37" s="68">
        <f>('#三表'!D8-'#三表'!D172)/'#三表'!D105</f>
        <v>-7.3888815570423177E-2</v>
      </c>
      <c r="D37" s="68">
        <f>('#三表'!E8-'#三表'!E172)/'#三表'!E105</f>
        <v>-1.615579300370977E-2</v>
      </c>
      <c r="E37" s="68">
        <f>('#三表'!F8-'#三表'!F172)/'#三表'!F105</f>
        <v>3.4354613554199213E-2</v>
      </c>
      <c r="F37" s="68">
        <f>('#三表'!G8-'#三表'!G172)/'#三表'!G105</f>
        <v>1.584006638671235E-2</v>
      </c>
      <c r="G37" s="68">
        <f>('#三表'!H8-'#三表'!H172)/'#三表'!H105</f>
        <v>3.8584676724503614E-3</v>
      </c>
      <c r="H37" s="68">
        <f>('#三表'!I8-'#三表'!I172)/'#三表'!I105</f>
        <v>2.5403993440217855E-2</v>
      </c>
    </row>
    <row r="38" spans="1:8" x14ac:dyDescent="0.25">
      <c r="A38" s="66"/>
      <c r="B38" s="66" t="s">
        <v>95</v>
      </c>
      <c r="C38" s="68">
        <f>'#三表'!D22/'#三表'!D8</f>
        <v>8.1520572181314463E-2</v>
      </c>
      <c r="D38" s="68">
        <f>'#三表'!E22/'#三表'!E8</f>
        <v>8.1211015050986671E-2</v>
      </c>
      <c r="E38" s="68">
        <f>'#三表'!F22/'#三表'!F8</f>
        <v>8.790549547468815E-2</v>
      </c>
      <c r="F38" s="68">
        <f>'#三表'!G22/'#三表'!G8</f>
        <v>7.3832215163970025E-2</v>
      </c>
      <c r="G38" s="68">
        <f>'#三表'!H22/'#三表'!H8</f>
        <v>6.3772273687173281E-2</v>
      </c>
      <c r="H38" s="68">
        <f>'#三表'!I22/'#三表'!I8</f>
        <v>6.1523341014438959E-2</v>
      </c>
    </row>
    <row r="39" spans="1:8" x14ac:dyDescent="0.25">
      <c r="A39" s="66"/>
      <c r="B39" s="66" t="s">
        <v>93</v>
      </c>
      <c r="C39" s="68">
        <f>'#三表'!D23/'#三表'!D8</f>
        <v>8.4400877352295831E-2</v>
      </c>
      <c r="D39" s="68">
        <f>'#三表'!E23/'#三表'!E8</f>
        <v>8.0081138183189737E-2</v>
      </c>
      <c r="E39" s="68">
        <f>'#三表'!F23/'#三表'!F8</f>
        <v>7.868374549681674E-2</v>
      </c>
      <c r="F39" s="68">
        <f>'#三表'!G23/'#三表'!G8</f>
        <v>7.8534089430353796E-2</v>
      </c>
      <c r="G39" s="68">
        <f>'#三表'!H23/'#三表'!H8</f>
        <v>7.6260300287032942E-2</v>
      </c>
      <c r="H39" s="68">
        <f>'#三表'!I23/'#三表'!I8</f>
        <v>9.9259148618880813E-2</v>
      </c>
    </row>
    <row r="40" spans="1:8" x14ac:dyDescent="0.25">
      <c r="A40" s="66"/>
      <c r="B40" s="66" t="s">
        <v>94</v>
      </c>
      <c r="C40" s="68">
        <f>'#三表'!D24/'#三表'!D8</f>
        <v>1.4017667975901609E-2</v>
      </c>
      <c r="D40" s="68">
        <f>'#三表'!E24/'#三表'!E8</f>
        <v>1.3123003123457509E-2</v>
      </c>
      <c r="E40" s="68">
        <f>'#三表'!F24/'#三表'!F8</f>
        <v>1.0654724950981024E-2</v>
      </c>
      <c r="F40" s="68">
        <f>'#三表'!G24/'#三表'!G8</f>
        <v>1.9302757512010486E-2</v>
      </c>
      <c r="G40" s="68">
        <f>'#三表'!H24/'#三表'!H8</f>
        <v>2.2847499825966126E-2</v>
      </c>
      <c r="H40" s="68">
        <f>'#三表'!I24/'#三表'!I8</f>
        <v>2.9539887343657284E-2</v>
      </c>
    </row>
    <row r="41" spans="1:8" x14ac:dyDescent="0.25">
      <c r="B41" s="42"/>
      <c r="C41" s="42"/>
    </row>
    <row r="43" spans="1:8" x14ac:dyDescent="0.25">
      <c r="B43" s="10"/>
      <c r="C43" s="10"/>
    </row>
    <row r="44" spans="1:8" x14ac:dyDescent="0.25">
      <c r="B44" s="10"/>
      <c r="C44" s="10"/>
    </row>
  </sheetData>
  <mergeCells count="4">
    <mergeCell ref="A6:A10"/>
    <mergeCell ref="A11:A12"/>
    <mergeCell ref="A13:A15"/>
    <mergeCell ref="A16:A32"/>
  </mergeCells>
  <phoneticPr fontId="1" type="noConversion"/>
  <pageMargins left="0.7" right="0.7" top="0.75" bottom="0.75" header="0.3" footer="0.3"/>
  <pageSetup paperSize="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报告期</vt:lpstr>
      <vt:lpstr>简介</vt:lpstr>
      <vt:lpstr>股权&amp;股权风险</vt:lpstr>
      <vt:lpstr>主营构成</vt:lpstr>
      <vt:lpstr>财务摘要</vt:lpstr>
      <vt:lpstr>三表</vt:lpstr>
      <vt:lpstr>财务风险</vt:lpstr>
      <vt:lpstr>转债条款</vt:lpstr>
      <vt:lpstr>#财务风险</vt:lpstr>
      <vt:lpstr>#三表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2020-08-28T09:56:04Z</dcterms:modified>
</cp:coreProperties>
</file>