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2"/>
  <workbookPr codeName="ThisWorkbook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4\"/>
    </mc:Choice>
  </mc:AlternateContent>
  <xr:revisionPtr revIDLastSave="0" documentId="13_ncr:1_{EFC82D1C-0B9A-45A8-877D-5080BCDB2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14(1)" sheetId="17" r:id="rId1"/>
    <sheet name="Ch14(2)" sheetId="19" r:id="rId2"/>
    <sheet name="Ch14(3)" sheetId="8" r:id="rId3"/>
    <sheet name="Ch14(4)" sheetId="11" r:id="rId4"/>
    <sheet name="Ch14(5)" sheetId="12" r:id="rId5"/>
    <sheet name="Ch14(6)" sheetId="13" r:id="rId6"/>
    <sheet name="Ch14(7)" sheetId="14" r:id="rId7"/>
    <sheet name="Ch14(8)" sheetId="15" r:id="rId8"/>
    <sheet name="Ch14(9)" sheetId="20" r:id="rId9"/>
    <sheet name="Ch14(10)" sheetId="22" r:id="rId10"/>
    <sheet name="Ch14(11)" sheetId="24" r:id="rId11"/>
    <sheet name="Ch14(12)" sheetId="25" r:id="rId12"/>
    <sheet name="Ch14(13)" sheetId="26" r:id="rId13"/>
    <sheet name="Ch14(14)" sheetId="27" r:id="rId14"/>
    <sheet name="Ch14(15-16)" sheetId="28" r:id="rId15"/>
    <sheet name="Ch14(17-21)" sheetId="29" r:id="rId16"/>
    <sheet name="Ch14(17-21an)" sheetId="31" r:id="rId17"/>
    <sheet name="Ch14(22-25)" sheetId="30" r:id="rId18"/>
    <sheet name="Ch14(22-25an)" sheetId="32" r:id="rId19"/>
    <sheet name="Ch14(26)" sheetId="33" r:id="rId20"/>
    <sheet name="Ch14(26an)" sheetId="36" r:id="rId21"/>
    <sheet name="Ch14(27)" sheetId="34" r:id="rId22"/>
    <sheet name="Ch14(27an)" sheetId="37" r:id="rId23"/>
    <sheet name="Ch14(28)" sheetId="38" r:id="rId24"/>
    <sheet name="Ch14(28an)" sheetId="43" r:id="rId25"/>
    <sheet name="Ch14(29)" sheetId="39" r:id="rId26"/>
    <sheet name="Ch14(29an)" sheetId="44" r:id="rId27"/>
    <sheet name="Ch14(30)" sheetId="40" r:id="rId28"/>
    <sheet name="Ch14(30an)" sheetId="46" r:id="rId29"/>
    <sheet name="Ch14(31)" sheetId="41" r:id="rId30"/>
    <sheet name="Ch14(31an)" sheetId="48" r:id="rId31"/>
    <sheet name="Ch14(32)" sheetId="47" r:id="rId32"/>
    <sheet name="Ch14(32an)" sheetId="54" r:id="rId33"/>
    <sheet name="Ch14(33)" sheetId="35" r:id="rId34"/>
    <sheet name="Ch14(33an)" sheetId="50" r:id="rId35"/>
    <sheet name="Ch14(34)" sheetId="51" r:id="rId36"/>
    <sheet name="Ch14(34an)" sheetId="52" r:id="rId37"/>
    <sheet name="Ch14(35)" sheetId="53" r:id="rId38"/>
    <sheet name="Ch14(35an)" sheetId="76" r:id="rId39"/>
    <sheet name="Ch14(36)" sheetId="56" r:id="rId40"/>
    <sheet name="Ch14(36an)" sheetId="63" r:id="rId41"/>
    <sheet name="Ch14(37)" sheetId="57" r:id="rId42"/>
    <sheet name="Ch14(37an)" sheetId="64" r:id="rId43"/>
    <sheet name="Ch14(38-40)" sheetId="58" r:id="rId44"/>
    <sheet name="Ch14(38-40an)" sheetId="65" r:id="rId45"/>
    <sheet name="Ch14(41)" sheetId="3" r:id="rId46"/>
    <sheet name="Ch14(42)" sheetId="67" r:id="rId47"/>
    <sheet name="Ch14(42an)" sheetId="80" r:id="rId48"/>
    <sheet name="Ch14(43)" sheetId="71" r:id="rId49"/>
    <sheet name="Ch14(43an)" sheetId="72" r:id="rId50"/>
    <sheet name="Ch14(44)" sheetId="73" r:id="rId51"/>
    <sheet name="Ch14(45)" sheetId="75" r:id="rId52"/>
    <sheet name="Ch14(45an)" sheetId="77" r:id="rId53"/>
    <sheet name="Ch14(46-47)" sheetId="74" r:id="rId54"/>
    <sheet name="Ch14(46-47an)" sheetId="81" r:id="rId55"/>
    <sheet name="Ch14(48)" sheetId="85" r:id="rId56"/>
    <sheet name="Ch14(48an)" sheetId="91" r:id="rId57"/>
    <sheet name="Ch14(49)" sheetId="86" r:id="rId58"/>
    <sheet name="Ch14(49an)" sheetId="92" r:id="rId59"/>
    <sheet name="Ch14(50)" sheetId="88" r:id="rId60"/>
    <sheet name="Ch14(51)" sheetId="93" r:id="rId61"/>
    <sheet name="Ch14(51an)" sheetId="95" r:id="rId62"/>
    <sheet name="Ch14(52)" sheetId="94" r:id="rId63"/>
    <sheet name="Ch14(52an)" sheetId="99" r:id="rId64"/>
    <sheet name="Ch14(53)" sheetId="87" r:id="rId65"/>
    <sheet name="Ch14(53an)" sheetId="100" r:id="rId66"/>
    <sheet name="Ch14(54-55)" sheetId="97" r:id="rId67"/>
    <sheet name="Ch14(56)" sheetId="98" r:id="rId68"/>
    <sheet name="Ch14(56an)" sheetId="101" r:id="rId69"/>
    <sheet name="Ch14(57)" sheetId="104" r:id="rId70"/>
    <sheet name="Ch14(58)" sheetId="103" r:id="rId71"/>
    <sheet name="Ch14(58an)" sheetId="105" r:id="rId72"/>
    <sheet name="Ch14(59-62)" sheetId="106" r:id="rId73"/>
    <sheet name="Ch14(59-62an)" sheetId="107" r:id="rId74"/>
    <sheet name="Practice Problems ==&gt;" sheetId="108" r:id="rId75"/>
    <sheet name="PPCh14(1)" sheetId="111" r:id="rId76"/>
    <sheet name="PPCh14(1an)" sheetId="112" r:id="rId77"/>
    <sheet name="PPCh14(2)" sheetId="109" r:id="rId78"/>
    <sheet name="PPCh14(2an)" sheetId="110" r:id="rId79"/>
    <sheet name="PPCh14(3)" sheetId="113" r:id="rId80"/>
    <sheet name="PPCh14(3an)" sheetId="115" r:id="rId81"/>
    <sheet name="PPCh14(4)" sheetId="114" r:id="rId82"/>
    <sheet name="PPCh14(4an)" sheetId="116" r:id="rId83"/>
    <sheet name="PPCh14(5)" sheetId="117" r:id="rId84"/>
    <sheet name="PPCh14(5an)" sheetId="134" r:id="rId85"/>
    <sheet name="PPCh14(6)" sheetId="119" r:id="rId86"/>
    <sheet name="PPCh14(6an)" sheetId="120" r:id="rId87"/>
    <sheet name="PPCh14(7)" sheetId="121" r:id="rId88"/>
    <sheet name="PPCh14(7an)" sheetId="122" r:id="rId89"/>
    <sheet name="PPCh14(8)" sheetId="123" r:id="rId90"/>
    <sheet name="PPCh14(8an)" sheetId="124" r:id="rId91"/>
    <sheet name="PPCh14(9)" sheetId="125" r:id="rId92"/>
    <sheet name="PPCh14(9an)" sheetId="126" r:id="rId93"/>
    <sheet name="PPCh14(10)" sheetId="127" r:id="rId94"/>
    <sheet name="PPCh14(10an)" sheetId="128" r:id="rId95"/>
    <sheet name="PPCh14(11)" sheetId="129" r:id="rId96"/>
    <sheet name="PPCh14(11an)" sheetId="131" r:id="rId97"/>
    <sheet name="PPCh14(12)" sheetId="130" r:id="rId98"/>
    <sheet name="PPCh14(12an)" sheetId="132" r:id="rId99"/>
    <sheet name="PPCh14(13)" sheetId="135" r:id="rId100"/>
    <sheet name="PPCh14(13an)" sheetId="133" r:id="rId101"/>
    <sheet name="PPCh14(14)" sheetId="136" r:id="rId102"/>
    <sheet name="PPCh14(14an)" sheetId="137" r:id="rId103"/>
  </sheets>
  <definedNames>
    <definedName name="_xlnm._FilterDatabase" localSheetId="53" hidden="1">'Ch14(46-47)'!#REF!</definedName>
    <definedName name="_xlnm._FilterDatabase" localSheetId="54" hidden="1">'Ch14(46-47an)'!#REF!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" i="128" l="1" a="1"/>
  <c r="Q13" i="128" s="1"/>
  <c r="Q8" i="128"/>
  <c r="I4" i="134"/>
  <c r="I6" i="134"/>
  <c r="L5" i="132"/>
  <c r="L8" i="132"/>
  <c r="N6" i="131"/>
  <c r="G8" i="128"/>
  <c r="L8" i="128"/>
  <c r="I7" i="126"/>
  <c r="L6" i="132"/>
  <c r="I8" i="126"/>
  <c r="L9" i="132"/>
  <c r="N7" i="131"/>
  <c r="G9" i="128"/>
  <c r="I5" i="134"/>
  <c r="Q9" i="128"/>
  <c r="L9" i="128"/>
  <c r="C5" i="29" l="1"/>
  <c r="L7" i="133" l="1" a="1"/>
  <c r="L7" i="133" s="1"/>
  <c r="F7" i="133" a="1"/>
  <c r="F7" i="133" s="1"/>
  <c r="AB21" i="135"/>
  <c r="AD20" i="135"/>
  <c r="AB20" i="135"/>
  <c r="AB22" i="135" s="1"/>
  <c r="P9" i="135"/>
  <c r="P6" i="135"/>
  <c r="L8" i="113"/>
  <c r="L10" i="113"/>
  <c r="L12" i="113"/>
  <c r="P10" i="135"/>
  <c r="P7" i="135"/>
  <c r="L9" i="113"/>
  <c r="C5" i="134" l="1"/>
  <c r="E8" i="71"/>
  <c r="E9" i="71"/>
  <c r="E10" i="71"/>
  <c r="E11" i="71"/>
  <c r="E12" i="71"/>
  <c r="AB21" i="133"/>
  <c r="AD20" i="133"/>
  <c r="AB20" i="133"/>
  <c r="AB22" i="133" s="1"/>
  <c r="P9" i="133"/>
  <c r="P6" i="133"/>
  <c r="J7" i="132" a="1"/>
  <c r="J7" i="132" s="1"/>
  <c r="C7" i="132"/>
  <c r="H7" i="131" a="1"/>
  <c r="H7" i="131" s="1"/>
  <c r="AC5" i="131"/>
  <c r="AB5" i="131" a="1"/>
  <c r="AB5" i="131" s="1"/>
  <c r="Z5" i="131" a="1"/>
  <c r="Z5" i="131" s="1"/>
  <c r="Y5" i="131"/>
  <c r="AC5" i="129"/>
  <c r="AB5" i="129" a="1"/>
  <c r="AB5" i="129" s="1"/>
  <c r="Z5" i="129" a="1"/>
  <c r="Z5" i="129" s="1"/>
  <c r="Y5" i="129"/>
  <c r="L13" i="128" a="1"/>
  <c r="L13" i="128" s="1"/>
  <c r="G13" i="128" a="1"/>
  <c r="G13" i="128" s="1"/>
  <c r="B10" i="128"/>
  <c r="P10" i="133"/>
  <c r="P7" i="133"/>
  <c r="B10" i="127" l="1"/>
  <c r="G8" i="126" a="1"/>
  <c r="G8" i="126" s="1"/>
  <c r="P15" i="124"/>
  <c r="P12" i="124"/>
  <c r="N10" i="124" a="1"/>
  <c r="N10" i="124" s="1"/>
  <c r="J10" i="124" a="1"/>
  <c r="J10" i="124" s="1"/>
  <c r="F10" i="124" a="1"/>
  <c r="F10" i="124" s="1"/>
  <c r="P9" i="124"/>
  <c r="Q44" i="122"/>
  <c r="P44" i="122"/>
  <c r="O44" i="122"/>
  <c r="N44" i="122"/>
  <c r="M44" i="122"/>
  <c r="L44" i="122"/>
  <c r="K44" i="122"/>
  <c r="J44" i="122"/>
  <c r="I44" i="122"/>
  <c r="H44" i="122"/>
  <c r="G44" i="122"/>
  <c r="F44" i="122"/>
  <c r="Q43" i="122"/>
  <c r="P43" i="122"/>
  <c r="O43" i="122"/>
  <c r="N43" i="122"/>
  <c r="M43" i="122"/>
  <c r="L43" i="122"/>
  <c r="K43" i="122"/>
  <c r="J43" i="122"/>
  <c r="I43" i="122"/>
  <c r="H43" i="122"/>
  <c r="G43" i="122"/>
  <c r="F43" i="122"/>
  <c r="Q42" i="122"/>
  <c r="P42" i="122"/>
  <c r="O42" i="122"/>
  <c r="N42" i="122"/>
  <c r="M42" i="122"/>
  <c r="L42" i="122"/>
  <c r="K42" i="122"/>
  <c r="J42" i="122"/>
  <c r="I42" i="122"/>
  <c r="H42" i="122"/>
  <c r="G42" i="122"/>
  <c r="F42" i="122"/>
  <c r="Q41" i="122"/>
  <c r="P41" i="122"/>
  <c r="O41" i="122"/>
  <c r="N41" i="122"/>
  <c r="M41" i="122"/>
  <c r="L41" i="122"/>
  <c r="K41" i="122"/>
  <c r="J41" i="122"/>
  <c r="I41" i="122"/>
  <c r="H41" i="122"/>
  <c r="G41" i="122"/>
  <c r="F41" i="122"/>
  <c r="Q40" i="122"/>
  <c r="P40" i="122"/>
  <c r="O40" i="122"/>
  <c r="N40" i="122"/>
  <c r="M40" i="122"/>
  <c r="L40" i="122"/>
  <c r="K40" i="122"/>
  <c r="J40" i="122"/>
  <c r="I40" i="122"/>
  <c r="H40" i="122"/>
  <c r="G40" i="122"/>
  <c r="F40" i="122"/>
  <c r="Q39" i="122"/>
  <c r="P39" i="122"/>
  <c r="O39" i="122"/>
  <c r="N39" i="122"/>
  <c r="M39" i="122"/>
  <c r="L39" i="122"/>
  <c r="K39" i="122"/>
  <c r="J39" i="122"/>
  <c r="I39" i="122"/>
  <c r="H39" i="122"/>
  <c r="G39" i="122"/>
  <c r="F39" i="122"/>
  <c r="Q38" i="122"/>
  <c r="P38" i="122"/>
  <c r="O38" i="122"/>
  <c r="N38" i="122"/>
  <c r="M38" i="122"/>
  <c r="L38" i="122"/>
  <c r="K38" i="122"/>
  <c r="J38" i="122"/>
  <c r="I38" i="122"/>
  <c r="H38" i="122"/>
  <c r="G38" i="122"/>
  <c r="F38" i="122"/>
  <c r="Q37" i="122"/>
  <c r="P37" i="122"/>
  <c r="O37" i="122"/>
  <c r="N37" i="122"/>
  <c r="M37" i="122"/>
  <c r="L37" i="122"/>
  <c r="K37" i="122"/>
  <c r="J37" i="122"/>
  <c r="I37" i="122"/>
  <c r="H37" i="122"/>
  <c r="G37" i="122"/>
  <c r="F37" i="122"/>
  <c r="Q36" i="122"/>
  <c r="P36" i="122"/>
  <c r="O36" i="122"/>
  <c r="N36" i="122"/>
  <c r="M36" i="122"/>
  <c r="L36" i="122"/>
  <c r="K36" i="122"/>
  <c r="J36" i="122"/>
  <c r="I36" i="122"/>
  <c r="H36" i="122"/>
  <c r="G36" i="122"/>
  <c r="F36" i="122"/>
  <c r="Q35" i="122"/>
  <c r="P35" i="122"/>
  <c r="O35" i="122"/>
  <c r="N35" i="122"/>
  <c r="M35" i="122"/>
  <c r="L35" i="122"/>
  <c r="K35" i="122"/>
  <c r="J35" i="122"/>
  <c r="I35" i="122"/>
  <c r="H35" i="122"/>
  <c r="G35" i="122"/>
  <c r="F35" i="122"/>
  <c r="Q34" i="122"/>
  <c r="P34" i="122"/>
  <c r="O34" i="122"/>
  <c r="N34" i="122"/>
  <c r="M34" i="122"/>
  <c r="L34" i="122"/>
  <c r="K34" i="122"/>
  <c r="J34" i="122"/>
  <c r="I34" i="122"/>
  <c r="H34" i="122"/>
  <c r="G34" i="122"/>
  <c r="F34" i="122"/>
  <c r="Q33" i="122"/>
  <c r="P33" i="122"/>
  <c r="O33" i="122"/>
  <c r="N33" i="122"/>
  <c r="M33" i="122"/>
  <c r="L33" i="122"/>
  <c r="K33" i="122"/>
  <c r="J33" i="122"/>
  <c r="I33" i="122"/>
  <c r="H33" i="122"/>
  <c r="G33" i="122"/>
  <c r="F33" i="122"/>
  <c r="Q32" i="122"/>
  <c r="P32" i="122"/>
  <c r="O32" i="122"/>
  <c r="N32" i="122"/>
  <c r="M32" i="122"/>
  <c r="L32" i="122"/>
  <c r="K32" i="122"/>
  <c r="J32" i="122"/>
  <c r="I32" i="122"/>
  <c r="H32" i="122"/>
  <c r="G32" i="122"/>
  <c r="F32" i="122"/>
  <c r="Q31" i="122"/>
  <c r="P31" i="122"/>
  <c r="O31" i="122"/>
  <c r="N31" i="122"/>
  <c r="M31" i="122"/>
  <c r="L31" i="122"/>
  <c r="K31" i="122"/>
  <c r="J31" i="122"/>
  <c r="I31" i="122"/>
  <c r="H31" i="122"/>
  <c r="G31" i="122"/>
  <c r="F31" i="122"/>
  <c r="Q30" i="122"/>
  <c r="P30" i="122"/>
  <c r="O30" i="122"/>
  <c r="N30" i="122"/>
  <c r="M30" i="122"/>
  <c r="L30" i="122"/>
  <c r="K30" i="122"/>
  <c r="J30" i="122"/>
  <c r="I30" i="122"/>
  <c r="H30" i="122"/>
  <c r="G30" i="122"/>
  <c r="F30" i="122"/>
  <c r="S29" i="122"/>
  <c r="Q29" i="122"/>
  <c r="P29" i="122"/>
  <c r="O29" i="122"/>
  <c r="N29" i="122"/>
  <c r="M29" i="122"/>
  <c r="L29" i="122"/>
  <c r="K29" i="122"/>
  <c r="J29" i="122"/>
  <c r="I29" i="122"/>
  <c r="H29" i="122"/>
  <c r="G29" i="122"/>
  <c r="F29" i="122"/>
  <c r="C11" i="122"/>
  <c r="S8" i="122"/>
  <c r="AC7" i="122"/>
  <c r="AC7" i="121"/>
  <c r="C5" i="120"/>
  <c r="R4" i="120"/>
  <c r="R4" i="119"/>
  <c r="K12" i="116"/>
  <c r="K10" i="116"/>
  <c r="K8" i="116"/>
  <c r="E7" i="116" a="1"/>
  <c r="E7" i="116" s="1"/>
  <c r="D7" i="116" a="1"/>
  <c r="D7" i="116" s="1"/>
  <c r="K6" i="116"/>
  <c r="K10" i="114"/>
  <c r="K12" i="114"/>
  <c r="K8" i="114"/>
  <c r="K6" i="114"/>
  <c r="L14" i="115"/>
  <c r="L12" i="115"/>
  <c r="D8" i="115" a="1"/>
  <c r="D8" i="115" s="1"/>
  <c r="L10" i="115"/>
  <c r="L8" i="115"/>
  <c r="C8" i="112"/>
  <c r="F17" i="112"/>
  <c r="B17" i="112"/>
  <c r="F16" i="112"/>
  <c r="B16" i="112"/>
  <c r="F15" i="112"/>
  <c r="B15" i="112"/>
  <c r="F14" i="112"/>
  <c r="B14" i="112"/>
  <c r="F13" i="112"/>
  <c r="B13" i="112"/>
  <c r="F12" i="112"/>
  <c r="B12" i="112"/>
  <c r="F11" i="112"/>
  <c r="B11" i="112"/>
  <c r="J6" i="112"/>
  <c r="B5" i="112"/>
  <c r="B5" i="111"/>
  <c r="F17" i="111"/>
  <c r="B17" i="111"/>
  <c r="F16" i="111"/>
  <c r="B16" i="111"/>
  <c r="F15" i="111"/>
  <c r="B15" i="111"/>
  <c r="F14" i="111"/>
  <c r="B14" i="111"/>
  <c r="F13" i="111"/>
  <c r="B13" i="111"/>
  <c r="F12" i="111"/>
  <c r="B12" i="111"/>
  <c r="F11" i="111"/>
  <c r="B11" i="111"/>
  <c r="F17" i="110"/>
  <c r="B17" i="110"/>
  <c r="F16" i="110"/>
  <c r="B16" i="110"/>
  <c r="F15" i="110"/>
  <c r="B15" i="110"/>
  <c r="F14" i="110"/>
  <c r="B14" i="110"/>
  <c r="F13" i="110"/>
  <c r="B13" i="110"/>
  <c r="F12" i="110"/>
  <c r="B12" i="110"/>
  <c r="F11" i="110"/>
  <c r="B11" i="110"/>
  <c r="C8" i="110" s="1" a="1"/>
  <c r="C8" i="110" s="1"/>
  <c r="M14" i="110"/>
  <c r="M12" i="110"/>
  <c r="M14" i="109"/>
  <c r="M13" i="109"/>
  <c r="M12" i="109"/>
  <c r="F17" i="109"/>
  <c r="B17" i="109"/>
  <c r="F16" i="109"/>
  <c r="B16" i="109"/>
  <c r="F15" i="109"/>
  <c r="B15" i="109"/>
  <c r="F14" i="109"/>
  <c r="B14" i="109"/>
  <c r="F13" i="109"/>
  <c r="B13" i="109"/>
  <c r="F12" i="109"/>
  <c r="B12" i="109"/>
  <c r="F11" i="109"/>
  <c r="B11" i="109"/>
  <c r="L9" i="115"/>
  <c r="J8" i="112"/>
  <c r="K7" i="114"/>
  <c r="P13" i="124"/>
  <c r="P10" i="124"/>
  <c r="K11" i="114"/>
  <c r="P16" i="124"/>
  <c r="S30" i="122"/>
  <c r="K7" i="116"/>
  <c r="K11" i="116"/>
  <c r="S9" i="122"/>
  <c r="M13" i="110"/>
  <c r="L13" i="115"/>
  <c r="R5" i="120"/>
  <c r="R5" i="119"/>
  <c r="E8" i="115" l="1" a="1"/>
  <c r="E8" i="115" s="1"/>
  <c r="F6" i="107" a="1"/>
  <c r="F6" i="107" s="1"/>
  <c r="E6" i="107" a="1"/>
  <c r="E6" i="107" s="1"/>
  <c r="D11" i="106"/>
  <c r="D10" i="106"/>
  <c r="D10" i="107"/>
  <c r="D11" i="107"/>
  <c r="B13" i="105" l="1"/>
  <c r="B6" i="105" a="1"/>
  <c r="B6" i="105" s="1"/>
  <c r="B13" i="103"/>
  <c r="B14" i="105"/>
  <c r="B14" i="103"/>
  <c r="R17" i="101" l="1"/>
  <c r="Q17" i="101"/>
  <c r="P17" i="101"/>
  <c r="K17" i="101" a="1"/>
  <c r="K17" i="101" s="1"/>
  <c r="H17" i="101" a="1"/>
  <c r="H17" i="101" s="1"/>
  <c r="R16" i="101"/>
  <c r="Q16" i="101"/>
  <c r="P16" i="101"/>
  <c r="K16" i="101" a="1"/>
  <c r="K16" i="101" s="1"/>
  <c r="H16" i="101" a="1"/>
  <c r="H16" i="101" s="1"/>
  <c r="R15" i="101"/>
  <c r="Q15" i="101"/>
  <c r="P15" i="101"/>
  <c r="K15" i="101" a="1"/>
  <c r="K15" i="101" s="1"/>
  <c r="H15" i="101" a="1"/>
  <c r="H15" i="101" s="1"/>
  <c r="R14" i="101"/>
  <c r="Q14" i="101"/>
  <c r="P14" i="101"/>
  <c r="K14" i="101" a="1"/>
  <c r="K14" i="101" s="1"/>
  <c r="H14" i="101" a="1"/>
  <c r="H14" i="101" s="1"/>
  <c r="R13" i="101"/>
  <c r="Q13" i="101"/>
  <c r="P13" i="101"/>
  <c r="K13" i="101" a="1"/>
  <c r="K13" i="101" s="1"/>
  <c r="H13" i="101" a="1"/>
  <c r="H13" i="101" s="1"/>
  <c r="R12" i="101"/>
  <c r="Q12" i="101"/>
  <c r="P12" i="101"/>
  <c r="K12" i="101" a="1"/>
  <c r="K12" i="101" s="1"/>
  <c r="H12" i="101" a="1"/>
  <c r="H12" i="101" s="1"/>
  <c r="F11" i="101"/>
  <c r="E11" i="101"/>
  <c r="D11" i="101"/>
  <c r="C11" i="101"/>
  <c r="C6" i="101"/>
  <c r="C4" i="101"/>
  <c r="U19" i="100"/>
  <c r="F19" i="100" a="1"/>
  <c r="F19" i="100" s="1"/>
  <c r="E19" i="100"/>
  <c r="U18" i="100"/>
  <c r="F18" i="100" a="1"/>
  <c r="F18" i="100" s="1"/>
  <c r="E18" i="100"/>
  <c r="U17" i="100"/>
  <c r="F17" i="100" a="1"/>
  <c r="F17" i="100" s="1"/>
  <c r="E17" i="100"/>
  <c r="U16" i="100"/>
  <c r="F16" i="100" a="1"/>
  <c r="F16" i="100" s="1"/>
  <c r="E16" i="100"/>
  <c r="U15" i="100"/>
  <c r="F15" i="100" a="1"/>
  <c r="F15" i="100" s="1"/>
  <c r="E15" i="100"/>
  <c r="U14" i="100"/>
  <c r="F14" i="100" a="1"/>
  <c r="F14" i="100" s="1"/>
  <c r="E14" i="100"/>
  <c r="U13" i="100"/>
  <c r="F13" i="100" a="1"/>
  <c r="F13" i="100" s="1"/>
  <c r="E13" i="100"/>
  <c r="U12" i="100"/>
  <c r="F12" i="100" a="1"/>
  <c r="F12" i="100" s="1"/>
  <c r="E12" i="100"/>
  <c r="U11" i="100"/>
  <c r="F11" i="100" a="1"/>
  <c r="F11" i="100" s="1"/>
  <c r="E11" i="100"/>
  <c r="U10" i="100"/>
  <c r="F10" i="100" a="1"/>
  <c r="F10" i="100" s="1"/>
  <c r="E10" i="100"/>
  <c r="U9" i="100"/>
  <c r="F9" i="100" a="1"/>
  <c r="F9" i="100" s="1"/>
  <c r="E9" i="100"/>
  <c r="U8" i="100"/>
  <c r="F8" i="100" a="1"/>
  <c r="F8" i="100" s="1"/>
  <c r="E8" i="100"/>
  <c r="F20" i="99"/>
  <c r="B13" i="99"/>
  <c r="C12" i="99"/>
  <c r="B12" i="99"/>
  <c r="C11" i="99"/>
  <c r="B11" i="99"/>
  <c r="C10" i="99"/>
  <c r="B10" i="99"/>
  <c r="C9" i="99"/>
  <c r="B9" i="99"/>
  <c r="C8" i="99"/>
  <c r="B8" i="99"/>
  <c r="F7" i="99"/>
  <c r="F8" i="99" s="1"/>
  <c r="C7" i="99"/>
  <c r="B7" i="99"/>
  <c r="C6" i="99"/>
  <c r="G8" i="94"/>
  <c r="G9" i="94"/>
  <c r="G10" i="94"/>
  <c r="G11" i="94"/>
  <c r="G12" i="94"/>
  <c r="G13" i="94"/>
  <c r="G7" i="94"/>
  <c r="F11" i="98"/>
  <c r="E11" i="98"/>
  <c r="R13" i="98"/>
  <c r="R14" i="98"/>
  <c r="R15" i="98"/>
  <c r="R16" i="98"/>
  <c r="R17" i="98"/>
  <c r="R12" i="98"/>
  <c r="Q13" i="98"/>
  <c r="Q14" i="98"/>
  <c r="Q15" i="98"/>
  <c r="Q16" i="98"/>
  <c r="Q17" i="98"/>
  <c r="Q12" i="98"/>
  <c r="K13" i="98" a="1"/>
  <c r="K13" i="98" s="1"/>
  <c r="K14" i="98" a="1"/>
  <c r="K14" i="98" s="1"/>
  <c r="K15" i="98" a="1"/>
  <c r="K15" i="98" s="1"/>
  <c r="K16" i="98" a="1"/>
  <c r="K16" i="98" s="1"/>
  <c r="K17" i="98" a="1"/>
  <c r="K17" i="98" s="1"/>
  <c r="K12" i="98" a="1"/>
  <c r="K12" i="98" s="1"/>
  <c r="U9" i="87"/>
  <c r="U10" i="87"/>
  <c r="U11" i="87"/>
  <c r="U12" i="87"/>
  <c r="U13" i="87"/>
  <c r="U14" i="87"/>
  <c r="U15" i="87"/>
  <c r="U16" i="87"/>
  <c r="U17" i="87"/>
  <c r="U18" i="87"/>
  <c r="U19" i="87"/>
  <c r="U8" i="87"/>
  <c r="C6" i="98"/>
  <c r="P17" i="98"/>
  <c r="P16" i="98"/>
  <c r="P15" i="98"/>
  <c r="P14" i="98"/>
  <c r="P13" i="98"/>
  <c r="P12" i="98"/>
  <c r="D11" i="98"/>
  <c r="C11" i="98"/>
  <c r="C4" i="98"/>
  <c r="B24" i="99"/>
  <c r="L24" i="101" a="1"/>
  <c r="L24" i="98" a="1"/>
  <c r="B25" i="99"/>
  <c r="B22" i="100"/>
  <c r="B23" i="100"/>
  <c r="B23" i="87"/>
  <c r="B22" i="87"/>
  <c r="L24" i="101" l="1"/>
  <c r="G8" i="99"/>
  <c r="F9" i="99"/>
  <c r="G7" i="99"/>
  <c r="L24" i="98"/>
  <c r="B15" i="94"/>
  <c r="B24" i="94"/>
  <c r="B25" i="94"/>
  <c r="G9" i="99" l="1"/>
  <c r="F10" i="99"/>
  <c r="C7" i="95"/>
  <c r="C6" i="95"/>
  <c r="F20" i="94"/>
  <c r="B13" i="94"/>
  <c r="C12" i="94"/>
  <c r="B12" i="94"/>
  <c r="C11" i="94"/>
  <c r="B11" i="94"/>
  <c r="C10" i="94"/>
  <c r="B10" i="94"/>
  <c r="C9" i="94"/>
  <c r="B9" i="94"/>
  <c r="C8" i="94"/>
  <c r="B8" i="94"/>
  <c r="F7" i="94"/>
  <c r="C7" i="94"/>
  <c r="B7" i="94"/>
  <c r="C6" i="94"/>
  <c r="E6" i="95"/>
  <c r="E7" i="95"/>
  <c r="F21" i="99" l="1"/>
  <c r="B15" i="99"/>
  <c r="G10" i="99"/>
  <c r="F11" i="99"/>
  <c r="F22" i="99"/>
  <c r="F8" i="94"/>
  <c r="F12" i="99" l="1"/>
  <c r="G11" i="99"/>
  <c r="F9" i="94"/>
  <c r="G12" i="99" l="1"/>
  <c r="F13" i="99"/>
  <c r="G13" i="99" s="1"/>
  <c r="F10" i="94"/>
  <c r="F11" i="94" l="1"/>
  <c r="F12" i="94" l="1"/>
  <c r="F13" i="94" l="1"/>
  <c r="E6" i="93"/>
  <c r="E7" i="93"/>
  <c r="G27" i="92" l="1"/>
  <c r="I26" i="92" a="1"/>
  <c r="I26" i="92" s="1"/>
  <c r="H26" i="92" a="1"/>
  <c r="H26" i="92" s="1"/>
  <c r="G26" i="92" a="1"/>
  <c r="G26" i="92" s="1"/>
  <c r="I25" i="92" a="1"/>
  <c r="I25" i="92" s="1"/>
  <c r="H25" i="92" a="1"/>
  <c r="H25" i="92" s="1"/>
  <c r="G25" i="92" a="1"/>
  <c r="G25" i="92" s="1"/>
  <c r="I24" i="92" a="1"/>
  <c r="I24" i="92" s="1"/>
  <c r="H24" i="92" a="1"/>
  <c r="H24" i="92" s="1"/>
  <c r="G24" i="92" a="1"/>
  <c r="G24" i="92" s="1"/>
  <c r="I23" i="92" a="1"/>
  <c r="I23" i="92" s="1"/>
  <c r="H23" i="92" a="1"/>
  <c r="H23" i="92" s="1"/>
  <c r="G23" i="92" a="1"/>
  <c r="G23" i="92" s="1"/>
  <c r="G12" i="92" a="1"/>
  <c r="G12" i="92" s="1"/>
  <c r="G8" i="92"/>
  <c r="R6" i="92" a="1"/>
  <c r="R6" i="92" s="1"/>
  <c r="P6" i="92" a="1"/>
  <c r="P6" i="92" s="1"/>
  <c r="G19" i="91"/>
  <c r="I18" i="91" a="1"/>
  <c r="I18" i="91" s="1"/>
  <c r="H18" i="91" a="1"/>
  <c r="H18" i="91" s="1"/>
  <c r="G18" i="91" a="1"/>
  <c r="G18" i="91" s="1"/>
  <c r="I17" i="91" a="1"/>
  <c r="I17" i="91" s="1"/>
  <c r="H17" i="91" a="1"/>
  <c r="H17" i="91" s="1"/>
  <c r="G17" i="91" a="1"/>
  <c r="G17" i="91" s="1"/>
  <c r="I16" i="91" a="1"/>
  <c r="I16" i="91" s="1"/>
  <c r="H16" i="91" a="1"/>
  <c r="H16" i="91" s="1"/>
  <c r="G16" i="91" a="1"/>
  <c r="G16" i="91" s="1"/>
  <c r="I15" i="91" a="1"/>
  <c r="I15" i="91" s="1"/>
  <c r="H15" i="91" a="1"/>
  <c r="H15" i="91" s="1"/>
  <c r="G15" i="91" a="1"/>
  <c r="G15" i="91" s="1"/>
  <c r="G9" i="91"/>
  <c r="G9" i="91" a="1"/>
  <c r="K8" i="91"/>
  <c r="R6" i="91" a="1"/>
  <c r="R6" i="91" s="1"/>
  <c r="K9" i="91"/>
  <c r="G9" i="92"/>
  <c r="G19" i="85" l="1"/>
  <c r="G24" i="86" a="1"/>
  <c r="G24" i="86" s="1"/>
  <c r="H24" i="86" a="1"/>
  <c r="H24" i="86" s="1"/>
  <c r="I24" i="86" a="1"/>
  <c r="I24" i="86" s="1"/>
  <c r="G25" i="86" a="1"/>
  <c r="G25" i="86" s="1"/>
  <c r="H25" i="86" a="1"/>
  <c r="H25" i="86" s="1"/>
  <c r="I25" i="86" a="1"/>
  <c r="I25" i="86" s="1"/>
  <c r="G26" i="86" a="1"/>
  <c r="G26" i="86" s="1"/>
  <c r="H26" i="86" a="1"/>
  <c r="H26" i="86" s="1"/>
  <c r="I26" i="86" a="1"/>
  <c r="I26" i="86" s="1"/>
  <c r="H23" i="86" a="1"/>
  <c r="H23" i="86" s="1"/>
  <c r="I23" i="86" a="1"/>
  <c r="I23" i="86" s="1"/>
  <c r="G23" i="86" a="1"/>
  <c r="G23" i="86" s="1"/>
  <c r="R6" i="86" a="1"/>
  <c r="R6" i="86" s="1"/>
  <c r="G27" i="86"/>
  <c r="G8" i="86"/>
  <c r="P6" i="86" a="1"/>
  <c r="P6" i="86" s="1"/>
  <c r="G16" i="85" a="1"/>
  <c r="G16" i="85" s="1"/>
  <c r="H16" i="85" a="1"/>
  <c r="H16" i="85" s="1"/>
  <c r="I16" i="85" a="1"/>
  <c r="I16" i="85" s="1"/>
  <c r="G17" i="85" a="1"/>
  <c r="G17" i="85" s="1"/>
  <c r="H17" i="85" a="1"/>
  <c r="H17" i="85" s="1"/>
  <c r="I17" i="85" a="1"/>
  <c r="I17" i="85" s="1"/>
  <c r="G18" i="85" a="1"/>
  <c r="G18" i="85" s="1"/>
  <c r="H18" i="85" a="1"/>
  <c r="H18" i="85" s="1"/>
  <c r="I18" i="85" a="1"/>
  <c r="I18" i="85" s="1"/>
  <c r="H15" i="85" a="1"/>
  <c r="H15" i="85" s="1"/>
  <c r="I15" i="85" a="1"/>
  <c r="I15" i="85" s="1"/>
  <c r="G15" i="85" a="1"/>
  <c r="G15" i="85" s="1"/>
  <c r="K8" i="85"/>
  <c r="R6" i="85" a="1"/>
  <c r="R6" i="85" s="1"/>
  <c r="G9" i="86"/>
  <c r="K9" i="85"/>
  <c r="F38" i="81" l="1"/>
  <c r="D37" i="81" a="1"/>
  <c r="D37" i="81" s="1"/>
  <c r="C37" i="81" a="1"/>
  <c r="C37" i="81" s="1"/>
  <c r="B37" i="81" a="1"/>
  <c r="B37" i="81" s="1"/>
  <c r="F36" i="81"/>
  <c r="B18" i="81"/>
  <c r="B13" i="81" a="1"/>
  <c r="B13" i="81" s="1"/>
  <c r="B10" i="81"/>
  <c r="C5" i="80"/>
  <c r="E4" i="80"/>
  <c r="B10" i="74"/>
  <c r="E5" i="80"/>
  <c r="B19" i="81"/>
  <c r="F37" i="81"/>
  <c r="D8" i="77" l="1"/>
  <c r="D6" i="77" a="1"/>
  <c r="D6" i="77" s="1"/>
  <c r="D9" i="77"/>
  <c r="C9" i="76" l="1"/>
  <c r="D7" i="76" a="1"/>
  <c r="D7" i="76" s="1"/>
  <c r="C10" i="76"/>
  <c r="F38" i="74" l="1"/>
  <c r="D8" i="75"/>
  <c r="F36" i="74"/>
  <c r="B18" i="74"/>
  <c r="B19" i="74"/>
  <c r="F37" i="74"/>
  <c r="D9" i="75"/>
  <c r="E12" i="72" l="1"/>
  <c r="E11" i="72"/>
  <c r="E10" i="72"/>
  <c r="E9" i="72"/>
  <c r="E8" i="72"/>
  <c r="G7" i="72"/>
  <c r="G7" i="71"/>
  <c r="G8" i="72"/>
  <c r="G8" i="71"/>
  <c r="B29" i="72"/>
  <c r="E4" i="67" l="1"/>
  <c r="E5" i="67"/>
  <c r="J9" i="65" l="1"/>
  <c r="C6" i="65"/>
  <c r="C6" i="58" l="1"/>
  <c r="B17" i="64" l="1"/>
  <c r="C15" i="64"/>
  <c r="AN10" i="64"/>
  <c r="AM10" i="64"/>
  <c r="AL10" i="64"/>
  <c r="AK10" i="64"/>
  <c r="AJ10" i="64"/>
  <c r="AI10" i="64"/>
  <c r="AH10" i="64"/>
  <c r="AN9" i="64"/>
  <c r="AM9" i="64"/>
  <c r="AL9" i="64"/>
  <c r="AK9" i="64"/>
  <c r="AJ9" i="64"/>
  <c r="AI9" i="64"/>
  <c r="AH9" i="64"/>
  <c r="AN8" i="64"/>
  <c r="AM8" i="64"/>
  <c r="AL8" i="64"/>
  <c r="AK8" i="64"/>
  <c r="AJ8" i="64"/>
  <c r="AI8" i="64"/>
  <c r="AH8" i="64"/>
  <c r="AN7" i="64"/>
  <c r="AM7" i="64"/>
  <c r="AL7" i="64"/>
  <c r="AK7" i="64"/>
  <c r="AJ7" i="64"/>
  <c r="AI7" i="64"/>
  <c r="AH7" i="64"/>
  <c r="AN6" i="64"/>
  <c r="AM6" i="64"/>
  <c r="AL6" i="64"/>
  <c r="AK6" i="64"/>
  <c r="AJ6" i="64"/>
  <c r="AI6" i="64"/>
  <c r="AH6" i="64"/>
  <c r="B18" i="64"/>
  <c r="F8" i="63" l="1"/>
  <c r="B8" i="63"/>
  <c r="F6" i="63"/>
  <c r="C6" i="63"/>
  <c r="AH6" i="57"/>
  <c r="AI6" i="57"/>
  <c r="AJ6" i="57"/>
  <c r="AK6" i="57"/>
  <c r="AL6" i="57"/>
  <c r="AM6" i="57"/>
  <c r="AN6" i="57"/>
  <c r="AH7" i="57"/>
  <c r="AI7" i="57"/>
  <c r="AJ7" i="57"/>
  <c r="AK7" i="57"/>
  <c r="AL7" i="57"/>
  <c r="AM7" i="57"/>
  <c r="AN7" i="57"/>
  <c r="AH8" i="57"/>
  <c r="AI8" i="57"/>
  <c r="AJ8" i="57"/>
  <c r="AK8" i="57"/>
  <c r="AL8" i="57"/>
  <c r="AM8" i="57"/>
  <c r="AN8" i="57"/>
  <c r="AH9" i="57"/>
  <c r="AI9" i="57"/>
  <c r="AJ9" i="57"/>
  <c r="AK9" i="57"/>
  <c r="AL9" i="57"/>
  <c r="AM9" i="57"/>
  <c r="AN9" i="57"/>
  <c r="AH10" i="57"/>
  <c r="AI10" i="57"/>
  <c r="AJ10" i="57"/>
  <c r="AK10" i="57"/>
  <c r="AL10" i="57"/>
  <c r="AM10" i="57"/>
  <c r="AN10" i="57"/>
  <c r="B17" i="57"/>
  <c r="F9" i="63"/>
  <c r="B9" i="63"/>
  <c r="B18" i="57"/>
  <c r="F8" i="56" l="1"/>
  <c r="B8" i="56"/>
  <c r="B41" i="54"/>
  <c r="E10" i="54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D10" i="54"/>
  <c r="D11" i="54" s="1"/>
  <c r="D12" i="54" s="1"/>
  <c r="D13" i="54" s="1"/>
  <c r="D14" i="54" s="1"/>
  <c r="D15" i="54" s="1"/>
  <c r="D16" i="54" s="1"/>
  <c r="D17" i="54" s="1"/>
  <c r="D18" i="54" s="1"/>
  <c r="D19" i="54" s="1"/>
  <c r="D20" i="54" s="1"/>
  <c r="D21" i="54" s="1"/>
  <c r="D22" i="54" s="1"/>
  <c r="D23" i="54" s="1"/>
  <c r="D24" i="54" s="1"/>
  <c r="D25" i="54" s="1"/>
  <c r="D26" i="54" s="1"/>
  <c r="D27" i="54" s="1"/>
  <c r="D28" i="54" s="1"/>
  <c r="D29" i="54" s="1"/>
  <c r="D30" i="54" s="1"/>
  <c r="D31" i="54" s="1"/>
  <c r="D32" i="54" s="1"/>
  <c r="D33" i="54" s="1"/>
  <c r="D34" i="54" s="1"/>
  <c r="D35" i="54" s="1"/>
  <c r="B10" i="54"/>
  <c r="C10" i="54" s="1"/>
  <c r="B11" i="54" s="1"/>
  <c r="C9" i="54"/>
  <c r="B9" i="56"/>
  <c r="B42" i="54"/>
  <c r="F9" i="56"/>
  <c r="C11" i="54" l="1"/>
  <c r="B12" i="54" s="1"/>
  <c r="C12" i="54" s="1"/>
  <c r="B13" i="54" s="1"/>
  <c r="C13" i="54" s="1"/>
  <c r="B14" i="54" s="1"/>
  <c r="C14" i="54" s="1"/>
  <c r="B15" i="54" s="1"/>
  <c r="C15" i="54" s="1"/>
  <c r="B16" i="54" s="1"/>
  <c r="C16" i="54" s="1"/>
  <c r="B17" i="54" s="1"/>
  <c r="C17" i="54" s="1"/>
  <c r="B18" i="54" s="1"/>
  <c r="C18" i="54" s="1"/>
  <c r="B19" i="54" s="1"/>
  <c r="C19" i="54" s="1"/>
  <c r="B20" i="54" s="1"/>
  <c r="C20" i="54" s="1"/>
  <c r="B21" i="54" s="1"/>
  <c r="C21" i="54" s="1"/>
  <c r="B22" i="54" s="1"/>
  <c r="C22" i="54" s="1"/>
  <c r="B23" i="54" s="1"/>
  <c r="C23" i="54" s="1"/>
  <c r="B24" i="54" s="1"/>
  <c r="C24" i="54" s="1"/>
  <c r="B25" i="54" s="1"/>
  <c r="C25" i="54" s="1"/>
  <c r="B26" i="54" s="1"/>
  <c r="C26" i="54" s="1"/>
  <c r="B27" i="54" s="1"/>
  <c r="C27" i="54" s="1"/>
  <c r="B28" i="54" s="1"/>
  <c r="C28" i="54" s="1"/>
  <c r="B29" i="54" s="1"/>
  <c r="C29" i="54" s="1"/>
  <c r="B30" i="54" s="1"/>
  <c r="C30" i="54" s="1"/>
  <c r="B31" i="54" s="1"/>
  <c r="C31" i="54" s="1"/>
  <c r="B32" i="54" s="1"/>
  <c r="C32" i="54" s="1"/>
  <c r="B33" i="54" s="1"/>
  <c r="C33" i="54" s="1"/>
  <c r="B34" i="54" s="1"/>
  <c r="C34" i="54" s="1"/>
  <c r="B35" i="54" s="1"/>
  <c r="C35" i="54" s="1"/>
  <c r="D39" i="54" a="1"/>
  <c r="D39" i="54" s="1"/>
  <c r="C9" i="53"/>
  <c r="B9" i="52"/>
  <c r="C7" i="52" a="1"/>
  <c r="C7" i="52" s="1"/>
  <c r="N3" i="52" a="1"/>
  <c r="N3" i="52" s="1"/>
  <c r="M3" i="52" a="1"/>
  <c r="M3" i="52" s="1"/>
  <c r="B9" i="51"/>
  <c r="N3" i="51" a="1"/>
  <c r="N3" i="51" s="1"/>
  <c r="M3" i="51" a="1"/>
  <c r="M3" i="51" s="1"/>
  <c r="C7" i="50" a="1"/>
  <c r="C7" i="50" s="1"/>
  <c r="E6" i="50"/>
  <c r="B10" i="51"/>
  <c r="C10" i="53"/>
  <c r="B10" i="52"/>
  <c r="E7" i="50"/>
  <c r="B7" i="48" l="1"/>
  <c r="D5" i="48" a="1"/>
  <c r="D5" i="48" s="1"/>
  <c r="D7" i="48"/>
  <c r="B41" i="47" l="1"/>
  <c r="E10" i="47"/>
  <c r="E11" i="47" s="1"/>
  <c r="E12" i="47" s="1"/>
  <c r="E13" i="47" s="1"/>
  <c r="E14" i="47" s="1"/>
  <c r="E15" i="47" s="1"/>
  <c r="E16" i="47" s="1"/>
  <c r="E17" i="47" s="1"/>
  <c r="E18" i="47" s="1"/>
  <c r="E19" i="47" s="1"/>
  <c r="E20" i="47" s="1"/>
  <c r="E21" i="47" s="1"/>
  <c r="E22" i="47" s="1"/>
  <c r="E23" i="47" s="1"/>
  <c r="E24" i="47" s="1"/>
  <c r="E25" i="47" s="1"/>
  <c r="E26" i="47" s="1"/>
  <c r="E27" i="47" s="1"/>
  <c r="E28" i="47" s="1"/>
  <c r="E29" i="47" s="1"/>
  <c r="E30" i="47" s="1"/>
  <c r="E31" i="47" s="1"/>
  <c r="E32" i="47" s="1"/>
  <c r="E33" i="47" s="1"/>
  <c r="E34" i="47" s="1"/>
  <c r="E35" i="47" s="1"/>
  <c r="D10" i="47"/>
  <c r="D11" i="47" s="1"/>
  <c r="D12" i="47" s="1"/>
  <c r="D13" i="47" s="1"/>
  <c r="D14" i="47" s="1"/>
  <c r="D15" i="47" s="1"/>
  <c r="D16" i="47" s="1"/>
  <c r="D17" i="47" s="1"/>
  <c r="D18" i="47" s="1"/>
  <c r="D19" i="47" s="1"/>
  <c r="D20" i="47" s="1"/>
  <c r="D21" i="47" s="1"/>
  <c r="D22" i="47" s="1"/>
  <c r="D23" i="47" s="1"/>
  <c r="D24" i="47" s="1"/>
  <c r="D25" i="47" s="1"/>
  <c r="D26" i="47" s="1"/>
  <c r="D27" i="47" s="1"/>
  <c r="D28" i="47" s="1"/>
  <c r="D29" i="47" s="1"/>
  <c r="D30" i="47" s="1"/>
  <c r="D31" i="47" s="1"/>
  <c r="D32" i="47" s="1"/>
  <c r="D33" i="47" s="1"/>
  <c r="D34" i="47" s="1"/>
  <c r="D35" i="47" s="1"/>
  <c r="C9" i="47"/>
  <c r="B10" i="47" s="1"/>
  <c r="C10" i="47" s="1"/>
  <c r="B11" i="47" s="1"/>
  <c r="C11" i="47" s="1"/>
  <c r="B12" i="47" s="1"/>
  <c r="C12" i="47" s="1"/>
  <c r="B13" i="47" s="1"/>
  <c r="C13" i="47" s="1"/>
  <c r="B14" i="47" s="1"/>
  <c r="C14" i="47" s="1"/>
  <c r="B15" i="47" s="1"/>
  <c r="C15" i="47" s="1"/>
  <c r="B16" i="47" s="1"/>
  <c r="C16" i="47" s="1"/>
  <c r="B17" i="47" s="1"/>
  <c r="C17" i="47" s="1"/>
  <c r="B18" i="47" s="1"/>
  <c r="C18" i="47" s="1"/>
  <c r="B19" i="47" s="1"/>
  <c r="C19" i="47" s="1"/>
  <c r="B20" i="47" s="1"/>
  <c r="C20" i="47" s="1"/>
  <c r="B21" i="47" s="1"/>
  <c r="C21" i="47" s="1"/>
  <c r="B22" i="47" s="1"/>
  <c r="C22" i="47" s="1"/>
  <c r="B23" i="47" s="1"/>
  <c r="C23" i="47" s="1"/>
  <c r="B24" i="47" s="1"/>
  <c r="C24" i="47" s="1"/>
  <c r="B25" i="47" s="1"/>
  <c r="C25" i="47" s="1"/>
  <c r="B26" i="47" s="1"/>
  <c r="C26" i="47" s="1"/>
  <c r="B27" i="47" s="1"/>
  <c r="C27" i="47" s="1"/>
  <c r="B28" i="47" s="1"/>
  <c r="C28" i="47" s="1"/>
  <c r="B29" i="47" s="1"/>
  <c r="C29" i="47" s="1"/>
  <c r="B30" i="47" s="1"/>
  <c r="C30" i="47" s="1"/>
  <c r="B31" i="47" s="1"/>
  <c r="C31" i="47" s="1"/>
  <c r="B32" i="47" s="1"/>
  <c r="C32" i="47" s="1"/>
  <c r="B33" i="47" s="1"/>
  <c r="C33" i="47" s="1"/>
  <c r="B34" i="47" s="1"/>
  <c r="C34" i="47" s="1"/>
  <c r="B35" i="47" s="1"/>
  <c r="C35" i="47" s="1"/>
  <c r="B42" i="47"/>
  <c r="E6" i="35" l="1"/>
  <c r="C6" i="46"/>
  <c r="E5" i="46"/>
  <c r="P3" i="46"/>
  <c r="B7" i="41"/>
  <c r="E5" i="40"/>
  <c r="P3" i="40"/>
  <c r="D7" i="41"/>
  <c r="E6" i="40"/>
  <c r="E6" i="46"/>
  <c r="E7" i="35"/>
  <c r="G6" i="44" l="1" a="1"/>
  <c r="G6" i="44" s="1"/>
  <c r="I5" i="44"/>
  <c r="C16" i="43"/>
  <c r="C15" i="43"/>
  <c r="C14" i="43"/>
  <c r="C13" i="43"/>
  <c r="C12" i="43"/>
  <c r="B5" i="43"/>
  <c r="B6" i="43"/>
  <c r="I6" i="44"/>
  <c r="I5" i="39" l="1"/>
  <c r="B5" i="38"/>
  <c r="I6" i="39"/>
  <c r="B6" i="38"/>
  <c r="E14" i="36" l="1"/>
  <c r="E13" i="36"/>
  <c r="E12" i="36"/>
  <c r="E11" i="36"/>
  <c r="E10" i="36"/>
  <c r="E9" i="36"/>
  <c r="E8" i="36"/>
  <c r="C5" i="36"/>
  <c r="E4" i="36"/>
  <c r="E5" i="36"/>
  <c r="C6" i="37" l="1"/>
  <c r="E5" i="37"/>
  <c r="S2" i="37"/>
  <c r="S2" i="34"/>
  <c r="E5" i="34"/>
  <c r="E6" i="34"/>
  <c r="E6" i="37"/>
  <c r="E9" i="33" l="1"/>
  <c r="E10" i="33"/>
  <c r="E11" i="33"/>
  <c r="E12" i="33"/>
  <c r="E13" i="33"/>
  <c r="E14" i="33"/>
  <c r="E8" i="33"/>
  <c r="E4" i="33"/>
  <c r="E5" i="33"/>
  <c r="C15" i="32" l="1"/>
  <c r="C14" i="32"/>
  <c r="C13" i="32"/>
  <c r="C12" i="32"/>
  <c r="C11" i="32"/>
  <c r="C10" i="32"/>
  <c r="C5" i="32"/>
  <c r="E4" i="32"/>
  <c r="C5" i="31"/>
  <c r="E4" i="31"/>
  <c r="E5" i="31"/>
  <c r="E5" i="32"/>
  <c r="E4" i="30" l="1"/>
  <c r="E4" i="29"/>
  <c r="C15" i="30"/>
  <c r="C14" i="30"/>
  <c r="C13" i="30"/>
  <c r="C12" i="30"/>
  <c r="C11" i="30"/>
  <c r="C10" i="30"/>
  <c r="E5" i="30"/>
  <c r="E5" i="29"/>
  <c r="D19" i="27" l="1"/>
  <c r="D18" i="27"/>
  <c r="D17" i="27"/>
  <c r="D16" i="27"/>
  <c r="D15" i="27"/>
  <c r="D14" i="27"/>
  <c r="E9" i="27"/>
  <c r="D19" i="26"/>
  <c r="D18" i="26"/>
  <c r="D17" i="26"/>
  <c r="D16" i="26"/>
  <c r="D15" i="26"/>
  <c r="D14" i="26"/>
  <c r="E9" i="26"/>
  <c r="D19" i="25"/>
  <c r="D18" i="25"/>
  <c r="D17" i="25"/>
  <c r="D16" i="25"/>
  <c r="D15" i="25"/>
  <c r="D14" i="25"/>
  <c r="E9" i="25"/>
  <c r="D19" i="24"/>
  <c r="D18" i="24"/>
  <c r="D17" i="24"/>
  <c r="D16" i="24"/>
  <c r="D15" i="24"/>
  <c r="D14" i="24"/>
  <c r="E9" i="24"/>
  <c r="D19" i="22"/>
  <c r="D18" i="22"/>
  <c r="D17" i="22"/>
  <c r="D16" i="22"/>
  <c r="D15" i="22"/>
  <c r="D14" i="22"/>
  <c r="E9" i="22"/>
  <c r="D19" i="20" l="1"/>
  <c r="D18" i="20"/>
  <c r="D17" i="20"/>
  <c r="D16" i="20"/>
  <c r="D15" i="20"/>
  <c r="D14" i="20"/>
  <c r="E9" i="20"/>
  <c r="E9" i="19" l="1"/>
  <c r="D19" i="19"/>
  <c r="D15" i="19"/>
  <c r="D16" i="19"/>
  <c r="D17" i="19"/>
  <c r="D18" i="19"/>
  <c r="D14" i="19"/>
  <c r="F9" i="17"/>
  <c r="F9" i="15" l="1"/>
  <c r="F9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4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<sst xmlns="http://schemas.openxmlformats.org/spreadsheetml/2006/main" count="3421" uniqueCount="686">
  <si>
    <t>[search_mode] =</t>
  </si>
  <si>
    <t>Ex</t>
  </si>
  <si>
    <t>First</t>
  </si>
  <si>
    <t>Last</t>
  </si>
  <si>
    <t>Department</t>
  </si>
  <si>
    <t>StartDate</t>
  </si>
  <si>
    <t>ProductID</t>
  </si>
  <si>
    <t>Product</t>
  </si>
  <si>
    <t>Cost</t>
  </si>
  <si>
    <t>Price</t>
  </si>
  <si>
    <t>Quad</t>
  </si>
  <si>
    <t>Carlota</t>
  </si>
  <si>
    <t>Aspen</t>
  </si>
  <si>
    <t>Yanaki</t>
  </si>
  <si>
    <t>Sunshine</t>
  </si>
  <si>
    <t>C20G-4398</t>
  </si>
  <si>
    <t>A25C-4884</t>
  </si>
  <si>
    <t>Y30C-4942</t>
  </si>
  <si>
    <t>S35G-4382</t>
  </si>
  <si>
    <t>Q22G-9634</t>
  </si>
  <si>
    <t>What is Lookup?</t>
  </si>
  <si>
    <t>Lookup Table:</t>
  </si>
  <si>
    <t>1) Lookup the item "Quad"</t>
  </si>
  <si>
    <t>4) Look in the price range to find the 3rd price.</t>
  </si>
  <si>
    <t>2) Is exact match for "Quad" in product range?</t>
  </si>
  <si>
    <t>3) If yes, what is relative position (index) of "Quad"? Index = 3.</t>
  </si>
  <si>
    <t>5) Get price of 43.95 and bring back to the cell.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</si>
  <si>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product price using "Exact match lookup"</t>
    </r>
  </si>
  <si>
    <r>
      <t>Goal:</t>
    </r>
    <r>
      <rPr>
        <sz val="11"/>
        <color theme="1"/>
        <rFont val="Calibri"/>
        <family val="2"/>
        <scheme val="minor"/>
      </rPr>
      <t xml:space="preserve"> Lookup product price using "Exact match lookup"</t>
    </r>
  </si>
  <si>
    <t>Tax Rate</t>
  </si>
  <si>
    <t>Weekly Earnings</t>
  </si>
  <si>
    <t>Weekly Earnings
Lower Limit</t>
  </si>
  <si>
    <t>Range of Earnings</t>
  </si>
  <si>
    <r>
      <t>Goal:</t>
    </r>
    <r>
      <rPr>
        <sz val="11"/>
        <color theme="1"/>
        <rFont val="Calibri"/>
        <family val="2"/>
        <scheme val="minor"/>
      </rPr>
      <t xml:space="preserve"> Lookup earnings tax rate using "Exact match or next smaller lookup"</t>
    </r>
  </si>
  <si>
    <t>4) Look in the price range to find the 3rd price</t>
  </si>
  <si>
    <t>5) Get price of 43.95 and bring back to the cell</t>
  </si>
  <si>
    <t>3) If yes, what is relative position (index) of "Quad"? Index = 3</t>
  </si>
  <si>
    <r>
      <rPr>
        <b/>
        <sz val="13"/>
        <color theme="1"/>
        <rFont val="Calibri"/>
        <family val="2"/>
        <scheme val="minor"/>
      </rPr>
      <t>0 - Exact Match</t>
    </r>
    <r>
      <rPr>
        <sz val="13"/>
        <color theme="1"/>
        <rFont val="Calibri"/>
        <family val="2"/>
        <scheme val="minor"/>
      </rPr>
      <t xml:space="preserve"> = Default. "Quad" matches "Quad". "Quad  " does NOT match "Quad". If no match and nothing in 4th argument, #N/A.</t>
    </r>
  </si>
  <si>
    <r>
      <rPr>
        <b/>
        <sz val="13"/>
        <color theme="1"/>
        <rFont val="Calibri"/>
        <family val="2"/>
        <scheme val="minor"/>
      </rPr>
      <t>-1 - Exact Match or Next Smaller</t>
    </r>
    <r>
      <rPr>
        <sz val="13"/>
        <color theme="1"/>
        <rFont val="Calibri"/>
        <family val="2"/>
        <scheme val="minor"/>
      </rPr>
      <t xml:space="preserve"> = Use for items like tax rates and commission rates. Values do not have to be sorted.</t>
    </r>
  </si>
  <si>
    <r>
      <rPr>
        <b/>
        <sz val="13"/>
        <color theme="1"/>
        <rFont val="Calibri"/>
        <family val="2"/>
        <scheme val="minor"/>
      </rPr>
      <t>1 - Exact Match or Next Bigger</t>
    </r>
    <r>
      <rPr>
        <sz val="13"/>
        <color theme="1"/>
        <rFont val="Calibri"/>
        <family val="2"/>
        <scheme val="minor"/>
      </rPr>
      <t xml:space="preserve"> = Use for items like square footage. Values do not have to be sorted.</t>
    </r>
  </si>
  <si>
    <r>
      <rPr>
        <b/>
        <sz val="13"/>
        <color theme="1"/>
        <rFont val="Calibri"/>
        <family val="2"/>
        <scheme val="minor"/>
      </rPr>
      <t>2 - Wildcards</t>
    </r>
    <r>
      <rPr>
        <sz val="13"/>
        <color theme="1"/>
        <rFont val="Calibri"/>
        <family val="2"/>
        <scheme val="minor"/>
      </rPr>
      <t xml:space="preserve"> =&gt;  *  = zero or more characters,  ?  = single character.  "Quad*" finds anything that begins with "Quad".  "*?" finds any text.</t>
    </r>
  </si>
  <si>
    <r>
      <rPr>
        <b/>
        <sz val="13"/>
        <color theme="1"/>
        <rFont val="Calibri"/>
        <family val="2"/>
        <scheme val="minor"/>
      </rPr>
      <t>1 - Search First to Last</t>
    </r>
    <r>
      <rPr>
        <sz val="13"/>
        <color theme="1"/>
        <rFont val="Calibri"/>
        <family val="2"/>
        <scheme val="minor"/>
      </rPr>
      <t xml:space="preserve"> = Default. When there are duplicates, it gets </t>
    </r>
    <r>
      <rPr>
        <b/>
        <sz val="13"/>
        <color theme="1"/>
        <rFont val="Calibri"/>
        <family val="2"/>
        <scheme val="minor"/>
      </rPr>
      <t>FIRST</t>
    </r>
    <r>
      <rPr>
        <sz val="13"/>
        <color theme="1"/>
        <rFont val="Calibri"/>
        <family val="2"/>
        <scheme val="minor"/>
      </rPr>
      <t xml:space="preserve"> ONE!</t>
    </r>
  </si>
  <si>
    <r>
      <rPr>
        <b/>
        <sz val="13"/>
        <color theme="1"/>
        <rFont val="Calibri"/>
        <family val="2"/>
        <scheme val="minor"/>
      </rPr>
      <t xml:space="preserve">-1 - Search Last To First </t>
    </r>
    <r>
      <rPr>
        <sz val="13"/>
        <color theme="1"/>
        <rFont val="Calibri"/>
        <family val="2"/>
        <scheme val="minor"/>
      </rPr>
      <t xml:space="preserve">= When there are Duplicates, it gets </t>
    </r>
    <r>
      <rPr>
        <b/>
        <sz val="13"/>
        <color theme="1"/>
        <rFont val="Calibri"/>
        <family val="2"/>
        <scheme val="minor"/>
      </rPr>
      <t>LAST</t>
    </r>
    <r>
      <rPr>
        <sz val="13"/>
        <color theme="1"/>
        <rFont val="Calibri"/>
        <family val="2"/>
        <scheme val="minor"/>
      </rPr>
      <t xml:space="preserve"> ONE!</t>
    </r>
  </si>
  <si>
    <r>
      <rPr>
        <b/>
        <sz val="13"/>
        <color theme="1"/>
        <rFont val="Calibri"/>
        <family val="2"/>
        <scheme val="minor"/>
      </rPr>
      <t>2 - Binary search for Smallest To Biggest Sort</t>
    </r>
    <r>
      <rPr>
        <sz val="13"/>
        <color theme="1"/>
        <rFont val="Calibri"/>
        <family val="2"/>
        <scheme val="minor"/>
      </rPr>
      <t xml:space="preserve"> = Column must be sorted. Like old VLOOKUP and MATCH Approximate Match Lookup.</t>
    </r>
  </si>
  <si>
    <r>
      <rPr>
        <b/>
        <sz val="13"/>
        <color theme="1"/>
        <rFont val="Calibri"/>
        <family val="2"/>
        <scheme val="minor"/>
      </rPr>
      <t>2 - Binary search for Biggest To Smallest Sort</t>
    </r>
    <r>
      <rPr>
        <sz val="13"/>
        <color theme="1"/>
        <rFont val="Calibri"/>
        <family val="2"/>
        <scheme val="minor"/>
      </rPr>
      <t xml:space="preserve"> = Column must be sorted. Like old MATCH -1 Approximate Match Lookup.</t>
    </r>
  </si>
  <si>
    <r>
      <t>XLOOKUP(</t>
    </r>
    <r>
      <rPr>
        <b/>
        <sz val="13"/>
        <color rgb="FF0000FF"/>
        <rFont val="Calibri"/>
        <family val="2"/>
        <scheme val="minor"/>
      </rPr>
      <t>lookup_value</t>
    </r>
    <r>
      <rPr>
        <b/>
        <sz val="13"/>
        <color rgb="FF333333"/>
        <rFont val="Calibri"/>
        <family val="2"/>
        <scheme val="minor"/>
      </rPr>
      <t>,</t>
    </r>
    <r>
      <rPr>
        <b/>
        <sz val="13"/>
        <color rgb="FF00B050"/>
        <rFont val="Calibri"/>
        <family val="2"/>
        <scheme val="minor"/>
      </rPr>
      <t>lookup_array</t>
    </r>
    <r>
      <rPr>
        <b/>
        <sz val="13"/>
        <color rgb="FF333333"/>
        <rFont val="Calibri"/>
        <family val="2"/>
        <scheme val="minor"/>
      </rPr>
      <t>,</t>
    </r>
    <r>
      <rPr>
        <b/>
        <sz val="13"/>
        <color rgb="FFFF0000"/>
        <rFont val="Calibri"/>
        <family val="2"/>
        <scheme val="minor"/>
      </rPr>
      <t>return_array</t>
    </r>
    <r>
      <rPr>
        <b/>
        <sz val="13"/>
        <color rgb="FF333333"/>
        <rFont val="Calibri"/>
        <family val="2"/>
        <scheme val="minor"/>
      </rPr>
      <t>,</t>
    </r>
    <r>
      <rPr>
        <b/>
        <sz val="13"/>
        <color rgb="FF002060"/>
        <rFont val="Calibri"/>
        <family val="2"/>
        <scheme val="minor"/>
      </rPr>
      <t>[if_not_found],</t>
    </r>
    <r>
      <rPr>
        <b/>
        <sz val="13"/>
        <color rgb="FF7030A0"/>
        <rFont val="Calibri"/>
        <family val="2"/>
        <scheme val="minor"/>
      </rPr>
      <t>[match_mode]</t>
    </r>
    <r>
      <rPr>
        <b/>
        <sz val="13"/>
        <color rgb="FF333333"/>
        <rFont val="Calibri"/>
        <family val="2"/>
        <scheme val="minor"/>
      </rPr>
      <t>,</t>
    </r>
    <r>
      <rPr>
        <b/>
        <sz val="13"/>
        <color rgb="FFFFC000"/>
        <rFont val="Calibri"/>
        <family val="2"/>
        <scheme val="minor"/>
      </rPr>
      <t>[search_mode]</t>
    </r>
    <r>
      <rPr>
        <b/>
        <sz val="13"/>
        <color rgb="FF333333"/>
        <rFont val="Calibri"/>
        <family val="2"/>
        <scheme val="minor"/>
      </rPr>
      <t>)</t>
    </r>
  </si>
  <si>
    <r>
      <rPr>
        <b/>
        <sz val="13"/>
        <color rgb="FF0000FF"/>
        <rFont val="Calibri"/>
        <family val="2"/>
        <scheme val="minor"/>
      </rPr>
      <t>lookup_value</t>
    </r>
    <r>
      <rPr>
        <b/>
        <sz val="13"/>
        <color rgb="FF333333"/>
        <rFont val="Calibri"/>
        <family val="2"/>
        <scheme val="minor"/>
      </rPr>
      <t xml:space="preserve"> = item used to find match in </t>
    </r>
    <r>
      <rPr>
        <b/>
        <sz val="13"/>
        <color rgb="FF00B050"/>
        <rFont val="Calibri"/>
        <family val="2"/>
        <scheme val="minor"/>
      </rPr>
      <t>lookup_array</t>
    </r>
  </si>
  <si>
    <r>
      <rPr>
        <b/>
        <sz val="13"/>
        <color rgb="FF00B050"/>
        <rFont val="Calibri"/>
        <family val="2"/>
        <scheme val="minor"/>
      </rPr>
      <t>lookup_array</t>
    </r>
    <r>
      <rPr>
        <b/>
        <sz val="13"/>
        <color rgb="FF333333"/>
        <rFont val="Calibri"/>
        <family val="2"/>
        <scheme val="minor"/>
      </rPr>
      <t xml:space="preserve"> = yields relative position to be used to retrieve item in </t>
    </r>
    <r>
      <rPr>
        <b/>
        <sz val="13"/>
        <color rgb="FFFF0000"/>
        <rFont val="Calibri"/>
        <family val="2"/>
        <scheme val="minor"/>
      </rPr>
      <t>return_array</t>
    </r>
  </si>
  <si>
    <r>
      <rPr>
        <b/>
        <sz val="13"/>
        <color rgb="FFFF0000"/>
        <rFont val="Calibri"/>
        <family val="2"/>
        <scheme val="minor"/>
      </rPr>
      <t>return_array</t>
    </r>
    <r>
      <rPr>
        <b/>
        <sz val="13"/>
        <color rgb="FF333333"/>
        <rFont val="Calibri"/>
        <family val="2"/>
        <scheme val="minor"/>
      </rPr>
      <t xml:space="preserve"> = contains items that you want to lookup or retrieve</t>
    </r>
  </si>
  <si>
    <r>
      <rPr>
        <b/>
        <sz val="13"/>
        <color rgb="FF002060"/>
        <rFont val="Calibri"/>
        <family val="2"/>
        <scheme val="minor"/>
      </rPr>
      <t xml:space="preserve">[if_not_found] </t>
    </r>
    <r>
      <rPr>
        <b/>
        <sz val="13"/>
        <color rgb="FF333333"/>
        <rFont val="Calibri"/>
        <family val="2"/>
        <scheme val="minor"/>
      </rPr>
      <t xml:space="preserve">= what to put in cell if </t>
    </r>
    <r>
      <rPr>
        <b/>
        <sz val="13"/>
        <color rgb="FF0000FF"/>
        <rFont val="Calibri"/>
        <family val="2"/>
        <scheme val="minor"/>
      </rPr>
      <t>lookup_value</t>
    </r>
    <r>
      <rPr>
        <b/>
        <sz val="13"/>
        <color rgb="FF333333"/>
        <rFont val="Calibri"/>
        <family val="2"/>
        <scheme val="minor"/>
      </rPr>
      <t xml:space="preserve"> is not found in </t>
    </r>
    <r>
      <rPr>
        <b/>
        <sz val="13"/>
        <color rgb="FF00B050"/>
        <rFont val="Calibri"/>
        <family val="2"/>
        <scheme val="minor"/>
      </rPr>
      <t>lookup_array</t>
    </r>
  </si>
  <si>
    <r>
      <rPr>
        <b/>
        <sz val="13"/>
        <color rgb="FF7030A0"/>
        <rFont val="Calibri"/>
        <family val="2"/>
        <scheme val="minor"/>
      </rPr>
      <t>[match_mode]</t>
    </r>
    <r>
      <rPr>
        <b/>
        <sz val="13"/>
        <color rgb="FF333333"/>
        <rFont val="Calibri"/>
        <family val="2"/>
        <scheme val="minor"/>
      </rPr>
      <t xml:space="preserve"> =</t>
    </r>
  </si>
  <si>
    <r>
      <t xml:space="preserve">* </t>
    </r>
    <r>
      <rPr>
        <b/>
        <sz val="13"/>
        <color rgb="FF00B050"/>
        <rFont val="Calibri"/>
        <family val="2"/>
        <scheme val="minor"/>
      </rPr>
      <t>lookup_array</t>
    </r>
    <r>
      <rPr>
        <b/>
        <sz val="13"/>
        <color rgb="FF333333"/>
        <rFont val="Calibri"/>
        <family val="2"/>
        <scheme val="minor"/>
      </rPr>
      <t xml:space="preserve"> and </t>
    </r>
    <r>
      <rPr>
        <b/>
        <sz val="13"/>
        <color rgb="FFFF0000"/>
        <rFont val="Calibri"/>
        <family val="2"/>
        <scheme val="minor"/>
      </rPr>
      <t>return_array</t>
    </r>
    <r>
      <rPr>
        <b/>
        <sz val="13"/>
        <color rgb="FF333333"/>
        <rFont val="Calibri"/>
        <family val="2"/>
        <scheme val="minor"/>
      </rPr>
      <t xml:space="preserve"> must be the same size.</t>
    </r>
  </si>
  <si>
    <t>#2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</si>
  <si>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earnings tax rate using "Exact match or next smaller lookup"</t>
    </r>
  </si>
  <si>
    <t>Earnings</t>
  </si>
  <si>
    <t>Range</t>
  </si>
  <si>
    <t>TaxRate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</si>
  <si>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Retrieve land square footage based on pipe size.</t>
    </r>
  </si>
  <si>
    <t>Hourly Rainfall (in.)</t>
  </si>
  <si>
    <t>Pipe Size (in.)</t>
  </si>
  <si>
    <t>Total Sq. Ft. Covered Per Drain</t>
  </si>
  <si>
    <t>Max Land Square Footage for Pipe Size</t>
  </si>
  <si>
    <t>Drain Pipe Size  (in.)</t>
  </si>
  <si>
    <t>#3</t>
  </si>
  <si>
    <t>Pipe Size  Required</t>
  </si>
  <si>
    <t>Implied category:</t>
  </si>
  <si>
    <t>City</t>
  </si>
  <si>
    <t>Coca Cola</t>
  </si>
  <si>
    <t>Coca Cola Inc.</t>
  </si>
  <si>
    <t>Atlanta</t>
  </si>
  <si>
    <t>Pepsi Cola Inc.</t>
  </si>
  <si>
    <t>NY</t>
  </si>
  <si>
    <t>RC Cola</t>
  </si>
  <si>
    <t>KC</t>
  </si>
  <si>
    <t>Shasta Drinks</t>
  </si>
  <si>
    <t>Calistoga</t>
  </si>
  <si>
    <t>#4</t>
  </si>
  <si>
    <t>Example of: Wildcard lookup (synonyms: partial text lookup, fuzzy lookup)</t>
  </si>
  <si>
    <t>Company (partial text)</t>
  </si>
  <si>
    <t>Company
(full text)</t>
  </si>
  <si>
    <t>#5</t>
  </si>
  <si>
    <t>Land Square Footage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</si>
  <si>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Coca Cola and get a match for Coca Cola Inc.</t>
    </r>
  </si>
  <si>
    <r>
      <t>Goal:</t>
    </r>
    <r>
      <rPr>
        <sz val="11"/>
        <color theme="1"/>
        <rFont val="Calibri"/>
        <family val="2"/>
        <scheme val="minor"/>
      </rPr>
      <t xml:space="preserve"> Lookup Coca Cola and get a match for Coca Cola Inc.</t>
    </r>
  </si>
  <si>
    <t>Example of: Wildcard lookup (partial text lookup, fuzzy lookup)</t>
  </si>
  <si>
    <t>#6</t>
  </si>
  <si>
    <t>#7</t>
  </si>
  <si>
    <t>Employee</t>
  </si>
  <si>
    <t>x</t>
  </si>
  <si>
    <t>Chin</t>
  </si>
  <si>
    <t>Gigi</t>
  </si>
  <si>
    <t>Sioux</t>
  </si>
  <si>
    <t>Chantel</t>
  </si>
  <si>
    <t>Billy</t>
  </si>
  <si>
    <t>"Get First" when there are duplicates.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</si>
  <si>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first date worked on project.</t>
    </r>
  </si>
  <si>
    <t>Date</t>
  </si>
  <si>
    <t>Sales Rep</t>
  </si>
  <si>
    <t>Sales</t>
  </si>
  <si>
    <t>Last Sale</t>
  </si>
  <si>
    <t>"Get Last" when there are duplicates.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</si>
  <si>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last sale for each sales rep.</t>
    </r>
  </si>
  <si>
    <t>Enter and copy to rows below.</t>
  </si>
  <si>
    <t>Enter and it spills down to rows below.</t>
  </si>
  <si>
    <t>"x" marks when employee worked on project.</t>
  </si>
  <si>
    <t>First Date
Worked</t>
  </si>
  <si>
    <t>Day 1</t>
  </si>
  <si>
    <t>Day 2</t>
  </si>
  <si>
    <t>Day 3</t>
  </si>
  <si>
    <t>Day 4</t>
  </si>
  <si>
    <t>Rand Num Generator:</t>
  </si>
  <si>
    <t>Select Day:</t>
  </si>
  <si>
    <t>Total Units</t>
  </si>
  <si>
    <t>Units by Day:</t>
  </si>
  <si>
    <t>Hour</t>
  </si>
  <si>
    <t>4369-9084</t>
  </si>
  <si>
    <t>4369-4774</t>
  </si>
  <si>
    <t>4369-2234</t>
  </si>
  <si>
    <t>4369-3979</t>
  </si>
  <si>
    <t>CellPhone</t>
  </si>
  <si>
    <t>206-767-2190</t>
  </si>
  <si>
    <t>Accounting</t>
  </si>
  <si>
    <t>Ty</t>
  </si>
  <si>
    <t>Smithe</t>
  </si>
  <si>
    <t>435-398-5510</t>
  </si>
  <si>
    <t>Finance</t>
  </si>
  <si>
    <t>Sy</t>
  </si>
  <si>
    <t>206-337-0288</t>
  </si>
  <si>
    <t>Kip</t>
  </si>
  <si>
    <t>206-821-4452</t>
  </si>
  <si>
    <t>Maintenance</t>
  </si>
  <si>
    <t>Hensel</t>
  </si>
  <si>
    <t>EmployeeID</t>
  </si>
  <si>
    <t>Ex #8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</si>
  <si>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column and then aggregate as sum.</t>
    </r>
  </si>
  <si>
    <t>Add total units by Day selected in cell C5.</t>
  </si>
  <si>
    <r>
      <t xml:space="preserve">Goal: </t>
    </r>
    <r>
      <rPr>
        <sz val="11"/>
        <color theme="1"/>
        <rFont val="Calibri"/>
        <family val="2"/>
        <scheme val="minor"/>
      </rPr>
      <t>Lookup employee record based on EmployeeID in cell B5.</t>
    </r>
  </si>
  <si>
    <t>#9</t>
  </si>
  <si>
    <t>And the number of withholding allowances claimed is—</t>
  </si>
  <si>
    <t>At least</t>
  </si>
  <si>
    <t>But less than</t>
  </si>
  <si>
    <t>The amount of income tax to be withheld is—</t>
  </si>
  <si>
    <r>
      <t xml:space="preserve">Goal: </t>
    </r>
    <r>
      <rPr>
        <sz val="11"/>
        <color theme="1"/>
        <rFont val="Calibri"/>
        <family val="2"/>
        <scheme val="minor"/>
      </rPr>
      <t>Lookup federal income tax deduction based on gross pay and allowances.</t>
    </r>
  </si>
  <si>
    <t>If the gross pay is:</t>
  </si>
  <si>
    <t>Gross Pay</t>
  </si>
  <si>
    <t>Allowance</t>
  </si>
  <si>
    <t>Fed Tax Deduction</t>
  </si>
  <si>
    <t>Perform 2-way look, with row header &amp; column header determining intersecting lookup value.</t>
  </si>
  <si>
    <t>SINGLE Person—WEEKLY Payroll Period</t>
  </si>
  <si>
    <r>
      <t>Goal:</t>
    </r>
    <r>
      <rPr>
        <sz val="11"/>
        <color theme="1"/>
        <rFont val="Calibri"/>
        <family val="2"/>
        <scheme val="minor"/>
      </rPr>
      <t xml:space="preserve"> Lookup "Roof Sq. Ft." based on "Pipe Size (in.)" and "Hourly Rainfall (in.).</t>
    </r>
  </si>
  <si>
    <t>#10</t>
  </si>
  <si>
    <t>Oakland</t>
  </si>
  <si>
    <t>Seattle</t>
  </si>
  <si>
    <t>Tacoma</t>
  </si>
  <si>
    <t>Store</t>
  </si>
  <si>
    <r>
      <t xml:space="preserve">Goal: </t>
    </r>
    <r>
      <rPr>
        <sz val="11"/>
        <color theme="1"/>
        <rFont val="Calibri"/>
        <family val="2"/>
        <scheme val="minor"/>
      </rPr>
      <t>Lookup price based on product &amp; store.</t>
    </r>
  </si>
  <si>
    <t>Two value lookup to determine price.</t>
  </si>
  <si>
    <t>#11</t>
  </si>
  <si>
    <t>#12</t>
  </si>
  <si>
    <t>Flight Range</t>
  </si>
  <si>
    <t>Boomerang Product</t>
  </si>
  <si>
    <t>Majestic Beaut</t>
  </si>
  <si>
    <t>Phenolic Sunshine</t>
  </si>
  <si>
    <t>Manu Distance</t>
  </si>
  <si>
    <t>25 - meters</t>
  </si>
  <si>
    <t>30 - meters</t>
  </si>
  <si>
    <r>
      <t xml:space="preserve">Goal: </t>
    </r>
    <r>
      <rPr>
        <sz val="11"/>
        <color theme="1"/>
        <rFont val="Calibri"/>
        <family val="2"/>
        <scheme val="minor"/>
      </rPr>
      <t>Lookup boomerang product based on flight range.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</si>
  <si>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Any math operation performed on text numbers will convert them back to numbers: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</si>
  <si>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XLOOKUP looks up product name in a column that is to the left of the lookup_array: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</si>
  <si>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The "Exact match or next smaller lookup" returns "Majestic Beaut" boomerang.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</si>
  <si>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The flight range, as numbers, now sits in lookup_array argument: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</si>
  <si>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LEFT function delivers the two left characters from columns as text numbers:</t>
    </r>
  </si>
  <si>
    <r>
      <rPr>
        <b/>
        <sz val="11"/>
        <color theme="1"/>
        <rFont val="Calibri"/>
        <family val="2"/>
        <scheme val="minor"/>
      </rPr>
      <t>Issue #2:</t>
    </r>
    <r>
      <rPr>
        <sz val="11"/>
        <color theme="1"/>
        <rFont val="Calibri"/>
        <family val="2"/>
        <scheme val="minor"/>
      </rPr>
      <t xml:space="preserve"> With match in flight range column, lookup to the left and get boomerang product name.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</si>
  <si>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LEFT function makes function argument array calculation on flight range column:</t>
    </r>
  </si>
  <si>
    <t>A</t>
  </si>
  <si>
    <t>B</t>
  </si>
  <si>
    <t>C</t>
  </si>
  <si>
    <t>D</t>
  </si>
  <si>
    <t>F</t>
  </si>
  <si>
    <t>% Grade</t>
  </si>
  <si>
    <t>Letter Grade</t>
  </si>
  <si>
    <r>
      <t xml:space="preserve">Goal: </t>
    </r>
    <r>
      <rPr>
        <sz val="11"/>
        <color theme="1"/>
        <rFont val="Calibri"/>
        <family val="2"/>
        <scheme val="minor"/>
      </rPr>
      <t>XLOOKUP can use vertical or horizontal lookup tables.</t>
    </r>
  </si>
  <si>
    <t>Vertical Lookup Table:</t>
  </si>
  <si>
    <t>Horizontal Lookup Table:</t>
  </si>
  <si>
    <t>Student:</t>
  </si>
  <si>
    <t>% Grade:</t>
  </si>
  <si>
    <t>Letter Grade:</t>
  </si>
  <si>
    <t>Mar</t>
  </si>
  <si>
    <t>Apr</t>
  </si>
  <si>
    <t>May</t>
  </si>
  <si>
    <t>Jun</t>
  </si>
  <si>
    <t>Jul</t>
  </si>
  <si>
    <t>CA</t>
  </si>
  <si>
    <t>WA</t>
  </si>
  <si>
    <t>OR</t>
  </si>
  <si>
    <t>NV</t>
  </si>
  <si>
    <t>AZ</t>
  </si>
  <si>
    <t>Start Month:</t>
  </si>
  <si>
    <t>End Month:</t>
  </si>
  <si>
    <t>Total Cases:</t>
  </si>
  <si>
    <t>State:</t>
  </si>
  <si>
    <r>
      <t xml:space="preserve">Month </t>
    </r>
    <r>
      <rPr>
        <sz val="11"/>
        <color theme="0"/>
        <rFont val="Wingdings"/>
        <charset val="2"/>
      </rPr>
      <t>è</t>
    </r>
  </si>
  <si>
    <r>
      <t xml:space="preserve">State </t>
    </r>
    <r>
      <rPr>
        <sz val="11"/>
        <color theme="0"/>
        <rFont val="Wingdings"/>
        <charset val="2"/>
      </rPr>
      <t>ê</t>
    </r>
  </si>
  <si>
    <r>
      <t>=SUM(XLOOKUP(C12,B6:B10,</t>
    </r>
    <r>
      <rPr>
        <b/>
        <sz val="11"/>
        <color theme="1"/>
        <rFont val="Calibri"/>
        <family val="2"/>
        <scheme val="minor"/>
      </rPr>
      <t>E6:H10</t>
    </r>
    <r>
      <rPr>
        <sz val="11"/>
        <color theme="1"/>
        <rFont val="Calibri"/>
        <family val="2"/>
        <scheme val="minor"/>
      </rPr>
      <t>))</t>
    </r>
  </si>
  <si>
    <r>
      <t xml:space="preserve">1. </t>
    </r>
    <r>
      <rPr>
        <sz val="11"/>
        <color theme="1"/>
        <rFont val="Calibri"/>
        <family val="2"/>
        <scheme val="minor"/>
      </rPr>
      <t>The colon operator forces the bookend XLOOKUP function to lookup cell references:</t>
    </r>
  </si>
  <si>
    <r>
      <t>=SUM(XLOOKUP(C12,B6:B10,</t>
    </r>
    <r>
      <rPr>
        <b/>
        <sz val="11"/>
        <color theme="1"/>
        <rFont val="Calibri"/>
        <family val="2"/>
        <scheme val="minor"/>
      </rPr>
      <t xml:space="preserve">XLOOKUP(C13,C4:I4,C6:I6) </t>
    </r>
    <r>
      <rPr>
        <b/>
        <sz val="16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XLOOKUP(C14,C4:I4,C10:I10)</t>
    </r>
    <r>
      <rPr>
        <sz val="11"/>
        <color theme="1"/>
        <rFont val="Calibri"/>
        <family val="2"/>
        <scheme val="minor"/>
      </rPr>
      <t>))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</si>
  <si>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The two XLOOKUP functions deliver the two cell reference, E6 and H10 to create the range E6:H10:</t>
    </r>
  </si>
  <si>
    <t xml:space="preserve">Ex </t>
  </si>
  <si>
    <t>#14</t>
  </si>
  <si>
    <t>#13</t>
  </si>
  <si>
    <t>Aug</t>
  </si>
  <si>
    <t>Sep</t>
  </si>
  <si>
    <t>Number Reported Covid-19 Cases</t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</si>
  <si>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From the range, E6:H10, XLOOKUP looks up the row for "NV" and delivers the fours values:</t>
    </r>
  </si>
  <si>
    <r>
      <t>=SUM(</t>
    </r>
    <r>
      <rPr>
        <b/>
        <sz val="11"/>
        <color theme="1"/>
        <rFont val="Calibri"/>
        <family val="2"/>
        <scheme val="minor"/>
      </rPr>
      <t>{3595,9863,29632,21140}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</si>
  <si>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SUM adds the result to get: </t>
    </r>
    <r>
      <rPr>
        <b/>
        <sz val="11"/>
        <color theme="1"/>
        <rFont val="Calibri"/>
        <family val="2"/>
        <scheme val="minor"/>
      </rPr>
      <t>64,230</t>
    </r>
    <r>
      <rPr>
        <sz val="11"/>
        <color theme="1"/>
        <rFont val="Calibri"/>
        <family val="2"/>
        <scheme val="minor"/>
      </rPr>
      <t>.</t>
    </r>
  </si>
  <si>
    <r>
      <t xml:space="preserve">Goal: </t>
    </r>
    <r>
      <rPr>
        <sz val="11"/>
        <color theme="1"/>
        <rFont val="Calibri"/>
        <family val="2"/>
        <scheme val="minor"/>
      </rPr>
      <t>Allow user to select state and start/end month to then add the number of reported covid-19 cases.</t>
    </r>
  </si>
  <si>
    <r>
      <t xml:space="preserve">Calc. steps:  </t>
    </r>
    <r>
      <rPr>
        <b/>
        <sz val="11"/>
        <color theme="0"/>
        <rFont val="Calibri"/>
        <family val="2"/>
        <scheme val="minor"/>
      </rPr>
      <t>=SUM(XLOOKUP(C12,B6:B10,XLOOKUP(C13,C4:I4,C6:I6):XLOOKUP(C14,C4:I4,C10:I10)))</t>
    </r>
  </si>
  <si>
    <t>Picture</t>
  </si>
  <si>
    <t>V</t>
  </si>
  <si>
    <t>Deuce</t>
  </si>
  <si>
    <r>
      <t xml:space="preserve">Goal: </t>
    </r>
    <r>
      <rPr>
        <sz val="11"/>
        <color theme="1"/>
        <rFont val="Calibri"/>
        <family val="2"/>
        <scheme val="minor"/>
      </rPr>
      <t>Lookup Picture for boomerang product.</t>
    </r>
  </si>
  <si>
    <t>Use Defined Name formula in picture to do lookup.</t>
  </si>
  <si>
    <t>LookupPicture</t>
  </si>
  <si>
    <t>=XLOOKUP('Ch14(38-40)'!$B$6,'Ch14(38-40)'!$B$9:$B$12,'Ch14(38-40)'!$D$9:$D$12)</t>
  </si>
  <si>
    <t>Signups</t>
  </si>
  <si>
    <t>Relative Position?</t>
  </si>
  <si>
    <t>Signups Sat. Event</t>
  </si>
  <si>
    <t>Signups Sun. Event</t>
  </si>
  <si>
    <t>Miki</t>
  </si>
  <si>
    <t>Fran</t>
  </si>
  <si>
    <t>In Both?</t>
  </si>
  <si>
    <t>#16</t>
  </si>
  <si>
    <t>#15</t>
  </si>
  <si>
    <t>Contestant</t>
  </si>
  <si>
    <t>#17</t>
  </si>
  <si>
    <r>
      <t xml:space="preserve">Goal: </t>
    </r>
    <r>
      <rPr>
        <sz val="11"/>
        <color theme="1"/>
        <rFont val="Calibri"/>
        <family val="2"/>
        <scheme val="minor"/>
      </rPr>
      <t>Conditionally format to names from Sunday list that are also in Saturday list.</t>
    </r>
  </si>
  <si>
    <t>Sunday List</t>
  </si>
  <si>
    <t>Saturday List</t>
  </si>
  <si>
    <t>Abdi</t>
  </si>
  <si>
    <t>Stock</t>
  </si>
  <si>
    <t>MSFT</t>
  </si>
  <si>
    <t>20 - m flight</t>
  </si>
  <si>
    <t>35 - m flight</t>
  </si>
  <si>
    <t>40 - m flight</t>
  </si>
  <si>
    <t>50 - m flight</t>
  </si>
  <si>
    <t>70 - apex (m)</t>
  </si>
  <si>
    <r>
      <rPr>
        <b/>
        <sz val="11"/>
        <color theme="1"/>
        <rFont val="Calibri"/>
        <family val="2"/>
        <scheme val="minor"/>
      </rPr>
      <t>Issue #1:</t>
    </r>
    <r>
      <rPr>
        <sz val="11"/>
        <color theme="1"/>
        <rFont val="Calibri"/>
        <family val="2"/>
        <scheme val="minor"/>
      </rPr>
      <t xml:space="preserve"> Need to match lookup_value, 45, with the first two characters for each item in flight range column.</t>
    </r>
  </si>
  <si>
    <t>XMATCH(lookup_value,lookup_array,[match_mode],[search_mode])</t>
  </si>
  <si>
    <t>lookup_value = item used to find match in lookup_array</t>
  </si>
  <si>
    <t>lookup_array = item to be matched with lookup_value to yield a relative position. Can be a column or a row.</t>
  </si>
  <si>
    <t>[match_mode] = same as XLOOKUP</t>
  </si>
  <si>
    <t>[search_mode] = same as XLOOKUP</t>
  </si>
  <si>
    <t>Constance Bryant</t>
  </si>
  <si>
    <t>Santiago Lloyd</t>
  </si>
  <si>
    <t>Daryl West</t>
  </si>
  <si>
    <t>Elsie Manning</t>
  </si>
  <si>
    <t>Richard Woods</t>
  </si>
  <si>
    <t>Clay Cruz</t>
  </si>
  <si>
    <t>Irma Hubbard</t>
  </si>
  <si>
    <t>Kelly Christensen</t>
  </si>
  <si>
    <t>Lee Hale</t>
  </si>
  <si>
    <t>Maxine Cook</t>
  </si>
  <si>
    <t>Random Draw</t>
  </si>
  <si>
    <t>Office Employees</t>
  </si>
  <si>
    <t>#19</t>
  </si>
  <si>
    <t>State</t>
  </si>
  <si>
    <t>Supplier</t>
  </si>
  <si>
    <t>Category</t>
  </si>
  <si>
    <t>Col. Boom</t>
  </si>
  <si>
    <t>Gel Boom</t>
  </si>
  <si>
    <t>CO</t>
  </si>
  <si>
    <t>Freestyle</t>
  </si>
  <si>
    <t>Beginner</t>
  </si>
  <si>
    <t>Intermediate</t>
  </si>
  <si>
    <t>Alternative:</t>
  </si>
  <si>
    <r>
      <t>2.</t>
    </r>
    <r>
      <rPr>
        <sz val="11"/>
        <color theme="1"/>
        <rFont val="Calibri"/>
        <family val="2"/>
        <scheme val="minor"/>
      </rPr>
      <t xml:space="preserve"> SEQUENCE(5) delivers array of row positions, 1 to 5 separated by semi-colons</t>
    </r>
    <r>
      <rPr>
        <b/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</si>
  <si>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INDEX delivers all the rows for each of the columns Product, ProductID, Price.</t>
    </r>
  </si>
  <si>
    <r>
      <t>4.</t>
    </r>
    <r>
      <rPr>
        <sz val="11"/>
        <color theme="1"/>
        <rFont val="Calibri"/>
        <family val="2"/>
        <scheme val="minor"/>
      </rPr>
      <t xml:space="preserve"> With the correct array syntax, INDEX lookups the rows 1 to 5 for each of the columns 2, 1 and 7:</t>
    </r>
  </si>
  <si>
    <t>INDEX(array, row_num, [column_num])</t>
  </si>
  <si>
    <t>XMATCH(lookup_value, lookup_array, [match_mode], [search_mode])</t>
  </si>
  <si>
    <r>
      <t>Goal:</t>
    </r>
    <r>
      <rPr>
        <sz val="11"/>
        <color theme="1"/>
        <rFont val="Calibri"/>
        <family val="2"/>
        <scheme val="minor"/>
      </rPr>
      <t xml:space="preserve"> Select random employee name (so they can win a prize).</t>
    </r>
  </si>
  <si>
    <t>* F9 Key re- calculates formulas.</t>
  </si>
  <si>
    <r>
      <t xml:space="preserve">Goal: </t>
    </r>
    <r>
      <rPr>
        <sz val="11"/>
        <color theme="1"/>
        <rFont val="Calibri"/>
        <family val="2"/>
        <scheme val="minor"/>
      </rPr>
      <t xml:space="preserve">Extract Product, ProductID and Price columns from the Excel Table with the name </t>
    </r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</si>
  <si>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sz val="11"/>
        <color theme="1"/>
        <rFont val="Calibri"/>
        <family val="2"/>
        <scheme val="minor"/>
      </rPr>
      <t xml:space="preserve">ROWS counts how many rows are in </t>
    </r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 xml:space="preserve"> Excel Table.</t>
    </r>
  </si>
  <si>
    <r>
      <t>=INDEX(pt,{1;2;3;4;5},</t>
    </r>
    <r>
      <rPr>
        <b/>
        <sz val="11"/>
        <color theme="1"/>
        <rFont val="Calibri"/>
        <family val="2"/>
        <scheme val="minor"/>
      </rPr>
      <t>{2,1,7}</t>
    </r>
    <r>
      <rPr>
        <sz val="11"/>
        <color theme="1"/>
        <rFont val="Calibri"/>
        <family val="2"/>
        <scheme val="minor"/>
      </rPr>
      <t>)</t>
    </r>
  </si>
  <si>
    <r>
      <t>=INDEX(pt,</t>
    </r>
    <r>
      <rPr>
        <b/>
        <sz val="11"/>
        <color theme="1"/>
        <rFont val="Calibri"/>
        <family val="2"/>
        <scheme val="minor"/>
      </rPr>
      <t>{1;2;3;4;5}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{2,1,7}</t>
    </r>
    <r>
      <rPr>
        <sz val="11"/>
        <color theme="1"/>
        <rFont val="Calibri"/>
        <family val="2"/>
        <scheme val="minor"/>
      </rPr>
      <t>)</t>
    </r>
  </si>
  <si>
    <r>
      <t xml:space="preserve">Goal: </t>
    </r>
    <r>
      <rPr>
        <sz val="11"/>
        <color theme="1"/>
        <rFont val="Calibri"/>
        <family val="2"/>
        <scheme val="minor"/>
      </rPr>
      <t>Find the relative position of "Sioux" in the signup list.</t>
    </r>
  </si>
  <si>
    <t>#18</t>
  </si>
  <si>
    <t>Ex #19</t>
  </si>
  <si>
    <t>#20</t>
  </si>
  <si>
    <t>Famous Excel task: One lookup value, return multiple items/records.</t>
  </si>
  <si>
    <t>Price ($)</t>
  </si>
  <si>
    <t>Student</t>
  </si>
  <si>
    <t>Class</t>
  </si>
  <si>
    <t>Grade</t>
  </si>
  <si>
    <t>Sioux Chin</t>
  </si>
  <si>
    <t>Chantel Mimms</t>
  </si>
  <si>
    <t>Dylan Franks</t>
  </si>
  <si>
    <t>Acc 121</t>
  </si>
  <si>
    <t>Acc 201</t>
  </si>
  <si>
    <t>Econ 201</t>
  </si>
  <si>
    <t>Econ 202</t>
  </si>
  <si>
    <t>Busn 216</t>
  </si>
  <si>
    <t>Busn 218</t>
  </si>
  <si>
    <t>Busn 210</t>
  </si>
  <si>
    <t>Eng 201</t>
  </si>
  <si>
    <t>Busn 101</t>
  </si>
  <si>
    <t>Business</t>
  </si>
  <si>
    <t>English</t>
  </si>
  <si>
    <t>Economics</t>
  </si>
  <si>
    <t>Gigi Dmitri</t>
  </si>
  <si>
    <r>
      <t>Goal:</t>
    </r>
    <r>
      <rPr>
        <sz val="11"/>
        <color theme="1"/>
        <rFont val="Calibri"/>
        <family val="2"/>
        <scheme val="minor"/>
      </rPr>
      <t xml:space="preserve"> Extract student class records.</t>
    </r>
  </si>
  <si>
    <t>=IF(ROWS(G$15:G15)&gt;COUNTIFS($B$6:$B$17,$G$6),"",
INDEX(C$6:C$17,AGGREGATE(15,6,(ROW($B$6:$B$17)-
ROW($B$6)+1)/($B$6:$B$17=$G$6),ROWS(G$15:G15))))</t>
  </si>
  <si>
    <t>=IF(ROWS(G$15:G15)&gt;COUNTIFS($B$6:$B$17,$G$6,$D$6:$D$17,$H$6),"",INDEX(C$6:C$17,
AGGREGATE(15,6,(ROW($B$6:$B$17)-ROW($B$6)+1)/
($B$6:$B$17&amp;$D$6:$D$17=$G$6&amp;$H$6),
ROWS(G$15:G15))))</t>
  </si>
  <si>
    <t>For Data Validation Dropdown:</t>
  </si>
  <si>
    <t>#21</t>
  </si>
  <si>
    <r>
      <t>=INDEX(pt,SEQUENCE(</t>
    </r>
    <r>
      <rPr>
        <b/>
        <sz val="11"/>
        <color theme="1"/>
        <rFont val="Calibri"/>
        <family val="2"/>
        <scheme val="minor"/>
      </rPr>
      <t>ROWS(pt)</t>
    </r>
    <r>
      <rPr>
        <sz val="11"/>
        <color theme="1"/>
        <rFont val="Calibri"/>
        <family val="2"/>
        <scheme val="minor"/>
      </rPr>
      <t>),XMATCH(B12:D12,pt[#Headers]))</t>
    </r>
  </si>
  <si>
    <r>
      <t>=INDEX(pt,SEQUENCE(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),XMATCH(B12:D12,pt[#Headers]))</t>
    </r>
  </si>
  <si>
    <r>
      <t xml:space="preserve">Steps for calculation of   </t>
    </r>
    <r>
      <rPr>
        <b/>
        <sz val="11"/>
        <color theme="0"/>
        <rFont val="Calibri"/>
        <family val="2"/>
        <scheme val="minor"/>
      </rPr>
      <t>=INDEX(pt,SEQUENCE(ROWS(pt)),XMATCH(B12:D12,pt[#Headers]))</t>
    </r>
  </si>
  <si>
    <r>
      <t>=INDEX(pt,</t>
    </r>
    <r>
      <rPr>
        <b/>
        <sz val="11"/>
        <color theme="1"/>
        <rFont val="Calibri"/>
        <family val="2"/>
        <scheme val="minor"/>
      </rPr>
      <t>{1;2;3;4;5}</t>
    </r>
    <r>
      <rPr>
        <sz val="11"/>
        <color theme="1"/>
        <rFont val="Calibri"/>
        <family val="2"/>
        <scheme val="minor"/>
      </rPr>
      <t>,XMATCH(B12:D12,pt[#Headers]))</t>
    </r>
  </si>
  <si>
    <r>
      <t>3.</t>
    </r>
    <r>
      <rPr>
        <sz val="11"/>
        <color theme="1"/>
        <rFont val="Calibri"/>
        <family val="2"/>
        <scheme val="minor"/>
      </rPr>
      <t xml:space="preserve"> B12:D12 spans columns, so XMATCH delivers an array of column positions separated by commas:</t>
    </r>
  </si>
  <si>
    <r>
      <t>=INDEX(pt,{1;2;3;4;5},</t>
    </r>
    <r>
      <rPr>
        <b/>
        <sz val="11"/>
        <color theme="1"/>
        <rFont val="Calibri"/>
        <family val="2"/>
        <scheme val="minor"/>
      </rPr>
      <t>XMATCH(B12:D12,pt[#Headers])</t>
    </r>
    <r>
      <rPr>
        <sz val="11"/>
        <color theme="1"/>
        <rFont val="Calibri"/>
        <family val="2"/>
        <scheme val="minor"/>
      </rPr>
      <t>)</t>
    </r>
  </si>
  <si>
    <r>
      <t xml:space="preserve">Steps for calculation:  </t>
    </r>
    <r>
      <rPr>
        <b/>
        <sz val="11"/>
        <color theme="0"/>
        <rFont val="Calibri"/>
        <family val="2"/>
        <scheme val="minor"/>
      </rPr>
      <t>=INDEX(pt_an,SEQUENCE(ROWS(pt_an)),XMATCH(B12:D12,pt_an[#Headers]))</t>
    </r>
  </si>
  <si>
    <r>
      <t xml:space="preserve">1. </t>
    </r>
    <r>
      <rPr>
        <sz val="11"/>
        <color theme="1"/>
        <rFont val="Calibri"/>
        <family val="2"/>
        <scheme val="minor"/>
      </rPr>
      <t xml:space="preserve">ROWS counts how many rows are in </t>
    </r>
    <r>
      <rPr>
        <b/>
        <sz val="11"/>
        <color theme="1"/>
        <rFont val="Calibri"/>
        <family val="2"/>
        <scheme val="minor"/>
      </rPr>
      <t>pt_an</t>
    </r>
    <r>
      <rPr>
        <sz val="11"/>
        <color theme="1"/>
        <rFont val="Calibri"/>
        <family val="2"/>
        <scheme val="minor"/>
      </rPr>
      <t xml:space="preserve"> Excel Table.</t>
    </r>
  </si>
  <si>
    <r>
      <t>=INDEX(pt_an,SEQUENCE(</t>
    </r>
    <r>
      <rPr>
        <b/>
        <sz val="11"/>
        <color theme="1"/>
        <rFont val="Calibri"/>
        <family val="2"/>
        <scheme val="minor"/>
      </rPr>
      <t>ROWS(pt_an)</t>
    </r>
    <r>
      <rPr>
        <sz val="11"/>
        <color theme="1"/>
        <rFont val="Calibri"/>
        <family val="2"/>
        <scheme val="minor"/>
      </rPr>
      <t>),XMATCH(B12:D12,pt[#Headers]))</t>
    </r>
  </si>
  <si>
    <r>
      <t>=INDEX(pt_an,SEQUENCE(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),XMATCH(B12:D12,pt_an[#Headers]))</t>
    </r>
  </si>
  <si>
    <r>
      <t>=INDEX(pt_an,</t>
    </r>
    <r>
      <rPr>
        <b/>
        <sz val="11"/>
        <color theme="1"/>
        <rFont val="Calibri"/>
        <family val="2"/>
        <scheme val="minor"/>
      </rPr>
      <t>{1;2;3;4;5}</t>
    </r>
    <r>
      <rPr>
        <sz val="11"/>
        <color theme="1"/>
        <rFont val="Calibri"/>
        <family val="2"/>
        <scheme val="minor"/>
      </rPr>
      <t>,XMATCH(B12:D12,pt_an[#Headers]))</t>
    </r>
  </si>
  <si>
    <r>
      <t>=INDEX(pt,{1;2;3;4;5},</t>
    </r>
    <r>
      <rPr>
        <b/>
        <sz val="11"/>
        <color theme="1"/>
        <rFont val="Calibri"/>
        <family val="2"/>
        <scheme val="minor"/>
      </rPr>
      <t>XMATCH(B13:D13,pt_an[#Headers])</t>
    </r>
    <r>
      <rPr>
        <sz val="11"/>
        <color theme="1"/>
        <rFont val="Calibri"/>
        <family val="2"/>
        <scheme val="minor"/>
      </rPr>
      <t>)</t>
    </r>
  </si>
  <si>
    <t>Units</t>
  </si>
  <si>
    <t>Bellen</t>
  </si>
  <si>
    <t>LOOKUP(lookup_value, lookup_vector, [result_vector])
LOOKUP(lookup_value, array)</t>
  </si>
  <si>
    <t>Discounts</t>
  </si>
  <si>
    <t>Formulas:</t>
  </si>
  <si>
    <r>
      <t>Goal:</t>
    </r>
    <r>
      <rPr>
        <sz val="11"/>
        <color theme="1"/>
        <rFont val="Calibri"/>
        <family val="2"/>
        <scheme val="minor"/>
      </rPr>
      <t xml:space="preserve"> Use LOOKUP to have lookup_vector oriented vertically &amp; [result_array] oriented horizontally.</t>
    </r>
  </si>
  <si>
    <t>Employee ID</t>
  </si>
  <si>
    <t>Start Date</t>
  </si>
  <si>
    <t>E-mail</t>
  </si>
  <si>
    <t>Start Position</t>
  </si>
  <si>
    <t>BirthDate</t>
  </si>
  <si>
    <t>Mo</t>
  </si>
  <si>
    <t>Phil</t>
  </si>
  <si>
    <t>Lin</t>
  </si>
  <si>
    <t>Hien</t>
  </si>
  <si>
    <t>Sam</t>
  </si>
  <si>
    <t>Jo</t>
  </si>
  <si>
    <t>Jones</t>
  </si>
  <si>
    <t>Kips</t>
  </si>
  <si>
    <t>Mimms</t>
  </si>
  <si>
    <t>Pham</t>
  </si>
  <si>
    <t>Chinn</t>
  </si>
  <si>
    <t>Fix</t>
  </si>
  <si>
    <t>C1</t>
  </si>
  <si>
    <t>A1</t>
  </si>
  <si>
    <t>D1</t>
  </si>
  <si>
    <t>D2</t>
  </si>
  <si>
    <t>Taxable Pay Lower Limit</t>
  </si>
  <si>
    <t>Taxable Pay Upper Limit</t>
  </si>
  <si>
    <t>Upper Limit Previous Category</t>
  </si>
  <si>
    <t>Cumulative Tax From Previous Categories</t>
  </si>
  <si>
    <t>Tax Rule in Full:</t>
  </si>
  <si>
    <t>more</t>
  </si>
  <si>
    <t># of Withholding Allowances</t>
  </si>
  <si>
    <t>Federal Income Tax Withholdings?</t>
  </si>
  <si>
    <t>Withholding Allowance</t>
  </si>
  <si>
    <r>
      <rPr>
        <b/>
        <sz val="11"/>
        <color theme="1"/>
        <rFont val="Calibri"/>
        <family val="2"/>
        <scheme val="minor"/>
      </rPr>
      <t>Advantage:</t>
    </r>
    <r>
      <rPr>
        <sz val="11"/>
        <color theme="1"/>
        <rFont val="Calibri"/>
        <family val="2"/>
        <scheme val="minor"/>
      </rPr>
      <t xml:space="preserve"> XLOOKUP can't do this.</t>
    </r>
  </si>
  <si>
    <r>
      <rPr>
        <b/>
        <sz val="11"/>
        <color theme="1"/>
        <rFont val="Calibri"/>
        <family val="2"/>
        <scheme val="minor"/>
      </rPr>
      <t>Advantage:</t>
    </r>
    <r>
      <rPr>
        <sz val="11"/>
        <color theme="1"/>
        <rFont val="Calibri"/>
        <family val="2"/>
        <scheme val="minor"/>
      </rPr>
      <t xml:space="preserve"> Enter fewer arguments, as compared to XLOOKUP. Faster to create formula with LOOKUP.</t>
    </r>
  </si>
  <si>
    <t>Taxable Pay (TP). This is lookup_value:</t>
  </si>
  <si>
    <t>#23</t>
  </si>
  <si>
    <t>SWITCH(expression, value1, result1, [default_or_value2, results2], …)</t>
  </si>
  <si>
    <r>
      <t>Goal:</t>
    </r>
    <r>
      <rPr>
        <sz val="11"/>
        <color theme="1"/>
        <rFont val="Calibri"/>
        <family val="2"/>
        <scheme val="minor"/>
      </rPr>
      <t xml:space="preserve"> Lookup correct lookup table based on product name.</t>
    </r>
  </si>
  <si>
    <t>Use SWITCH.</t>
  </si>
  <si>
    <r>
      <rPr>
        <b/>
        <sz val="11"/>
        <color theme="1"/>
        <rFont val="Calibri"/>
        <family val="2"/>
        <scheme val="minor"/>
      </rPr>
      <t>Situation #1</t>
    </r>
    <r>
      <rPr>
        <sz val="11"/>
        <color theme="1"/>
        <rFont val="Calibri"/>
        <family val="2"/>
        <scheme val="minor"/>
      </rPr>
      <t>:</t>
    </r>
  </si>
  <si>
    <t>Multiple lookup tables.</t>
  </si>
  <si>
    <t>One Lookup Table.</t>
  </si>
  <si>
    <r>
      <rPr>
        <b/>
        <sz val="11"/>
        <color theme="1"/>
        <rFont val="Calibri"/>
        <family val="2"/>
        <scheme val="minor"/>
      </rPr>
      <t>Situation #2</t>
    </r>
    <r>
      <rPr>
        <sz val="11"/>
        <color theme="1"/>
        <rFont val="Calibri"/>
        <family val="2"/>
        <scheme val="minor"/>
      </rPr>
      <t>:</t>
    </r>
  </si>
  <si>
    <t>Use FILTER.</t>
  </si>
  <si>
    <t>Units Transaction Table:</t>
  </si>
  <si>
    <t>Use lookup table to perform "approximate match" lookup.</t>
  </si>
  <si>
    <t>Units Sold</t>
  </si>
  <si>
    <t>Price
Discount</t>
  </si>
  <si>
    <t>P. Discount</t>
  </si>
  <si>
    <t>#24</t>
  </si>
  <si>
    <t>Formulas entered, and manually copied to the rows below.</t>
  </si>
  <si>
    <t>Rule #1:</t>
  </si>
  <si>
    <t>Rule #2:</t>
  </si>
  <si>
    <t>At least 1 of the credit ratings is exceeded.</t>
  </si>
  <si>
    <t>Sales Last Year</t>
  </si>
  <si>
    <t>Asset Value</t>
  </si>
  <si>
    <t>Credit Rating 1</t>
  </si>
  <si>
    <t>Credit Rating 2</t>
  </si>
  <si>
    <t>Name</t>
  </si>
  <si>
    <t xml:space="preserve">Rule Used </t>
  </si>
  <si>
    <t>Credit?
SWITCH</t>
  </si>
  <si>
    <t>Credit?
IFS</t>
  </si>
  <si>
    <t>Rule 1</t>
  </si>
  <si>
    <t>Rule 2</t>
  </si>
  <si>
    <t>Default</t>
  </si>
  <si>
    <t>Birch Stores Inc.</t>
  </si>
  <si>
    <t>RAD Web Design</t>
  </si>
  <si>
    <t>Blue Acorn Design</t>
  </si>
  <si>
    <t>Not specified</t>
  </si>
  <si>
    <t>Shark Logistics Co.</t>
  </si>
  <si>
    <t>Foggy Camel Vacations</t>
  </si>
  <si>
    <t>Battalion's Moving Inc.</t>
  </si>
  <si>
    <t>IFS is longer</t>
  </si>
  <si>
    <t>Default:</t>
  </si>
  <si>
    <r>
      <t>Goal:</t>
    </r>
    <r>
      <rPr>
        <sz val="11"/>
        <color theme="1"/>
        <rFont val="Calibri"/>
        <family val="2"/>
        <scheme val="minor"/>
      </rPr>
      <t xml:space="preserve"> Determine whether we should extend credit to customers based on one of 3 rules.</t>
    </r>
  </si>
  <si>
    <r>
      <rPr>
        <b/>
        <sz val="13"/>
        <color theme="1"/>
        <rFont val="Calibri"/>
        <family val="2"/>
        <scheme val="minor"/>
      </rPr>
      <t>Formula in H12:</t>
    </r>
    <r>
      <rPr>
        <sz val="13"/>
        <color theme="1"/>
        <rFont val="Calibri"/>
        <family val="2"/>
        <scheme val="minor"/>
      </rPr>
      <t xml:space="preserve">
=SWITCH(G12,
"Rule 1",AND(C12&gt;$C$9,D12&gt;$D$9),
"Rule 2",OR(E12&gt;$E$9,F12&gt;$F$9),
AND(E12&gt;=$E$9,F12&gt;=$F$9))</t>
    </r>
  </si>
  <si>
    <r>
      <t>Goal:</t>
    </r>
    <r>
      <rPr>
        <sz val="11"/>
        <color theme="1"/>
        <rFont val="Calibri"/>
        <family val="2"/>
        <scheme val="minor"/>
      </rPr>
      <t xml:space="preserve"> "Approximate match" lookup when 1st column sorted &amp; we want item from last column.</t>
    </r>
  </si>
  <si>
    <t>IFS Too long…</t>
  </si>
  <si>
    <t>Ex #22</t>
  </si>
  <si>
    <t>#25</t>
  </si>
  <si>
    <t>Scores</t>
  </si>
  <si>
    <t>Names</t>
  </si>
  <si>
    <t>Mozella Chatman</t>
  </si>
  <si>
    <t>Earline Kinsey</t>
  </si>
  <si>
    <t>Delicia Haggard</t>
  </si>
  <si>
    <t>Lucrecia Treadway</t>
  </si>
  <si>
    <t>Fran Taber</t>
  </si>
  <si>
    <t>Velda Currier</t>
  </si>
  <si>
    <t>Ouida Crain</t>
  </si>
  <si>
    <t>Britt Clem</t>
  </si>
  <si>
    <t>Jerlene Calderon</t>
  </si>
  <si>
    <t>Dawna Guthrie</t>
  </si>
  <si>
    <t>Amal Rhoades</t>
  </si>
  <si>
    <t>Felisha Nugent</t>
  </si>
  <si>
    <t>Chantel Southern</t>
  </si>
  <si>
    <t>Sioux Almeida</t>
  </si>
  <si>
    <t>Lucinda Mimms</t>
  </si>
  <si>
    <t>Class #1</t>
  </si>
  <si>
    <t>Class #2</t>
  </si>
  <si>
    <t>Class #3</t>
  </si>
  <si>
    <t>Class 1</t>
  </si>
  <si>
    <t>Class 2</t>
  </si>
  <si>
    <t>Class 3</t>
  </si>
  <si>
    <t>#26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</si>
  <si>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Combine three separate columns into a table.</t>
    </r>
  </si>
  <si>
    <t>CHOOSE(index_num, value1, [value2], …)</t>
  </si>
  <si>
    <t>#27</t>
  </si>
  <si>
    <t>Zip Code</t>
  </si>
  <si>
    <t>House Street</t>
  </si>
  <si>
    <t>Birch Ct.</t>
  </si>
  <si>
    <t>8th Ave S</t>
  </si>
  <si>
    <t>S 15th ST.</t>
  </si>
  <si>
    <t>Average House Value</t>
  </si>
  <si>
    <t>Median Household Income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</si>
  <si>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information by zip code using Data Types and Dot Operator.</t>
    </r>
  </si>
  <si>
    <t>Gigi Pham</t>
  </si>
  <si>
    <r>
      <t>Goals:</t>
    </r>
    <r>
      <rPr>
        <sz val="11"/>
        <color theme="1"/>
        <rFont val="Calibri"/>
        <family val="2"/>
        <scheme val="minor"/>
      </rPr>
      <t xml:space="preserve"> Add a Data Validation dropdown list to cell B6 based on the Employee IDs in the range B11:B17.</t>
    </r>
  </si>
  <si>
    <t>Lookup Record:</t>
  </si>
  <si>
    <t>In cell C8, create a formula to lookup the full record for the Employee ID selected in cell B6.</t>
  </si>
  <si>
    <t>880-245-3404</t>
  </si>
  <si>
    <t>Employee ID:</t>
  </si>
  <si>
    <r>
      <t>Goals:</t>
    </r>
    <r>
      <rPr>
        <sz val="11"/>
        <color theme="1"/>
        <rFont val="Calibri"/>
        <family val="2"/>
        <scheme val="minor"/>
      </rPr>
      <t xml:space="preserve"> Add a Data Validation dropdown list to cell B6 based on the E-mails in the range G11:G17.</t>
    </r>
  </si>
  <si>
    <t>In cell C8, create a formula to lookup Employee ID based on the e-mail in cell B6.</t>
  </si>
  <si>
    <t>PK15@gb.com</t>
  </si>
  <si>
    <t>Score for class</t>
  </si>
  <si>
    <t>Decimal Grade</t>
  </si>
  <si>
    <t>Abdi Linberger</t>
  </si>
  <si>
    <t>Kip Berkeley</t>
  </si>
  <si>
    <t>Fred Dean</t>
  </si>
  <si>
    <t>Dino Hipster</t>
  </si>
  <si>
    <t>Tyrone Spawn</t>
  </si>
  <si>
    <t>Max Points for Class:</t>
  </si>
  <si>
    <r>
      <t>Goals:</t>
    </r>
    <r>
      <rPr>
        <sz val="11"/>
        <color theme="1"/>
        <rFont val="Calibri"/>
        <family val="2"/>
        <scheme val="minor"/>
      </rPr>
      <t xml:space="preserve"> In the grade column create the % Grade for each student.</t>
    </r>
  </si>
  <si>
    <t>In the Decimal Grade column create formula to lookup the correct decimal grade.</t>
  </si>
  <si>
    <t>Akilah Delaney</t>
  </si>
  <si>
    <t>Asa Crain</t>
  </si>
  <si>
    <t>Vern Coppola</t>
  </si>
  <si>
    <t>Sharilyn Mahaffey</t>
  </si>
  <si>
    <t>Jackson Rizzo</t>
  </si>
  <si>
    <t>Sarina Parnell</t>
  </si>
  <si>
    <t>Kenyatta Ferrell</t>
  </si>
  <si>
    <t>Tristan Sanborn</t>
  </si>
  <si>
    <t>Melodi Buffington</t>
  </si>
  <si>
    <t>Brianne Friedman</t>
  </si>
  <si>
    <t>Mardell Burrow</t>
  </si>
  <si>
    <t>Myong Garvin</t>
  </si>
  <si>
    <t>Celinda Trahan</t>
  </si>
  <si>
    <t>Kandi Evers</t>
  </si>
  <si>
    <t>Annmarie Cornell</t>
  </si>
  <si>
    <t>Jesenia Nagy</t>
  </si>
  <si>
    <t>Asuncion France</t>
  </si>
  <si>
    <t>Tyesha Forbes</t>
  </si>
  <si>
    <t>Marquis Beaty</t>
  </si>
  <si>
    <t>Donte Haskins</t>
  </si>
  <si>
    <t>Monika Hager</t>
  </si>
  <si>
    <t>Pok Felix</t>
  </si>
  <si>
    <t>Ena Sales</t>
  </si>
  <si>
    <t>Dinorah Calloway</t>
  </si>
  <si>
    <t>Augustine Hartwell</t>
  </si>
  <si>
    <t>Allene Gleason</t>
  </si>
  <si>
    <t>Erin Dupree</t>
  </si>
  <si>
    <t>Temika Weis</t>
  </si>
  <si>
    <t>Stephen Witherspoon</t>
  </si>
  <si>
    <t>Breann Dang</t>
  </si>
  <si>
    <t>Arlette Dancy</t>
  </si>
  <si>
    <t>Etsuko Redd</t>
  </si>
  <si>
    <t>Kyoko Kunz</t>
  </si>
  <si>
    <t>Hedy Coles</t>
  </si>
  <si>
    <t>Tifany Walling</t>
  </si>
  <si>
    <t>Tabatha Sorensen</t>
  </si>
  <si>
    <t>Cathern Hostetler</t>
  </si>
  <si>
    <t>Chau Schmitt</t>
  </si>
  <si>
    <t>Bernetta Ontiveros</t>
  </si>
  <si>
    <t>Malcom Lovejoy</t>
  </si>
  <si>
    <t>Nikki Dominguez</t>
  </si>
  <si>
    <t>Porsha Caudle</t>
  </si>
  <si>
    <t>Florentina Hummel</t>
  </si>
  <si>
    <t>Winter Etheridge</t>
  </si>
  <si>
    <t>Val Duvall</t>
  </si>
  <si>
    <t>Elfrieda Fairley</t>
  </si>
  <si>
    <t>Maud Singletary</t>
  </si>
  <si>
    <t>Maryjo Ybarra</t>
  </si>
  <si>
    <t>Shane Southern</t>
  </si>
  <si>
    <t>Felice Cherry</t>
  </si>
  <si>
    <t>Commission Bonus</t>
  </si>
  <si>
    <t>Vent Size (inch)</t>
  </si>
  <si>
    <t>Room Sq. Ft.</t>
  </si>
  <si>
    <t>Vent Size:</t>
  </si>
  <si>
    <r>
      <t>Goals:</t>
    </r>
    <r>
      <rPr>
        <sz val="11"/>
        <color theme="1"/>
        <rFont val="Calibri"/>
        <family val="2"/>
        <scheme val="minor"/>
      </rPr>
      <t xml:space="preserve"> In cell C5 create formula to add the total calls for the month name in cell C4.</t>
    </r>
  </si>
  <si>
    <t>Jan</t>
  </si>
  <si>
    <t>Feb</t>
  </si>
  <si>
    <t>Oct</t>
  </si>
  <si>
    <t>Nov</t>
  </si>
  <si>
    <t>Dec</t>
  </si>
  <si>
    <t>Rand Formula:</t>
  </si>
  <si>
    <t>Start Quarter:</t>
  </si>
  <si>
    <t>End Quarter:</t>
  </si>
  <si>
    <t>Fall 
2020</t>
  </si>
  <si>
    <t>Winter 
2020</t>
  </si>
  <si>
    <t>Conditional Format Logical Formula:</t>
  </si>
  <si>
    <t>Academic Credits Taken per Quarter:</t>
  </si>
  <si>
    <t>Accounting 121 Class</t>
  </si>
  <si>
    <t>Cheryl Estrada</t>
  </si>
  <si>
    <t>Judy Douglas</t>
  </si>
  <si>
    <t>Wade Grant</t>
  </si>
  <si>
    <t>Isaac Owens</t>
  </si>
  <si>
    <t>Luz Caldwell</t>
  </si>
  <si>
    <t>Lynette Harmon</t>
  </si>
  <si>
    <t>Carl Stokes</t>
  </si>
  <si>
    <t>Maggie Ortega</t>
  </si>
  <si>
    <t>Allison Stevenson</t>
  </si>
  <si>
    <t>Mathew Weber</t>
  </si>
  <si>
    <t>Joshua Pratt</t>
  </si>
  <si>
    <t>Edgar Ferguson</t>
  </si>
  <si>
    <t>Cesar Dunn</t>
  </si>
  <si>
    <t>Allan Nguyen</t>
  </si>
  <si>
    <t>Roderick Mendez</t>
  </si>
  <si>
    <t>Blanche Stanley</t>
  </si>
  <si>
    <t>Was Student also in Fall 2020 class?</t>
  </si>
  <si>
    <t>a logical formula that says whether student was also in the Fall 2020 Class.</t>
  </si>
  <si>
    <t>Extract names in Winter 2020 class that are not in Fall 2020 class:</t>
  </si>
  <si>
    <r>
      <t>Goals:</t>
    </r>
    <r>
      <rPr>
        <sz val="11"/>
        <color theme="1"/>
        <rFont val="Calibri"/>
        <family val="2"/>
        <scheme val="minor"/>
      </rPr>
      <t xml:space="preserve"> 1) Create column next to Winter 2020 list of student names that contains</t>
    </r>
  </si>
  <si>
    <r>
      <t>Goals:</t>
    </r>
    <r>
      <rPr>
        <sz val="11"/>
        <color theme="1"/>
        <rFont val="Calibri"/>
        <family val="2"/>
        <scheme val="minor"/>
      </rPr>
      <t xml:space="preserve"> 1) Create column next to Winter 2020 list of student names that contains</t>
    </r>
  </si>
  <si>
    <r>
      <t>Goals:</t>
    </r>
    <r>
      <rPr>
        <sz val="11"/>
        <color theme="1"/>
        <rFont val="Calibri"/>
        <family val="2"/>
        <scheme val="minor"/>
      </rPr>
      <t xml:space="preserve"> Create formula in cell G8 to extract and spill names in Winter 2020 class that are not in Fall 2020 class:</t>
    </r>
  </si>
  <si>
    <t>Add conditional formatting to spilled range that adds a border and green fill if the cell shows a spilled value.</t>
  </si>
  <si>
    <t>Year</t>
  </si>
  <si>
    <t>Winning team</t>
  </si>
  <si>
    <t>Games</t>
  </si>
  <si>
    <t>Losing team</t>
  </si>
  <si>
    <t>No World Series</t>
  </si>
  <si>
    <t>4–1</t>
  </si>
  <si>
    <t>4–2</t>
  </si>
  <si>
    <t>4–3</t>
  </si>
  <si>
    <t>4–0</t>
  </si>
  <si>
    <t>Boston Americans</t>
  </si>
  <si>
    <t>Pittsburgh Pirates</t>
  </si>
  <si>
    <t>New York Giants</t>
  </si>
  <si>
    <t>Philadelphia Athletics</t>
  </si>
  <si>
    <t>Chicago White Sox</t>
  </si>
  <si>
    <t>Chicago Cubs</t>
  </si>
  <si>
    <t>Detroit Tigers</t>
  </si>
  <si>
    <t>Boston Red Sox</t>
  </si>
  <si>
    <t>Boston Braves</t>
  </si>
  <si>
    <t>Philadelphia Phillies</t>
  </si>
  <si>
    <t>Brooklyn Robins</t>
  </si>
  <si>
    <t>Cincinnati Reds</t>
  </si>
  <si>
    <t>Cleveland Indians</t>
  </si>
  <si>
    <t>New York Yankees</t>
  </si>
  <si>
    <t xml:space="preserve">New York Yankees </t>
  </si>
  <si>
    <t>Washington Senators</t>
  </si>
  <si>
    <t>St. Louis Cardinals</t>
  </si>
  <si>
    <t>Brooklyn Dodgers</t>
  </si>
  <si>
    <t>St. Louis Browns</t>
  </si>
  <si>
    <t>Milwaukee Braves</t>
  </si>
  <si>
    <t>Los Angeles Dodgers</t>
  </si>
  <si>
    <t>San Francisco Giants</t>
  </si>
  <si>
    <t xml:space="preserve">St. Louis Cardinals </t>
  </si>
  <si>
    <t>Minnesota Twins</t>
  </si>
  <si>
    <t>Baltimore Orioles</t>
  </si>
  <si>
    <t>New York Mets</t>
  </si>
  <si>
    <t>Oakland Athletics</t>
  </si>
  <si>
    <t>Kansas City Royals</t>
  </si>
  <si>
    <t xml:space="preserve">Milwaukee Brewers </t>
  </si>
  <si>
    <t>San Diego Padres</t>
  </si>
  <si>
    <t>Atlanta Braves</t>
  </si>
  <si>
    <t>Toronto Blue Jays</t>
  </si>
  <si>
    <t>Florida Marlins</t>
  </si>
  <si>
    <t>Arizona Diamondbacks</t>
  </si>
  <si>
    <t>Anaheim Angels</t>
  </si>
  <si>
    <t>Houston Astros</t>
  </si>
  <si>
    <t xml:space="preserve">Colorado Rockies </t>
  </si>
  <si>
    <t>Tampa Bay Rays</t>
  </si>
  <si>
    <t>Texas Rangers</t>
  </si>
  <si>
    <t xml:space="preserve">San Francisco Giants </t>
  </si>
  <si>
    <t>Washington Nationals</t>
  </si>
  <si>
    <t>Start Year:</t>
  </si>
  <si>
    <t>End Year:</t>
  </si>
  <si>
    <t>5–3</t>
  </si>
  <si>
    <t>No WS</t>
  </si>
  <si>
    <t>4–0–(1)</t>
  </si>
  <si>
    <t>4–3–(1)</t>
  </si>
  <si>
    <t>5–2</t>
  </si>
  <si>
    <t>Solve this problem in two ways:</t>
  </si>
  <si>
    <t xml:space="preserve">1) In cell G13 spill the result using the FILTER function. </t>
  </si>
  <si>
    <t xml:space="preserve">2) In cell L13 spill the result using the XLOOKUP function. </t>
  </si>
  <si>
    <r>
      <t>Goals:</t>
    </r>
    <r>
      <rPr>
        <sz val="11"/>
        <color theme="1"/>
        <rFont val="Calibri"/>
        <family val="2"/>
        <scheme val="minor"/>
      </rPr>
      <t xml:space="preserve"> Create formula to extract records for World Series Games from the start year in cell C7 to the end year in cell C8.</t>
    </r>
  </si>
  <si>
    <t>Web Site</t>
  </si>
  <si>
    <t>Amazon</t>
  </si>
  <si>
    <t>E-Bay</t>
  </si>
  <si>
    <t>Time</t>
  </si>
  <si>
    <t>Boom.com</t>
  </si>
  <si>
    <t>Gel.com</t>
  </si>
  <si>
    <t>Product:</t>
  </si>
  <si>
    <r>
      <t>Goals:</t>
    </r>
    <r>
      <rPr>
        <sz val="11"/>
        <color theme="1"/>
        <rFont val="Calibri"/>
        <family val="2"/>
        <scheme val="minor"/>
      </rPr>
      <t xml:space="preserve"> In cell H7, spill the records for the product listed in cell I4.</t>
    </r>
  </si>
  <si>
    <t>UPS</t>
  </si>
  <si>
    <t>Fed X</t>
  </si>
  <si>
    <t>DHL</t>
  </si>
  <si>
    <t>Standard Ship Prices:</t>
  </si>
  <si>
    <t>Standard Pack Weight:</t>
  </si>
  <si>
    <t>Shipper:</t>
  </si>
  <si>
    <t>Price:</t>
  </si>
  <si>
    <t>Shippers:</t>
  </si>
  <si>
    <r>
      <t>Goals:</t>
    </r>
    <r>
      <rPr>
        <sz val="11"/>
        <color theme="1"/>
        <rFont val="Calibri"/>
        <family val="2"/>
        <scheme val="minor"/>
      </rPr>
      <t xml:space="preserve"> Create formula in cell C7 to lookup price of shipping based on weight and shipper name.</t>
    </r>
  </si>
  <si>
    <r>
      <t>Goals:</t>
    </r>
    <r>
      <rPr>
        <sz val="11"/>
        <color theme="1"/>
        <rFont val="Calibri"/>
        <family val="2"/>
        <scheme val="minor"/>
      </rPr>
      <t xml:space="preserve"> Create formula in cell C7 to lookup price of shipping based on weight and shipper name.</t>
    </r>
  </si>
  <si>
    <r>
      <t>Goals:</t>
    </r>
    <r>
      <rPr>
        <sz val="11"/>
        <color theme="1"/>
        <rFont val="Calibri"/>
        <family val="2"/>
        <scheme val="minor"/>
      </rPr>
      <t xml:space="preserve"> Create formula in cell F10 to lookup last 3 records in table and spill results.</t>
    </r>
  </si>
  <si>
    <t>OR:</t>
  </si>
  <si>
    <t>Weight (lbs.)</t>
  </si>
  <si>
    <t>Create the formula two different ways.</t>
  </si>
  <si>
    <r>
      <t>Goals:</t>
    </r>
    <r>
      <rPr>
        <sz val="11"/>
        <color theme="1"/>
        <rFont val="Calibri"/>
        <family val="2"/>
        <scheme val="minor"/>
      </rPr>
      <t xml:space="preserve"> In cell C5 create lookup formula to look up correct Vent Size based on Room Sq. Ft.</t>
    </r>
  </si>
  <si>
    <r>
      <rPr>
        <b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use "Exact match or next larger" lookup.</t>
    </r>
  </si>
  <si>
    <t>Month</t>
  </si>
  <si>
    <t>Total Calls:</t>
  </si>
  <si>
    <t>Calls by Month:</t>
  </si>
  <si>
    <r>
      <t>Goals:</t>
    </r>
    <r>
      <rPr>
        <sz val="11"/>
        <color theme="1"/>
        <rFont val="Calibri"/>
        <family val="2"/>
        <scheme val="minor"/>
      </rPr>
      <t xml:space="preserve"> In cell C11 create formula to add the academic credits taken per quarter for the student listed in cell C8 and for the</t>
    </r>
  </si>
  <si>
    <r>
      <t>Goals:</t>
    </r>
    <r>
      <rPr>
        <sz val="11"/>
        <color theme="1"/>
        <rFont val="Calibri"/>
        <family val="2"/>
        <scheme val="minor"/>
      </rPr>
      <t xml:space="preserve"> In cell C11 create formula to add the academic credits taken per quarter for the student listed in cell C8 and for the</t>
    </r>
  </si>
  <si>
    <t>period start quarter to end quarter as listed in cell C9 and C10, respectively.</t>
  </si>
  <si>
    <r>
      <t>Goals:</t>
    </r>
    <r>
      <rPr>
        <sz val="11"/>
        <color theme="1"/>
        <rFont val="Calibri"/>
        <family val="2"/>
        <scheme val="minor"/>
      </rPr>
      <t xml:space="preserve"> Create a lookup formula in the commission column that can</t>
    </r>
  </si>
  <si>
    <r>
      <t>Goals:</t>
    </r>
    <r>
      <rPr>
        <sz val="11"/>
        <color theme="1"/>
        <rFont val="Calibri"/>
        <family val="2"/>
        <scheme val="minor"/>
      </rPr>
      <t xml:space="preserve"> Create a lookup formula in the commission column that can</t>
    </r>
  </si>
  <si>
    <t>Fal
20</t>
  </si>
  <si>
    <t>Win
20</t>
  </si>
  <si>
    <t>Spr
20</t>
  </si>
  <si>
    <t>Sum
20</t>
  </si>
  <si>
    <t>Fal
21</t>
  </si>
  <si>
    <t>Win
21</t>
  </si>
  <si>
    <t>Spr
21</t>
  </si>
  <si>
    <t>Sum
21</t>
  </si>
  <si>
    <t>Fal
22</t>
  </si>
  <si>
    <t>Win
22</t>
  </si>
  <si>
    <t>Spr
22</t>
  </si>
  <si>
    <t>Sum
22</t>
  </si>
  <si>
    <t>Create conditional formatting for range of cells with credits (F9:Q24) using a logical formula that will</t>
  </si>
  <si>
    <t>highlight the student's credits taken from the start to end quarter (this is an advanced formula).</t>
  </si>
  <si>
    <r>
      <t>Goals:</t>
    </r>
    <r>
      <rPr>
        <sz val="11"/>
        <color theme="1"/>
        <rFont val="Calibri"/>
        <family val="2"/>
        <scheme val="minor"/>
      </rPr>
      <t xml:space="preserve"> Create formula in cell F7 to lookup last 3 records in table.</t>
    </r>
  </si>
  <si>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Lookup product price using "Exact match" lookup</t>
    </r>
  </si>
  <si>
    <r>
      <t xml:space="preserve">Steps for calculation of  </t>
    </r>
    <r>
      <rPr>
        <b/>
        <sz val="11"/>
        <color theme="0"/>
        <rFont val="Calibri"/>
        <family val="2"/>
        <scheme val="minor"/>
      </rPr>
      <t>=XLOOKUP(D6,--LEFT(E13:E19,2),C13:C19,"20 or bigger",-1)</t>
    </r>
  </si>
  <si>
    <r>
      <t>=XLOOKUP(D6,--LEFT(</t>
    </r>
    <r>
      <rPr>
        <b/>
        <sz val="11"/>
        <color theme="1"/>
        <rFont val="Calibri"/>
        <family val="2"/>
        <scheme val="minor"/>
      </rPr>
      <t>E13:E19</t>
    </r>
    <r>
      <rPr>
        <sz val="11"/>
        <color theme="1"/>
        <rFont val="Calibri"/>
        <family val="2"/>
        <scheme val="minor"/>
      </rPr>
      <t>,2),C13:C19,"20 or bigger",-1)</t>
    </r>
  </si>
  <si>
    <r>
      <t>=XLOOKUP(D6,--</t>
    </r>
    <r>
      <rPr>
        <b/>
        <sz val="11"/>
        <color theme="1"/>
        <rFont val="Calibri"/>
        <family val="2"/>
        <scheme val="minor"/>
      </rPr>
      <t>{"20";"25";"30";"35";"40";"50";"70"}</t>
    </r>
    <r>
      <rPr>
        <sz val="11"/>
        <color theme="1"/>
        <rFont val="Calibri"/>
        <family val="2"/>
        <scheme val="minor"/>
      </rPr>
      <t>,C13:C19,"20 or bigger",-1)</t>
    </r>
  </si>
  <si>
    <r>
      <t>=XLOOKUP(D6,</t>
    </r>
    <r>
      <rPr>
        <b/>
        <sz val="11"/>
        <color theme="1"/>
        <rFont val="Calibri"/>
        <family val="2"/>
        <scheme val="minor"/>
      </rPr>
      <t>--{"20";"25";"30";"35";"40";"50";"70"}</t>
    </r>
    <r>
      <rPr>
        <sz val="11"/>
        <color theme="1"/>
        <rFont val="Calibri"/>
        <family val="2"/>
        <scheme val="minor"/>
      </rPr>
      <t>,C13:C19,"20 or bigger",-1)</t>
    </r>
  </si>
  <si>
    <r>
      <t>=XLOOKUP(D6,</t>
    </r>
    <r>
      <rPr>
        <b/>
        <sz val="11"/>
        <color theme="1"/>
        <rFont val="Calibri"/>
        <family val="2"/>
        <scheme val="minor"/>
      </rPr>
      <t>{20;25;30;35;40;50;70}</t>
    </r>
    <r>
      <rPr>
        <sz val="11"/>
        <color theme="1"/>
        <rFont val="Calibri"/>
        <family val="2"/>
        <scheme val="minor"/>
      </rPr>
      <t>,C13:C19,"20 or bigger",-1)</t>
    </r>
  </si>
  <si>
    <r>
      <t>=XLOOKUP(D6,{20;25;30;35;40;50;70},</t>
    </r>
    <r>
      <rPr>
        <b/>
        <sz val="11"/>
        <color theme="1"/>
        <rFont val="Calibri"/>
        <family val="2"/>
        <scheme val="minor"/>
      </rPr>
      <t>C19:C19</t>
    </r>
    <r>
      <rPr>
        <sz val="11"/>
        <color theme="1"/>
        <rFont val="Calibri"/>
        <family val="2"/>
        <scheme val="minor"/>
      </rPr>
      <t>,"20 or bigger",-1)</t>
    </r>
  </si>
  <si>
    <t>lookup the commission bonus based on the employee's sales.</t>
  </si>
  <si>
    <t>2) Create conditional formatting to highlight student in</t>
  </si>
  <si>
    <t>Winter 2020 class that was also in Fall 2020 class.</t>
  </si>
  <si>
    <t>2.       What does the XMATCH function do?</t>
  </si>
  <si>
    <t>3.       When do you use the INDEX function?</t>
  </si>
  <si>
    <t>4.       What are three good uses for the FILTER function?</t>
  </si>
  <si>
    <t>Exact match/ Exact match or next bigger/ Exact match or next smaller/ Get first item, when there are duplicates/ Get last item, when there are duplicates/ Lookup a cell reference/ Lookup a picture/ Lookup a record (all columns in a row)/ Lookup all the rows in a column/ Lookup Left/ Perform two-way lookup to get an intersecting value/ Perform vertical or horizontal lookup/ Use 2 lookup values to do a lookup/ Wildcard lookup</t>
  </si>
  <si>
    <t>XMATCH lookups up an item and reports the relative position of the item in the list. It is good for comparing two lists, or as a substitute for long OR Logical Tests. It is often used inside INDEX, ISNA and ISNUMBERS functions.</t>
  </si>
  <si>
    <t>You use INDEX as a lookup function when the "lookup value" is a relative position (row number or column number). It can be particularly useful when you want to lookup parts of a table, or like in chapter 16, when you want to add rows to a table to make it bigger.</t>
  </si>
  <si>
    <t>There are many good uses: here are a number:
1) One lookup value to return multiple items.
2) Lookup lookup tables.
3) remove rows with no data.
4) Grab the current values for aggregate functions when there is a complex logical test , like when you run an OR logical test on multiple columns.</t>
  </si>
  <si>
    <t>SWITCH is different as a lookup function because it can lookup all sorts of things, not just values from worksheet cells like with XLOOKUP, VLOOUP and others. SWITCH can lookup formulas, lookup tables, sections of a report, or any combination there in. CHOOSE and IFS and IF can also do this sort of thing also.</t>
  </si>
  <si>
    <t>1.       Name all the different types of lookups you can do by using the XLOOKUP function.</t>
  </si>
  <si>
    <t>5.       What makes SWITCH different from the other lookup functions, such as XLOOKUP and VLOOKUP?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</si>
</sst>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75" formatCode="0.0%"/>
    <numFmt numFmtId="176" formatCode="&quot;$&quot;#,##0"/>
    <numFmt numFmtId="177" formatCode="0&quot;''&quot;"/>
    <numFmt numFmtId="178" formatCode="&quot;$&quot;#,##0.00"/>
    <numFmt numFmtId="179" formatCode="m/d/yy;@"/>
    <numFmt numFmtId="180" formatCode="[$-F400]h:mm:ss\ AM/PM"/>
    <numFmt numFmtId="181" formatCode="[$-409]h:mm\ AM/PM;@"/>
  </numFmts>
  <fonts count="3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C000"/>
      <name val="Calibri"/>
      <family val="2"/>
      <scheme val="minor"/>
    </font>
    <font>
      <b/>
      <sz val="13"/>
      <color rgb="FF3333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206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0"/>
      <name val="Wingdings"/>
      <charset val="2"/>
    </font>
    <font>
      <b/>
      <sz val="16"/>
      <color theme="1"/>
      <name val="Calibri"/>
      <family val="2"/>
      <scheme val="minor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indexed="64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9" fillId="0" borderId="0" applyFont="0" applyFill="0" applyBorder="0" applyAlignment="0" applyProtection="0"/>
    <xf numFmtId="0" fontId="27" fillId="0" borderId="0"/>
    <xf numFmtId="0" fontId="3" fillId="5" borderId="10">
      <alignment wrapText="1"/>
    </xf>
  </cellStyleXfs>
  <cellXfs count="289">
    <xf numFmtId="0" fontId="0" fillId="0" borderId="0" xfId="0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2" fillId="0" borderId="0" xfId="0" applyFont="1"/>
    <xf numFmtId="0" fontId="0" fillId="0" borderId="10" xfId="0" applyBorder="1"/>
    <xf numFmtId="0" fontId="3" fillId="5" borderId="10" xfId="0" applyFont="1" applyFill="1" applyBorder="1"/>
    <xf numFmtId="0" fontId="0" fillId="8" borderId="10" xfId="0" applyFill="1" applyBorder="1"/>
    <xf numFmtId="0" fontId="0" fillId="0" borderId="15" xfId="0" applyBorder="1"/>
    <xf numFmtId="0" fontId="0" fillId="0" borderId="16" xfId="0" applyBorder="1"/>
    <xf numFmtId="0" fontId="4" fillId="2" borderId="16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4" fillId="2" borderId="18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7" borderId="22" xfId="0" applyFont="1" applyFill="1" applyBorder="1" applyAlignment="1">
      <alignment horizontal="center"/>
    </xf>
    <xf numFmtId="0" fontId="1" fillId="9" borderId="10" xfId="0" applyFont="1" applyFill="1" applyBorder="1"/>
    <xf numFmtId="0" fontId="0" fillId="10" borderId="10" xfId="0" applyFont="1" applyFill="1" applyBorder="1"/>
    <xf numFmtId="0" fontId="0" fillId="0" borderId="10" xfId="0" applyFont="1" applyBorder="1"/>
    <xf numFmtId="0" fontId="0" fillId="12" borderId="10" xfId="0" applyFont="1" applyFill="1" applyBorder="1"/>
    <xf numFmtId="0" fontId="0" fillId="11" borderId="16" xfId="0" applyFill="1" applyBorder="1"/>
    <xf numFmtId="0" fontId="2" fillId="11" borderId="16" xfId="0" applyFont="1" applyFill="1" applyBorder="1"/>
    <xf numFmtId="0" fontId="2" fillId="0" borderId="0" xfId="0" applyFont="1" applyBorder="1"/>
    <xf numFmtId="0" fontId="2" fillId="11" borderId="15" xfId="0" applyFont="1" applyFill="1" applyBorder="1" applyAlignment="1">
      <alignment horizontal="centerContinuous"/>
    </xf>
    <xf numFmtId="0" fontId="0" fillId="11" borderId="16" xfId="0" applyFill="1" applyBorder="1" applyAlignment="1">
      <alignment horizontal="centerContinuous"/>
    </xf>
    <xf numFmtId="0" fontId="0" fillId="11" borderId="17" xfId="0" applyFill="1" applyBorder="1" applyAlignment="1">
      <alignment horizontal="centerContinuous"/>
    </xf>
    <xf numFmtId="176" fontId="0" fillId="10" borderId="10" xfId="0" applyNumberFormat="1" applyFont="1" applyFill="1" applyBorder="1"/>
    <xf numFmtId="176" fontId="0" fillId="0" borderId="10" xfId="0" applyNumberFormat="1" applyBorder="1"/>
    <xf numFmtId="0" fontId="0" fillId="10" borderId="10" xfId="0" applyNumberFormat="1" applyFont="1" applyFill="1" applyBorder="1"/>
    <xf numFmtId="0" fontId="0" fillId="0" borderId="10" xfId="0" applyNumberFormat="1" applyBorder="1"/>
    <xf numFmtId="0" fontId="1" fillId="9" borderId="10" xfId="0" applyFont="1" applyFill="1" applyBorder="1" applyAlignment="1">
      <alignment vertical="center" wrapText="1"/>
    </xf>
    <xf numFmtId="175" fontId="0" fillId="10" borderId="10" xfId="0" applyNumberFormat="1" applyFont="1" applyFill="1" applyBorder="1"/>
    <xf numFmtId="175" fontId="0" fillId="0" borderId="10" xfId="0" applyNumberFormat="1" applyBorder="1"/>
    <xf numFmtId="175" fontId="0" fillId="8" borderId="10" xfId="0" applyNumberFormat="1" applyFill="1" applyBorder="1"/>
    <xf numFmtId="176" fontId="0" fillId="11" borderId="10" xfId="0" applyNumberFormat="1" applyFill="1" applyBorder="1"/>
    <xf numFmtId="175" fontId="0" fillId="11" borderId="10" xfId="0" applyNumberFormat="1" applyFill="1" applyBorder="1"/>
    <xf numFmtId="176" fontId="0" fillId="0" borderId="10" xfId="0" applyNumberFormat="1" applyFill="1" applyBorder="1"/>
    <xf numFmtId="175" fontId="0" fillId="0" borderId="10" xfId="0" applyNumberFormat="1" applyFill="1" applyBorder="1"/>
    <xf numFmtId="0" fontId="9" fillId="0" borderId="15" xfId="0" applyFont="1" applyBorder="1"/>
    <xf numFmtId="0" fontId="9" fillId="0" borderId="16" xfId="0" applyFont="1" applyBorder="1"/>
    <xf numFmtId="0" fontId="10" fillId="2" borderId="16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5" borderId="16" xfId="0" applyFont="1" applyFill="1" applyBorder="1" applyAlignment="1">
      <alignment horizontal="center"/>
    </xf>
    <xf numFmtId="0" fontId="10" fillId="6" borderId="16" xfId="0" applyFont="1" applyFill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18" xfId="0" applyFont="1" applyBorder="1"/>
    <xf numFmtId="0" fontId="9" fillId="0" borderId="0" xfId="0" applyFont="1" applyBorder="1"/>
    <xf numFmtId="0" fontId="9" fillId="0" borderId="19" xfId="0" applyFont="1" applyBorder="1"/>
    <xf numFmtId="0" fontId="10" fillId="2" borderId="18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9" fillId="0" borderId="4" xfId="0" applyFont="1" applyBorder="1" applyAlignment="1">
      <alignment horizontal="left" indent="1"/>
    </xf>
    <xf numFmtId="0" fontId="9" fillId="0" borderId="5" xfId="0" applyFont="1" applyBorder="1"/>
    <xf numFmtId="0" fontId="9" fillId="0" borderId="20" xfId="0" applyFont="1" applyBorder="1"/>
    <xf numFmtId="0" fontId="9" fillId="0" borderId="7" xfId="0" quotePrefix="1" applyFont="1" applyBorder="1" applyAlignment="1">
      <alignment horizontal="left" indent="1"/>
    </xf>
    <xf numFmtId="0" fontId="9" fillId="0" borderId="8" xfId="0" applyFont="1" applyBorder="1"/>
    <xf numFmtId="0" fontId="9" fillId="0" borderId="21" xfId="0" applyFont="1" applyBorder="1"/>
    <xf numFmtId="0" fontId="11" fillId="7" borderId="18" xfId="0" applyFont="1" applyFill="1" applyBorder="1" applyAlignment="1">
      <alignment horizontal="center"/>
    </xf>
    <xf numFmtId="0" fontId="9" fillId="0" borderId="4" xfId="0" quotePrefix="1" applyFont="1" applyBorder="1" applyAlignment="1">
      <alignment horizontal="left" indent="1"/>
    </xf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0" fillId="0" borderId="0" xfId="0" applyFont="1"/>
    <xf numFmtId="0" fontId="12" fillId="0" borderId="0" xfId="0" applyFont="1" applyBorder="1" applyAlignment="1">
      <alignment vertical="center"/>
    </xf>
    <xf numFmtId="0" fontId="13" fillId="0" borderId="1" xfId="0" applyFont="1" applyBorder="1" applyAlignment="1">
      <alignment horizontal="left" vertical="center" indent="1"/>
    </xf>
    <xf numFmtId="0" fontId="13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vertical="center" indent="1"/>
    </xf>
    <xf numFmtId="0" fontId="11" fillId="0" borderId="18" xfId="0" applyFont="1" applyFill="1" applyBorder="1" applyAlignment="1">
      <alignment horizontal="left" indent="6"/>
    </xf>
    <xf numFmtId="0" fontId="13" fillId="0" borderId="0" xfId="0" applyFont="1" applyBorder="1" applyAlignment="1">
      <alignment horizontal="left" indent="12"/>
    </xf>
    <xf numFmtId="0" fontId="11" fillId="7" borderId="17" xfId="0" applyFont="1" applyFill="1" applyBorder="1" applyAlignment="1">
      <alignment horizontal="center"/>
    </xf>
    <xf numFmtId="0" fontId="3" fillId="5" borderId="25" xfId="0" applyFont="1" applyFill="1" applyBorder="1"/>
    <xf numFmtId="0" fontId="3" fillId="5" borderId="12" xfId="0" applyFont="1" applyFill="1" applyBorder="1"/>
    <xf numFmtId="0" fontId="0" fillId="10" borderId="6" xfId="0" applyFont="1" applyFill="1" applyBorder="1"/>
    <xf numFmtId="0" fontId="0" fillId="0" borderId="6" xfId="0" applyFont="1" applyBorder="1"/>
    <xf numFmtId="0" fontId="0" fillId="10" borderId="4" xfId="0" applyFont="1" applyFill="1" applyBorder="1"/>
    <xf numFmtId="0" fontId="0" fillId="0" borderId="4" xfId="0" applyFont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0" fillId="10" borderId="9" xfId="0" applyFont="1" applyFill="1" applyBorder="1"/>
    <xf numFmtId="0" fontId="0" fillId="10" borderId="14" xfId="0" applyFont="1" applyFill="1" applyBorder="1"/>
    <xf numFmtId="0" fontId="0" fillId="10" borderId="7" xfId="0" applyFont="1" applyFill="1" applyBorder="1"/>
    <xf numFmtId="176" fontId="0" fillId="10" borderId="6" xfId="0" applyNumberFormat="1" applyFont="1" applyFill="1" applyBorder="1"/>
    <xf numFmtId="176" fontId="0" fillId="0" borderId="6" xfId="0" applyNumberFormat="1" applyBorder="1"/>
    <xf numFmtId="176" fontId="0" fillId="0" borderId="6" xfId="0" applyNumberFormat="1" applyFill="1" applyBorder="1"/>
    <xf numFmtId="175" fontId="0" fillId="10" borderId="4" xfId="0" applyNumberFormat="1" applyFont="1" applyFill="1" applyBorder="1"/>
    <xf numFmtId="175" fontId="0" fillId="0" borderId="4" xfId="0" applyNumberFormat="1" applyBorder="1"/>
    <xf numFmtId="175" fontId="0" fillId="0" borderId="4" xfId="0" applyNumberFormat="1" applyFill="1" applyBorder="1"/>
    <xf numFmtId="0" fontId="1" fillId="9" borderId="11" xfId="0" applyFont="1" applyFill="1" applyBorder="1" applyAlignment="1">
      <alignment vertical="center" wrapText="1"/>
    </xf>
    <xf numFmtId="0" fontId="1" fillId="9" borderId="12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176" fontId="0" fillId="0" borderId="9" xfId="0" applyNumberFormat="1" applyBorder="1"/>
    <xf numFmtId="0" fontId="0" fillId="0" borderId="14" xfId="0" applyNumberFormat="1" applyBorder="1"/>
    <xf numFmtId="175" fontId="0" fillId="0" borderId="7" xfId="0" applyNumberFormat="1" applyBorder="1"/>
    <xf numFmtId="3" fontId="0" fillId="0" borderId="10" xfId="0" applyNumberFormat="1" applyBorder="1"/>
    <xf numFmtId="177" fontId="0" fillId="0" borderId="10" xfId="0" applyNumberFormat="1" applyFill="1" applyBorder="1"/>
    <xf numFmtId="177" fontId="0" fillId="8" borderId="10" xfId="1" applyNumberFormat="1" applyFont="1" applyFill="1" applyBorder="1"/>
    <xf numFmtId="0" fontId="3" fillId="5" borderId="14" xfId="0" applyFont="1" applyFill="1" applyBorder="1" applyAlignment="1">
      <alignment wrapText="1"/>
    </xf>
    <xf numFmtId="0" fontId="1" fillId="5" borderId="10" xfId="0" applyFont="1" applyFill="1" applyBorder="1"/>
    <xf numFmtId="0" fontId="1" fillId="5" borderId="10" xfId="0" applyFont="1" applyFill="1" applyBorder="1" applyAlignment="1">
      <alignment wrapText="1"/>
    </xf>
    <xf numFmtId="14" fontId="0" fillId="8" borderId="10" xfId="0" applyNumberFormat="1" applyFill="1" applyBorder="1"/>
    <xf numFmtId="14" fontId="0" fillId="0" borderId="10" xfId="0" applyNumberFormat="1" applyBorder="1"/>
    <xf numFmtId="178" fontId="0" fillId="0" borderId="10" xfId="0" applyNumberFormat="1" applyBorder="1"/>
    <xf numFmtId="14" fontId="1" fillId="5" borderId="10" xfId="0" applyNumberFormat="1" applyFont="1" applyFill="1" applyBorder="1"/>
    <xf numFmtId="3" fontId="0" fillId="8" borderId="10" xfId="0" applyNumberFormat="1" applyFill="1" applyBorder="1"/>
    <xf numFmtId="18" fontId="0" fillId="0" borderId="10" xfId="0" applyNumberFormat="1" applyBorder="1"/>
    <xf numFmtId="0" fontId="1" fillId="5" borderId="7" xfId="0" applyFont="1" applyFill="1" applyBorder="1" applyAlignment="1">
      <alignment horizontal="centerContinuous"/>
    </xf>
    <xf numFmtId="0" fontId="1" fillId="5" borderId="8" xfId="0" applyFont="1" applyFill="1" applyBorder="1" applyAlignment="1">
      <alignment horizontal="centerContinuous"/>
    </xf>
    <xf numFmtId="0" fontId="1" fillId="5" borderId="9" xfId="0" applyFont="1" applyFill="1" applyBorder="1" applyAlignment="1">
      <alignment horizontal="centerContinuous"/>
    </xf>
    <xf numFmtId="0" fontId="2" fillId="11" borderId="26" xfId="0" applyFont="1" applyFill="1" applyBorder="1" applyAlignment="1">
      <alignment horizontal="centerContinuous"/>
    </xf>
    <xf numFmtId="0" fontId="2" fillId="11" borderId="0" xfId="0" applyFont="1" applyFill="1" applyBorder="1" applyAlignment="1">
      <alignment horizontal="centerContinuous"/>
    </xf>
    <xf numFmtId="0" fontId="2" fillId="11" borderId="27" xfId="0" applyFont="1" applyFill="1" applyBorder="1" applyAlignment="1">
      <alignment horizontal="centerContinuous"/>
    </xf>
    <xf numFmtId="0" fontId="3" fillId="5" borderId="10" xfId="0" applyFont="1" applyFill="1" applyBorder="1" applyAlignment="1">
      <alignment wrapText="1"/>
    </xf>
    <xf numFmtId="0" fontId="3" fillId="4" borderId="10" xfId="0" applyFont="1" applyFill="1" applyBorder="1"/>
    <xf numFmtId="0" fontId="0" fillId="11" borderId="15" xfId="0" applyFill="1" applyBorder="1" applyAlignment="1">
      <alignment horizontal="centerContinuous"/>
    </xf>
    <xf numFmtId="0" fontId="20" fillId="13" borderId="4" xfId="0" applyFont="1" applyFill="1" applyBorder="1"/>
    <xf numFmtId="0" fontId="1" fillId="13" borderId="5" xfId="0" applyFont="1" applyFill="1" applyBorder="1"/>
    <xf numFmtId="0" fontId="2" fillId="14" borderId="4" xfId="0" applyFont="1" applyFill="1" applyBorder="1"/>
    <xf numFmtId="0" fontId="2" fillId="14" borderId="6" xfId="0" applyFont="1" applyFill="1" applyBorder="1"/>
    <xf numFmtId="0" fontId="2" fillId="15" borderId="4" xfId="0" applyFont="1" applyFill="1" applyBorder="1"/>
    <xf numFmtId="0" fontId="2" fillId="15" borderId="5" xfId="0" applyFont="1" applyFill="1" applyBorder="1"/>
    <xf numFmtId="0" fontId="0" fillId="17" borderId="10" xfId="0" applyFill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16" borderId="10" xfId="0" applyFont="1" applyFill="1" applyBorder="1"/>
    <xf numFmtId="0" fontId="1" fillId="4" borderId="10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0" fillId="0" borderId="6" xfId="0" applyBorder="1"/>
    <xf numFmtId="0" fontId="1" fillId="4" borderId="4" xfId="0" applyFont="1" applyFill="1" applyBorder="1"/>
    <xf numFmtId="0" fontId="3" fillId="4" borderId="6" xfId="0" applyFont="1" applyFill="1" applyBorder="1"/>
    <xf numFmtId="0" fontId="21" fillId="0" borderId="0" xfId="0" applyFont="1"/>
    <xf numFmtId="0" fontId="3" fillId="5" borderId="7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quotePrefix="1" applyBorder="1" applyAlignment="1">
      <alignment horizontal="left" indent="2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quotePrefix="1" applyBorder="1" applyAlignment="1">
      <alignment horizontal="left" indent="2"/>
    </xf>
    <xf numFmtId="0" fontId="0" fillId="0" borderId="39" xfId="0" applyBorder="1"/>
    <xf numFmtId="0" fontId="0" fillId="0" borderId="40" xfId="0" quotePrefix="1" applyBorder="1" applyAlignment="1">
      <alignment horizontal="left" indent="2"/>
    </xf>
    <xf numFmtId="0" fontId="0" fillId="0" borderId="41" xfId="0" applyBorder="1"/>
    <xf numFmtId="0" fontId="0" fillId="0" borderId="42" xfId="0" applyBorder="1"/>
    <xf numFmtId="0" fontId="0" fillId="0" borderId="39" xfId="0" quotePrefix="1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5" xfId="0" quotePrefix="1" applyBorder="1" applyAlignment="1">
      <alignment horizontal="left" indent="2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2" fillId="0" borderId="0" xfId="0" applyFont="1"/>
    <xf numFmtId="0" fontId="0" fillId="0" borderId="46" xfId="0" applyBorder="1"/>
    <xf numFmtId="0" fontId="0" fillId="0" borderId="47" xfId="0" applyBorder="1"/>
    <xf numFmtId="0" fontId="9" fillId="0" borderId="0" xfId="0" applyFont="1"/>
    <xf numFmtId="0" fontId="3" fillId="18" borderId="10" xfId="0" applyFont="1" applyFill="1" applyBorder="1"/>
    <xf numFmtId="0" fontId="3" fillId="19" borderId="10" xfId="0" applyFont="1" applyFill="1" applyBorder="1"/>
    <xf numFmtId="0" fontId="0" fillId="11" borderId="10" xfId="0" applyFill="1" applyBorder="1" applyAlignment="1">
      <alignment horizontal="centerContinuous"/>
    </xf>
    <xf numFmtId="0" fontId="2" fillId="0" borderId="31" xfId="0" applyFont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4" fillId="3" borderId="18" xfId="0" applyFont="1" applyFill="1" applyBorder="1" applyAlignment="1">
      <alignment horizontal="center" vertical="center"/>
    </xf>
    <xf numFmtId="0" fontId="2" fillId="0" borderId="10" xfId="0" applyFont="1" applyBorder="1"/>
    <xf numFmtId="0" fontId="0" fillId="0" borderId="10" xfId="0" applyFill="1" applyBorder="1"/>
    <xf numFmtId="0" fontId="1" fillId="5" borderId="14" xfId="0" applyFont="1" applyFill="1" applyBorder="1"/>
    <xf numFmtId="0" fontId="7" fillId="0" borderId="0" xfId="0" applyFont="1" applyBorder="1"/>
    <xf numFmtId="0" fontId="0" fillId="0" borderId="0" xfId="0" applyFont="1" applyBorder="1"/>
    <xf numFmtId="0" fontId="0" fillId="0" borderId="19" xfId="0" applyFont="1" applyBorder="1"/>
    <xf numFmtId="0" fontId="7" fillId="0" borderId="0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0" fillId="0" borderId="23" xfId="0" applyFont="1" applyBorder="1"/>
    <xf numFmtId="0" fontId="0" fillId="0" borderId="24" xfId="0" applyFont="1" applyBorder="1"/>
    <xf numFmtId="0" fontId="0" fillId="0" borderId="57" xfId="0" quotePrefix="1" applyBorder="1" applyAlignment="1">
      <alignment horizontal="left" indent="2"/>
    </xf>
    <xf numFmtId="0" fontId="0" fillId="0" borderId="58" xfId="0" quotePrefix="1" applyBorder="1" applyAlignment="1">
      <alignment horizontal="left" indent="2"/>
    </xf>
    <xf numFmtId="0" fontId="0" fillId="0" borderId="59" xfId="0" applyBorder="1"/>
    <xf numFmtId="0" fontId="3" fillId="5" borderId="8" xfId="0" applyFont="1" applyFill="1" applyBorder="1"/>
    <xf numFmtId="0" fontId="3" fillId="5" borderId="9" xfId="0" applyFont="1" applyFill="1" applyBorder="1"/>
    <xf numFmtId="0" fontId="0" fillId="0" borderId="60" xfId="0" applyBorder="1"/>
    <xf numFmtId="0" fontId="2" fillId="0" borderId="37" xfId="0" applyFont="1" applyBorder="1"/>
    <xf numFmtId="0" fontId="0" fillId="0" borderId="61" xfId="0" applyBorder="1"/>
    <xf numFmtId="0" fontId="0" fillId="0" borderId="62" xfId="0" applyBorder="1"/>
    <xf numFmtId="0" fontId="22" fillId="20" borderId="63" xfId="0" applyFont="1" applyFill="1" applyBorder="1" applyAlignment="1">
      <alignment horizontal="left" indent="1"/>
    </xf>
    <xf numFmtId="0" fontId="0" fillId="20" borderId="64" xfId="0" applyFill="1" applyBorder="1" applyAlignment="1"/>
    <xf numFmtId="0" fontId="0" fillId="20" borderId="65" xfId="0" applyFill="1" applyBorder="1" applyAlignment="1"/>
    <xf numFmtId="0" fontId="25" fillId="0" borderId="1" xfId="0" applyFont="1" applyBorder="1"/>
    <xf numFmtId="0" fontId="0" fillId="0" borderId="4" xfId="0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0" fillId="0" borderId="9" xfId="0" applyBorder="1"/>
    <xf numFmtId="0" fontId="0" fillId="0" borderId="14" xfId="0" applyBorder="1"/>
    <xf numFmtId="0" fontId="0" fillId="0" borderId="7" xfId="0" applyBorder="1"/>
    <xf numFmtId="14" fontId="0" fillId="0" borderId="0" xfId="0" applyNumberFormat="1"/>
    <xf numFmtId="4" fontId="0" fillId="0" borderId="0" xfId="0" applyNumberFormat="1"/>
    <xf numFmtId="14" fontId="0" fillId="0" borderId="6" xfId="0" applyNumberFormat="1" applyBorder="1"/>
    <xf numFmtId="14" fontId="0" fillId="0" borderId="9" xfId="0" applyNumberFormat="1" applyBorder="1"/>
    <xf numFmtId="0" fontId="9" fillId="0" borderId="0" xfId="0" applyFont="1" applyAlignment="1">
      <alignment horizontal="left" vertical="top" wrapText="1"/>
    </xf>
    <xf numFmtId="9" fontId="0" fillId="0" borderId="10" xfId="0" applyNumberFormat="1" applyBorder="1"/>
    <xf numFmtId="0" fontId="26" fillId="20" borderId="67" xfId="0" applyFont="1" applyFill="1" applyBorder="1" applyAlignment="1">
      <alignment horizontal="left" vertical="center" wrapText="1" inden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8" fillId="17" borderId="10" xfId="2" applyFont="1" applyFill="1" applyBorder="1" applyAlignment="1">
      <alignment wrapText="1"/>
    </xf>
    <xf numFmtId="8" fontId="0" fillId="0" borderId="10" xfId="0" applyNumberFormat="1" applyBorder="1"/>
    <xf numFmtId="178" fontId="0" fillId="8" borderId="10" xfId="0" applyNumberFormat="1" applyFill="1" applyBorder="1"/>
    <xf numFmtId="178" fontId="0" fillId="0" borderId="10" xfId="0" applyNumberFormat="1" applyFill="1" applyBorder="1"/>
    <xf numFmtId="0" fontId="9" fillId="0" borderId="0" xfId="0" applyFont="1" applyBorder="1" applyAlignment="1">
      <alignment vertical="center"/>
    </xf>
    <xf numFmtId="0" fontId="0" fillId="0" borderId="58" xfId="0" applyBorder="1"/>
    <xf numFmtId="0" fontId="0" fillId="0" borderId="45" xfId="0" applyBorder="1"/>
    <xf numFmtId="0" fontId="2" fillId="0" borderId="68" xfId="0" applyFont="1" applyBorder="1"/>
    <xf numFmtId="0" fontId="0" fillId="0" borderId="69" xfId="0" applyBorder="1"/>
    <xf numFmtId="0" fontId="3" fillId="4" borderId="10" xfId="0" applyFont="1" applyFill="1" applyBorder="1" applyAlignment="1">
      <alignment wrapText="1"/>
    </xf>
    <xf numFmtId="6" fontId="0" fillId="0" borderId="10" xfId="0" applyNumberFormat="1" applyBorder="1"/>
    <xf numFmtId="0" fontId="0" fillId="11" borderId="0" xfId="0" applyFill="1"/>
    <xf numFmtId="0" fontId="3" fillId="5" borderId="10" xfId="3">
      <alignment wrapText="1"/>
    </xf>
    <xf numFmtId="0" fontId="2" fillId="0" borderId="0" xfId="0" applyFont="1" applyAlignment="1">
      <alignment horizontal="right"/>
    </xf>
    <xf numFmtId="0" fontId="29" fillId="0" borderId="4" xfId="0" applyFont="1" applyBorder="1" applyAlignment="1">
      <alignment vertical="top"/>
    </xf>
    <xf numFmtId="0" fontId="29" fillId="0" borderId="5" xfId="0" applyFont="1" applyBorder="1"/>
    <xf numFmtId="0" fontId="29" fillId="0" borderId="6" xfId="0" applyFont="1" applyBorder="1"/>
    <xf numFmtId="0" fontId="0" fillId="0" borderId="0" xfId="0" applyAlignment="1">
      <alignment wrapText="1"/>
    </xf>
    <xf numFmtId="0" fontId="2" fillId="11" borderId="0" xfId="0" applyFont="1" applyFill="1"/>
    <xf numFmtId="0" fontId="1" fillId="5" borderId="0" xfId="0" applyFont="1" applyFill="1"/>
    <xf numFmtId="14" fontId="0" fillId="0" borderId="0" xfId="0" applyNumberFormat="1" applyBorder="1"/>
    <xf numFmtId="0" fontId="0" fillId="0" borderId="10" xfId="0" applyNumberFormat="1" applyFill="1" applyBorder="1"/>
    <xf numFmtId="0" fontId="3" fillId="5" borderId="14" xfId="0" applyFont="1" applyFill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11" borderId="0" xfId="0" applyFill="1" applyAlignment="1">
      <alignment horizontal="centerContinuous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79" fontId="0" fillId="0" borderId="10" xfId="0" applyNumberFormat="1" applyBorder="1"/>
    <xf numFmtId="181" fontId="0" fillId="0" borderId="10" xfId="0" applyNumberFormat="1" applyBorder="1"/>
    <xf numFmtId="0" fontId="29" fillId="0" borderId="28" xfId="0" applyFont="1" applyBorder="1" applyAlignment="1">
      <alignment vertical="top"/>
    </xf>
    <xf numFmtId="0" fontId="29" fillId="0" borderId="29" xfId="0" applyFont="1" applyBorder="1"/>
    <xf numFmtId="0" fontId="29" fillId="0" borderId="30" xfId="0" applyFont="1" applyBorder="1"/>
    <xf numFmtId="0" fontId="30" fillId="0" borderId="0" xfId="0" applyFont="1"/>
    <xf numFmtId="0" fontId="0" fillId="0" borderId="0" xfId="0" applyFont="1" applyAlignment="1">
      <alignment horizontal="left" indent="5"/>
    </xf>
    <xf numFmtId="0" fontId="31" fillId="0" borderId="0" xfId="0" applyFont="1" applyAlignment="1">
      <alignment horizontal="left" indent="5"/>
    </xf>
    <xf numFmtId="0" fontId="0" fillId="8" borderId="0" xfId="0" applyFill="1"/>
    <xf numFmtId="0" fontId="0" fillId="0" borderId="0" xfId="0" applyFont="1" applyAlignment="1">
      <alignment horizontal="left" indent="6"/>
    </xf>
    <xf numFmtId="0" fontId="0" fillId="0" borderId="0" xfId="0" applyFont="1" applyAlignment="1">
      <alignment horizontal="left" indent="2"/>
    </xf>
    <xf numFmtId="0" fontId="2" fillId="16" borderId="1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0" fillId="0" borderId="54" xfId="0" quotePrefix="1" applyBorder="1" applyAlignment="1">
      <alignment horizontal="left" wrapText="1" indent="2"/>
    </xf>
    <xf numFmtId="0" fontId="0" fillId="0" borderId="55" xfId="0" quotePrefix="1" applyBorder="1" applyAlignment="1">
      <alignment horizontal="left" wrapText="1" indent="2"/>
    </xf>
    <xf numFmtId="0" fontId="0" fillId="0" borderId="56" xfId="0" quotePrefix="1" applyBorder="1" applyAlignment="1">
      <alignment horizontal="left" wrapText="1" indent="2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9" fillId="0" borderId="7" xfId="0" quotePrefix="1" applyFont="1" applyBorder="1" applyAlignment="1">
      <alignment vertical="top" wrapText="1"/>
    </xf>
    <xf numFmtId="0" fontId="9" fillId="0" borderId="8" xfId="0" quotePrefix="1" applyFont="1" applyBorder="1" applyAlignment="1">
      <alignment vertical="top" wrapText="1"/>
    </xf>
    <xf numFmtId="0" fontId="9" fillId="0" borderId="9" xfId="0" quotePrefix="1" applyFont="1" applyBorder="1" applyAlignment="1">
      <alignment vertical="top" wrapText="1"/>
    </xf>
    <xf numFmtId="0" fontId="9" fillId="0" borderId="26" xfId="0" quotePrefix="1" applyFont="1" applyBorder="1" applyAlignment="1">
      <alignment vertical="top" wrapText="1"/>
    </xf>
    <xf numFmtId="0" fontId="9" fillId="0" borderId="0" xfId="0" quotePrefix="1" applyFont="1" applyBorder="1" applyAlignment="1">
      <alignment vertical="top" wrapText="1"/>
    </xf>
    <xf numFmtId="0" fontId="9" fillId="0" borderId="27" xfId="0" quotePrefix="1" applyFont="1" applyBorder="1" applyAlignment="1">
      <alignment vertical="top" wrapText="1"/>
    </xf>
    <xf numFmtId="0" fontId="9" fillId="0" borderId="13" xfId="0" quotePrefix="1" applyFont="1" applyBorder="1" applyAlignment="1">
      <alignment vertical="top" wrapText="1"/>
    </xf>
    <xf numFmtId="0" fontId="9" fillId="0" borderId="66" xfId="0" quotePrefix="1" applyFont="1" applyBorder="1" applyAlignment="1">
      <alignment vertical="top" wrapText="1"/>
    </xf>
    <xf numFmtId="0" fontId="9" fillId="0" borderId="11" xfId="0" quotePrefix="1" applyFont="1" applyBorder="1" applyAlignment="1">
      <alignment vertical="top" wrapText="1"/>
    </xf>
    <xf numFmtId="0" fontId="29" fillId="0" borderId="4" xfId="0" applyFont="1" applyBorder="1" applyAlignment="1">
      <alignment vertical="top" wrapText="1"/>
    </xf>
    <xf numFmtId="0" fontId="29" fillId="0" borderId="5" xfId="0" applyFont="1" applyBorder="1" applyAlignment="1">
      <alignment vertical="top" wrapText="1"/>
    </xf>
    <xf numFmtId="0" fontId="29" fillId="0" borderId="6" xfId="0" applyFont="1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4">
    <cellStyle name="Comma" xfId="1" builtinId="3"/>
    <cellStyle name="DarkBlue" xfId="3" xr:uid="{4DA1BFCF-F6A8-4F25-BE06-BFBD290B3CF5}"/>
    <cellStyle name="Normal" xfId="0" builtinId="0"/>
    <cellStyle name="Normal 2 2" xfId="2" xr:uid="{99AA3D8E-D69B-468D-B186-DA8F5F9BD336}"/>
  </cellStyles>
  <dxfs count="128"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microsoft.com/office/2017/06/relationships/richStyles" Target="richData/richStyles.xml"/><Relationship Id="rId16" Type="http://schemas.openxmlformats.org/officeDocument/2006/relationships/worksheet" Target="worksheets/sheet16.xml"/><Relationship Id="rId107" Type="http://schemas.openxmlformats.org/officeDocument/2006/relationships/sheetMetadata" Target="metadata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microsoft.com/office/2017/06/relationships/rdSupportingPropertyBagStructure" Target="richData/rdsupportingpropertybagstructure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microsoft.com/office/2020/07/relationships/rdRichValueWebImage" Target="richData/rdRichValueWebImage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14" Type="http://schemas.microsoft.com/office/2017/06/relationships/rdSupportingPropertyBag" Target="richData/rdsupportingpropertybag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microsoft.com/office/2017/06/relationships/rdRichValue" Target="richData/rdrichvalue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microsoft.com/office/2017/06/relationships/rdRichValueStructure" Target="richData/rdrichvaluestructure.xml"/><Relationship Id="rId115" Type="http://schemas.microsoft.com/office/2017/06/relationships/rdRichValueTypes" Target="richData/rdRichValueTyp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microsoft.com/office/2017/06/relationships/rdArray" Target="richData/rdarray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5" Type="http://schemas.openxmlformats.org/officeDocument/2006/relationships/image" Target="../media/image13.emf"/><Relationship Id="rId4" Type="http://schemas.openxmlformats.org/officeDocument/2006/relationships/image" Target="../media/image12.jp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5" Type="http://schemas.openxmlformats.org/officeDocument/2006/relationships/image" Target="../media/image14.emf"/><Relationship Id="rId4" Type="http://schemas.openxmlformats.org/officeDocument/2006/relationships/image" Target="../media/image12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420414</xdr:colOff>
      <xdr:row>8</xdr:row>
      <xdr:rowOff>188039</xdr:rowOff>
    </xdr:from>
    <xdr:to>
      <xdr:col>4</xdr:col>
      <xdr:colOff>9649</xdr:colOff>
      <xdr:row>15</xdr:row>
      <xdr:rowOff>124810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EE01435-0263-4E88-87E7-12EDF44C2705}"/>
            </a:ext>
          </a:extLst>
        </xdr:cNvPr>
        <xdr:cNvCxnSpPr/>
      </xdr:nvCxnSpPr>
      <xdr:spPr>
        <a:xfrm flipH="1">
          <a:off x="2804948" y="1718608"/>
          <a:ext cx="259270" cy="127027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275897</xdr:colOff>
      <xdr:row>9</xdr:row>
      <xdr:rowOff>177362</xdr:rowOff>
    </xdr:from>
    <xdr:to>
      <xdr:col>4</xdr:col>
      <xdr:colOff>328447</xdr:colOff>
      <xdr:row>11</xdr:row>
      <xdr:rowOff>32845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EE214AD-D262-4634-9DE8-480B7B2917CE}"/>
            </a:ext>
          </a:extLst>
        </xdr:cNvPr>
        <xdr:cNvSpPr/>
      </xdr:nvSpPr>
      <xdr:spPr>
        <a:xfrm>
          <a:off x="2660431" y="1898431"/>
          <a:ext cx="722585" cy="2364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Match?</a:t>
          </a:r>
        </a:p>
      </xdr:txBody>
    </xdr:sp>
    <xdr:clientData/>
  </xdr:twoCellAnchor>
  <xdr:twoCellAnchor editAs="oneCell">
    <xdr:from>
      <xdr:col>3</xdr:col>
      <xdr:colOff>503636</xdr:colOff>
      <xdr:row>15</xdr:row>
      <xdr:rowOff>124810</xdr:rowOff>
    </xdr:from>
    <xdr:to>
      <xdr:col>5</xdr:col>
      <xdr:colOff>183932</xdr:colOff>
      <xdr:row>15</xdr:row>
      <xdr:rowOff>130232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FF42FC3-8CFB-44B1-9E37-8E0ABCB06034}"/>
            </a:ext>
          </a:extLst>
        </xdr:cNvPr>
        <xdr:cNvCxnSpPr/>
      </xdr:nvCxnSpPr>
      <xdr:spPr>
        <a:xfrm flipV="1">
          <a:off x="2888170" y="2988879"/>
          <a:ext cx="948106" cy="5422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394138</xdr:colOff>
      <xdr:row>9</xdr:row>
      <xdr:rowOff>52553</xdr:rowOff>
    </xdr:from>
    <xdr:to>
      <xdr:col>5</xdr:col>
      <xdr:colOff>420414</xdr:colOff>
      <xdr:row>15</xdr:row>
      <xdr:rowOff>26276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7D9D030-776B-4167-B9EC-3FDD2C9E1440}"/>
            </a:ext>
          </a:extLst>
        </xdr:cNvPr>
        <xdr:cNvCxnSpPr/>
      </xdr:nvCxnSpPr>
      <xdr:spPr>
        <a:xfrm flipH="1" flipV="1">
          <a:off x="4046483" y="1773622"/>
          <a:ext cx="26276" cy="1116723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185246</xdr:colOff>
      <xdr:row>16</xdr:row>
      <xdr:rowOff>67002</xdr:rowOff>
    </xdr:from>
    <xdr:to>
      <xdr:col>5</xdr:col>
      <xdr:colOff>512380</xdr:colOff>
      <xdr:row>17</xdr:row>
      <xdr:rowOff>112985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DF56479-0DE8-4F4E-B676-834B77D5CBF6}"/>
            </a:ext>
          </a:extLst>
        </xdr:cNvPr>
        <xdr:cNvSpPr/>
      </xdr:nvSpPr>
      <xdr:spPr>
        <a:xfrm>
          <a:off x="2569780" y="3121571"/>
          <a:ext cx="1594944" cy="2364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Corresponding position</a:t>
          </a:r>
        </a:p>
      </xdr:txBody>
    </xdr:sp>
    <xdr:clientData/>
  </xdr:twoCellAnchor>
  <xdr:twoCellAnchor editAs="oneCell">
    <xdr:from>
      <xdr:col>5</xdr:col>
      <xdr:colOff>99849</xdr:colOff>
      <xdr:row>10</xdr:row>
      <xdr:rowOff>86711</xdr:rowOff>
    </xdr:from>
    <xdr:to>
      <xdr:col>6</xdr:col>
      <xdr:colOff>211520</xdr:colOff>
      <xdr:row>11</xdr:row>
      <xdr:rowOff>132694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4C98DC3-89F3-402C-9C62-E30BC2794CB6}"/>
            </a:ext>
          </a:extLst>
        </xdr:cNvPr>
        <xdr:cNvSpPr/>
      </xdr:nvSpPr>
      <xdr:spPr>
        <a:xfrm>
          <a:off x="3075590" y="1873470"/>
          <a:ext cx="722585" cy="2364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Retrieve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578069</xdr:colOff>
      <xdr:row>9</xdr:row>
      <xdr:rowOff>0</xdr:rowOff>
    </xdr:from>
    <xdr:to>
      <xdr:col>3</xdr:col>
      <xdr:colOff>269330</xdr:colOff>
      <xdr:row>16</xdr:row>
      <xdr:rowOff>111672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65B1F1C-C065-49D6-8E60-16B3E01CB346}"/>
            </a:ext>
          </a:extLst>
        </xdr:cNvPr>
        <xdr:cNvCxnSpPr/>
      </xdr:nvCxnSpPr>
      <xdr:spPr>
        <a:xfrm flipH="1">
          <a:off x="1609397" y="1589690"/>
          <a:ext cx="768571" cy="1635672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918339</xdr:colOff>
      <xdr:row>9</xdr:row>
      <xdr:rowOff>68150</xdr:rowOff>
    </xdr:from>
    <xdr:to>
      <xdr:col>3</xdr:col>
      <xdr:colOff>563614</xdr:colOff>
      <xdr:row>10</xdr:row>
      <xdr:rowOff>114133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BD46BC4-884A-4D28-8F93-01EFBFE7B986}"/>
            </a:ext>
          </a:extLst>
        </xdr:cNvPr>
        <xdr:cNvSpPr/>
      </xdr:nvSpPr>
      <xdr:spPr>
        <a:xfrm>
          <a:off x="1805149" y="1657840"/>
          <a:ext cx="722585" cy="2364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Match?</a:t>
          </a:r>
        </a:p>
      </xdr:txBody>
    </xdr:sp>
    <xdr:clientData/>
  </xdr:twoCellAnchor>
  <xdr:twoCellAnchor editAs="oneCell">
    <xdr:from>
      <xdr:col>2</xdr:col>
      <xdr:colOff>1031328</xdr:colOff>
      <xdr:row>16</xdr:row>
      <xdr:rowOff>164225</xdr:rowOff>
    </xdr:from>
    <xdr:to>
      <xdr:col>4</xdr:col>
      <xdr:colOff>144518</xdr:colOff>
      <xdr:row>16</xdr:row>
      <xdr:rowOff>177362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7FC2077-586C-4531-9F92-BE2529A9E673}"/>
            </a:ext>
          </a:extLst>
        </xdr:cNvPr>
        <xdr:cNvCxnSpPr/>
      </xdr:nvCxnSpPr>
      <xdr:spPr>
        <a:xfrm flipV="1">
          <a:off x="1891862" y="3277915"/>
          <a:ext cx="1333500" cy="13137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223345</xdr:colOff>
      <xdr:row>9</xdr:row>
      <xdr:rowOff>13138</xdr:rowOff>
    </xdr:from>
    <xdr:to>
      <xdr:col>4</xdr:col>
      <xdr:colOff>254873</xdr:colOff>
      <xdr:row>16</xdr:row>
      <xdr:rowOff>22169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5112E2-F3E8-44D9-A30A-0175CB943C20}"/>
            </a:ext>
          </a:extLst>
        </xdr:cNvPr>
        <xdr:cNvCxnSpPr/>
      </xdr:nvCxnSpPr>
      <xdr:spPr>
        <a:xfrm flipH="1" flipV="1">
          <a:off x="3330466" y="1734207"/>
          <a:ext cx="31528" cy="153303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6570</xdr:colOff>
      <xdr:row>17</xdr:row>
      <xdr:rowOff>30049</xdr:rowOff>
    </xdr:from>
    <xdr:to>
      <xdr:col>4</xdr:col>
      <xdr:colOff>571500</xdr:colOff>
      <xdr:row>18</xdr:row>
      <xdr:rowOff>76032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99E9A7C-AA34-413B-9435-38EC859824D6}"/>
            </a:ext>
          </a:extLst>
        </xdr:cNvPr>
        <xdr:cNvSpPr/>
      </xdr:nvSpPr>
      <xdr:spPr>
        <a:xfrm>
          <a:off x="1944415" y="3334239"/>
          <a:ext cx="1707930" cy="2364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Corresponding position</a:t>
          </a:r>
        </a:p>
      </xdr:txBody>
    </xdr:sp>
    <xdr:clientData/>
  </xdr:twoCellAnchor>
  <xdr:twoCellAnchor editAs="oneCell">
    <xdr:from>
      <xdr:col>4</xdr:col>
      <xdr:colOff>137947</xdr:colOff>
      <xdr:row>10</xdr:row>
      <xdr:rowOff>69465</xdr:rowOff>
    </xdr:from>
    <xdr:to>
      <xdr:col>5</xdr:col>
      <xdr:colOff>262756</xdr:colOff>
      <xdr:row>11</xdr:row>
      <xdr:rowOff>115448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D79957D-4A09-47AD-8455-A1C00371F222}"/>
            </a:ext>
          </a:extLst>
        </xdr:cNvPr>
        <xdr:cNvSpPr/>
      </xdr:nvSpPr>
      <xdr:spPr>
        <a:xfrm>
          <a:off x="3245068" y="1981034"/>
          <a:ext cx="722585" cy="2364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Retrieve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528596</xdr:colOff>
      <xdr:row>8</xdr:row>
      <xdr:rowOff>85396</xdr:rowOff>
    </xdr:from>
    <xdr:to>
      <xdr:col>3</xdr:col>
      <xdr:colOff>663466</xdr:colOff>
      <xdr:row>8</xdr:row>
      <xdr:rowOff>89503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9B0196D-76E4-48DC-8AD3-346ABE5FEE8E}"/>
            </a:ext>
          </a:extLst>
        </xdr:cNvPr>
        <xdr:cNvCxnSpPr/>
      </xdr:nvCxnSpPr>
      <xdr:spPr>
        <a:xfrm flipV="1">
          <a:off x="2092010" y="1622534"/>
          <a:ext cx="955990" cy="41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142628</xdr:colOff>
      <xdr:row>7</xdr:row>
      <xdr:rowOff>125794</xdr:rowOff>
    </xdr:from>
    <xdr:to>
      <xdr:col>3</xdr:col>
      <xdr:colOff>362728</xdr:colOff>
      <xdr:row>9</xdr:row>
      <xdr:rowOff>35308</xdr:rowOff>
    </xdr:to>
    <xdr:sp macro="" textlink="$J$19">
      <xdr:nvSpPr>
        <xdr:cNvPr id="5" name="Rectangle 4">
          <a:extLst>
            <a:ext uri="{FF2B5EF4-FFF2-40B4-BE49-F238E27FC236}">
              <a16:creationId xmlns:a16="http://schemas.microsoft.com/office/drawing/2014/main" id="{40C4A235-9B03-4820-B9D2-01E7DEFE0B44}"/>
            </a:ext>
          </a:extLst>
        </xdr:cNvPr>
        <xdr:cNvSpPr/>
      </xdr:nvSpPr>
      <xdr:spPr>
        <a:xfrm>
          <a:off x="753542" y="1472432"/>
          <a:ext cx="1993720" cy="2905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1C01705-1902-478E-B4EB-7EE7B12F8EF2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1) Lookup the item "Quad"</a:t>
          </a:fld>
          <a:endParaRPr lang="en-US" sz="13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553641</xdr:colOff>
      <xdr:row>10</xdr:row>
      <xdr:rowOff>41671</xdr:rowOff>
    </xdr:from>
    <xdr:to>
      <xdr:col>4</xdr:col>
      <xdr:colOff>59532</xdr:colOff>
      <xdr:row>13</xdr:row>
      <xdr:rowOff>5953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FDCB17-18F4-4771-AAD3-BD35385F2389}"/>
            </a:ext>
          </a:extLst>
        </xdr:cNvPr>
        <xdr:cNvCxnSpPr/>
      </xdr:nvCxnSpPr>
      <xdr:spPr>
        <a:xfrm flipH="1">
          <a:off x="3515916" y="1946671"/>
          <a:ext cx="172641" cy="5357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130230</xdr:colOff>
      <xdr:row>9</xdr:row>
      <xdr:rowOff>110728</xdr:rowOff>
    </xdr:from>
    <xdr:to>
      <xdr:col>7</xdr:col>
      <xdr:colOff>959069</xdr:colOff>
      <xdr:row>11</xdr:row>
      <xdr:rowOff>53579</xdr:rowOff>
    </xdr:to>
    <xdr:sp macro="" textlink="$J$20">
      <xdr:nvSpPr>
        <xdr:cNvPr id="6" name="Rectangle 5">
          <a:extLst>
            <a:ext uri="{FF2B5EF4-FFF2-40B4-BE49-F238E27FC236}">
              <a16:creationId xmlns:a16="http://schemas.microsoft.com/office/drawing/2014/main" id="{E5CE5DAF-3050-4734-9CE7-126F69C31C6F}"/>
            </a:ext>
          </a:extLst>
        </xdr:cNvPr>
        <xdr:cNvSpPr/>
      </xdr:nvSpPr>
      <xdr:spPr>
        <a:xfrm>
          <a:off x="1779040" y="1831797"/>
          <a:ext cx="3318477" cy="3238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D1A2285-EB94-4E71-B82D-F0FFA250A446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2) Is exact match for "Quad" in product range?</a:t>
          </a:fld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815579</xdr:colOff>
      <xdr:row>13</xdr:row>
      <xdr:rowOff>0</xdr:rowOff>
    </xdr:from>
    <xdr:to>
      <xdr:col>4</xdr:col>
      <xdr:colOff>5954</xdr:colOff>
      <xdr:row>18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A533C2B-0EF9-4286-BE9D-BF3C4B85CFD1}"/>
            </a:ext>
          </a:extLst>
        </xdr:cNvPr>
        <xdr:cNvSpPr/>
      </xdr:nvSpPr>
      <xdr:spPr>
        <a:xfrm>
          <a:off x="2958704" y="2476500"/>
          <a:ext cx="678656" cy="9584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98534</xdr:colOff>
      <xdr:row>15</xdr:row>
      <xdr:rowOff>98227</xdr:rowOff>
    </xdr:from>
    <xdr:to>
      <xdr:col>2</xdr:col>
      <xdr:colOff>802440</xdr:colOff>
      <xdr:row>19</xdr:row>
      <xdr:rowOff>39414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118C47-EEC2-4548-A497-EF3C7B00C939}"/>
            </a:ext>
          </a:extLst>
        </xdr:cNvPr>
        <xdr:cNvCxnSpPr/>
      </xdr:nvCxnSpPr>
      <xdr:spPr>
        <a:xfrm flipV="1">
          <a:off x="2062655" y="2962296"/>
          <a:ext cx="703906" cy="70318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213123</xdr:colOff>
      <xdr:row>18</xdr:row>
      <xdr:rowOff>153583</xdr:rowOff>
    </xdr:from>
    <xdr:to>
      <xdr:col>6</xdr:col>
      <xdr:colOff>564314</xdr:colOff>
      <xdr:row>20</xdr:row>
      <xdr:rowOff>53579</xdr:rowOff>
    </xdr:to>
    <xdr:sp macro="" textlink="$J$23">
      <xdr:nvSpPr>
        <xdr:cNvPr id="8" name="Rectangle 7">
          <a:extLst>
            <a:ext uri="{FF2B5EF4-FFF2-40B4-BE49-F238E27FC236}">
              <a16:creationId xmlns:a16="http://schemas.microsoft.com/office/drawing/2014/main" id="{176A496D-9B90-4396-BAC9-057CD88F52FD}"/>
            </a:ext>
          </a:extLst>
        </xdr:cNvPr>
        <xdr:cNvSpPr/>
      </xdr:nvSpPr>
      <xdr:spPr>
        <a:xfrm>
          <a:off x="820342" y="3582583"/>
          <a:ext cx="4406501" cy="2809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E6ACB61-5303-4541-B4E2-5306C72AA676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3) If yes, what is relative position (index) of "Quad"? Index = 3</a:t>
          </a:fld>
          <a:endParaRPr lang="en-US" sz="1300" b="0" i="0" u="none" strike="noStrike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815578</xdr:colOff>
      <xdr:row>13</xdr:row>
      <xdr:rowOff>0</xdr:rowOff>
    </xdr:from>
    <xdr:to>
      <xdr:col>4</xdr:col>
      <xdr:colOff>5953</xdr:colOff>
      <xdr:row>18</xdr:row>
      <xdr:rowOff>5953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4DC8DA9-5993-4777-A4C6-1D2071ED918D}"/>
            </a:ext>
          </a:extLst>
        </xdr:cNvPr>
        <xdr:cNvSpPr/>
      </xdr:nvSpPr>
      <xdr:spPr>
        <a:xfrm>
          <a:off x="2958703" y="2476500"/>
          <a:ext cx="678656" cy="9584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392907</xdr:colOff>
      <xdr:row>14</xdr:row>
      <xdr:rowOff>125016</xdr:rowOff>
    </xdr:from>
    <xdr:to>
      <xdr:col>4</xdr:col>
      <xdr:colOff>416720</xdr:colOff>
      <xdr:row>18</xdr:row>
      <xdr:rowOff>125016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C313154-F4CA-444C-A8C1-35D0DABE21DD}"/>
            </a:ext>
          </a:extLst>
        </xdr:cNvPr>
        <xdr:cNvSpPr/>
      </xdr:nvSpPr>
      <xdr:spPr>
        <a:xfrm>
          <a:off x="3357563" y="2792016"/>
          <a:ext cx="690563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77390</xdr:colOff>
      <xdr:row>15</xdr:row>
      <xdr:rowOff>0</xdr:rowOff>
    </xdr:from>
    <xdr:to>
      <xdr:col>7</xdr:col>
      <xdr:colOff>125016</xdr:colOff>
      <xdr:row>15</xdr:row>
      <xdr:rowOff>89297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528FACA-7823-4B5E-A97A-34E26C00C87F}"/>
            </a:ext>
          </a:extLst>
        </xdr:cNvPr>
        <xdr:cNvCxnSpPr/>
      </xdr:nvCxnSpPr>
      <xdr:spPr>
        <a:xfrm flipH="1">
          <a:off x="4917281" y="2857500"/>
          <a:ext cx="654844" cy="8929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308742</xdr:colOff>
      <xdr:row>13</xdr:row>
      <xdr:rowOff>50004</xdr:rowOff>
    </xdr:from>
    <xdr:to>
      <xdr:col>8</xdr:col>
      <xdr:colOff>479535</xdr:colOff>
      <xdr:row>17</xdr:row>
      <xdr:rowOff>29765</xdr:rowOff>
    </xdr:to>
    <xdr:sp macro="" textlink="$K$22">
      <xdr:nvSpPr>
        <xdr:cNvPr id="9" name="Rectangle 8">
          <a:extLst>
            <a:ext uri="{FF2B5EF4-FFF2-40B4-BE49-F238E27FC236}">
              <a16:creationId xmlns:a16="http://schemas.microsoft.com/office/drawing/2014/main" id="{2A245D85-ECB9-4260-B3AB-E5CA02597601}"/>
            </a:ext>
          </a:extLst>
        </xdr:cNvPr>
        <xdr:cNvSpPr/>
      </xdr:nvSpPr>
      <xdr:spPr>
        <a:xfrm>
          <a:off x="3803432" y="2533073"/>
          <a:ext cx="1392620" cy="741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246197A-F193-4F93-9425-EDECBC654F05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4) Look in the price range to find the 3rd price</a:t>
          </a:fld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601265</xdr:colOff>
      <xdr:row>13</xdr:row>
      <xdr:rowOff>5953</xdr:rowOff>
    </xdr:from>
    <xdr:to>
      <xdr:col>6</xdr:col>
      <xdr:colOff>11906</xdr:colOff>
      <xdr:row>18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7AD0C86-6667-4F16-A658-2CFC92DB9BE5}"/>
            </a:ext>
          </a:extLst>
        </xdr:cNvPr>
        <xdr:cNvSpPr/>
      </xdr:nvSpPr>
      <xdr:spPr>
        <a:xfrm>
          <a:off x="4232671" y="2482453"/>
          <a:ext cx="619126" cy="9584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363141</xdr:colOff>
      <xdr:row>14</xdr:row>
      <xdr:rowOff>125016</xdr:rowOff>
    </xdr:from>
    <xdr:to>
      <xdr:col>4</xdr:col>
      <xdr:colOff>386954</xdr:colOff>
      <xdr:row>18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3FDF900-F645-415B-A25D-41F8008528F3}"/>
            </a:ext>
          </a:extLst>
        </xdr:cNvPr>
        <xdr:cNvSpPr/>
      </xdr:nvSpPr>
      <xdr:spPr>
        <a:xfrm>
          <a:off x="3327797" y="2792016"/>
          <a:ext cx="690563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3</xdr:col>
      <xdr:colOff>583406</xdr:colOff>
      <xdr:row>15</xdr:row>
      <xdr:rowOff>104180</xdr:rowOff>
    </xdr:from>
    <xdr:to>
      <xdr:col>5</xdr:col>
      <xdr:colOff>47623</xdr:colOff>
      <xdr:row>15</xdr:row>
      <xdr:rowOff>107156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FF8DAFD-D425-429A-B996-134DABD50BDC}"/>
            </a:ext>
          </a:extLst>
        </xdr:cNvPr>
        <xdr:cNvCxnSpPr/>
      </xdr:nvCxnSpPr>
      <xdr:spPr>
        <a:xfrm flipV="1">
          <a:off x="3548062" y="2961680"/>
          <a:ext cx="732233" cy="2976"/>
        </a:xfrm>
        <a:prstGeom prst="straightConnector1">
          <a:avLst/>
        </a:prstGeom>
        <a:ln w="698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426574</xdr:colOff>
      <xdr:row>9</xdr:row>
      <xdr:rowOff>26276</xdr:rowOff>
    </xdr:from>
    <xdr:to>
      <xdr:col>5</xdr:col>
      <xdr:colOff>440121</xdr:colOff>
      <xdr:row>15</xdr:row>
      <xdr:rowOff>5953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28F2430-6FF8-4240-83CA-9ED475C47D0F}"/>
            </a:ext>
          </a:extLst>
        </xdr:cNvPr>
        <xdr:cNvCxnSpPr/>
      </xdr:nvCxnSpPr>
      <xdr:spPr>
        <a:xfrm flipV="1">
          <a:off x="3270936" y="1747345"/>
          <a:ext cx="13547" cy="112267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85399</xdr:colOff>
      <xdr:row>7</xdr:row>
      <xdr:rowOff>183931</xdr:rowOff>
    </xdr:from>
    <xdr:to>
      <xdr:col>8</xdr:col>
      <xdr:colOff>164225</xdr:colOff>
      <xdr:row>13</xdr:row>
      <xdr:rowOff>39414</xdr:rowOff>
    </xdr:to>
    <xdr:sp macro="" textlink="$K$23">
      <xdr:nvSpPr>
        <xdr:cNvPr id="11" name="Rectangle 10">
          <a:extLst>
            <a:ext uri="{FF2B5EF4-FFF2-40B4-BE49-F238E27FC236}">
              <a16:creationId xmlns:a16="http://schemas.microsoft.com/office/drawing/2014/main" id="{E9C1377A-07BD-4EAB-95D6-588CB426CBFE}"/>
            </a:ext>
          </a:extLst>
        </xdr:cNvPr>
        <xdr:cNvSpPr/>
      </xdr:nvSpPr>
      <xdr:spPr>
        <a:xfrm>
          <a:off x="3540675" y="1524000"/>
          <a:ext cx="1300653" cy="7357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9BA806F-E86C-4905-A0B9-4670A444015D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5) Get price of 43.95 and bring back to the cell</a:t>
          </a:fld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363141</xdr:colOff>
      <xdr:row>14</xdr:row>
      <xdr:rowOff>130968</xdr:rowOff>
    </xdr:from>
    <xdr:to>
      <xdr:col>4</xdr:col>
      <xdr:colOff>386954</xdr:colOff>
      <xdr:row>18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0393E10-6D13-4ABC-AB0E-FD9F992166EB}"/>
            </a:ext>
          </a:extLst>
        </xdr:cNvPr>
        <xdr:cNvSpPr/>
      </xdr:nvSpPr>
      <xdr:spPr>
        <a:xfrm>
          <a:off x="3327797" y="2797968"/>
          <a:ext cx="690563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3</xdr:col>
      <xdr:colOff>583406</xdr:colOff>
      <xdr:row>15</xdr:row>
      <xdr:rowOff>110132</xdr:rowOff>
    </xdr:from>
    <xdr:to>
      <xdr:col>5</xdr:col>
      <xdr:colOff>47623</xdr:colOff>
      <xdr:row>15</xdr:row>
      <xdr:rowOff>113108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0E6A5DF-6106-4F4F-B890-3030C3B52C81}"/>
            </a:ext>
          </a:extLst>
        </xdr:cNvPr>
        <xdr:cNvCxnSpPr/>
      </xdr:nvCxnSpPr>
      <xdr:spPr>
        <a:xfrm flipV="1">
          <a:off x="3548062" y="2967632"/>
          <a:ext cx="732233" cy="2976"/>
        </a:xfrm>
        <a:prstGeom prst="straightConnector1">
          <a:avLst/>
        </a:prstGeom>
        <a:ln w="698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</xdr:colOff>
      <xdr:row>15</xdr:row>
      <xdr:rowOff>0</xdr:rowOff>
    </xdr:from>
    <xdr:to>
      <xdr:col>7</xdr:col>
      <xdr:colOff>125016</xdr:colOff>
      <xdr:row>15</xdr:row>
      <xdr:rowOff>113109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398AF48-84D3-41CA-9133-AAEE6FBA6630}"/>
            </a:ext>
          </a:extLst>
        </xdr:cNvPr>
        <xdr:cNvCxnSpPr/>
      </xdr:nvCxnSpPr>
      <xdr:spPr>
        <a:xfrm flipH="1">
          <a:off x="4850606" y="2857500"/>
          <a:ext cx="722710" cy="11310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369094</xdr:colOff>
      <xdr:row>15</xdr:row>
      <xdr:rowOff>160734</xdr:rowOff>
    </xdr:from>
    <xdr:to>
      <xdr:col>3</xdr:col>
      <xdr:colOff>23813</xdr:colOff>
      <xdr:row>19</xdr:row>
      <xdr:rowOff>59532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CD3BBFC-A202-4174-A6B3-59A3730C833C}"/>
            </a:ext>
          </a:extLst>
        </xdr:cNvPr>
        <xdr:cNvCxnSpPr/>
      </xdr:nvCxnSpPr>
      <xdr:spPr>
        <a:xfrm flipV="1">
          <a:off x="2512219" y="3018234"/>
          <a:ext cx="473869" cy="66079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553641</xdr:colOff>
      <xdr:row>10</xdr:row>
      <xdr:rowOff>41671</xdr:rowOff>
    </xdr:from>
    <xdr:to>
      <xdr:col>4</xdr:col>
      <xdr:colOff>59532</xdr:colOff>
      <xdr:row>13</xdr:row>
      <xdr:rowOff>5953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E46D6B2-9B9E-4D62-A3A4-F0765F970E62}"/>
            </a:ext>
          </a:extLst>
        </xdr:cNvPr>
        <xdr:cNvCxnSpPr/>
      </xdr:nvCxnSpPr>
      <xdr:spPr>
        <a:xfrm flipH="1">
          <a:off x="3515916" y="1946671"/>
          <a:ext cx="172641" cy="5357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541734</xdr:colOff>
      <xdr:row>8</xdr:row>
      <xdr:rowOff>23814</xdr:rowOff>
    </xdr:from>
    <xdr:to>
      <xdr:col>3</xdr:col>
      <xdr:colOff>642938</xdr:colOff>
      <xdr:row>8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66E7FA7-FA77-4C22-AE59-859D2924A335}"/>
            </a:ext>
          </a:extLst>
        </xdr:cNvPr>
        <xdr:cNvCxnSpPr/>
      </xdr:nvCxnSpPr>
      <xdr:spPr>
        <a:xfrm>
          <a:off x="2684859" y="1547814"/>
          <a:ext cx="920354" cy="7143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176214</xdr:colOff>
      <xdr:row>9</xdr:row>
      <xdr:rowOff>110728</xdr:rowOff>
    </xdr:from>
    <xdr:to>
      <xdr:col>8</xdr:col>
      <xdr:colOff>476249</xdr:colOff>
      <xdr:row>11</xdr:row>
      <xdr:rowOff>53579</xdr:rowOff>
    </xdr:to>
    <xdr:sp macro="" textlink="$L$22">
      <xdr:nvSpPr>
        <xdr:cNvPr id="6" name="Rectangle 5">
          <a:extLst>
            <a:ext uri="{FF2B5EF4-FFF2-40B4-BE49-F238E27FC236}">
              <a16:creationId xmlns:a16="http://schemas.microsoft.com/office/drawing/2014/main" id="{DFE2D608-EFE5-4D9B-B299-0FACCB5C7F9E}"/>
            </a:ext>
          </a:extLst>
        </xdr:cNvPr>
        <xdr:cNvSpPr/>
      </xdr:nvSpPr>
      <xdr:spPr>
        <a:xfrm>
          <a:off x="3138489" y="1825228"/>
          <a:ext cx="3395660" cy="3238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D1A2285-EB94-4E71-B82D-F0FFA250A446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2) Is exact match for "Quad" in product range?</a:t>
          </a:fld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221458</xdr:colOff>
      <xdr:row>7</xdr:row>
      <xdr:rowOff>66674</xdr:rowOff>
    </xdr:from>
    <xdr:to>
      <xdr:col>2</xdr:col>
      <xdr:colOff>684609</xdr:colOff>
      <xdr:row>8</xdr:row>
      <xdr:rowOff>166688</xdr:rowOff>
    </xdr:to>
    <xdr:sp macro="" textlink="$L$21">
      <xdr:nvSpPr>
        <xdr:cNvPr id="7" name="Rectangle 6">
          <a:extLst>
            <a:ext uri="{FF2B5EF4-FFF2-40B4-BE49-F238E27FC236}">
              <a16:creationId xmlns:a16="http://schemas.microsoft.com/office/drawing/2014/main" id="{0C7C85FB-1CDE-400E-BD43-DB9C0C3E4BEC}"/>
            </a:ext>
          </a:extLst>
        </xdr:cNvPr>
        <xdr:cNvSpPr/>
      </xdr:nvSpPr>
      <xdr:spPr>
        <a:xfrm>
          <a:off x="831058" y="1400174"/>
          <a:ext cx="1996676" cy="2905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1C01705-1902-478E-B4EB-7EE7B12F8EF2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1) Lookup the item "Quad"</a:t>
          </a:fld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213123</xdr:colOff>
      <xdr:row>18</xdr:row>
      <xdr:rowOff>153583</xdr:rowOff>
    </xdr:from>
    <xdr:to>
      <xdr:col>6</xdr:col>
      <xdr:colOff>422670</xdr:colOff>
      <xdr:row>20</xdr:row>
      <xdr:rowOff>65485</xdr:rowOff>
    </xdr:to>
    <xdr:sp macro="" textlink="$L$23">
      <xdr:nvSpPr>
        <xdr:cNvPr id="8" name="Rectangle 7">
          <a:extLst>
            <a:ext uri="{FF2B5EF4-FFF2-40B4-BE49-F238E27FC236}">
              <a16:creationId xmlns:a16="http://schemas.microsoft.com/office/drawing/2014/main" id="{2E739934-4A2F-4FE9-B7F4-59978523A6CD}"/>
            </a:ext>
          </a:extLst>
        </xdr:cNvPr>
        <xdr:cNvSpPr/>
      </xdr:nvSpPr>
      <xdr:spPr>
        <a:xfrm>
          <a:off x="820342" y="3582583"/>
          <a:ext cx="4442219" cy="2929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E6ACB61-5303-4541-B4E2-5306C72AA676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3) If yes, what is relative position (index) of "Quad"? Index = 3</a:t>
          </a:fld>
          <a:endParaRPr lang="en-US" sz="1300" b="0" i="0" u="none" strike="noStrike">
            <a:solidFill>
              <a:schemeClr val="tx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6</xdr:col>
      <xdr:colOff>425057</xdr:colOff>
      <xdr:row>13</xdr:row>
      <xdr:rowOff>38098</xdr:rowOff>
    </xdr:from>
    <xdr:to>
      <xdr:col>8</xdr:col>
      <xdr:colOff>392908</xdr:colOff>
      <xdr:row>18</xdr:row>
      <xdr:rowOff>35718</xdr:rowOff>
    </xdr:to>
    <xdr:sp macro="" textlink="$L$24">
      <xdr:nvSpPr>
        <xdr:cNvPr id="9" name="Rectangle 8">
          <a:extLst>
            <a:ext uri="{FF2B5EF4-FFF2-40B4-BE49-F238E27FC236}">
              <a16:creationId xmlns:a16="http://schemas.microsoft.com/office/drawing/2014/main" id="{D393F245-D876-4806-BFF9-088735F75EF4}"/>
            </a:ext>
          </a:extLst>
        </xdr:cNvPr>
        <xdr:cNvSpPr/>
      </xdr:nvSpPr>
      <xdr:spPr>
        <a:xfrm>
          <a:off x="5263757" y="2514598"/>
          <a:ext cx="1187051" cy="9501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D9CCC55-591C-4E15-909D-F6995C4805EC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4) Look in the price range to find the 3rd price</a:t>
          </a:fld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11907</xdr:colOff>
      <xdr:row>7</xdr:row>
      <xdr:rowOff>128095</xdr:rowOff>
    </xdr:from>
    <xdr:to>
      <xdr:col>6</xdr:col>
      <xdr:colOff>434581</xdr:colOff>
      <xdr:row>8</xdr:row>
      <xdr:rowOff>59531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4653094-88AB-40CB-B3BC-94A2F122D05B}"/>
            </a:ext>
          </a:extLst>
        </xdr:cNvPr>
        <xdr:cNvCxnSpPr>
          <a:stCxn id="11" idx="1"/>
        </xdr:cNvCxnSpPr>
      </xdr:nvCxnSpPr>
      <xdr:spPr>
        <a:xfrm flipH="1">
          <a:off x="4853235" y="1468164"/>
          <a:ext cx="422674" cy="12193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434581</xdr:colOff>
      <xdr:row>6</xdr:row>
      <xdr:rowOff>52551</xdr:rowOff>
    </xdr:from>
    <xdr:to>
      <xdr:col>9</xdr:col>
      <xdr:colOff>482204</xdr:colOff>
      <xdr:row>9</xdr:row>
      <xdr:rowOff>13138</xdr:rowOff>
    </xdr:to>
    <xdr:sp macro="" textlink="$L$25">
      <xdr:nvSpPr>
        <xdr:cNvPr id="11" name="Rectangle 10">
          <a:extLst>
            <a:ext uri="{FF2B5EF4-FFF2-40B4-BE49-F238E27FC236}">
              <a16:creationId xmlns:a16="http://schemas.microsoft.com/office/drawing/2014/main" id="{F4A759D9-D0B7-46C1-A32A-9F40FF040BD2}"/>
            </a:ext>
          </a:extLst>
        </xdr:cNvPr>
        <xdr:cNvSpPr/>
      </xdr:nvSpPr>
      <xdr:spPr>
        <a:xfrm>
          <a:off x="5275909" y="1202120"/>
          <a:ext cx="1880364" cy="5320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9BA806F-E86C-4905-A0B9-4670A444015D}" type="TxLink">
            <a:rPr lang="en-US" sz="1300" b="0" i="0" u="none" strike="noStrike">
              <a:solidFill>
                <a:schemeClr val="tx1"/>
              </a:solidFill>
              <a:latin typeface="Calibri"/>
              <a:cs typeface="Calibri"/>
            </a:rPr>
            <a:pPr algn="l"/>
            <a:t>5) Get price of 43.95 and bring back to the cell</a:t>
          </a:fld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369094</xdr:colOff>
      <xdr:row>14</xdr:row>
      <xdr:rowOff>125016</xdr:rowOff>
    </xdr:from>
    <xdr:to>
      <xdr:col>4</xdr:col>
      <xdr:colOff>392907</xdr:colOff>
      <xdr:row>18</xdr:row>
      <xdr:rowOff>125016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0A48ACA-35D3-4697-82B6-294C3631448F}"/>
            </a:ext>
          </a:extLst>
        </xdr:cNvPr>
        <xdr:cNvSpPr/>
      </xdr:nvSpPr>
      <xdr:spPr>
        <a:xfrm>
          <a:off x="3333750" y="2792016"/>
          <a:ext cx="690563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3</xdr:col>
      <xdr:colOff>589359</xdr:colOff>
      <xdr:row>15</xdr:row>
      <xdr:rowOff>104180</xdr:rowOff>
    </xdr:from>
    <xdr:to>
      <xdr:col>5</xdr:col>
      <xdr:colOff>53576</xdr:colOff>
      <xdr:row>15</xdr:row>
      <xdr:rowOff>107156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7546F7F-2402-42BA-867E-47B932CC3DA4}"/>
            </a:ext>
          </a:extLst>
        </xdr:cNvPr>
        <xdr:cNvCxnSpPr/>
      </xdr:nvCxnSpPr>
      <xdr:spPr>
        <a:xfrm flipV="1">
          <a:off x="3554015" y="2961680"/>
          <a:ext cx="732233" cy="2976"/>
        </a:xfrm>
        <a:prstGeom prst="straightConnector1">
          <a:avLst/>
        </a:prstGeom>
        <a:ln w="698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734123</xdr:colOff>
      <xdr:row>8</xdr:row>
      <xdr:rowOff>78827</xdr:rowOff>
    </xdr:from>
    <xdr:to>
      <xdr:col>3</xdr:col>
      <xdr:colOff>381000</xdr:colOff>
      <xdr:row>8</xdr:row>
      <xdr:rowOff>127934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A5D8698-F6C9-41B4-9C4F-378B2934361C}"/>
            </a:ext>
          </a:extLst>
        </xdr:cNvPr>
        <xdr:cNvCxnSpPr/>
      </xdr:nvCxnSpPr>
      <xdr:spPr>
        <a:xfrm flipV="1">
          <a:off x="1765451" y="1478017"/>
          <a:ext cx="724187" cy="491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131379</xdr:colOff>
      <xdr:row>7</xdr:row>
      <xdr:rowOff>59119</xdr:rowOff>
    </xdr:from>
    <xdr:to>
      <xdr:col>2</xdr:col>
      <xdr:colOff>860534</xdr:colOff>
      <xdr:row>9</xdr:row>
      <xdr:rowOff>190498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488E862-72A4-45C5-B155-3F01C8900166}"/>
            </a:ext>
          </a:extLst>
        </xdr:cNvPr>
        <xdr:cNvSpPr/>
      </xdr:nvSpPr>
      <xdr:spPr>
        <a:xfrm>
          <a:off x="742293" y="1267809"/>
          <a:ext cx="1149569" cy="51237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1) Lookup the</a:t>
          </a:r>
          <a:r>
            <a:rPr lang="en-US" sz="1300" baseline="0">
              <a:solidFill>
                <a:schemeClr val="tx1"/>
              </a:solidFill>
            </a:rPr>
            <a:t> number 1200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526339</xdr:colOff>
      <xdr:row>11</xdr:row>
      <xdr:rowOff>59120</xdr:rowOff>
    </xdr:from>
    <xdr:to>
      <xdr:col>2</xdr:col>
      <xdr:colOff>906517</xdr:colOff>
      <xdr:row>16</xdr:row>
      <xdr:rowOff>125138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29DD4FF-64D0-47E5-8435-CBF95DDE78E9}"/>
            </a:ext>
          </a:extLst>
        </xdr:cNvPr>
        <xdr:cNvCxnSpPr/>
      </xdr:nvCxnSpPr>
      <xdr:spPr>
        <a:xfrm flipH="1">
          <a:off x="1557667" y="2029810"/>
          <a:ext cx="380178" cy="120901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904341</xdr:colOff>
      <xdr:row>9</xdr:row>
      <xdr:rowOff>124809</xdr:rowOff>
    </xdr:from>
    <xdr:to>
      <xdr:col>6</xdr:col>
      <xdr:colOff>551793</xdr:colOff>
      <xdr:row>11</xdr:row>
      <xdr:rowOff>67660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CE8530A-73B6-476F-90CB-13B4A49DFDBA}"/>
            </a:ext>
          </a:extLst>
        </xdr:cNvPr>
        <xdr:cNvSpPr/>
      </xdr:nvSpPr>
      <xdr:spPr>
        <a:xfrm>
          <a:off x="1935669" y="1714499"/>
          <a:ext cx="3076452" cy="3238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>
              <a:solidFill>
                <a:schemeClr val="tx1"/>
              </a:solidFill>
            </a:rPr>
            <a:t> 2) Exact match of 1200? If no, next smaller</a:t>
          </a:r>
        </a:p>
      </xdr:txBody>
    </xdr:sp>
    <xdr:clientData/>
  </xdr:twoCellAnchor>
  <xdr:twoCellAnchor editAs="oneCell">
    <xdr:from>
      <xdr:col>2</xdr:col>
      <xdr:colOff>407275</xdr:colOff>
      <xdr:row>13</xdr:row>
      <xdr:rowOff>944</xdr:rowOff>
    </xdr:from>
    <xdr:to>
      <xdr:col>3</xdr:col>
      <xdr:colOff>11495</xdr:colOff>
      <xdr:row>19</xdr:row>
      <xdr:rowOff>13138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D42A849-D07E-4DDC-BE06-5176A31FBE8E}"/>
            </a:ext>
          </a:extLst>
        </xdr:cNvPr>
        <xdr:cNvSpPr/>
      </xdr:nvSpPr>
      <xdr:spPr>
        <a:xfrm>
          <a:off x="1435975" y="2429819"/>
          <a:ext cx="680545" cy="11551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229914</xdr:colOff>
      <xdr:row>16</xdr:row>
      <xdr:rowOff>78827</xdr:rowOff>
    </xdr:from>
    <xdr:to>
      <xdr:col>2</xdr:col>
      <xdr:colOff>315310</xdr:colOff>
      <xdr:row>19</xdr:row>
      <xdr:rowOff>164224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447D075-C17A-449F-B734-C0E9C2F35000}"/>
            </a:ext>
          </a:extLst>
        </xdr:cNvPr>
        <xdr:cNvCxnSpPr/>
      </xdr:nvCxnSpPr>
      <xdr:spPr>
        <a:xfrm flipV="1">
          <a:off x="840828" y="3192517"/>
          <a:ext cx="505810" cy="65689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65689</xdr:colOff>
      <xdr:row>19</xdr:row>
      <xdr:rowOff>98534</xdr:rowOff>
    </xdr:from>
    <xdr:to>
      <xdr:col>6</xdr:col>
      <xdr:colOff>571500</xdr:colOff>
      <xdr:row>19</xdr:row>
      <xdr:rowOff>422385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1CF0D4-DED1-44FD-ACCD-085A223CBCF6}"/>
            </a:ext>
          </a:extLst>
        </xdr:cNvPr>
        <xdr:cNvSpPr/>
      </xdr:nvSpPr>
      <xdr:spPr>
        <a:xfrm>
          <a:off x="676603" y="3783724"/>
          <a:ext cx="4355225" cy="3238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>
              <a:solidFill>
                <a:schemeClr val="tx1"/>
              </a:solidFill>
            </a:rPr>
            <a:t> 3) What is relative</a:t>
          </a:r>
          <a:r>
            <a:rPr lang="en-US" sz="1300" baseline="0">
              <a:solidFill>
                <a:schemeClr val="tx1"/>
              </a:solidFill>
            </a:rPr>
            <a:t> position (index) for match? Index = 4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407275</xdr:colOff>
      <xdr:row>13</xdr:row>
      <xdr:rowOff>944</xdr:rowOff>
    </xdr:from>
    <xdr:to>
      <xdr:col>3</xdr:col>
      <xdr:colOff>11495</xdr:colOff>
      <xdr:row>19</xdr:row>
      <xdr:rowOff>13138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0E4C40-9233-4CDD-B765-C655ABF9C2F8}"/>
            </a:ext>
          </a:extLst>
        </xdr:cNvPr>
        <xdr:cNvSpPr/>
      </xdr:nvSpPr>
      <xdr:spPr>
        <a:xfrm>
          <a:off x="1435975" y="2544119"/>
          <a:ext cx="680545" cy="11551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400706</xdr:colOff>
      <xdr:row>15</xdr:row>
      <xdr:rowOff>124810</xdr:rowOff>
    </xdr:from>
    <xdr:to>
      <xdr:col>3</xdr:col>
      <xdr:colOff>17244</xdr:colOff>
      <xdr:row>19</xdr:row>
      <xdr:rowOff>124810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867F64E-D142-4419-92E3-379EE9CCBB4E}"/>
            </a:ext>
          </a:extLst>
        </xdr:cNvPr>
        <xdr:cNvSpPr/>
      </xdr:nvSpPr>
      <xdr:spPr>
        <a:xfrm>
          <a:off x="1432034" y="3048000"/>
          <a:ext cx="69384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45984</xdr:colOff>
      <xdr:row>14</xdr:row>
      <xdr:rowOff>65689</xdr:rowOff>
    </xdr:from>
    <xdr:to>
      <xdr:col>5</xdr:col>
      <xdr:colOff>466397</xdr:colOff>
      <xdr:row>16</xdr:row>
      <xdr:rowOff>79300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C571D6E-F06F-4908-B225-2AAA5B0968B3}"/>
            </a:ext>
          </a:extLst>
        </xdr:cNvPr>
        <xdr:cNvCxnSpPr/>
      </xdr:nvCxnSpPr>
      <xdr:spPr>
        <a:xfrm flipH="1">
          <a:off x="3639208" y="2798379"/>
          <a:ext cx="420413" cy="39461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190499</xdr:colOff>
      <xdr:row>10</xdr:row>
      <xdr:rowOff>157656</xdr:rowOff>
    </xdr:from>
    <xdr:to>
      <xdr:col>6</xdr:col>
      <xdr:colOff>702878</xdr:colOff>
      <xdr:row>14</xdr:row>
      <xdr:rowOff>135978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1FA4EA5-9788-4C1E-802C-FB9839900BA2}"/>
            </a:ext>
          </a:extLst>
        </xdr:cNvPr>
        <xdr:cNvSpPr/>
      </xdr:nvSpPr>
      <xdr:spPr>
        <a:xfrm>
          <a:off x="3783723" y="1937846"/>
          <a:ext cx="1123293" cy="8999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>
              <a:solidFill>
                <a:schemeClr val="tx1"/>
              </a:solidFill>
            </a:rPr>
            <a:t> 4) Look</a:t>
          </a:r>
          <a:r>
            <a:rPr lang="en-US" sz="1300" baseline="0">
              <a:solidFill>
                <a:schemeClr val="tx1"/>
              </a:solidFill>
            </a:rPr>
            <a:t> in tax rate range to find the 4th tax rate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1142999</xdr:colOff>
      <xdr:row>13</xdr:row>
      <xdr:rowOff>7513</xdr:rowOff>
    </xdr:from>
    <xdr:to>
      <xdr:col>5</xdr:col>
      <xdr:colOff>19707</xdr:colOff>
      <xdr:row>19</xdr:row>
      <xdr:rowOff>19707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7938D5-6A5D-45C1-9081-194EFA054F28}"/>
            </a:ext>
          </a:extLst>
        </xdr:cNvPr>
        <xdr:cNvSpPr/>
      </xdr:nvSpPr>
      <xdr:spPr>
        <a:xfrm>
          <a:off x="3251637" y="2549703"/>
          <a:ext cx="617484" cy="1155194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407275</xdr:colOff>
      <xdr:row>15</xdr:row>
      <xdr:rowOff>131379</xdr:rowOff>
    </xdr:from>
    <xdr:to>
      <xdr:col>3</xdr:col>
      <xdr:colOff>23813</xdr:colOff>
      <xdr:row>20</xdr:row>
      <xdr:rowOff>10182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27F3447-4645-4F09-85B6-D86D72B40148}"/>
            </a:ext>
          </a:extLst>
        </xdr:cNvPr>
        <xdr:cNvSpPr/>
      </xdr:nvSpPr>
      <xdr:spPr>
        <a:xfrm>
          <a:off x="1182413" y="3054569"/>
          <a:ext cx="693848" cy="752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</xdr:col>
      <xdr:colOff>1070741</xdr:colOff>
      <xdr:row>16</xdr:row>
      <xdr:rowOff>91965</xdr:rowOff>
    </xdr:from>
    <xdr:to>
      <xdr:col>4</xdr:col>
      <xdr:colOff>19708</xdr:colOff>
      <xdr:row>16</xdr:row>
      <xdr:rowOff>98534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CD4DFA-3BA6-4D28-A904-5810F8A2BB11}"/>
            </a:ext>
          </a:extLst>
        </xdr:cNvPr>
        <xdr:cNvCxnSpPr/>
      </xdr:nvCxnSpPr>
      <xdr:spPr>
        <a:xfrm>
          <a:off x="2102069" y="3205655"/>
          <a:ext cx="1169277" cy="6569"/>
        </a:xfrm>
        <a:prstGeom prst="straightConnector1">
          <a:avLst/>
        </a:prstGeom>
        <a:ln w="698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85397</xdr:colOff>
      <xdr:row>9</xdr:row>
      <xdr:rowOff>6569</xdr:rowOff>
    </xdr:from>
    <xdr:to>
      <xdr:col>4</xdr:col>
      <xdr:colOff>328449</xdr:colOff>
      <xdr:row>16</xdr:row>
      <xdr:rowOff>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1DA36C7-501E-494B-8AA8-F14A6BBB124C}"/>
            </a:ext>
          </a:extLst>
        </xdr:cNvPr>
        <xdr:cNvCxnSpPr/>
      </xdr:nvCxnSpPr>
      <xdr:spPr>
        <a:xfrm flipV="1">
          <a:off x="3080845" y="1596259"/>
          <a:ext cx="243052" cy="122839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52551</xdr:colOff>
      <xdr:row>8</xdr:row>
      <xdr:rowOff>39414</xdr:rowOff>
    </xdr:from>
    <xdr:to>
      <xdr:col>6</xdr:col>
      <xdr:colOff>564930</xdr:colOff>
      <xdr:row>13</xdr:row>
      <xdr:rowOff>85396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92A22E-8749-402D-BCF1-A566D4E25510}"/>
            </a:ext>
          </a:extLst>
        </xdr:cNvPr>
        <xdr:cNvSpPr/>
      </xdr:nvSpPr>
      <xdr:spPr>
        <a:xfrm>
          <a:off x="3645775" y="1438604"/>
          <a:ext cx="1123293" cy="8999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>
              <a:solidFill>
                <a:schemeClr val="tx1"/>
              </a:solidFill>
            </a:rPr>
            <a:t> 5) Get tax rate of 10.0% and bring it back to cell</a:t>
          </a:r>
        </a:p>
      </xdr:txBody>
    </xdr:sp>
    <xdr:clientData/>
  </xdr:twoCellAnchor>
  <xdr:twoCellAnchor>
    <xdr:from>
      <xdr:col>2</xdr:col>
      <xdr:colOff>400706</xdr:colOff>
      <xdr:row>15</xdr:row>
      <xdr:rowOff>124810</xdr:rowOff>
    </xdr:from>
    <xdr:to>
      <xdr:col>3</xdr:col>
      <xdr:colOff>17244</xdr:colOff>
      <xdr:row>19</xdr:row>
      <xdr:rowOff>124810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2F6E39-E025-4532-945E-403CECA7DF05}"/>
            </a:ext>
          </a:extLst>
        </xdr:cNvPr>
        <xdr:cNvSpPr/>
      </xdr:nvSpPr>
      <xdr:spPr>
        <a:xfrm>
          <a:off x="1172231" y="3048985"/>
          <a:ext cx="692863" cy="752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</xdr:col>
      <xdr:colOff>1070741</xdr:colOff>
      <xdr:row>16</xdr:row>
      <xdr:rowOff>91965</xdr:rowOff>
    </xdr:from>
    <xdr:to>
      <xdr:col>4</xdr:col>
      <xdr:colOff>19708</xdr:colOff>
      <xdr:row>16</xdr:row>
      <xdr:rowOff>98534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E5482B1-FB9B-4CA3-8A0F-2C286E725177}"/>
            </a:ext>
          </a:extLst>
        </xdr:cNvPr>
        <xdr:cNvCxnSpPr/>
      </xdr:nvCxnSpPr>
      <xdr:spPr>
        <a:xfrm>
          <a:off x="1842266" y="3206640"/>
          <a:ext cx="1168292" cy="6569"/>
        </a:xfrm>
        <a:prstGeom prst="straightConnector1">
          <a:avLst/>
        </a:prstGeom>
        <a:ln w="698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7</xdr:row>
      <xdr:rowOff>177362</xdr:rowOff>
    </xdr:from>
    <xdr:to>
      <xdr:col>6</xdr:col>
      <xdr:colOff>124812</xdr:colOff>
      <xdr:row>8</xdr:row>
      <xdr:rowOff>59450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3595CF8-2EEE-424A-804C-EAD756F6D8CC}"/>
            </a:ext>
          </a:extLst>
        </xdr:cNvPr>
        <xdr:cNvCxnSpPr/>
      </xdr:nvCxnSpPr>
      <xdr:spPr>
        <a:xfrm flipH="1">
          <a:off x="3724604" y="1386052"/>
          <a:ext cx="735725" cy="725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26276</xdr:colOff>
      <xdr:row>14</xdr:row>
      <xdr:rowOff>45982</xdr:rowOff>
    </xdr:from>
    <xdr:to>
      <xdr:col>5</xdr:col>
      <xdr:colOff>453259</xdr:colOff>
      <xdr:row>16</xdr:row>
      <xdr:rowOff>32845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D911B56-DEF2-45A1-975E-7B58CD8BA92E}"/>
            </a:ext>
          </a:extLst>
        </xdr:cNvPr>
        <xdr:cNvCxnSpPr/>
      </xdr:nvCxnSpPr>
      <xdr:spPr>
        <a:xfrm flipH="1">
          <a:off x="3750879" y="2778672"/>
          <a:ext cx="426983" cy="36786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190500</xdr:colOff>
      <xdr:row>6</xdr:row>
      <xdr:rowOff>85399</xdr:rowOff>
    </xdr:from>
    <xdr:to>
      <xdr:col>6</xdr:col>
      <xdr:colOff>1307224</xdr:colOff>
      <xdr:row>9</xdr:row>
      <xdr:rowOff>78829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8AE4210-00A2-4CA0-934A-ACAE260F4B50}"/>
            </a:ext>
          </a:extLst>
        </xdr:cNvPr>
        <xdr:cNvSpPr/>
      </xdr:nvSpPr>
      <xdr:spPr>
        <a:xfrm>
          <a:off x="3915103" y="1234968"/>
          <a:ext cx="1727638" cy="4992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 5) Get tax rate of 10.0% and bring it back to cell</a:t>
          </a:r>
        </a:p>
      </xdr:txBody>
    </xdr:sp>
    <xdr:clientData/>
  </xdr:twoCellAnchor>
  <xdr:twoCellAnchor>
    <xdr:from>
      <xdr:col>2</xdr:col>
      <xdr:colOff>426982</xdr:colOff>
      <xdr:row>15</xdr:row>
      <xdr:rowOff>131379</xdr:rowOff>
    </xdr:from>
    <xdr:to>
      <xdr:col>3</xdr:col>
      <xdr:colOff>43520</xdr:colOff>
      <xdr:row>19</xdr:row>
      <xdr:rowOff>131379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FC6E54-E6B4-45A2-8210-0728597E2739}"/>
            </a:ext>
          </a:extLst>
        </xdr:cNvPr>
        <xdr:cNvSpPr/>
      </xdr:nvSpPr>
      <xdr:spPr>
        <a:xfrm>
          <a:off x="1333499" y="3054569"/>
          <a:ext cx="693849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</xdr:col>
      <xdr:colOff>1070741</xdr:colOff>
      <xdr:row>16</xdr:row>
      <xdr:rowOff>91965</xdr:rowOff>
    </xdr:from>
    <xdr:to>
      <xdr:col>4</xdr:col>
      <xdr:colOff>19708</xdr:colOff>
      <xdr:row>16</xdr:row>
      <xdr:rowOff>98534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6771B80-9AD6-48AD-9A97-53C0F2613DDB}"/>
            </a:ext>
          </a:extLst>
        </xdr:cNvPr>
        <xdr:cNvCxnSpPr/>
      </xdr:nvCxnSpPr>
      <xdr:spPr>
        <a:xfrm>
          <a:off x="1842266" y="3206640"/>
          <a:ext cx="1168292" cy="6569"/>
        </a:xfrm>
        <a:prstGeom prst="straightConnector1">
          <a:avLst/>
        </a:prstGeom>
        <a:ln w="698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740693</xdr:colOff>
      <xdr:row>8</xdr:row>
      <xdr:rowOff>32845</xdr:rowOff>
    </xdr:from>
    <xdr:to>
      <xdr:col>3</xdr:col>
      <xdr:colOff>111672</xdr:colOff>
      <xdr:row>8</xdr:row>
      <xdr:rowOff>42540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B0E9AC4-D437-442D-9A12-BD4F1FD6B22B}"/>
            </a:ext>
          </a:extLst>
        </xdr:cNvPr>
        <xdr:cNvCxnSpPr/>
      </xdr:nvCxnSpPr>
      <xdr:spPr>
        <a:xfrm flipV="1">
          <a:off x="1647210" y="1497724"/>
          <a:ext cx="448290" cy="969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91966</xdr:colOff>
      <xdr:row>6</xdr:row>
      <xdr:rowOff>85396</xdr:rowOff>
    </xdr:from>
    <xdr:to>
      <xdr:col>2</xdr:col>
      <xdr:colOff>945932</xdr:colOff>
      <xdr:row>9</xdr:row>
      <xdr:rowOff>91965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49939F4-1924-4428-9B51-8B375D6E4B46}"/>
            </a:ext>
          </a:extLst>
        </xdr:cNvPr>
        <xdr:cNvSpPr/>
      </xdr:nvSpPr>
      <xdr:spPr>
        <a:xfrm>
          <a:off x="702880" y="1234965"/>
          <a:ext cx="1149569" cy="51237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1) Lookup the</a:t>
          </a:r>
          <a:r>
            <a:rPr lang="en-US" sz="1300" baseline="0">
              <a:solidFill>
                <a:schemeClr val="tx1"/>
              </a:solidFill>
            </a:rPr>
            <a:t> number 1200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945930</xdr:colOff>
      <xdr:row>10</xdr:row>
      <xdr:rowOff>170793</xdr:rowOff>
    </xdr:from>
    <xdr:to>
      <xdr:col>3</xdr:col>
      <xdr:colOff>98534</xdr:colOff>
      <xdr:row>12</xdr:row>
      <xdr:rowOff>361623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5E538F7-A1AB-4A37-A7BA-5BF6E683B4B3}"/>
            </a:ext>
          </a:extLst>
        </xdr:cNvPr>
        <xdr:cNvCxnSpPr/>
      </xdr:nvCxnSpPr>
      <xdr:spPr>
        <a:xfrm flipH="1">
          <a:off x="1852447" y="1950983"/>
          <a:ext cx="229915" cy="57183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56122</xdr:colOff>
      <xdr:row>9</xdr:row>
      <xdr:rowOff>157655</xdr:rowOff>
    </xdr:from>
    <xdr:to>
      <xdr:col>6</xdr:col>
      <xdr:colOff>788277</xdr:colOff>
      <xdr:row>11</xdr:row>
      <xdr:rowOff>100506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5C4CC5F-6B42-4A58-8999-87A4C1ADCA80}"/>
            </a:ext>
          </a:extLst>
        </xdr:cNvPr>
        <xdr:cNvSpPr/>
      </xdr:nvSpPr>
      <xdr:spPr>
        <a:xfrm>
          <a:off x="2039950" y="1747345"/>
          <a:ext cx="3083844" cy="3238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>
              <a:solidFill>
                <a:schemeClr val="tx1"/>
              </a:solidFill>
            </a:rPr>
            <a:t> 2) Exact match of 1200? If no, next smaller</a:t>
          </a:r>
        </a:p>
      </xdr:txBody>
    </xdr:sp>
    <xdr:clientData/>
  </xdr:twoCellAnchor>
  <xdr:twoCellAnchor editAs="oneCell">
    <xdr:from>
      <xdr:col>2</xdr:col>
      <xdr:colOff>0</xdr:colOff>
      <xdr:row>16</xdr:row>
      <xdr:rowOff>59120</xdr:rowOff>
    </xdr:from>
    <xdr:to>
      <xdr:col>2</xdr:col>
      <xdr:colOff>394138</xdr:colOff>
      <xdr:row>19</xdr:row>
      <xdr:rowOff>151089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07AA1FB-33C1-4C1A-BFA0-4B2BF45786CF}"/>
            </a:ext>
          </a:extLst>
        </xdr:cNvPr>
        <xdr:cNvCxnSpPr/>
      </xdr:nvCxnSpPr>
      <xdr:spPr>
        <a:xfrm flipV="1">
          <a:off x="906517" y="3172810"/>
          <a:ext cx="394138" cy="66346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131378</xdr:colOff>
      <xdr:row>19</xdr:row>
      <xdr:rowOff>85397</xdr:rowOff>
    </xdr:from>
    <xdr:to>
      <xdr:col>6</xdr:col>
      <xdr:colOff>762000</xdr:colOff>
      <xdr:row>19</xdr:row>
      <xdr:rowOff>409248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F0F4CE-F65D-4DDF-8AC0-7BD8781FAC83}"/>
            </a:ext>
          </a:extLst>
        </xdr:cNvPr>
        <xdr:cNvSpPr/>
      </xdr:nvSpPr>
      <xdr:spPr>
        <a:xfrm>
          <a:off x="742292" y="3770587"/>
          <a:ext cx="4355225" cy="3238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>
              <a:solidFill>
                <a:schemeClr val="tx1"/>
              </a:solidFill>
            </a:rPr>
            <a:t> 3) What is relative</a:t>
          </a:r>
          <a:r>
            <a:rPr lang="en-US" sz="1300" baseline="0">
              <a:solidFill>
                <a:schemeClr val="tx1"/>
              </a:solidFill>
            </a:rPr>
            <a:t> position (index) for match? Index = 4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348156</xdr:colOff>
      <xdr:row>11</xdr:row>
      <xdr:rowOff>170794</xdr:rowOff>
    </xdr:from>
    <xdr:to>
      <xdr:col>6</xdr:col>
      <xdr:colOff>1103587</xdr:colOff>
      <xdr:row>14</xdr:row>
      <xdr:rowOff>144518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9D71A9D-B9D6-47AE-976F-728F2117097F}"/>
            </a:ext>
          </a:extLst>
        </xdr:cNvPr>
        <xdr:cNvSpPr/>
      </xdr:nvSpPr>
      <xdr:spPr>
        <a:xfrm>
          <a:off x="4072759" y="2141484"/>
          <a:ext cx="1366345" cy="7357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>
              <a:solidFill>
                <a:schemeClr val="tx1"/>
              </a:solidFill>
            </a:rPr>
            <a:t> 4) Look</a:t>
          </a:r>
          <a:r>
            <a:rPr lang="en-US" sz="1300" baseline="0">
              <a:solidFill>
                <a:schemeClr val="tx1"/>
              </a:solidFill>
            </a:rPr>
            <a:t> in tax rate range to find the 4th tax rate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97543</xdr:colOff>
      <xdr:row>9</xdr:row>
      <xdr:rowOff>114350</xdr:rowOff>
    </xdr:from>
    <xdr:to>
      <xdr:col>10</xdr:col>
      <xdr:colOff>568616</xdr:colOff>
      <xdr:row>9</xdr:row>
      <xdr:rowOff>752525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4597F-EAE8-4C75-B717-7827FEED6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250" y="1946081"/>
          <a:ext cx="5141986" cy="63817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102796</xdr:colOff>
      <xdr:row>9</xdr:row>
      <xdr:rowOff>783743</xdr:rowOff>
    </xdr:from>
    <xdr:to>
      <xdr:col>13</xdr:col>
      <xdr:colOff>383370</xdr:colOff>
      <xdr:row>9</xdr:row>
      <xdr:rowOff>1440968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09C16F-AFD6-43BD-B7DD-EC8489553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503" y="2615474"/>
          <a:ext cx="6792377" cy="65722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109450</xdr:colOff>
      <xdr:row>9</xdr:row>
      <xdr:rowOff>1473096</xdr:rowOff>
    </xdr:from>
    <xdr:to>
      <xdr:col>13</xdr:col>
      <xdr:colOff>271111</xdr:colOff>
      <xdr:row>9</xdr:row>
      <xdr:rowOff>2139846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42479B-C943-4042-B462-944E53F340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9"/>
        <a:stretch/>
      </xdr:blipFill>
      <xdr:spPr>
        <a:xfrm>
          <a:off x="1016157" y="3304827"/>
          <a:ext cx="6673464" cy="66675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108750</xdr:colOff>
      <xdr:row>9</xdr:row>
      <xdr:rowOff>2167911</xdr:rowOff>
    </xdr:from>
    <xdr:to>
      <xdr:col>12</xdr:col>
      <xdr:colOff>341698</xdr:colOff>
      <xdr:row>9</xdr:row>
      <xdr:rowOff>2834662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99D219-0232-4ADB-8FE2-96675A5D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457" y="3999642"/>
          <a:ext cx="6131121" cy="66675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81973</xdr:colOff>
      <xdr:row>11</xdr:row>
      <xdr:rowOff>120999</xdr:rowOff>
    </xdr:from>
    <xdr:to>
      <xdr:col>10</xdr:col>
      <xdr:colOff>169083</xdr:colOff>
      <xdr:row>14</xdr:row>
      <xdr:rowOff>153656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AEEF62-B9ED-4C08-B623-A83F1B8567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"/>
        <a:stretch/>
      </xdr:blipFill>
      <xdr:spPr>
        <a:xfrm>
          <a:off x="988680" y="5084989"/>
          <a:ext cx="4758023" cy="69208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81973</xdr:colOff>
      <xdr:row>14</xdr:row>
      <xdr:rowOff>181777</xdr:rowOff>
    </xdr:from>
    <xdr:to>
      <xdr:col>10</xdr:col>
      <xdr:colOff>524169</xdr:colOff>
      <xdr:row>17</xdr:row>
      <xdr:rowOff>210503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9BD13D-37CB-4EB9-ACFE-DB39B175AA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8"/>
        <a:stretch/>
      </xdr:blipFill>
      <xdr:spPr>
        <a:xfrm>
          <a:off x="988680" y="5805190"/>
          <a:ext cx="5113109" cy="68815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70066</xdr:colOff>
      <xdr:row>18</xdr:row>
      <xdr:rowOff>22666</xdr:rowOff>
    </xdr:from>
    <xdr:to>
      <xdr:col>13</xdr:col>
      <xdr:colOff>418094</xdr:colOff>
      <xdr:row>21</xdr:row>
      <xdr:rowOff>17225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F206DC-B618-4D40-8B90-6051B70850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693"/>
        <a:stretch/>
      </xdr:blipFill>
      <xdr:spPr>
        <a:xfrm>
          <a:off x="976773" y="6525310"/>
          <a:ext cx="6859831" cy="653982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75319</xdr:colOff>
      <xdr:row>21</xdr:row>
      <xdr:rowOff>46390</xdr:rowOff>
    </xdr:from>
    <xdr:to>
      <xdr:col>13</xdr:col>
      <xdr:colOff>476252</xdr:colOff>
      <xdr:row>24</xdr:row>
      <xdr:rowOff>84076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B3BD86-81D5-480F-A155-405AD53B6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592"/>
        <a:stretch/>
      </xdr:blipFill>
      <xdr:spPr>
        <a:xfrm>
          <a:off x="982026" y="7208457"/>
          <a:ext cx="6912736" cy="69710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74543</xdr:colOff>
      <xdr:row>41</xdr:row>
      <xdr:rowOff>240198</xdr:rowOff>
    </xdr:from>
    <xdr:to>
      <xdr:col>8</xdr:col>
      <xdr:colOff>298173</xdr:colOff>
      <xdr:row>44</xdr:row>
      <xdr:rowOff>49699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42DEC1E3-770E-4CC3-A09C-8758F5CBF70D}"/>
            </a:ext>
          </a:extLst>
        </xdr:cNvPr>
        <xdr:cNvSpPr/>
      </xdr:nvSpPr>
      <xdr:spPr>
        <a:xfrm rot="5400000">
          <a:off x="3213651" y="2849221"/>
          <a:ext cx="438979" cy="2310847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74543</xdr:colOff>
      <xdr:row>44</xdr:row>
      <xdr:rowOff>5</xdr:rowOff>
    </xdr:from>
    <xdr:to>
      <xdr:col>8</xdr:col>
      <xdr:colOff>298174</xdr:colOff>
      <xdr:row>49</xdr:row>
      <xdr:rowOff>107674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8DCFE6D-F76B-4CC6-BAF6-D121D2846AFD}"/>
            </a:ext>
          </a:extLst>
        </xdr:cNvPr>
        <xdr:cNvSpPr/>
      </xdr:nvSpPr>
      <xdr:spPr>
        <a:xfrm>
          <a:off x="2277717" y="4174440"/>
          <a:ext cx="2310848" cy="10601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 baseline="0">
              <a:solidFill>
                <a:schemeClr val="tx1"/>
              </a:solidFill>
            </a:rPr>
            <a:t>Inner XLOOKUP </a:t>
          </a:r>
          <a:r>
            <a:rPr lang="en-US" sz="1500" baseline="0">
              <a:solidFill>
                <a:schemeClr val="tx1"/>
              </a:solidFill>
            </a:rPr>
            <a:t>to lookup all rows in "2" column.</a:t>
          </a:r>
        </a:p>
        <a:p>
          <a:pPr algn="ctr"/>
          <a:r>
            <a:rPr lang="en-US" sz="1500" baseline="0">
              <a:solidFill>
                <a:schemeClr val="tx1"/>
              </a:solidFill>
            </a:rPr>
            <a:t>Placed in </a:t>
          </a:r>
          <a:r>
            <a:rPr lang="en-US" sz="1500" b="1" baseline="0">
              <a:solidFill>
                <a:schemeClr val="tx1"/>
              </a:solidFill>
            </a:rPr>
            <a:t>return_array </a:t>
          </a:r>
          <a:r>
            <a:rPr lang="en-US" sz="1500" baseline="0">
              <a:solidFill>
                <a:schemeClr val="tx1"/>
              </a:solidFill>
            </a:rPr>
            <a:t>of Outer XLOOKUP</a:t>
          </a:r>
        </a:p>
      </xdr:txBody>
    </xdr:sp>
    <xdr:clientData/>
  </xdr:twoCellAnchor>
  <xdr:twoCellAnchor>
    <xdr:from>
      <xdr:col>1</xdr:col>
      <xdr:colOff>472109</xdr:colOff>
      <xdr:row>41</xdr:row>
      <xdr:rowOff>240196</xdr:rowOff>
    </xdr:from>
    <xdr:to>
      <xdr:col>1</xdr:col>
      <xdr:colOff>621195</xdr:colOff>
      <xdr:row>45</xdr:row>
      <xdr:rowOff>16565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F0AA809-3D6D-4507-A6D0-A1013AC01909}"/>
            </a:ext>
          </a:extLst>
        </xdr:cNvPr>
        <xdr:cNvCxnSpPr/>
      </xdr:nvCxnSpPr>
      <xdr:spPr>
        <a:xfrm flipH="1" flipV="1">
          <a:off x="836544" y="3785153"/>
          <a:ext cx="149086" cy="59634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276639</xdr:colOff>
      <xdr:row>43</xdr:row>
      <xdr:rowOff>110992</xdr:rowOff>
    </xdr:from>
    <xdr:to>
      <xdr:col>3</xdr:col>
      <xdr:colOff>323021</xdr:colOff>
      <xdr:row>49</xdr:row>
      <xdr:rowOff>28161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8C6F278-6575-4F25-9976-52F5ACA287D9}"/>
            </a:ext>
          </a:extLst>
        </xdr:cNvPr>
        <xdr:cNvSpPr/>
      </xdr:nvSpPr>
      <xdr:spPr>
        <a:xfrm>
          <a:off x="276639" y="4094927"/>
          <a:ext cx="1727752" cy="10601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 baseline="0">
              <a:solidFill>
                <a:schemeClr val="tx1"/>
              </a:solidFill>
            </a:rPr>
            <a:t>Outer XLOOKUP </a:t>
          </a:r>
          <a:r>
            <a:rPr lang="en-US" sz="1500" baseline="0">
              <a:solidFill>
                <a:schemeClr val="tx1"/>
              </a:solidFill>
            </a:rPr>
            <a:t>to lookup "700-710" row in "2" column.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47625</xdr:rowOff>
    </xdr:from>
    <xdr:to>
      <xdr:col>0</xdr:col>
      <xdr:colOff>238125</xdr:colOff>
      <xdr:row>11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344102F-A992-4C26-A7D0-C126F452C747}"/>
            </a:ext>
          </a:extLst>
        </xdr:cNvPr>
        <xdr:cNvCxnSpPr/>
      </xdr:nvCxnSpPr>
      <xdr:spPr>
        <a:xfrm flipH="1">
          <a:off x="19050" y="1762125"/>
          <a:ext cx="219075" cy="14287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114300</xdr:rowOff>
    </xdr:from>
    <xdr:to>
      <xdr:col>1</xdr:col>
      <xdr:colOff>247650</xdr:colOff>
      <xdr:row>10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70D620-6604-4C7F-8428-49B4CC40DD6E}"/>
            </a:ext>
          </a:extLst>
        </xdr:cNvPr>
        <xdr:cNvSpPr/>
      </xdr:nvSpPr>
      <xdr:spPr>
        <a:xfrm>
          <a:off x="0" y="1257300"/>
          <a:ext cx="609600" cy="495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Hidden rows</a:t>
          </a:r>
        </a:p>
      </xdr:txBody>
    </xdr:sp>
    <xdr:clientData/>
  </xdr:twoCellAnchor>
  <xdr:twoCellAnchor>
    <xdr:from>
      <xdr:col>4</xdr:col>
      <xdr:colOff>74543</xdr:colOff>
      <xdr:row>41</xdr:row>
      <xdr:rowOff>240198</xdr:rowOff>
    </xdr:from>
    <xdr:to>
      <xdr:col>8</xdr:col>
      <xdr:colOff>298173</xdr:colOff>
      <xdr:row>44</xdr:row>
      <xdr:rowOff>49699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60523D2E-FC56-434F-AB33-677F7D25F4F1}"/>
            </a:ext>
          </a:extLst>
        </xdr:cNvPr>
        <xdr:cNvSpPr/>
      </xdr:nvSpPr>
      <xdr:spPr>
        <a:xfrm rot="5400000">
          <a:off x="3215307" y="2843009"/>
          <a:ext cx="438151" cy="231913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74543</xdr:colOff>
      <xdr:row>44</xdr:row>
      <xdr:rowOff>5</xdr:rowOff>
    </xdr:from>
    <xdr:to>
      <xdr:col>8</xdr:col>
      <xdr:colOff>298174</xdr:colOff>
      <xdr:row>49</xdr:row>
      <xdr:rowOff>107674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2A173BD-1B31-4FF7-855B-34E2D0C6E46B}"/>
            </a:ext>
          </a:extLst>
        </xdr:cNvPr>
        <xdr:cNvSpPr/>
      </xdr:nvSpPr>
      <xdr:spPr>
        <a:xfrm>
          <a:off x="2274818" y="4171955"/>
          <a:ext cx="2319131" cy="10601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 baseline="0">
              <a:solidFill>
                <a:schemeClr val="tx1"/>
              </a:solidFill>
            </a:rPr>
            <a:t>Inner XLOOKUP </a:t>
          </a:r>
          <a:r>
            <a:rPr lang="en-US" sz="1500" baseline="0">
              <a:solidFill>
                <a:schemeClr val="tx1"/>
              </a:solidFill>
            </a:rPr>
            <a:t>to lookup all rows in "2" column.</a:t>
          </a:r>
        </a:p>
        <a:p>
          <a:pPr algn="ctr"/>
          <a:r>
            <a:rPr lang="en-US" sz="1500" baseline="0">
              <a:solidFill>
                <a:schemeClr val="tx1"/>
              </a:solidFill>
            </a:rPr>
            <a:t>Placed in </a:t>
          </a:r>
          <a:r>
            <a:rPr lang="en-US" sz="1500" b="1" baseline="0">
              <a:solidFill>
                <a:schemeClr val="tx1"/>
              </a:solidFill>
            </a:rPr>
            <a:t>return_array </a:t>
          </a:r>
          <a:r>
            <a:rPr lang="en-US" sz="1500" baseline="0">
              <a:solidFill>
                <a:schemeClr val="tx1"/>
              </a:solidFill>
            </a:rPr>
            <a:t>of Outer XLOOKUP</a:t>
          </a:r>
        </a:p>
      </xdr:txBody>
    </xdr:sp>
    <xdr:clientData/>
  </xdr:twoCellAnchor>
  <xdr:twoCellAnchor>
    <xdr:from>
      <xdr:col>1</xdr:col>
      <xdr:colOff>472109</xdr:colOff>
      <xdr:row>41</xdr:row>
      <xdr:rowOff>240196</xdr:rowOff>
    </xdr:from>
    <xdr:to>
      <xdr:col>1</xdr:col>
      <xdr:colOff>621195</xdr:colOff>
      <xdr:row>45</xdr:row>
      <xdr:rowOff>16565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1F3F48B-348B-4E71-8DC9-FEC27DCF3B21}"/>
            </a:ext>
          </a:extLst>
        </xdr:cNvPr>
        <xdr:cNvCxnSpPr/>
      </xdr:nvCxnSpPr>
      <xdr:spPr>
        <a:xfrm flipH="1" flipV="1">
          <a:off x="834059" y="3783496"/>
          <a:ext cx="149086" cy="59551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276639</xdr:colOff>
      <xdr:row>43</xdr:row>
      <xdr:rowOff>110992</xdr:rowOff>
    </xdr:from>
    <xdr:to>
      <xdr:col>3</xdr:col>
      <xdr:colOff>323021</xdr:colOff>
      <xdr:row>49</xdr:row>
      <xdr:rowOff>28161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1979D0E-7B60-4735-A648-D994CB8E8DD1}"/>
            </a:ext>
          </a:extLst>
        </xdr:cNvPr>
        <xdr:cNvSpPr/>
      </xdr:nvSpPr>
      <xdr:spPr>
        <a:xfrm>
          <a:off x="276639" y="4092442"/>
          <a:ext cx="1722782" cy="10601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 b="1" baseline="0">
              <a:solidFill>
                <a:schemeClr val="tx1"/>
              </a:solidFill>
            </a:rPr>
            <a:t>Outer XLOOKUP </a:t>
          </a:r>
          <a:r>
            <a:rPr lang="en-US" sz="1500" baseline="0">
              <a:solidFill>
                <a:schemeClr val="tx1"/>
              </a:solidFill>
            </a:rPr>
            <a:t>to lookup "700-710" row in "2" column.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102577</xdr:colOff>
      <xdr:row>18</xdr:row>
      <xdr:rowOff>29307</xdr:rowOff>
    </xdr:from>
    <xdr:to>
      <xdr:col>10</xdr:col>
      <xdr:colOff>227135</xdr:colOff>
      <xdr:row>19</xdr:row>
      <xdr:rowOff>153864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F0AE3D8-3F9D-4D75-AFB0-3D231C6DB033}"/>
            </a:ext>
          </a:extLst>
        </xdr:cNvPr>
        <xdr:cNvSpPr/>
      </xdr:nvSpPr>
      <xdr:spPr>
        <a:xfrm rot="5400000">
          <a:off x="5191125" y="2275009"/>
          <a:ext cx="315057" cy="1948962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556846</xdr:colOff>
      <xdr:row>19</xdr:row>
      <xdr:rowOff>140171</xdr:rowOff>
    </xdr:from>
    <xdr:to>
      <xdr:col>10</xdr:col>
      <xdr:colOff>366347</xdr:colOff>
      <xdr:row>20</xdr:row>
      <xdr:rowOff>205155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5D4BB14-9006-4A4C-A7FF-775D3B4F9916}"/>
            </a:ext>
          </a:extLst>
        </xdr:cNvPr>
        <xdr:cNvSpPr/>
      </xdr:nvSpPr>
      <xdr:spPr>
        <a:xfrm>
          <a:off x="4066442" y="3232133"/>
          <a:ext cx="2242040" cy="2554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Looks up cell reference H10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73270</xdr:colOff>
      <xdr:row>18</xdr:row>
      <xdr:rowOff>35171</xdr:rowOff>
    </xdr:from>
    <xdr:to>
      <xdr:col>7</xdr:col>
      <xdr:colOff>20516</xdr:colOff>
      <xdr:row>19</xdr:row>
      <xdr:rowOff>159728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CEFFD682-966F-49D1-BBBF-161E7BE43072}"/>
            </a:ext>
          </a:extLst>
        </xdr:cNvPr>
        <xdr:cNvSpPr/>
      </xdr:nvSpPr>
      <xdr:spPr>
        <a:xfrm rot="5400000">
          <a:off x="3248758" y="2369529"/>
          <a:ext cx="315057" cy="177165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93783</xdr:colOff>
      <xdr:row>19</xdr:row>
      <xdr:rowOff>153361</xdr:rowOff>
    </xdr:from>
    <xdr:to>
      <xdr:col>6</xdr:col>
      <xdr:colOff>496764</xdr:colOff>
      <xdr:row>20</xdr:row>
      <xdr:rowOff>218345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D20FE2E-A55E-4AA7-A643-B23501F2CEC0}"/>
            </a:ext>
          </a:extLst>
        </xdr:cNvPr>
        <xdr:cNvSpPr/>
      </xdr:nvSpPr>
      <xdr:spPr>
        <a:xfrm>
          <a:off x="1932841" y="3406515"/>
          <a:ext cx="2227385" cy="2554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Looks up cell reference E6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102577</xdr:colOff>
      <xdr:row>18</xdr:row>
      <xdr:rowOff>29307</xdr:rowOff>
    </xdr:from>
    <xdr:to>
      <xdr:col>10</xdr:col>
      <xdr:colOff>227135</xdr:colOff>
      <xdr:row>19</xdr:row>
      <xdr:rowOff>153864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3DA577AE-97A2-4CF5-B3DB-86189E7EAAE7}"/>
            </a:ext>
          </a:extLst>
        </xdr:cNvPr>
        <xdr:cNvSpPr/>
      </xdr:nvSpPr>
      <xdr:spPr>
        <a:xfrm rot="5400000">
          <a:off x="5046052" y="2096232"/>
          <a:ext cx="315057" cy="195335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556846</xdr:colOff>
      <xdr:row>19</xdr:row>
      <xdr:rowOff>140171</xdr:rowOff>
    </xdr:from>
    <xdr:to>
      <xdr:col>10</xdr:col>
      <xdr:colOff>366347</xdr:colOff>
      <xdr:row>20</xdr:row>
      <xdr:rowOff>205155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090853F-96F4-459A-8C30-8550D5CED74D}"/>
            </a:ext>
          </a:extLst>
        </xdr:cNvPr>
        <xdr:cNvSpPr/>
      </xdr:nvSpPr>
      <xdr:spPr>
        <a:xfrm>
          <a:off x="4071571" y="3216746"/>
          <a:ext cx="2247901" cy="2554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Looks up cell reference H10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73270</xdr:colOff>
      <xdr:row>18</xdr:row>
      <xdr:rowOff>35171</xdr:rowOff>
    </xdr:from>
    <xdr:to>
      <xdr:col>7</xdr:col>
      <xdr:colOff>20516</xdr:colOff>
      <xdr:row>19</xdr:row>
      <xdr:rowOff>159728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9125D0A7-FA9B-4DF9-9388-3B70476BAAC6}"/>
            </a:ext>
          </a:extLst>
        </xdr:cNvPr>
        <xdr:cNvSpPr/>
      </xdr:nvSpPr>
      <xdr:spPr>
        <a:xfrm rot="5400000">
          <a:off x="3099289" y="2190752"/>
          <a:ext cx="315057" cy="1776046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93783</xdr:colOff>
      <xdr:row>19</xdr:row>
      <xdr:rowOff>153361</xdr:rowOff>
    </xdr:from>
    <xdr:to>
      <xdr:col>6</xdr:col>
      <xdr:colOff>496764</xdr:colOff>
      <xdr:row>20</xdr:row>
      <xdr:rowOff>218345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A3FCA8C-35A6-46DD-911E-9776DB556886}"/>
            </a:ext>
          </a:extLst>
        </xdr:cNvPr>
        <xdr:cNvSpPr/>
      </xdr:nvSpPr>
      <xdr:spPr>
        <a:xfrm>
          <a:off x="1779708" y="3229936"/>
          <a:ext cx="2231781" cy="2554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Looks up cell reference E6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138094</xdr:colOff>
      <xdr:row>11</xdr:row>
      <xdr:rowOff>72609</xdr:rowOff>
    </xdr:from>
    <xdr:to>
      <xdr:col>3</xdr:col>
      <xdr:colOff>688730</xdr:colOff>
      <xdr:row>11</xdr:row>
      <xdr:rowOff>585434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BB615E-D3C7-462B-8F8E-4C9889B0D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306" y="3127936"/>
          <a:ext cx="550636" cy="512825"/>
        </a:xfrm>
        <a:prstGeom prst="rect">
          <a:avLst/>
        </a:prstGeom>
      </xdr:spPr>
    </xdr:pic>
    <xdr:clientData/>
  </xdr:twoCellAnchor>
  <xdr:twoCellAnchor editAs="oneCell">
    <xdr:from>
      <xdr:col>3</xdr:col>
      <xdr:colOff>51800</xdr:colOff>
      <xdr:row>10</xdr:row>
      <xdr:rowOff>87976</xdr:rowOff>
    </xdr:from>
    <xdr:to>
      <xdr:col>3</xdr:col>
      <xdr:colOff>726673</xdr:colOff>
      <xdr:row>10</xdr:row>
      <xdr:rowOff>593480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C3989F7-D29F-4610-A56D-A84689BAF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3012" y="2505861"/>
          <a:ext cx="674873" cy="505504"/>
        </a:xfrm>
        <a:prstGeom prst="rect">
          <a:avLst/>
        </a:prstGeom>
      </xdr:spPr>
    </xdr:pic>
    <xdr:clientData/>
  </xdr:twoCellAnchor>
  <xdr:twoCellAnchor editAs="oneCell">
    <xdr:from>
      <xdr:col>3</xdr:col>
      <xdr:colOff>66253</xdr:colOff>
      <xdr:row>9</xdr:row>
      <xdr:rowOff>78617</xdr:rowOff>
    </xdr:from>
    <xdr:to>
      <xdr:col>3</xdr:col>
      <xdr:colOff>738518</xdr:colOff>
      <xdr:row>9</xdr:row>
      <xdr:rowOff>586155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D49C26-C945-4044-AF02-533A5EA9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7465" y="1859059"/>
          <a:ext cx="672265" cy="507538"/>
        </a:xfrm>
        <a:prstGeom prst="rect">
          <a:avLst/>
        </a:prstGeom>
      </xdr:spPr>
    </xdr:pic>
    <xdr:clientData/>
  </xdr:twoCellAnchor>
  <xdr:twoCellAnchor editAs="oneCell">
    <xdr:from>
      <xdr:col>3</xdr:col>
      <xdr:colOff>109903</xdr:colOff>
      <xdr:row>8</xdr:row>
      <xdr:rowOff>51288</xdr:rowOff>
    </xdr:from>
    <xdr:to>
      <xdr:col>3</xdr:col>
      <xdr:colOff>637441</xdr:colOff>
      <xdr:row>8</xdr:row>
      <xdr:rowOff>578826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A89A2B-5FA3-4CD7-A892-76170A8EA9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50" t="10523" r="13024" b="12949"/>
        <a:stretch/>
      </xdr:blipFill>
      <xdr:spPr>
        <a:xfrm>
          <a:off x="4821115" y="1194288"/>
          <a:ext cx="527538" cy="527538"/>
        </a:xfrm>
        <a:prstGeom prst="rect">
          <a:avLst/>
        </a:prstGeom>
      </xdr:spPr>
    </xdr:pic>
    <xdr:clientData/>
  </xdr:twoCellAnchor>
  <xdr:twoCellAnchor editAs="oneCell">
    <xdr:from>
      <xdr:col>3</xdr:col>
      <xdr:colOff>80596</xdr:colOff>
      <xdr:row>5</xdr:row>
      <xdr:rowOff>73268</xdr:rowOff>
    </xdr:from>
    <xdr:to>
      <xdr:col>3</xdr:col>
      <xdr:colOff>711386</xdr:colOff>
      <xdr:row>5</xdr:row>
      <xdr:rowOff>586153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A377E29-7A75-46F9-99A8-6A2AF69C84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0450" t="10523" r="13024" b="12949"/>
        <a:stretch>
          <a:fillRect/>
        </a:stretch>
      </xdr:blipFill>
      <xdr:spPr>
        <a:xfrm>
          <a:off x="2256692" y="644768"/>
          <a:ext cx="630790" cy="51288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138094</xdr:colOff>
      <xdr:row>11</xdr:row>
      <xdr:rowOff>72609</xdr:rowOff>
    </xdr:from>
    <xdr:to>
      <xdr:col>3</xdr:col>
      <xdr:colOff>688730</xdr:colOff>
      <xdr:row>11</xdr:row>
      <xdr:rowOff>585434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A7C160-8E4C-4CA8-A833-48DCC8208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6419" y="4092159"/>
          <a:ext cx="550636" cy="512825"/>
        </a:xfrm>
        <a:prstGeom prst="rect">
          <a:avLst/>
        </a:prstGeom>
      </xdr:spPr>
    </xdr:pic>
    <xdr:clientData/>
  </xdr:twoCellAnchor>
  <xdr:twoCellAnchor editAs="oneCell">
    <xdr:from>
      <xdr:col>3</xdr:col>
      <xdr:colOff>51800</xdr:colOff>
      <xdr:row>10</xdr:row>
      <xdr:rowOff>87976</xdr:rowOff>
    </xdr:from>
    <xdr:to>
      <xdr:col>3</xdr:col>
      <xdr:colOff>726673</xdr:colOff>
      <xdr:row>10</xdr:row>
      <xdr:rowOff>593480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79124F-D684-4F9B-B7FB-9FD0A050B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125" y="3469351"/>
          <a:ext cx="674873" cy="505504"/>
        </a:xfrm>
        <a:prstGeom prst="rect">
          <a:avLst/>
        </a:prstGeom>
      </xdr:spPr>
    </xdr:pic>
    <xdr:clientData/>
  </xdr:twoCellAnchor>
  <xdr:twoCellAnchor editAs="oneCell">
    <xdr:from>
      <xdr:col>3</xdr:col>
      <xdr:colOff>66253</xdr:colOff>
      <xdr:row>9</xdr:row>
      <xdr:rowOff>78617</xdr:rowOff>
    </xdr:from>
    <xdr:to>
      <xdr:col>3</xdr:col>
      <xdr:colOff>738518</xdr:colOff>
      <xdr:row>9</xdr:row>
      <xdr:rowOff>586155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41AD9D-4F8C-438C-A59C-51D77E4C5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578" y="2821817"/>
          <a:ext cx="672265" cy="507538"/>
        </a:xfrm>
        <a:prstGeom prst="rect">
          <a:avLst/>
        </a:prstGeom>
      </xdr:spPr>
    </xdr:pic>
    <xdr:clientData/>
  </xdr:twoCellAnchor>
  <xdr:twoCellAnchor editAs="oneCell">
    <xdr:from>
      <xdr:col>3</xdr:col>
      <xdr:colOff>109903</xdr:colOff>
      <xdr:row>8</xdr:row>
      <xdr:rowOff>51288</xdr:rowOff>
    </xdr:from>
    <xdr:to>
      <xdr:col>3</xdr:col>
      <xdr:colOff>637441</xdr:colOff>
      <xdr:row>8</xdr:row>
      <xdr:rowOff>578826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9775A4-EAC9-466C-8352-EA3F82017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50" t="10523" r="13024" b="12949"/>
        <a:stretch/>
      </xdr:blipFill>
      <xdr:spPr>
        <a:xfrm>
          <a:off x="1948228" y="2156313"/>
          <a:ext cx="527538" cy="52753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80597</xdr:colOff>
          <xdr:row>5</xdr:row>
          <xdr:rowOff>73268</xdr:rowOff>
        </xdr:from>
        <xdr:to>
          <xdr:col>3</xdr:col>
          <xdr:colOff>702377</xdr:colOff>
          <xdr:row>5</xdr:row>
          <xdr:rowOff>578827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11919FD1-5A7E-40E8-A071-2EA25438DFF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LookupPictureAnswer" spid="_x0000_s75438"/>
                </a:ext>
              </a:extLst>
            </xdr:cNvPicPr>
          </xdr:nvPicPr>
          <xdr:blipFill rotWithShape="1">
            <a:blip xmlns:r="http://schemas.openxmlformats.org/officeDocument/2006/relationships" r:embed="rId5"/>
            <a:srcRect l="10450" t="10523" r="13024" b="12949"/>
            <a:stretch>
              <a:fillRect/>
            </a:stretch>
          </xdr:blipFill>
          <xdr:spPr>
            <a:xfrm>
              <a:off x="1926982" y="967153"/>
              <a:ext cx="621780" cy="505559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36634</xdr:colOff>
      <xdr:row>12</xdr:row>
      <xdr:rowOff>124557</xdr:rowOff>
    </xdr:from>
    <xdr:to>
      <xdr:col>21</xdr:col>
      <xdr:colOff>40297</xdr:colOff>
      <xdr:row>14</xdr:row>
      <xdr:rowOff>175021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7738191-31F0-4543-A4F9-D449B719F3FB}"/>
            </a:ext>
          </a:extLst>
        </xdr:cNvPr>
        <xdr:cNvCxnSpPr/>
      </xdr:nvCxnSpPr>
      <xdr:spPr>
        <a:xfrm>
          <a:off x="11598519" y="3897922"/>
          <a:ext cx="3663" cy="431464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424962</xdr:colOff>
      <xdr:row>13</xdr:row>
      <xdr:rowOff>21981</xdr:rowOff>
    </xdr:from>
    <xdr:to>
      <xdr:col>18</xdr:col>
      <xdr:colOff>600808</xdr:colOff>
      <xdr:row>14</xdr:row>
      <xdr:rowOff>161193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17E3CE0-AA5D-4E99-8B42-01447182EFD7}"/>
            </a:ext>
          </a:extLst>
        </xdr:cNvPr>
        <xdr:cNvCxnSpPr/>
      </xdr:nvCxnSpPr>
      <xdr:spPr>
        <a:xfrm>
          <a:off x="10030558" y="3985846"/>
          <a:ext cx="175846" cy="329712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167880</xdr:colOff>
      <xdr:row>10</xdr:row>
      <xdr:rowOff>170444</xdr:rowOff>
    </xdr:from>
    <xdr:to>
      <xdr:col>18</xdr:col>
      <xdr:colOff>542192</xdr:colOff>
      <xdr:row>14</xdr:row>
      <xdr:rowOff>21982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1B0067-FA66-4512-97CF-16B1BB55C152}"/>
            </a:ext>
          </a:extLst>
        </xdr:cNvPr>
        <xdr:cNvSpPr/>
      </xdr:nvSpPr>
      <xdr:spPr>
        <a:xfrm>
          <a:off x="8996822" y="3562809"/>
          <a:ext cx="1150966" cy="6135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lookup_value</a:t>
          </a:r>
          <a:r>
            <a:rPr lang="en-US" sz="1100" baseline="0">
              <a:solidFill>
                <a:schemeClr val="tx1"/>
              </a:solidFill>
            </a:rPr>
            <a:t> 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item to lookup</a:t>
          </a:r>
        </a:p>
      </xdr:txBody>
    </xdr:sp>
    <xdr:clientData/>
  </xdr:twoCellAnchor>
  <xdr:twoCellAnchor>
    <xdr:from>
      <xdr:col>19</xdr:col>
      <xdr:colOff>86869</xdr:colOff>
      <xdr:row>9</xdr:row>
      <xdr:rowOff>183173</xdr:rowOff>
    </xdr:from>
    <xdr:to>
      <xdr:col>22</xdr:col>
      <xdr:colOff>125611</xdr:colOff>
      <xdr:row>14</xdr:row>
      <xdr:rowOff>21982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7EE6691-2212-4C3A-9625-E6625848173F}"/>
            </a:ext>
          </a:extLst>
        </xdr:cNvPr>
        <xdr:cNvSpPr/>
      </xdr:nvSpPr>
      <xdr:spPr>
        <a:xfrm>
          <a:off x="10300600" y="3385038"/>
          <a:ext cx="1995030" cy="79130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lookup_array</a:t>
          </a:r>
          <a:r>
            <a:rPr lang="en-US" sz="1100" b="0" baseline="0">
              <a:solidFill>
                <a:schemeClr val="tx1"/>
              </a:solidFill>
            </a:rPr>
            <a:t> argument =</a:t>
          </a:r>
          <a:br>
            <a:rPr lang="en-US" sz="1100" b="0" baseline="0">
              <a:solidFill>
                <a:schemeClr val="tx1"/>
              </a:solidFill>
            </a:rPr>
          </a:br>
          <a:r>
            <a:rPr lang="en-US" sz="1100" b="0" baseline="0">
              <a:solidFill>
                <a:schemeClr val="tx1"/>
              </a:solidFill>
            </a:rPr>
            <a:t>search for lookup_value to yield a relative position. Can be a column or a row (not a table)</a:t>
          </a:r>
        </a:p>
      </xdr:txBody>
    </xdr:sp>
    <xdr:clientData/>
  </xdr:twoCellAnchor>
  <xdr:twoCellAnchor>
    <xdr:from>
      <xdr:col>22</xdr:col>
      <xdr:colOff>549519</xdr:colOff>
      <xdr:row>11</xdr:row>
      <xdr:rowOff>87923</xdr:rowOff>
    </xdr:from>
    <xdr:to>
      <xdr:col>22</xdr:col>
      <xdr:colOff>559043</xdr:colOff>
      <xdr:row>14</xdr:row>
      <xdr:rowOff>173557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4F9DF53-9763-48E8-BB74-E1A1D9DEE2BC}"/>
            </a:ext>
          </a:extLst>
        </xdr:cNvPr>
        <xdr:cNvCxnSpPr/>
      </xdr:nvCxnSpPr>
      <xdr:spPr>
        <a:xfrm>
          <a:off x="12719538" y="3670788"/>
          <a:ext cx="9524" cy="657134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1192823</xdr:colOff>
      <xdr:row>11</xdr:row>
      <xdr:rowOff>93783</xdr:rowOff>
    </xdr:from>
    <xdr:to>
      <xdr:col>23</xdr:col>
      <xdr:colOff>1202347</xdr:colOff>
      <xdr:row>14</xdr:row>
      <xdr:rowOff>179417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6CF9AED-5761-465F-ABD7-5D9544CFD309}"/>
            </a:ext>
          </a:extLst>
        </xdr:cNvPr>
        <xdr:cNvCxnSpPr/>
      </xdr:nvCxnSpPr>
      <xdr:spPr>
        <a:xfrm>
          <a:off x="13970977" y="3676648"/>
          <a:ext cx="9524" cy="657134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278424</xdr:colOff>
      <xdr:row>11</xdr:row>
      <xdr:rowOff>87924</xdr:rowOff>
    </xdr:from>
    <xdr:to>
      <xdr:col>23</xdr:col>
      <xdr:colOff>1941634</xdr:colOff>
      <xdr:row>14</xdr:row>
      <xdr:rowOff>21982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8511264-AE2C-47E2-B32F-4EA97BF47A06}"/>
            </a:ext>
          </a:extLst>
        </xdr:cNvPr>
        <xdr:cNvSpPr/>
      </xdr:nvSpPr>
      <xdr:spPr>
        <a:xfrm>
          <a:off x="12448443" y="3670789"/>
          <a:ext cx="2271345" cy="5055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[match_mode] and [search_mode]</a:t>
          </a:r>
          <a:r>
            <a:rPr lang="en-US" sz="1100" baseline="0">
              <a:solidFill>
                <a:schemeClr val="tx1"/>
              </a:solidFill>
            </a:rPr>
            <a:t> arguments = same as XLOOKUP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101204</xdr:colOff>
      <xdr:row>9</xdr:row>
      <xdr:rowOff>178595</xdr:rowOff>
    </xdr:from>
    <xdr:to>
      <xdr:col>18</xdr:col>
      <xdr:colOff>351234</xdr:colOff>
      <xdr:row>11</xdr:row>
      <xdr:rowOff>139683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8A7581-72B2-4201-82F3-3A2762132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048" y="4018361"/>
          <a:ext cx="3286124" cy="342088"/>
        </a:xfrm>
        <a:prstGeom prst="rect">
          <a:avLst/>
        </a:prstGeom>
      </xdr:spPr>
    </xdr:pic>
    <xdr:clientData/>
  </xdr:twoCellAnchor>
  <xdr:twoCellAnchor>
    <xdr:from>
      <xdr:col>4</xdr:col>
      <xdr:colOff>142876</xdr:colOff>
      <xdr:row>7</xdr:row>
      <xdr:rowOff>15479</xdr:rowOff>
    </xdr:from>
    <xdr:to>
      <xdr:col>4</xdr:col>
      <xdr:colOff>202406</xdr:colOff>
      <xdr:row>7</xdr:row>
      <xdr:rowOff>184547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712D6FA-E688-4A09-8101-0E2E1D98962F}"/>
            </a:ext>
          </a:extLst>
        </xdr:cNvPr>
        <xdr:cNvCxnSpPr/>
      </xdr:nvCxnSpPr>
      <xdr:spPr>
        <a:xfrm>
          <a:off x="2571751" y="1348979"/>
          <a:ext cx="59530" cy="169068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500063</xdr:colOff>
      <xdr:row>11</xdr:row>
      <xdr:rowOff>41671</xdr:rowOff>
    </xdr:from>
    <xdr:to>
      <xdr:col>13</xdr:col>
      <xdr:colOff>238125</xdr:colOff>
      <xdr:row>11</xdr:row>
      <xdr:rowOff>53578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90EA3EF-FE98-40F8-A0E2-5D35D4EB79C5}"/>
            </a:ext>
          </a:extLst>
        </xdr:cNvPr>
        <xdr:cNvCxnSpPr/>
      </xdr:nvCxnSpPr>
      <xdr:spPr>
        <a:xfrm flipV="1">
          <a:off x="6994922" y="4310062"/>
          <a:ext cx="345281" cy="11907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357187</xdr:colOff>
      <xdr:row>6</xdr:row>
      <xdr:rowOff>136922</xdr:rowOff>
    </xdr:from>
    <xdr:to>
      <xdr:col>5</xdr:col>
      <xdr:colOff>434580</xdr:colOff>
      <xdr:row>7</xdr:row>
      <xdr:rowOff>178594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C5DC0C0-FB68-44A2-955D-4F89A2051714}"/>
            </a:ext>
          </a:extLst>
        </xdr:cNvPr>
        <xdr:cNvCxnSpPr/>
      </xdr:nvCxnSpPr>
      <xdr:spPr>
        <a:xfrm flipH="1">
          <a:off x="3393281" y="1279922"/>
          <a:ext cx="77393" cy="232172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273844</xdr:colOff>
      <xdr:row>6</xdr:row>
      <xdr:rowOff>71437</xdr:rowOff>
    </xdr:from>
    <xdr:to>
      <xdr:col>7</xdr:col>
      <xdr:colOff>410768</xdr:colOff>
      <xdr:row>7</xdr:row>
      <xdr:rowOff>178594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3C4D0A4-5173-418E-B6A9-A7A50C75778F}"/>
            </a:ext>
          </a:extLst>
        </xdr:cNvPr>
        <xdr:cNvCxnSpPr/>
      </xdr:nvCxnSpPr>
      <xdr:spPr>
        <a:xfrm flipH="1">
          <a:off x="4524375" y="1214437"/>
          <a:ext cx="136924" cy="297657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327424</xdr:colOff>
      <xdr:row>1</xdr:row>
      <xdr:rowOff>182167</xdr:rowOff>
    </xdr:from>
    <xdr:to>
      <xdr:col>4</xdr:col>
      <xdr:colOff>410767</xdr:colOff>
      <xdr:row>7</xdr:row>
      <xdr:rowOff>26719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A35A904-7DE5-4247-B9EE-9DA5A152722A}"/>
            </a:ext>
          </a:extLst>
        </xdr:cNvPr>
        <xdr:cNvSpPr/>
      </xdr:nvSpPr>
      <xdr:spPr>
        <a:xfrm>
          <a:off x="1541862" y="372667"/>
          <a:ext cx="1297780" cy="98755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array </a:t>
          </a:r>
          <a:r>
            <a:rPr lang="en-US" sz="1100" baseline="0">
              <a:solidFill>
                <a:schemeClr val="tx1"/>
              </a:solidFill>
            </a:rPr>
            <a:t>argument = contains items you want to retrieve (row, column or table)</a:t>
          </a:r>
        </a:p>
      </xdr:txBody>
    </xdr:sp>
    <xdr:clientData/>
  </xdr:twoCellAnchor>
  <xdr:twoCellAnchor>
    <xdr:from>
      <xdr:col>4</xdr:col>
      <xdr:colOff>527533</xdr:colOff>
      <xdr:row>1</xdr:row>
      <xdr:rowOff>182167</xdr:rowOff>
    </xdr:from>
    <xdr:to>
      <xdr:col>7</xdr:col>
      <xdr:colOff>228505</xdr:colOff>
      <xdr:row>7</xdr:row>
      <xdr:rowOff>26719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651AF2-6479-4C2F-A1A1-B000359088A2}"/>
            </a:ext>
          </a:extLst>
        </xdr:cNvPr>
        <xdr:cNvSpPr/>
      </xdr:nvSpPr>
      <xdr:spPr>
        <a:xfrm>
          <a:off x="2956408" y="372667"/>
          <a:ext cx="1522628" cy="98755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row_num </a:t>
          </a:r>
          <a:r>
            <a:rPr lang="en-US" sz="1100" baseline="0">
              <a:solidFill>
                <a:schemeClr val="tx1"/>
              </a:solidFill>
            </a:rPr>
            <a:t>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is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row index number (row relative position). If omitted, INDEX looks up all the columns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345271</xdr:colOff>
      <xdr:row>1</xdr:row>
      <xdr:rowOff>182167</xdr:rowOff>
    </xdr:from>
    <xdr:to>
      <xdr:col>11</xdr:col>
      <xdr:colOff>410765</xdr:colOff>
      <xdr:row>7</xdr:row>
      <xdr:rowOff>26719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DFFD234-DFFF-471A-AEB7-DA32EC0E8719}"/>
            </a:ext>
          </a:extLst>
        </xdr:cNvPr>
        <xdr:cNvSpPr/>
      </xdr:nvSpPr>
      <xdr:spPr>
        <a:xfrm>
          <a:off x="4595802" y="372667"/>
          <a:ext cx="1702604" cy="98755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column_num </a:t>
          </a:r>
          <a:r>
            <a:rPr lang="en-US" sz="1100" baseline="0">
              <a:solidFill>
                <a:schemeClr val="tx1"/>
              </a:solidFill>
            </a:rPr>
            <a:t>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is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 index number (column relative position). If omitted, INDEX looks up all the rows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386954</xdr:colOff>
      <xdr:row>10</xdr:row>
      <xdr:rowOff>48814</xdr:rowOff>
    </xdr:from>
    <xdr:to>
      <xdr:col>12</xdr:col>
      <xdr:colOff>547689</xdr:colOff>
      <xdr:row>13</xdr:row>
      <xdr:rowOff>95249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560B2A3-36B9-44F8-ADC7-E7290319155A}"/>
            </a:ext>
          </a:extLst>
        </xdr:cNvPr>
        <xdr:cNvSpPr/>
      </xdr:nvSpPr>
      <xdr:spPr>
        <a:xfrm>
          <a:off x="7066360" y="4079080"/>
          <a:ext cx="767954" cy="6179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Don't use bottom option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2518176</xdr:colOff>
      <xdr:row>13</xdr:row>
      <xdr:rowOff>690564</xdr:rowOff>
    </xdr:from>
    <xdr:to>
      <xdr:col>3</xdr:col>
      <xdr:colOff>2524131</xdr:colOff>
      <xdr:row>15</xdr:row>
      <xdr:rowOff>172640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A245D6F-44FE-4F78-B469-4D6AEF9502FF}"/>
            </a:ext>
          </a:extLst>
        </xdr:cNvPr>
        <xdr:cNvCxnSpPr/>
      </xdr:nvCxnSpPr>
      <xdr:spPr>
        <a:xfrm flipV="1">
          <a:off x="4339832" y="3178970"/>
          <a:ext cx="5955" cy="369092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892970</xdr:colOff>
      <xdr:row>14</xdr:row>
      <xdr:rowOff>11905</xdr:rowOff>
    </xdr:from>
    <xdr:to>
      <xdr:col>3</xdr:col>
      <xdr:colOff>1178720</xdr:colOff>
      <xdr:row>15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9695D11-C3A1-4096-B011-E118FE582B7B}"/>
            </a:ext>
          </a:extLst>
        </xdr:cNvPr>
        <xdr:cNvCxnSpPr/>
      </xdr:nvCxnSpPr>
      <xdr:spPr>
        <a:xfrm flipV="1">
          <a:off x="2714626" y="3196827"/>
          <a:ext cx="285750" cy="321470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4397158</xdr:colOff>
      <xdr:row>10</xdr:row>
      <xdr:rowOff>147366</xdr:rowOff>
    </xdr:from>
    <xdr:to>
      <xdr:col>3</xdr:col>
      <xdr:colOff>4400821</xdr:colOff>
      <xdr:row>12</xdr:row>
      <xdr:rowOff>197830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804BF14-A52E-4595-9AC6-1D6847DD3E92}"/>
            </a:ext>
          </a:extLst>
        </xdr:cNvPr>
        <xdr:cNvCxnSpPr/>
      </xdr:nvCxnSpPr>
      <xdr:spPr>
        <a:xfrm>
          <a:off x="6218814" y="2052366"/>
          <a:ext cx="3663" cy="431464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89296</xdr:colOff>
      <xdr:row>18</xdr:row>
      <xdr:rowOff>101201</xdr:rowOff>
    </xdr:from>
    <xdr:to>
      <xdr:col>13</xdr:col>
      <xdr:colOff>158353</xdr:colOff>
      <xdr:row>22</xdr:row>
      <xdr:rowOff>63101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D3A575-47BB-4050-A5E4-D4059BA83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6437" y="4048123"/>
          <a:ext cx="3105150" cy="723900"/>
        </a:xfrm>
        <a:prstGeom prst="rect">
          <a:avLst/>
        </a:prstGeom>
      </xdr:spPr>
    </xdr:pic>
    <xdr:clientData/>
  </xdr:twoCellAnchor>
  <xdr:twoCellAnchor>
    <xdr:from>
      <xdr:col>2</xdr:col>
      <xdr:colOff>119061</xdr:colOff>
      <xdr:row>12</xdr:row>
      <xdr:rowOff>172641</xdr:rowOff>
    </xdr:from>
    <xdr:to>
      <xdr:col>2</xdr:col>
      <xdr:colOff>595311</xdr:colOff>
      <xdr:row>14</xdr:row>
      <xdr:rowOff>35718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A8F5F31-6AA0-4870-B21B-0CC8988473A1}"/>
            </a:ext>
          </a:extLst>
        </xdr:cNvPr>
        <xdr:cNvSpPr/>
      </xdr:nvSpPr>
      <xdr:spPr>
        <a:xfrm>
          <a:off x="1333499" y="2458641"/>
          <a:ext cx="476250" cy="7619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1</a:t>
          </a:r>
        </a:p>
        <a:p>
          <a:pPr algn="ctr"/>
          <a:r>
            <a:rPr lang="en-US" sz="20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2982696</xdr:colOff>
      <xdr:row>10</xdr:row>
      <xdr:rowOff>155698</xdr:rowOff>
    </xdr:from>
    <xdr:to>
      <xdr:col>3</xdr:col>
      <xdr:colOff>2986359</xdr:colOff>
      <xdr:row>13</xdr:row>
      <xdr:rowOff>3756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31173B6-7236-482F-B8BE-AF582859B0E5}"/>
            </a:ext>
          </a:extLst>
        </xdr:cNvPr>
        <xdr:cNvCxnSpPr/>
      </xdr:nvCxnSpPr>
      <xdr:spPr>
        <a:xfrm>
          <a:off x="4804352" y="2060698"/>
          <a:ext cx="3663" cy="431464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791766</xdr:colOff>
      <xdr:row>10</xdr:row>
      <xdr:rowOff>65485</xdr:rowOff>
    </xdr:from>
    <xdr:to>
      <xdr:col>3</xdr:col>
      <xdr:colOff>1214438</xdr:colOff>
      <xdr:row>12</xdr:row>
      <xdr:rowOff>190500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0032C68-6057-4C39-AE9F-4FC71EF47EF6}"/>
            </a:ext>
          </a:extLst>
        </xdr:cNvPr>
        <xdr:cNvCxnSpPr/>
      </xdr:nvCxnSpPr>
      <xdr:spPr>
        <a:xfrm>
          <a:off x="2613422" y="1970485"/>
          <a:ext cx="422672" cy="506015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5951</xdr:colOff>
      <xdr:row>7</xdr:row>
      <xdr:rowOff>39291</xdr:rowOff>
    </xdr:from>
    <xdr:to>
      <xdr:col>3</xdr:col>
      <xdr:colOff>1156917</xdr:colOff>
      <xdr:row>10</xdr:row>
      <xdr:rowOff>81329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3E641A9-E01B-494A-A334-AE852B198D3F}"/>
            </a:ext>
          </a:extLst>
        </xdr:cNvPr>
        <xdr:cNvSpPr/>
      </xdr:nvSpPr>
      <xdr:spPr>
        <a:xfrm>
          <a:off x="1827607" y="1372791"/>
          <a:ext cx="1150966" cy="6135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lookup_value</a:t>
          </a:r>
          <a:r>
            <a:rPr lang="en-US" sz="1100" baseline="0">
              <a:solidFill>
                <a:schemeClr val="tx1"/>
              </a:solidFill>
            </a:rPr>
            <a:t> 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Item to lookup</a:t>
          </a:r>
        </a:p>
      </xdr:txBody>
    </xdr:sp>
    <xdr:clientData/>
  </xdr:twoCellAnchor>
  <xdr:twoCellAnchor>
    <xdr:from>
      <xdr:col>3</xdr:col>
      <xdr:colOff>1357317</xdr:colOff>
      <xdr:row>7</xdr:row>
      <xdr:rowOff>39291</xdr:rowOff>
    </xdr:from>
    <xdr:to>
      <xdr:col>3</xdr:col>
      <xdr:colOff>3363520</xdr:colOff>
      <xdr:row>12</xdr:row>
      <xdr:rowOff>75009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ECF3F42-A8B7-4433-8E32-1C68B64775E2}"/>
            </a:ext>
          </a:extLst>
        </xdr:cNvPr>
        <xdr:cNvSpPr/>
      </xdr:nvSpPr>
      <xdr:spPr>
        <a:xfrm>
          <a:off x="3178973" y="1372791"/>
          <a:ext cx="2006203" cy="9882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lookup_vector</a:t>
          </a:r>
          <a:r>
            <a:rPr lang="en-US" sz="1100" b="0" baseline="0">
              <a:solidFill>
                <a:schemeClr val="tx1"/>
              </a:solidFill>
            </a:rPr>
            <a:t> argument =</a:t>
          </a:r>
          <a:br>
            <a:rPr lang="en-US" sz="1100" b="0" baseline="0">
              <a:solidFill>
                <a:schemeClr val="tx1"/>
              </a:solidFill>
            </a:rPr>
          </a:br>
          <a:r>
            <a:rPr lang="en-US" sz="1100" b="0" baseline="0">
              <a:solidFill>
                <a:schemeClr val="tx1"/>
              </a:solidFill>
            </a:rPr>
            <a:t>search for lookup_value to yield a relative position. Can be a column or a row (not a table). Must be sorted A-Z</a:t>
          </a:r>
        </a:p>
      </xdr:txBody>
    </xdr:sp>
    <xdr:clientData/>
  </xdr:twoCellAnchor>
  <xdr:twoCellAnchor>
    <xdr:from>
      <xdr:col>3</xdr:col>
      <xdr:colOff>3557628</xdr:colOff>
      <xdr:row>7</xdr:row>
      <xdr:rowOff>39291</xdr:rowOff>
    </xdr:from>
    <xdr:to>
      <xdr:col>5</xdr:col>
      <xdr:colOff>232172</xdr:colOff>
      <xdr:row>12</xdr:row>
      <xdr:rowOff>77391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FDB399D-5521-4057-8980-3C9E45BBD6F0}"/>
            </a:ext>
          </a:extLst>
        </xdr:cNvPr>
        <xdr:cNvSpPr/>
      </xdr:nvSpPr>
      <xdr:spPr>
        <a:xfrm>
          <a:off x="5379284" y="1372791"/>
          <a:ext cx="2538372" cy="990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[result_vector]</a:t>
          </a:r>
          <a:r>
            <a:rPr lang="en-US" sz="1100" b="0" baseline="0">
              <a:solidFill>
                <a:schemeClr val="tx1"/>
              </a:solidFill>
            </a:rPr>
            <a:t> relative position from lookup_array is used to retrieve item from [result_array]. Can be a column or a row (not a table). Does not have to have same orientation as lookup_vector</a:t>
          </a:r>
        </a:p>
      </xdr:txBody>
    </xdr:sp>
    <xdr:clientData/>
  </xdr:twoCellAnchor>
  <xdr:twoCellAnchor>
    <xdr:from>
      <xdr:col>3</xdr:col>
      <xdr:colOff>2319328</xdr:colOff>
      <xdr:row>14</xdr:row>
      <xdr:rowOff>122268</xdr:rowOff>
    </xdr:from>
    <xdr:to>
      <xdr:col>3</xdr:col>
      <xdr:colOff>4441033</xdr:colOff>
      <xdr:row>17</xdr:row>
      <xdr:rowOff>23450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AECB171-9A08-428A-B272-EC959D4FD0B6}"/>
            </a:ext>
          </a:extLst>
        </xdr:cNvPr>
        <xdr:cNvSpPr/>
      </xdr:nvSpPr>
      <xdr:spPr>
        <a:xfrm>
          <a:off x="4140984" y="3307190"/>
          <a:ext cx="2121705" cy="47268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array</a:t>
          </a:r>
          <a:r>
            <a:rPr lang="en-US" sz="1100" baseline="0">
              <a:solidFill>
                <a:schemeClr val="tx1"/>
              </a:solidFill>
            </a:rPr>
            <a:t> argument = lookup table.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First column must be sorted A-Z</a:t>
          </a:r>
        </a:p>
      </xdr:txBody>
    </xdr:sp>
    <xdr:clientData/>
  </xdr:twoCellAnchor>
  <xdr:twoCellAnchor>
    <xdr:from>
      <xdr:col>3</xdr:col>
      <xdr:colOff>3570</xdr:colOff>
      <xdr:row>14</xdr:row>
      <xdr:rowOff>122268</xdr:rowOff>
    </xdr:from>
    <xdr:to>
      <xdr:col>3</xdr:col>
      <xdr:colOff>1666875</xdr:colOff>
      <xdr:row>17</xdr:row>
      <xdr:rowOff>26256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A09D09D-1A4F-460A-9082-0A4AEFB23A7A}"/>
            </a:ext>
          </a:extLst>
        </xdr:cNvPr>
        <xdr:cNvSpPr/>
      </xdr:nvSpPr>
      <xdr:spPr>
        <a:xfrm>
          <a:off x="1825226" y="3307190"/>
          <a:ext cx="1663305" cy="4754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lookup_value</a:t>
          </a:r>
          <a:r>
            <a:rPr lang="en-US" sz="1100" baseline="0">
              <a:solidFill>
                <a:schemeClr val="tx1"/>
              </a:solidFill>
            </a:rPr>
            <a:t> 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Item to lookup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279797</xdr:colOff>
      <xdr:row>6</xdr:row>
      <xdr:rowOff>125016</xdr:rowOff>
    </xdr:from>
    <xdr:to>
      <xdr:col>9</xdr:col>
      <xdr:colOff>375047</xdr:colOff>
      <xdr:row>7</xdr:row>
      <xdr:rowOff>166687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E9BCF63-7BEB-43A4-B3C3-20651D449159}"/>
            </a:ext>
          </a:extLst>
        </xdr:cNvPr>
        <xdr:cNvCxnSpPr/>
      </xdr:nvCxnSpPr>
      <xdr:spPr>
        <a:xfrm flipH="1">
          <a:off x="5744766" y="1268016"/>
          <a:ext cx="95250" cy="232171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220266</xdr:colOff>
      <xdr:row>6</xdr:row>
      <xdr:rowOff>160734</xdr:rowOff>
    </xdr:from>
    <xdr:to>
      <xdr:col>4</xdr:col>
      <xdr:colOff>363141</xdr:colOff>
      <xdr:row>7</xdr:row>
      <xdr:rowOff>178593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5B5AD00-2782-43E2-9066-98DC90A7EC94}"/>
            </a:ext>
          </a:extLst>
        </xdr:cNvPr>
        <xdr:cNvCxnSpPr/>
      </xdr:nvCxnSpPr>
      <xdr:spPr>
        <a:xfrm>
          <a:off x="2649141" y="1303734"/>
          <a:ext cx="142875" cy="208359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6</xdr:row>
      <xdr:rowOff>148828</xdr:rowOff>
    </xdr:from>
    <xdr:to>
      <xdr:col>6</xdr:col>
      <xdr:colOff>60892</xdr:colOff>
      <xdr:row>7</xdr:row>
      <xdr:rowOff>181657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EC2026-7C69-4311-A6B1-AE1FDF01A823}"/>
            </a:ext>
          </a:extLst>
        </xdr:cNvPr>
        <xdr:cNvCxnSpPr/>
      </xdr:nvCxnSpPr>
      <xdr:spPr>
        <a:xfrm>
          <a:off x="3607594" y="1291828"/>
          <a:ext cx="96611" cy="223329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174172</xdr:colOff>
      <xdr:row>6</xdr:row>
      <xdr:rowOff>0</xdr:rowOff>
    </xdr:from>
    <xdr:to>
      <xdr:col>7</xdr:col>
      <xdr:colOff>178594</xdr:colOff>
      <xdr:row>7</xdr:row>
      <xdr:rowOff>190500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21CA46-56D7-4E1E-B0C2-BFE81256C1FA}"/>
            </a:ext>
          </a:extLst>
        </xdr:cNvPr>
        <xdr:cNvCxnSpPr/>
      </xdr:nvCxnSpPr>
      <xdr:spPr>
        <a:xfrm flipH="1">
          <a:off x="4424703" y="1143000"/>
          <a:ext cx="4422" cy="381000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</xdr:colOff>
      <xdr:row>3</xdr:row>
      <xdr:rowOff>168714</xdr:rowOff>
    </xdr:from>
    <xdr:to>
      <xdr:col>4</xdr:col>
      <xdr:colOff>428629</xdr:colOff>
      <xdr:row>7</xdr:row>
      <xdr:rowOff>60028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8C11986-3364-4E0F-8971-B7FAA53C22BE}"/>
            </a:ext>
          </a:extLst>
        </xdr:cNvPr>
        <xdr:cNvSpPr/>
      </xdr:nvSpPr>
      <xdr:spPr>
        <a:xfrm>
          <a:off x="1822339" y="740214"/>
          <a:ext cx="1035165" cy="6533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expression</a:t>
          </a:r>
          <a:br>
            <a:rPr lang="en-US" sz="1100" b="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argument = lookup_value</a:t>
          </a:r>
        </a:p>
      </xdr:txBody>
    </xdr:sp>
    <xdr:clientData/>
  </xdr:twoCellAnchor>
  <xdr:twoCellAnchor>
    <xdr:from>
      <xdr:col>4</xdr:col>
      <xdr:colOff>499366</xdr:colOff>
      <xdr:row>2</xdr:row>
      <xdr:rowOff>171776</xdr:rowOff>
    </xdr:from>
    <xdr:to>
      <xdr:col>6</xdr:col>
      <xdr:colOff>269289</xdr:colOff>
      <xdr:row>7</xdr:row>
      <xdr:rowOff>60028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5D7DDB-6416-4CE7-87B7-41FCDF5A3A2B}"/>
            </a:ext>
          </a:extLst>
        </xdr:cNvPr>
        <xdr:cNvSpPr/>
      </xdr:nvSpPr>
      <xdr:spPr>
        <a:xfrm>
          <a:off x="2928241" y="552776"/>
          <a:ext cx="984361" cy="84075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value1</a:t>
          </a:r>
          <a:br>
            <a:rPr lang="en-US" sz="1100" b="1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match against lookup_value</a:t>
          </a:r>
        </a:p>
      </xdr:txBody>
    </xdr:sp>
    <xdr:clientData/>
  </xdr:twoCellAnchor>
  <xdr:twoCellAnchor>
    <xdr:from>
      <xdr:col>6</xdr:col>
      <xdr:colOff>340026</xdr:colOff>
      <xdr:row>2</xdr:row>
      <xdr:rowOff>171280</xdr:rowOff>
    </xdr:from>
    <xdr:to>
      <xdr:col>9</xdr:col>
      <xdr:colOff>698</xdr:colOff>
      <xdr:row>7</xdr:row>
      <xdr:rowOff>60028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5B09352-6B7F-4762-94C0-B64745FB71EE}"/>
            </a:ext>
          </a:extLst>
        </xdr:cNvPr>
        <xdr:cNvSpPr/>
      </xdr:nvSpPr>
      <xdr:spPr>
        <a:xfrm>
          <a:off x="3983339" y="552280"/>
          <a:ext cx="1482328" cy="8412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result1</a:t>
          </a:r>
          <a:br>
            <a:rPr lang="en-US" sz="1100" b="1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if value1 = expression, this is result to return</a:t>
          </a:r>
        </a:p>
      </xdr:txBody>
    </xdr:sp>
    <xdr:clientData/>
  </xdr:twoCellAnchor>
  <xdr:twoCellAnchor>
    <xdr:from>
      <xdr:col>9</xdr:col>
      <xdr:colOff>71436</xdr:colOff>
      <xdr:row>2</xdr:row>
      <xdr:rowOff>171280</xdr:rowOff>
    </xdr:from>
    <xdr:to>
      <xdr:col>9</xdr:col>
      <xdr:colOff>1904999</xdr:colOff>
      <xdr:row>7</xdr:row>
      <xdr:rowOff>60028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112BF5-0E85-44CA-8881-280E4C820A69}"/>
            </a:ext>
          </a:extLst>
        </xdr:cNvPr>
        <xdr:cNvSpPr/>
      </xdr:nvSpPr>
      <xdr:spPr>
        <a:xfrm>
          <a:off x="5536405" y="552280"/>
          <a:ext cx="1833563" cy="8412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[default_or_value2, result2]</a:t>
          </a:r>
          <a:br>
            <a:rPr lang="en-US" sz="1100" b="1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continue with value and result, or put default</a:t>
          </a:r>
        </a:p>
      </xdr:txBody>
    </xdr:sp>
    <xdr:clientData/>
  </xdr:twoCellAnchor>
  <xdr:twoCellAnchor editAs="oneCell">
    <xdr:from>
      <xdr:col>2</xdr:col>
      <xdr:colOff>398859</xdr:colOff>
      <xdr:row>12</xdr:row>
      <xdr:rowOff>178593</xdr:rowOff>
    </xdr:from>
    <xdr:to>
      <xdr:col>10</xdr:col>
      <xdr:colOff>336947</xdr:colOff>
      <xdr:row>20</xdr:row>
      <xdr:rowOff>169068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CAB9D4-8847-43B2-BB81-2D4B7D51D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3297" y="2541984"/>
          <a:ext cx="6105525" cy="151447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205975</xdr:colOff>
      <xdr:row>6</xdr:row>
      <xdr:rowOff>146447</xdr:rowOff>
    </xdr:from>
    <xdr:to>
      <xdr:col>7</xdr:col>
      <xdr:colOff>302586</xdr:colOff>
      <xdr:row>7</xdr:row>
      <xdr:rowOff>179276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FB0ECD4-04DD-40CB-A7BE-279E5EBFBC35}"/>
            </a:ext>
          </a:extLst>
        </xdr:cNvPr>
        <xdr:cNvCxnSpPr/>
      </xdr:nvCxnSpPr>
      <xdr:spPr>
        <a:xfrm>
          <a:off x="4456506" y="1289447"/>
          <a:ext cx="96611" cy="223329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327422</xdr:colOff>
      <xdr:row>6</xdr:row>
      <xdr:rowOff>142875</xdr:rowOff>
    </xdr:from>
    <xdr:to>
      <xdr:col>4</xdr:col>
      <xdr:colOff>363141</xdr:colOff>
      <xdr:row>7</xdr:row>
      <xdr:rowOff>178593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FC7136-B2E3-4424-B9EC-315985AB5B2F}"/>
            </a:ext>
          </a:extLst>
        </xdr:cNvPr>
        <xdr:cNvCxnSpPr/>
      </xdr:nvCxnSpPr>
      <xdr:spPr>
        <a:xfrm>
          <a:off x="2756297" y="1285875"/>
          <a:ext cx="35719" cy="226218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136918</xdr:colOff>
      <xdr:row>6</xdr:row>
      <xdr:rowOff>148828</xdr:rowOff>
    </xdr:from>
    <xdr:to>
      <xdr:col>6</xdr:col>
      <xdr:colOff>233529</xdr:colOff>
      <xdr:row>7</xdr:row>
      <xdr:rowOff>181657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788B468-B049-41A3-A59E-6B0D0535254A}"/>
            </a:ext>
          </a:extLst>
        </xdr:cNvPr>
        <xdr:cNvCxnSpPr/>
      </xdr:nvCxnSpPr>
      <xdr:spPr>
        <a:xfrm>
          <a:off x="3780231" y="1291828"/>
          <a:ext cx="96611" cy="223329"/>
        </a:xfrm>
        <a:prstGeom prst="straightConnector1">
          <a:avLst/>
        </a:prstGeom>
        <a:ln w="1905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</xdr:row>
      <xdr:rowOff>41672</xdr:rowOff>
    </xdr:from>
    <xdr:to>
      <xdr:col>5</xdr:col>
      <xdr:colOff>375047</xdr:colOff>
      <xdr:row>7</xdr:row>
      <xdr:rowOff>60028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05F4618-5E52-436C-B39D-DF45497BD3CC}"/>
            </a:ext>
          </a:extLst>
        </xdr:cNvPr>
        <xdr:cNvSpPr/>
      </xdr:nvSpPr>
      <xdr:spPr>
        <a:xfrm>
          <a:off x="1821657" y="613172"/>
          <a:ext cx="1589484" cy="7803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index_num</a:t>
          </a:r>
          <a:br>
            <a:rPr lang="en-US" sz="1100" b="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argument = lookup values that are the index numbers 1, 2, and so on. </a:t>
          </a:r>
        </a:p>
      </xdr:txBody>
    </xdr:sp>
    <xdr:clientData/>
  </xdr:twoCellAnchor>
  <xdr:twoCellAnchor>
    <xdr:from>
      <xdr:col>5</xdr:col>
      <xdr:colOff>583406</xdr:colOff>
      <xdr:row>3</xdr:row>
      <xdr:rowOff>41671</xdr:rowOff>
    </xdr:from>
    <xdr:to>
      <xdr:col>8</xdr:col>
      <xdr:colOff>392905</xdr:colOff>
      <xdr:row>7</xdr:row>
      <xdr:rowOff>65980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9071D63-E313-4965-B4E7-271D8543C7AD}"/>
            </a:ext>
          </a:extLst>
        </xdr:cNvPr>
        <xdr:cNvSpPr/>
      </xdr:nvSpPr>
      <xdr:spPr>
        <a:xfrm>
          <a:off x="3619500" y="613171"/>
          <a:ext cx="1631155" cy="78630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value1, [value2], ...</a:t>
          </a:r>
          <a:br>
            <a:rPr lang="en-US" sz="1100" b="1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argument =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values to return if index number matches</a:t>
          </a:r>
        </a:p>
      </xdr:txBody>
    </xdr:sp>
    <xdr:clientData/>
  </xdr:twoCellAnchor>
</xdr:wsDr>
</file>

<file path=xl/richData/_rels/rdRichValueWebImage.xml.rels><?xml version="1.0" encoding="UTF-8" standalone="yes"?>
<Relationships xmlns="http://schemas.openxmlformats.org/package/2006/relationships"><Relationship Id="rId3" Type="http://schemas.openxmlformats.org/officeDocument/2006/relationships/hyperlink" Target="https://mswolfram-prod-tm.office.net/webKernel/active/PodImage.api?input=wjson%7B%22t%22%3A%22e%22%2C%22d%22%3A%22ZIPCode%22%2C%22e%22%3A%2298106%22%7D&amp;ca=1%3AeJxTTMoPCuZlYGAwNLPQMzQ10zM31DOyBAAykQQ9&amp;includepodid=WolframMap%3AZIPCodeData&amp;subpodindex=1&amp;numberofsubpods=1&amp;width=1100&amp;mag=2&amp;scantimeout=10&amp;podtimeout=10&amp;formattimeout=10&amp;parsetimeout=10" TargetMode="External"/><Relationship Id="rId2" Type="http://schemas.openxmlformats.org/officeDocument/2006/relationships/hyperlink" Target="https://mswolfram-prod-tm.office.net/webKernel/active/PodImage.api?input=wjson%7B%22t%22%3A%22e%22%2C%22d%22%3A%22ZIPCode%22%2C%22e%22%3A%2294618%22%7D&amp;ca=1%3AeJxTTMoPCuZlYGAwNLPQMzQ10zM31DOyBAAykQQ9&amp;includepodid=Map%3AZIPCodeData&amp;subpodindex=1&amp;numberofsubpods=1&amp;width=1500&amp;scantimeout=10&amp;podtimeout=10&amp;formattimeout=10&amp;parsetimeout=10" TargetMode="External"/><Relationship Id="rId1" Type="http://schemas.openxmlformats.org/officeDocument/2006/relationships/hyperlink" Target="https://mswolfram-prod-tm.office.net/webKernel/active/PodImage.api?input=wjson%7B%22t%22%3A%22e%22%2C%22d%22%3A%22ZIPCode%22%2C%22e%22%3A%2294618%22%7D&amp;ca=1%3AeJxTTMoPCuZlYGAwNLPQMzQ10zM31DOyBAAykQQ9&amp;includepodid=WolframMap%3AZIPCodeData&amp;subpodindex=1&amp;numberofsubpods=1&amp;width=1100&amp;mag=2&amp;scantimeout=10&amp;podtimeout=10&amp;formattimeout=10&amp;parsetimeout=10" TargetMode="External"/><Relationship Id="rId6" Type="http://schemas.openxmlformats.org/officeDocument/2006/relationships/hyperlink" Target="https://mswolfram-prod-tm.office.net/webKernel/active/PodImage.api?input=wjson%7B%22t%22%3A%22e%22%2C%22d%22%3A%22ZIPCode%22%2C%22e%22%3A%2298402%22%7D&amp;ca=1%3AeJxTTMoPCuZlYGAwNLPQMzQ10zM31DOyBAAykQQ9&amp;includepodid=Map%3AZIPCodeData&amp;subpodindex=1&amp;numberofsubpods=1&amp;width=1500&amp;scantimeout=10&amp;podtimeout=10&amp;formattimeout=10&amp;parsetimeout=10" TargetMode="External"/><Relationship Id="rId5" Type="http://schemas.openxmlformats.org/officeDocument/2006/relationships/hyperlink" Target="https://mswolfram-prod-tm.office.net/webKernel/active/PodImage.api?input=wjson%7B%22t%22%3A%22e%22%2C%22d%22%3A%22ZIPCode%22%2C%22e%22%3A%2298402%22%7D&amp;ca=1%3AeJxTTMoPCuZlYGAwNLPQMzQ10zM31DOyBAAykQQ9&amp;includepodid=WolframMap%3AZIPCodeData&amp;subpodindex=1&amp;numberofsubpods=1&amp;width=1100&amp;mag=2&amp;scantimeout=10&amp;podtimeout=10&amp;formattimeout=10&amp;parsetimeout=10" TargetMode="External"/><Relationship Id="rId4" Type="http://schemas.openxmlformats.org/officeDocument/2006/relationships/hyperlink" Target="https://mswolfram-prod-tm.office.net/webKernel/active/PodImage.api?input=wjson%7B%22t%22%3A%22e%22%2C%22d%22%3A%22ZIPCode%22%2C%22e%22%3A%2298106%22%7D&amp;ca=1%3AeJxTTMoPCuZlYGAwNLPQMzQ10zM31DOyBAAykQQ9&amp;includepodid=Map%3AZIPCodeData&amp;subpodindex=1&amp;numberofsubpods=1&amp;width=1500&amp;scantimeout=10&amp;podtimeout=10&amp;formattimeout=10&amp;parsetimeout=10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</webImageSrd>
  <webImageSrd>
    <address r:id="rId2"/>
  </webImageSrd>
  <webImageSrd>
    <address r:id="rId3"/>
  </webImageSrd>
  <webImageSrd>
    <address r:id="rId4"/>
  </webImageSrd>
  <webImageSrd>
    <address r:id="rId5"/>
  </webImageSrd>
  <webImageSrd>
    <address r:id="rId6"/>
  </webImageSrd>
</webImagesSrd>
</file>

<file path=xl/richData/rdarray.xml><?xml version="1.0" encoding="utf-8"?>
<arrayData xmlns="http://schemas.microsoft.com/office/spreadsheetml/2017/richdata2" count="12">
  <a r="2">
    <v t="r">3</v>
    <v t="r">4</v>
  </a>
  <a r="1">
    <v t="r">8</v>
  </a>
  <a r="1">
    <v t="r">11</v>
  </a>
  <a r="1">
    <v t="s">06001</v>
  </a>
  <a r="1">
    <v t="r">64</v>
  </a>
  <a r="1">
    <v t="r">68</v>
  </a>
  <a r="1">
    <v t="r">71</v>
  </a>
  <a r="1">
    <v t="s">53033</v>
  </a>
  <a r="1">
    <v t="r">123</v>
  </a>
  <a r="1">
    <v t="r">127</v>
  </a>
  <a r="1">
    <v t="r">130</v>
  </a>
  <a r="1">
    <v t="s">53053</v>
  </a>
</arrayData>
</file>

<file path=xl/richData/rdrichvalue.xml><?xml version="1.0" encoding="utf-8"?>
<rvData xmlns="http://schemas.microsoft.com/office/spreadsheetml/2017/richdata" count="179">
  <rv s="0">
    <v>536871168</v>
    <v>94618</v>
    <v>wjson{"t":"e","d":"ZIPCode","e":"94618"}</v>
    <v>en-US</v>
    <v>CenterMap</v>
  </rv>
  <rv s="1">
    <fb>1282434000</fb>
    <v>30</v>
  </rv>
  <rv s="1">
    <fb>289225000</fb>
    <v>30</v>
  </rv>
  <rv s="1">
    <fb>510</fb>
    <v>31</v>
  </rv>
  <rv s="1">
    <fb>341</fb>
    <v>31</v>
  </rv>
  <rv s="2">
    <v>0</v>
  </rv>
  <rv s="1">
    <fb>1030000</fb>
    <v>30</v>
  </rv>
  <rv s="1">
    <fb>485</fb>
    <v>31</v>
  </rv>
  <rv s="0">
    <v>536871168</v>
    <v>Oakland</v>
    <v>wjson{"t":"e","d":"City","e":["Oakland","California","UnitedStates"]}</v>
    <v>en-US</v>
    <v>City</v>
  </rv>
  <rv s="2">
    <v>1</v>
  </rv>
  <rv s="1">
    <fb>5.0000000000000001E-3</fb>
    <v>32</v>
  </rv>
  <rv s="0">
    <v>536871168</v>
    <v>Alameda County, California, United States</v>
    <v>wjson{"t":"e","d":"AdministrativeDivision","e":["AlamedaCounty","California","UnitedStates"]}</v>
    <v>en-US</v>
    <v>City</v>
  </rv>
  <rv s="2">
    <v>2</v>
  </rv>
  <rv s="1">
    <fb>2.75E-2</fb>
    <v>33</v>
  </rv>
  <rv s="1">
    <fb>8744</fb>
    <v>31</v>
  </rv>
  <rv s="2">
    <v>3</v>
  </rv>
  <rv s="1">
    <fb>0.47110000000000002</fb>
    <v>34</v>
  </rv>
  <rv s="1">
    <fb>7054</fb>
    <v>31</v>
  </rv>
  <rv s="1">
    <fb>614</fb>
    <v>31</v>
  </rv>
  <rv s="1">
    <fb>2008</fb>
    <v>31</v>
  </rv>
  <rv s="1">
    <fb>2275</fb>
    <v>31</v>
  </rv>
  <rv s="1">
    <fb>611</fb>
    <v>31</v>
  </rv>
  <rv s="1">
    <fb>1546</fb>
    <v>31</v>
  </rv>
  <rv s="1">
    <fb>6.2807211675647991</fb>
    <v>35</v>
  </rv>
  <rv s="1">
    <fb>37.844006214854375</fb>
    <v>36</v>
  </rv>
  <rv s="3">
    <v>0</v>
    <v>16</v>
    <v>37</v>
    <v>1</v>
    <v>local map</v>
  </rv>
  <rv s="3">
    <v>1</v>
    <v>16</v>
    <v>37</v>
    <v>1</v>
    <v>location map</v>
  </rv>
  <rv s="1">
    <fb>-122.23875581318296</fb>
    <v>38</v>
  </rv>
  <rv s="1">
    <fb>7822</fb>
    <v>31</v>
  </rv>
  <rv s="1">
    <fb>133125</fb>
    <v>30</v>
  </rv>
  <rv s="1">
    <fb>2.17</fb>
    <v>35</v>
  </rv>
  <rv s="1">
    <fb>78864</fb>
    <v>39</v>
  </rv>
  <rv s="1">
    <fb>16566</fb>
    <v>31</v>
  </rv>
  <rv s="1">
    <fb>773</fb>
    <v>31</v>
  </rv>
  <rv s="1">
    <fb>10720</fb>
    <v>31</v>
  </rv>
  <rv s="1">
    <fb>2222</fb>
    <v>31</v>
  </rv>
  <rv s="1">
    <fb>2851</fb>
    <v>31</v>
  </rv>
  <rv s="1">
    <fb>467</fb>
    <v>31</v>
  </rv>
  <rv s="1">
    <fb>4367</fb>
    <v>31</v>
  </rv>
  <rv s="1">
    <fb>756</fb>
    <v>31</v>
  </rv>
  <rv s="1">
    <fb>664</fb>
    <v>31</v>
  </rv>
  <rv s="1">
    <fb>3249</fb>
    <v>31</v>
  </rv>
  <rv s="1">
    <fb>1540</fb>
    <v>31</v>
  </rv>
  <rv s="1">
    <fb>956</fb>
    <v>31</v>
  </rv>
  <rv s="1">
    <fb>1093</fb>
    <v>31</v>
  </rv>
  <rv s="1">
    <fb>5138</fb>
    <v>31</v>
  </rv>
  <rv s="1">
    <fb>7061</fb>
    <v>31</v>
  </rv>
  <rv s="1">
    <fb>719</fb>
    <v>31</v>
  </rv>
  <rv s="1">
    <fb>12</fb>
    <v>31</v>
  </rv>
  <rv s="1">
    <fb>1977</fb>
    <v>31</v>
  </rv>
  <rv s="1">
    <fb>625</fb>
    <v>31</v>
  </rv>
  <rv s="1">
    <fb>70</fb>
    <v>31</v>
  </rv>
  <rv s="1">
    <fb>471</fb>
    <v>31</v>
  </rv>
  <rv s="1">
    <fb>1206</fb>
    <v>31</v>
  </rv>
  <rv s="1">
    <fb>12205</fb>
    <v>31</v>
  </rv>
  <rv s="1">
    <fb>5.2444770821859124E-2</fb>
    <v>33</v>
  </rv>
  <rv s="1">
    <fb>0.06</fb>
    <v>33</v>
  </rv>
  <rv s="1">
    <fb>5860</fb>
    <v>31</v>
  </rv>
  <rv s="1">
    <fb>9.2499999999999999E-2</fb>
    <v>33</v>
  </rv>
  <rv s="1">
    <fb>2.5899881103360001E-2</fb>
    <v>40</v>
  </rv>
  <rv s="4">
    <v>#VALUE!</v>
    <v>en-US</v>
    <v>wjson{"t":"e","d":"ZIPCode","e":"94618"}</v>
    <v>536871168</v>
    <v>1</v>
    <v>11</v>
    <v>12</v>
    <v>94618</v>
    <v>14</v>
    <v>15</v>
    <v>CenterMap</v>
    <v>16</v>
    <v>17</v>
    <v>29</v>
    <v>1</v>
    <v>2</v>
    <v>5</v>
    <v>6</v>
    <v>7</v>
    <v>41860</v>
    <v>Pacific</v>
    <v>West</v>
    <v>9</v>
    <v>10</v>
    <v>12</v>
    <v>13</v>
    <v>488</v>
    <v>14</v>
    <v>15</v>
    <v>16</v>
    <v>17</v>
    <v>18</v>
    <v>19</v>
    <v>20</v>
    <v>21</v>
    <v>22</v>
    <v>23</v>
    <v>24</v>
    <v>25</v>
    <v>26</v>
    <v>27</v>
    <v>28</v>
    <v>29</v>
    <v>94618</v>
    <v>30</v>
    <v>31</v>
    <v>32</v>
    <v>33</v>
    <v>34</v>
    <v>35</v>
    <v>36</v>
    <v>37</v>
    <v>38</v>
    <v>39</v>
    <v>40</v>
    <v>41</v>
    <v>42</v>
    <v>43</v>
    <v>44</v>
    <v>45</v>
    <v>46</v>
    <v>47</v>
    <v>48</v>
    <v>49</v>
    <v>50</v>
    <v>51</v>
    <v>52</v>
    <v>53</v>
    <v>54</v>
    <v>55</v>
    <v>56</v>
    <v>57</v>
    <v>58</v>
    <v>94618</v>
    <v>59</v>
    <v>ZIP Code</v>
  </rv>
  <rv s="0">
    <v>536871168</v>
    <v>98106</v>
    <v>wjson{"t":"e","d":"ZIPCode","e":"98106"}</v>
    <v>en-US</v>
    <v>CenterMap</v>
  </rv>
  <rv s="1">
    <fb>806972400</fb>
    <v>30</v>
  </rv>
  <rv s="1">
    <fb>257382000</fb>
    <v>30</v>
  </rv>
  <rv s="1">
    <fb>206</fb>
    <v>31</v>
  </rv>
  <rv s="2">
    <v>4</v>
  </rv>
  <rv s="1">
    <fb>157600</fb>
    <v>39</v>
  </rv>
  <rv s="1">
    <fb>383</fb>
    <v>31</v>
  </rv>
  <rv s="0">
    <v>536871168</v>
    <v>Seattle</v>
    <v>wjson{"t":"e","d":"City","e":["Seattle","Washington","UnitedStates"]}</v>
    <v>en-US</v>
    <v>City</v>
  </rv>
  <rv s="2">
    <v>5</v>
  </rv>
  <rv s="1">
    <fb>1E-3</fb>
    <v>41</v>
  </rv>
  <rv s="0">
    <v>536871168</v>
    <v>King County, Washington, United States</v>
    <v>wjson{"t":"e","d":"AdministrativeDivision","e":["KingCounty","Washington","UnitedStates"]}</v>
    <v>en-US</v>
    <v>City</v>
  </rv>
  <rv s="2">
    <v>6</v>
  </rv>
  <rv s="1">
    <fb>3.5000000000000003E-2</fb>
    <v>33</v>
  </rv>
  <rv s="1">
    <fb>13811</fb>
    <v>31</v>
  </rv>
  <rv s="2">
    <v>7</v>
  </rv>
  <rv s="1">
    <fb>0.42359999999999998</fb>
    <v>34</v>
  </rv>
  <rv s="1">
    <fb>10781</fb>
    <v>31</v>
  </rv>
  <rv s="1">
    <fb>2292</fb>
    <v>31</v>
  </rv>
  <rv s="1">
    <fb>2508</fb>
    <v>31</v>
  </rv>
  <rv s="1">
    <fb>498</fb>
    <v>31</v>
  </rv>
  <rv s="1">
    <fb>3191</fb>
    <v>31</v>
  </rv>
  <rv s="1">
    <fb>13.403602869086454</fb>
    <v>36</v>
  </rv>
  <rv s="1">
    <fb>47.54372798676215</fb>
    <v>36</v>
  </rv>
  <rv s="3">
    <v>2</v>
    <v>16</v>
    <v>37</v>
    <v>1</v>
    <v>local map</v>
  </rv>
  <rv s="3">
    <v>3</v>
    <v>16</v>
    <v>37</v>
    <v>1</v>
    <v>location map</v>
  </rv>
  <rv s="1">
    <fb>-122.35424352485104</fb>
    <v>38</v>
  </rv>
  <rv s="1">
    <fb>12433</fb>
    <v>31</v>
  </rv>
  <rv s="1">
    <fb>62726</fb>
    <v>39</v>
  </rv>
  <rv s="1">
    <fb>2.5299999999999998</fb>
    <v>35</v>
  </rv>
  <rv s="1">
    <fb>31374</fb>
    <v>39</v>
  </rv>
  <rv s="1">
    <fb>26244</fb>
    <v>31</v>
  </rv>
  <rv s="1">
    <fb>1706</fb>
    <v>31</v>
  </rv>
  <rv s="1">
    <fb>17828</fb>
    <v>31</v>
  </rv>
  <rv s="1">
    <fb>4063</fb>
    <v>31</v>
  </rv>
  <rv s="1">
    <fb>2647</fb>
    <v>31</v>
  </rv>
  <rv s="1">
    <fb>1556</fb>
    <v>31</v>
  </rv>
  <rv s="1">
    <fb>4474</fb>
    <v>31</v>
  </rv>
  <rv s="1">
    <fb>191</fb>
    <v>31</v>
  </rv>
  <rv s="1">
    <fb>3033</fb>
    <v>31</v>
  </rv>
  <rv s="1">
    <fb>1705</fb>
    <v>31</v>
  </rv>
  <rv s="1">
    <fb>325</fb>
    <v>31</v>
  </rv>
  <rv s="1">
    <fb>3608</fb>
    <v>31</v>
  </rv>
  <rv s="1">
    <fb>2938</fb>
    <v>31</v>
  </rv>
  <rv s="1">
    <fb>7957</fb>
    <v>31</v>
  </rv>
  <rv s="1">
    <fb>9193</fb>
    <v>31</v>
  </rv>
  <rv s="1">
    <fb>1002</fb>
    <v>31</v>
  </rv>
  <rv s="1">
    <fb>195</fb>
    <v>31</v>
  </rv>
  <rv s="1">
    <fb>4357</fb>
    <v>31</v>
  </rv>
  <rv s="1">
    <fb>3472</fb>
    <v>31</v>
  </rv>
  <rv s="1">
    <fb>464</fb>
    <v>31</v>
  </rv>
  <rv s="1">
    <fb>1700</fb>
    <v>31</v>
  </rv>
  <rv s="1">
    <fb>3273</fb>
    <v>31</v>
  </rv>
  <rv s="1">
    <fb>12783</fb>
    <v>31</v>
  </rv>
  <rv s="1">
    <fb>0.15394343527247642</fb>
    <v>42</v>
  </rv>
  <rv s="1">
    <fb>6.5000000000000002E-2</fb>
    <v>33</v>
  </rv>
  <rv s="1">
    <fb>5044</fb>
    <v>31</v>
  </rv>
  <rv s="1">
    <fb>0.10100000000000002</fb>
    <v>42</v>
  </rv>
  <rv s="1">
    <fb>3.9600918207037435E-2</fb>
    <v>40</v>
  </rv>
  <rv s="4">
    <v>#VALUE!</v>
    <v>en-US</v>
    <v>wjson{"t":"e","d":"ZIPCode","e":"98106"}</v>
    <v>536871168</v>
    <v>1</v>
    <v>11</v>
    <v>12</v>
    <v>98106</v>
    <v>14</v>
    <v>15</v>
    <v>CenterMap</v>
    <v>16</v>
    <v>17</v>
    <v>29</v>
    <v>62</v>
    <v>63</v>
    <v>65</v>
    <v>66</v>
    <v>67</v>
    <v>42660</v>
    <v>Pacific</v>
    <v>West</v>
    <v>69</v>
    <v>70</v>
    <v>72</v>
    <v>73</v>
    <v>500</v>
    <v>74</v>
    <v>75</v>
    <v>76</v>
    <v>77</v>
    <v>78</v>
    <v>79</v>
    <v>80</v>
    <v>78</v>
    <v>81</v>
    <v>82</v>
    <v>83</v>
    <v>84</v>
    <v>85</v>
    <v>86</v>
    <v>87</v>
    <v>88</v>
    <v>98106</v>
    <v>89</v>
    <v>90</v>
    <v>91</v>
    <v>92</v>
    <v>93</v>
    <v>94</v>
    <v>95</v>
    <v>96</v>
    <v>97</v>
    <v>98</v>
    <v>99</v>
    <v>100</v>
    <v>101</v>
    <v>102</v>
    <v>103</v>
    <v>104</v>
    <v>105</v>
    <v>106</v>
    <v>107</v>
    <v>108</v>
    <v>109</v>
    <v>110</v>
    <v>111</v>
    <v>112</v>
    <v>113</v>
    <v>114</v>
    <v>115</v>
    <v>116</v>
    <v>117</v>
    <v>98106</v>
    <v>118</v>
    <v>ZIP Code</v>
  </rv>
  <rv s="0">
    <v>536871168</v>
    <v>98402</v>
    <v>wjson{"t":"e","d":"ZIPCode","e":"98402"}</v>
    <v>en-US</v>
    <v>CenterMap</v>
  </rv>
  <rv s="1">
    <fb>211163300</fb>
    <v>30</v>
  </rv>
  <rv s="1">
    <fb>880010000</fb>
    <v>30</v>
  </rv>
  <rv s="1">
    <fb>253</fb>
    <v>31</v>
  </rv>
  <rv s="2">
    <v>8</v>
  </rv>
  <rv s="1">
    <fb>129800</fb>
    <v>39</v>
  </rv>
  <rv s="1">
    <fb>797</fb>
    <v>31</v>
  </rv>
  <rv s="0">
    <v>536871168</v>
    <v>Tacoma</v>
    <v>wjson{"t":"e","d":"City","e":["Tacoma","Washington","UnitedStates"]}</v>
    <v>en-US</v>
    <v>City</v>
  </rv>
  <rv s="2">
    <v>9</v>
  </rv>
  <rv s="1">
    <fb>8.9999999999999993E-3</fb>
    <v>32</v>
  </rv>
  <rv s="0">
    <v>536871168</v>
    <v>Pierce County, Washington, United States</v>
    <v>wjson{"t":"e","d":"AdministrativeDivision","e":["PierceCounty","Washington","UnitedStates"]}</v>
    <v>en-US</v>
    <v>City</v>
  </rv>
  <rv s="2">
    <v>10</v>
  </rv>
  <rv s="1">
    <fb>2.8000000000000004E-2</fb>
    <v>33</v>
  </rv>
  <rv s="1">
    <fb>2992</fb>
    <v>31</v>
  </rv>
  <rv s="2">
    <v>11</v>
  </rv>
  <rv s="1">
    <fb>0.48749999999999999</fb>
    <v>34</v>
  </rv>
  <rv s="1">
    <fb>3601</fb>
    <v>31</v>
  </rv>
  <rv s="1">
    <fb>1233</fb>
    <v>31</v>
  </rv>
  <rv s="1">
    <fb>653</fb>
    <v>31</v>
  </rv>
  <rv s="1">
    <fb>59</fb>
    <v>31</v>
  </rv>
  <rv s="1">
    <fb>672</fb>
    <v>31</v>
  </rv>
  <rv s="1">
    <fb>984</fb>
    <v>31</v>
  </rv>
  <rv s="1">
    <fb>2.9298204502931866</fb>
    <v>35</v>
  </rv>
  <rv s="1">
    <fb>47.24948632005389</fb>
    <v>36</v>
  </rv>
  <rv s="3">
    <v>4</v>
    <v>16</v>
    <v>37</v>
    <v>1</v>
    <v>local map</v>
  </rv>
  <rv s="3">
    <v>5</v>
    <v>16</v>
    <v>37</v>
    <v>1</v>
    <v>location map</v>
  </rv>
  <rv s="1">
    <fb>-122.43866164972951</fb>
    <v>38</v>
  </rv>
  <rv s="1">
    <fb>3387</fb>
    <v>31</v>
  </rv>
  <rv s="1">
    <fb>45797</fb>
    <v>39</v>
  </rv>
  <rv s="1">
    <fb>1.42</fb>
    <v>35</v>
  </rv>
  <rv s="1">
    <fb>34651</fb>
    <v>39</v>
  </rv>
  <rv s="1">
    <fb>6379</fb>
    <v>31</v>
  </rv>
  <rv s="1">
    <fb>76</fb>
    <v>31</v>
  </rv>
  <rv s="1">
    <fb>5243</fb>
    <v>31</v>
  </rv>
  <rv s="1">
    <fb>239</fb>
    <v>31</v>
  </rv>
  <rv s="1">
    <fb>821</fb>
    <v>31</v>
  </rv>
  <rv s="1">
    <fb>289</fb>
    <v>31</v>
  </rv>
  <rv s="1">
    <fb>979</fb>
    <v>31</v>
  </rv>
  <rv s="1">
    <fb>114</fb>
    <v>31</v>
  </rv>
  <rv s="1">
    <fb>1058</fb>
    <v>31</v>
  </rv>
  <rv s="1">
    <fb>740</fb>
    <v>31</v>
  </rv>
  <rv s="1">
    <fb>248</fb>
    <v>31</v>
  </rv>
  <rv s="1">
    <fb>786</fb>
    <v>31</v>
  </rv>
  <rv s="1">
    <fb>1414</fb>
    <v>31</v>
  </rv>
  <rv s="1">
    <fb>2953</fb>
    <v>31</v>
  </rv>
  <rv s="1">
    <fb>1605</fb>
    <v>31</v>
  </rv>
  <rv s="1">
    <fb>181</fb>
    <v>31</v>
  </rv>
  <rv s="1">
    <fb>74</fb>
    <v>31</v>
  </rv>
  <rv s="1">
    <fb>517</fb>
    <v>31</v>
  </rv>
  <rv s="1">
    <fb>691</fb>
    <v>31</v>
  </rv>
  <rv s="1">
    <fb>29</fb>
    <v>31</v>
  </rv>
  <rv s="1">
    <fb>73</fb>
    <v>31</v>
  </rv>
  <rv s="1">
    <fb>613</fb>
    <v>31</v>
  </rv>
  <rv s="1">
    <fb>4382</fb>
    <v>31</v>
  </rv>
  <rv s="1">
    <fb>0.27661510464058237</fb>
    <v>42</v>
  </rv>
  <rv s="1">
    <fb>15722</fb>
    <v>31</v>
  </rv>
  <rv s="1">
    <fb>0.10199999999999999</fb>
    <v>42</v>
  </rv>
  <rv s="1">
    <fb>0</fb>
    <v>31</v>
  </rv>
  <rv s="4">
    <v>#VALUE!</v>
    <v>en-US</v>
    <v>wjson{"t":"e","d":"ZIPCode","e":"98402"}</v>
    <v>536871168</v>
    <v>1</v>
    <v>11</v>
    <v>12</v>
    <v>98402</v>
    <v>14</v>
    <v>15</v>
    <v>CenterMap</v>
    <v>16</v>
    <v>17</v>
    <v>29</v>
    <v>121</v>
    <v>122</v>
    <v>124</v>
    <v>125</v>
    <v>126</v>
    <v>42660</v>
    <v>Pacific</v>
    <v>West</v>
    <v>128</v>
    <v>129</v>
    <v>131</v>
    <v>132</v>
    <v>500</v>
    <v>133</v>
    <v>134</v>
    <v>135</v>
    <v>136</v>
    <v>137</v>
    <v>138</v>
    <v>139</v>
    <v>140</v>
    <v>141</v>
    <v>142</v>
    <v>143</v>
    <v>144</v>
    <v>145</v>
    <v>146</v>
    <v>147</v>
    <v>148</v>
    <v>98402</v>
    <v>149</v>
    <v>150</v>
    <v>151</v>
    <v>152</v>
    <v>153</v>
    <v>154</v>
    <v>155</v>
    <v>156</v>
    <v>157</v>
    <v>158</v>
    <v>159</v>
    <v>160</v>
    <v>161</v>
    <v>162</v>
    <v>163</v>
    <v>164</v>
    <v>165</v>
    <v>166</v>
    <v>167</v>
    <v>168</v>
    <v>169</v>
    <v>170</v>
    <v>171</v>
    <v>172</v>
    <v>173</v>
    <v>174</v>
    <v>115</v>
    <v>175</v>
    <v>176</v>
    <v>98402</v>
    <v>177</v>
    <v>ZIP Code</v>
  </rv>
</rvData>
</file>

<file path=xl/richData/rdrichvaluestructure.xml><?xml version="1.0" encoding="utf-8"?>
<rvStructures xmlns="http://schemas.microsoft.com/office/spreadsheetml/2017/richdata" count="5">
  <s t="_linkedentity2">
    <k n="%EntityServiceId" t="i"/>
    <k n="_DisplayString" t="s"/>
    <k n="%EntityId" t="s"/>
    <k n="%EntityCulture" t="s"/>
    <k n="_Icon" t="s"/>
  </s>
  <s t="_formattednumber">
    <k n="_Format" t="spb"/>
  </s>
  <s t="_array">
    <k n="array" t="a"/>
  </s>
  <s t="_webimage">
    <k n="WebImageIdentifier" t="i"/>
    <k n="_Provider" t="spb"/>
    <k n="Attribution" t="spb"/>
    <k n="ComputedImage" t="b"/>
    <k n="Text" t="s"/>
  </s>
  <s t="_linkedentity2core">
    <k n="_CRID" t="e"/>
    <k n="%EntityCulture" t="s"/>
    <k n="%EntityId" t="s"/>
    <k n="%EntityServiceId" t="i"/>
    <k n="%IsRefreshable" t="b"/>
    <k n="_Attribution" t="spb"/>
    <k n="_Display" t="spb"/>
    <k n="_DisplayString" t="s"/>
    <k n="_Flags" t="spb"/>
    <k n="_Format" t="spb"/>
    <k n="_Icon" t="s"/>
    <k n="_Provider" t="spb"/>
    <k n="_SubLabel" t="spb"/>
    <k n="_ViewInfo" t="spb"/>
    <k n="aggregate household income" t="r"/>
    <k n="annual payroll" t="r"/>
    <k n="area code" t="r"/>
    <k n="average house value" t="r"/>
    <k n="business establishments" t="r"/>
    <k n="CBSA code" t="s"/>
    <k n="census division" t="s"/>
    <k n="census region" t="s"/>
    <k n="city" t="r"/>
    <k n="city sales tax" t="r"/>
    <k n="counties" t="r"/>
    <k n="county sales tax" t="r"/>
    <k n="CSA code" t="s"/>
    <k n="female population" t="r"/>
    <k n="FIPS code" t="r"/>
    <k n="Gini index" t="r"/>
    <k n="households" t="r"/>
    <k n="households with income $0 to $25,000" t="r"/>
    <k n="households with income $100,000 to $200,000" t="r"/>
    <k n="households with income $200,000 and above" t="r"/>
    <k n="households with income $25,000 to $50,000" t="r"/>
    <k n="households with income $50,000 to $100,000" t="r"/>
    <k n="land area" t="r"/>
    <k n="latitude" t="r"/>
    <k n="local map" t="r"/>
    <k n="location map" t="r"/>
    <k n="longitude" t="r"/>
    <k n="male population" t="r"/>
    <k n="median household income" t="r"/>
    <k n="name" t="s"/>
    <k n="people per household" t="r"/>
    <k n="per capita income" t="r"/>
    <k n="population" t="r"/>
    <k n="population age 0 to 4" t="r"/>
    <k n="population age 18 to 64" t="r"/>
    <k n="population age 5 to 17" t="r"/>
    <k n="population age 65 and above" t="r"/>
    <k n="population by educational attainment, associate degree" t="r"/>
    <k n="population by educational attainment, bachelor's degree" t="r"/>
    <k n="population by educational attainment, doctorate degree" t="r"/>
    <k n="population by educational attainment, high school diploma" t="r"/>
    <k n="population by educational attainment, master's degree" t="r"/>
    <k n="population by educational attainment, professional school degree" t="r"/>
    <k n="population by educational attainment, some college" t="r"/>
    <k n="population by marital status, divorced" t="r"/>
    <k n="population by marital status, never married" t="r"/>
    <k n="population by marital status, now married" t="r"/>
    <k n="population by marital status, widowed" t="r"/>
    <k n="population by race, American Indian and Alaska native alone" t="r"/>
    <k n="population by race, Asian alone" t="r"/>
    <k n="population by race, black or African American alone" t="r"/>
    <k n="population by race, native Hawaiian and other Pacific Islander alone" t="r"/>
    <k n="population by race, some other race alone" t="r"/>
    <k n="population by race, two or more races" t="r"/>
    <k n="population by race, white alone" t="r"/>
    <k n="population fraction below poverty line" t="r"/>
    <k n="state sales tax" t="r"/>
    <k n="total employment" t="r"/>
    <k n="total sales tax" t="r"/>
    <k n="UniqueName" t="s"/>
    <k n="water area" t="r"/>
    <k n="Wolfram Language entity type" t="s"/>
  </s>
</rvStructures>
</file>

<file path=xl/richData/rdsupportingpropertybag.xml><?xml version="1.0" encoding="utf-8"?>
<supportingPropertyBags xmlns="http://schemas.microsoft.com/office/spreadsheetml/2017/richdata2">
  <spbArrays count="13">
    <a count="75">
      <v t="s">_ViewInfo</v>
      <v t="s">%EntityServiceId</v>
      <v t="s">%IsRefreshable</v>
      <v t="s">%EntityCulture</v>
      <v t="s">%EntityId</v>
      <v t="s">_Icon</v>
      <v t="s">_Provider</v>
      <v t="s">_Attribution</v>
      <v t="s">_SubLabel</v>
      <v t="s">aggregate household income</v>
      <v t="s">annual payroll</v>
      <v t="s">area code</v>
      <v t="s">average house value</v>
      <v t="s">business establishments</v>
      <v t="s">CBSA code</v>
      <v t="s">city</v>
      <v t="s">city sales tax</v>
      <v t="s">counties</v>
      <v t="s">county sales tax</v>
      <v t="s">CSA code</v>
      <v t="s">census division</v>
      <v t="s">total employment</v>
      <v t="s">FIPS code</v>
      <v t="s">Gini index</v>
      <v t="s">households</v>
      <v t="s">land area</v>
      <v t="s">latitude</v>
      <v t="s">longitude</v>
      <v t="s">median household income</v>
      <v t="s">per capita income</v>
      <v t="s">people per household</v>
      <v t="s">population</v>
      <v t="s">census region</v>
      <v t="s">state sales tax</v>
      <v t="s">total sales tax</v>
      <v t="s">water area</v>
      <v t="s">population fraction below poverty line</v>
      <v t="s">households with income $0 to $25,000</v>
      <v t="s">households with income $25,000 to $50,000</v>
      <v t="s">households with income $50,000 to $100,000</v>
      <v t="s">households with income $100,000 to $200,000</v>
      <v t="s">households with income $200,000 and above</v>
      <v t="s">population by educational attainment, high school diploma</v>
      <v t="s">population by educational attainment, some college</v>
      <v t="s">population by educational attainment, associate degree</v>
      <v t="s">population by educational attainment, bachelor's degree</v>
      <v t="s">population by educational attainment, master's degree</v>
      <v t="s">population by educational attainment, doctorate degree</v>
      <v t="s">population by educational attainment, professional school degree</v>
      <v t="s">population by marital status, never married</v>
      <v t="s">population by marital status, now married</v>
      <v t="s">population by marital status, widowed</v>
      <v t="s">population by marital status, divorced</v>
      <v t="s">population by race, white alone</v>
      <v t="s">population by race, black or African American alone</v>
      <v t="s">population by race, American Indian and Alaska native alone</v>
      <v t="s">population by race, Asian alone</v>
      <v t="s">population by race, native Hawaiian and other Pacific Islander alone</v>
      <v t="s">population by race, some other race alone</v>
      <v t="s">population by race, two or more races</v>
      <v t="s">population age 0 to 4</v>
      <v t="s">population age 5 to 17</v>
      <v t="s">population age 18 to 64</v>
      <v t="s">population age 65 and above</v>
      <v t="s">male population</v>
      <v t="s">female population</v>
      <v t="s">location map</v>
      <v t="s">local map</v>
      <v t="s">_Format</v>
      <v t="s">name</v>
      <v t="s">_Flags</v>
      <v t="s">UniqueName</v>
      <v t="s">_DisplayString</v>
      <v t="s">Wolfram Language entity type</v>
      <v t="s">_Display</v>
    </a>
    <a count="1">
      <v t="s">name</v>
    </a>
    <a count="11">
      <v t="s">city</v>
      <v t="s">latitude</v>
      <v t="s">longitude</v>
      <v t="s">location</v>
      <v t="s">counties</v>
      <v t="s">FIPS code</v>
      <v t="s">area code</v>
      <v t="s">CSA code</v>
      <v t="s">CBSA code</v>
      <v t="s">census region</v>
      <v t="s">census division</v>
    </a>
    <a count="2">
      <v t="s">land area</v>
      <v t="s">water area</v>
    </a>
    <a count="3">
      <v t="s">households</v>
      <v t="s">people per household</v>
      <v t="s">average house value</v>
    </a>
    <a count="13">
      <v t="s">business establishments</v>
      <v t="s">total employment</v>
      <v t="s">annual payroll</v>
      <v t="s">median household income</v>
      <v t="s">per capita income</v>
      <v t="s">population fraction below poverty line</v>
      <v t="s">aggregate household income</v>
      <v t="s">Gini index</v>
      <v t="s">households with income $0 to $25,000</v>
      <v t="s">households with income $25,000 to $50,000</v>
      <v t="s">households with income $50,000 to $100,000</v>
      <v t="s">households with income $100,000 to $200,000</v>
      <v t="s">households with income $200,000 and above</v>
    </a>
    <a count="4">
      <v t="s">state sales tax</v>
      <v t="s">county sales tax</v>
      <v t="s">city sales tax</v>
      <v t="s">total sales tax</v>
    </a>
    <a count="7">
      <v t="s">population by educational attainment, high school diploma</v>
      <v t="s">population by educational attainment, some college</v>
      <v t="s">population by educational attainment, associate degree</v>
      <v t="s">population by educational attainment, bachelor's degree</v>
      <v t="s">population by educational attainment, master's degree</v>
      <v t="s">population by educational attainment, doctorate degree</v>
      <v t="s">population by educational attainment, professional school degree</v>
    </a>
    <a count="4">
      <v t="s">population by marital status, never married</v>
      <v t="s">population by marital status, now married</v>
      <v t="s">population by marital status, widowed</v>
      <v t="s">population by marital status, divorced</v>
    </a>
    <a count="14">
      <v t="s">population</v>
      <v t="s">population age 0 to 4</v>
      <v t="s">population age 5 to 17</v>
      <v t="s">population age 18 to 64</v>
      <v t="s">population age 65 and above</v>
      <v t="s">male population</v>
      <v t="s">female population</v>
      <v t="s">population by race, white alone</v>
      <v t="s">population by race, black or African American alone</v>
      <v t="s">population by race, American Indian and Alaska native alone</v>
      <v t="s">population by race, Asian alone</v>
      <v t="s">population by race, native Hawaiian and other Pacific Islander alone</v>
      <v t="s">population by race, some other race alone</v>
      <v t="s">population by race, two or more races</v>
    </a>
    <a count="1">
      <v t="s">location map</v>
    </a>
    <a count="1">
      <v t="s">local map</v>
    </a>
    <a count="11">
      <v t="spb">18</v>
      <v t="spb">19</v>
      <v t="spb">20</v>
      <v t="spb">21</v>
      <v t="spb">22</v>
      <v t="spb">23</v>
      <v t="spb">24</v>
      <v t="spb">25</v>
      <v t="spb">26</v>
      <v t="spb">27</v>
      <v t="spb">28</v>
    </a>
  </spbArrays>
  <spbData count="43">
    <spb s="0">
      <v xml:space="preserve">Wolfram|Alpha	</v>
      <v xml:space="preserve">	</v>
      <v xml:space="preserve">https://www.wolframalpha.com	</v>
      <v xml:space="preserve">	</v>
    </spb>
    <spb s="0">
      <v xml:space="preserve">Wolfram|Alpha	American Community Survey 5-Year Estimates: B19083, Gini Index of Income Inequality	</v>
      <v xml:space="preserve">		</v>
      <v xml:space="preserve">https://www.wolframalpha.com	http://factfinder2.census.gov/bkmk/table/1.0/en/ACS/12_5YR/B19083/0100000US	</v>
      <v xml:space="preserve">		</v>
    </spb>
    <spb s="0">
      <v xml:space="preserve">Wolfram|Alpha	American Community Survey 5-Year Estimates: B19001, Household Income	</v>
      <v xml:space="preserve">		</v>
      <v xml:space="preserve">https://www.wolframalpha.com	http://factfinder2.census.gov/bkmk/table/1.0/en/ACS/12_5YR/B19001/0100000US	</v>
      <v xml:space="preserve">		</v>
    </spb>
    <spb s="0">
      <v xml:space="preserve">Wolfram|Alpha	American Community Survey 5-Year Estimates: B01001, Sex by Age	</v>
      <v xml:space="preserve">		</v>
      <v xml:space="preserve">https://www.wolframalpha.com	http://factfinder2.census.gov/bkmk/table/1.0/en/ACS/12_5YR/B01001/0100000US	</v>
      <v xml:space="preserve">		</v>
    </spb>
    <spb s="0">
      <v xml:space="preserve">Wolfram|Alpha	American Community Survey 5-Year Estimates: B19301, Per Capita Income	</v>
      <v xml:space="preserve">		</v>
      <v xml:space="preserve">https://www.wolframalpha.com	http://factfinder2.census.gov/bkmk/table/1.0/en/ACS/12_5YR/B19301/0100000US	</v>
      <v xml:space="preserve">		</v>
    </spb>
    <spb s="0">
      <v xml:space="preserve">Wolfram|Alpha	American Community Survey 5-Year Estimates: B19013, Median Household Income	</v>
      <v xml:space="preserve">		</v>
      <v xml:space="preserve">https://www.wolframalpha.com	http://factfinder2.census.gov/bkmk/table/1.0/en/ACS/12_5YR/B19013/0100000US	</v>
      <v xml:space="preserve">		</v>
    </spb>
    <spb s="0">
      <v xml:space="preserve">Wolfram|Alpha	American Community Survey 5-Year Estimates: B19025, Aggregate Household Income	</v>
      <v xml:space="preserve">		</v>
      <v xml:space="preserve">https://www.wolframalpha.com	http://factfinder2.census.gov/bkmk/table/1.0/en/ACS/12_5YR/B19025/0100000US	</v>
      <v xml:space="preserve">		</v>
    </spb>
    <spb s="0">
      <v xml:space="preserve">Wolfram|Alpha	American Community Survey 5-Year Estimates: B02001, Race	</v>
      <v xml:space="preserve">		</v>
      <v xml:space="preserve">https://www.wolframalpha.com	http://factfinder2.census.gov/bkmk/table/1.0/en/ACS/12_5YR/B02001/0100000US	</v>
      <v xml:space="preserve">		</v>
    </spb>
    <spb s="0">
      <v xml:space="preserve">Wolfram|Alpha	American Community Survey 5-Year Estimates: B12001, Marital Status	</v>
      <v xml:space="preserve">		</v>
      <v xml:space="preserve">https://www.wolframalpha.com	http://factfinder2.census.gov/bkmk/table/1.0/en/ACS/12_5YR/B12001/0100000US	</v>
      <v xml:space="preserve">		</v>
    </spb>
    <spb s="0">
      <v xml:space="preserve">Wolfram|Alpha	American Community Survey 5-Year Estimates: B17001, Poverty	</v>
      <v xml:space="preserve">		</v>
      <v xml:space="preserve">https://www.wolframalpha.com	http://factfinder2.census.gov/bkmk/table/1.0/en/ACS/12_5YR/B17001/0100000US	</v>
      <v xml:space="preserve">		</v>
    </spb>
    <spb s="0">
      <v xml:space="preserve">Wolfram|Alpha	American Community Survey 5-Year Estimates: B15002, Sex by Educational Attainment	</v>
      <v xml:space="preserve">		</v>
      <v xml:space="preserve">https://www.wolframalpha.com	http://factfinder2.census.gov/bkmk/table/1.0/en/ACS/12_5YR/B15002/0100000US	</v>
      <v xml:space="preserve">		</v>
    </spb>
    <spb s="1">
      <v>0</v>
      <v>0</v>
      <v>0</v>
      <v>0</v>
      <v>0</v>
      <v>0</v>
      <v>1</v>
      <v>0</v>
      <v>2</v>
      <v>0</v>
      <v>0</v>
      <v>0</v>
      <v>0</v>
      <v>0</v>
      <v>0</v>
      <v>3</v>
      <v>0</v>
      <v>0</v>
      <v>0</v>
      <v>0</v>
      <v>3</v>
      <v>4</v>
      <v>0</v>
      <v>0</v>
      <v>3</v>
      <v>3</v>
      <v>0</v>
      <v>5</v>
      <v>3</v>
      <v>6</v>
      <v>3</v>
      <v>0</v>
      <v>7</v>
      <v>7</v>
      <v>2</v>
      <v>8</v>
      <v>7</v>
      <v>8</v>
      <v>9</v>
      <v>2</v>
      <v>2</v>
      <v>8</v>
      <v>7</v>
      <v>2</v>
      <v>2</v>
      <v>8</v>
      <v>10</v>
      <v>7</v>
      <v>10</v>
      <v>10</v>
      <v>10</v>
      <v>10</v>
      <v>10</v>
      <v>7</v>
      <v>10</v>
      <v>7</v>
    </spb>
    <spb s="2">
      <v>0</v>
      <v>name</v>
    </spb>
    <spb s="3">
      <v>0</v>
      <v>0</v>
      <v>0</v>
    </spb>
    <spb s="4">
      <v>13</v>
    </spb>
    <spb s="5">
      <v>1</v>
      <v>2</v>
      <v>3</v>
    </spb>
    <spb s="6">
      <v>https://www.wolframalpha.com</v>
      <v>http://wolfram-azure.northcentralus.cloudapp.azure.com/webKernel/Resources/Images/wa-ms-logo.png</v>
      <v>Powered by Wolfram|Alpha</v>
    </spb>
    <spb s="7">
      <v>degrees</v>
      <v>kilometers squared</v>
      <v>degrees</v>
      <v>households</v>
      <v>people</v>
      <v>kilometers squared</v>
      <v>people</v>
      <v>people</v>
      <v>people</v>
      <v>US dollars per person year</v>
      <v>people</v>
      <v>people</v>
      <v>people</v>
      <v>US dollars per year</v>
      <v>people</v>
      <v>US dollars per year</v>
      <v>people</v>
      <v>people</v>
      <v>people</v>
      <v>households</v>
      <v>people</v>
      <v>people</v>
      <v>people</v>
      <v>households</v>
      <v>households</v>
      <v>people</v>
      <v>people</v>
      <v>households</v>
      <v>households</v>
      <v>people</v>
      <v>people</v>
      <v>people</v>
      <v>people</v>
      <v>people</v>
      <v>people</v>
      <v>people</v>
      <v>people</v>
      <v>people</v>
      <v>people</v>
      <v>people</v>
    </spb>
    <spb s="8">
      <v>1</v>
    </spb>
    <spb s="9">
      <v>Location</v>
      <v>2</v>
    </spb>
    <spb s="9">
      <v>Geographic data</v>
      <v>3</v>
    </spb>
    <spb s="9">
      <v>Housing</v>
      <v>4</v>
    </spb>
    <spb s="9">
      <v>Economic data</v>
      <v>5</v>
    </spb>
    <spb s="9">
      <v>Sales tax</v>
      <v>6</v>
    </spb>
    <spb s="9">
      <v>Educational attainment</v>
      <v>7</v>
    </spb>
    <spb s="9">
      <v>Marital status</v>
      <v>8</v>
    </spb>
    <spb s="9">
      <v>Demographic data</v>
      <v>9</v>
    </spb>
    <spb s="9">
      <v>Location Image</v>
      <v>10</v>
    </spb>
    <spb s="9">
      <v>Local Map</v>
      <v>11</v>
    </spb>
    <spb s="10">
      <v>12</v>
    </spb>
    <spb s="11">
      <v>4</v>
    </spb>
    <spb s="11">
      <v>5</v>
    </spb>
    <spb s="11">
      <v>6</v>
    </spb>
    <spb s="11">
      <v>7</v>
    </spb>
    <spb s="11">
      <v>8</v>
    </spb>
    <spb s="11">
      <v>9</v>
    </spb>
    <spb s="11">
      <v>10</v>
    </spb>
    <spb s="0">
      <v xml:space="preserve">WolframAlpha LLC	</v>
      <v xml:space="preserve">© WA	</v>
      <v xml:space="preserve">https://www.wolframalpha.com	</v>
      <v xml:space="preserve">https://www.wolframalpha.com	</v>
    </spb>
    <spb s="11">
      <v>11</v>
    </spb>
    <spb s="11">
      <v>12</v>
    </spb>
    <spb s="11">
      <v>13</v>
    </spb>
    <spb s="11">
      <v>14</v>
    </spb>
    <spb s="11">
      <v>15</v>
    </spb>
  </spbData>
</supportingPropertyBags>
</file>

<file path=xl/richData/rdsupportingpropertybagstructure.xml><?xml version="1.0" encoding="utf-8"?>
<spbStructures xmlns="http://schemas.microsoft.com/office/spreadsheetml/2017/richdata2" count="12">
  <s>
    <k n="SourceText" t="s"/>
    <k n="LicenseText" t="s"/>
    <k n="SourceAddress" t="s"/>
    <k n="LicenseAddress" t="s"/>
  </s>
  <s>
    <k n="name" t="spb"/>
    <k n="CSA code" t="spb"/>
    <k n="latitude" t="spb"/>
    <k n="CBSA code" t="spb"/>
    <k n="land area" t="spb"/>
    <k n="longitude" t="spb"/>
    <k n="Gini index" t="spb"/>
    <k n="UniqueName" t="spb"/>
    <k n="households" t="spb"/>
    <k n="population" t="spb"/>
    <k n="water area" t="spb"/>
    <k n="census region" t="spb"/>
    <k n="annual payroll" t="spb"/>
    <k n="city sales tax" t="spb"/>
    <k n="census division" t="spb"/>
    <k n="male population" t="spb"/>
    <k n="state sales tax" t="spb"/>
    <k n="total sales tax" t="spb"/>
    <k n="county sales tax" t="spb"/>
    <k n="total employment" t="spb"/>
    <k n="female population" t="spb"/>
    <k n="per capita income" t="spb"/>
    <k n="average house value" t="spb"/>
    <k n="people per household" t="spb"/>
    <k n="population age 0 to 4" t="spb"/>
    <k n="population age 5 to 17" t="spb"/>
    <k n="business establishments" t="spb"/>
    <k n="median household income" t="spb"/>
    <k n="population age 18 to 64" t="spb"/>
    <k n="aggregate household income" t="spb"/>
    <k n="population age 65 and above" t="spb"/>
    <k n="Wolfram Language entity type" t="spb"/>
    <k n="population by race, Asian alone" t="spb"/>
    <k n="population by race, white alone" t="spb"/>
    <k n="households with income $0 to $25,000" t="spb"/>
    <k n="population by marital status, widowed" t="spb"/>
    <k n="population by race, two or more races" t="spb"/>
    <k n="population by marital status, divorced" t="spb"/>
    <k n="population fraction below poverty line" t="spb"/>
    <k n="households with income $200,000 and above" t="spb"/>
    <k n="households with income $25,000 to $50,000" t="spb"/>
    <k n="population by marital status, now married" t="spb"/>
    <k n="population by race, some other race alone" t="spb"/>
    <k n="households with income $50,000 to $100,000" t="spb"/>
    <k n="households with income $100,000 to $200,000" t="spb"/>
    <k n="population by marital status, never married" t="spb"/>
    <k n="population by educational attainment, some college" t="spb"/>
    <k n="population by race, black or African American alone" t="spb"/>
    <k n="population by educational attainment, master's degree" t="spb"/>
    <k n="population by educational attainment, associate degree" t="spb"/>
    <k n="population by educational attainment, doctorate degree" t="spb"/>
    <k n="population by educational attainment, bachelor's degree" t="spb"/>
    <k n="population by educational attainment, high school diploma" t="spb"/>
    <k n="population by race, American Indian and Alaska native alone" t="spb"/>
    <k n="population by educational attainment, professional school degree" t="spb"/>
    <k n="population by race, native Hawaiian and other Pacific Islander alone" t="spb"/>
  </s>
  <s>
    <k n="^Order" t="spba"/>
    <k n="TitleProperty" t="s"/>
  </s>
  <s>
    <k n="ShowInCardView" t="b"/>
    <k n="ShowInDotNotation" t="b"/>
    <k n="ShowInAutoComplete" t="b"/>
  </s>
  <s>
    <k n="UniqueName" t="spb"/>
  </s>
  <s>
    <k n="name" t="i"/>
    <k n="local map" t="i"/>
    <k n="`_DisplayString" t="i"/>
  </s>
  <s>
    <k n="link" t="s"/>
    <k n="logo" t="s"/>
    <k n="name" t="s"/>
  </s>
  <s>
    <k n="latitude" t="s"/>
    <k n="land area" t="s"/>
    <k n="longitude" t="s"/>
    <k n="households" t="s"/>
    <k n="population" t="s"/>
    <k n="water area" t="s"/>
    <k n="male population" t="s"/>
    <k n="total employment" t="s"/>
    <k n="female population" t="s"/>
    <k n="per capita income" t="s"/>
    <k n="people per household" t="s"/>
    <k n="population age 0 to 4" t="s"/>
    <k n="population age 5 to 17" t="s"/>
    <k n="median household income" t="s"/>
    <k n="population age 18 to 64" t="s"/>
    <k n="aggregate household income" t="s"/>
    <k n="population age 65 and above" t="s"/>
    <k n="population by race, Asian alone" t="s"/>
    <k n="population by race, white alone" t="s"/>
    <k n="households with income $0 to $25,000" t="s"/>
    <k n="population by marital status, widowed" t="s"/>
    <k n="population by race, two or more races" t="s"/>
    <k n="population by marital status, divorced" t="s"/>
    <k n="households with income $200,000 and above" t="s"/>
    <k n="households with income $25,000 to $50,000" t="s"/>
    <k n="population by marital status, now married" t="s"/>
    <k n="population by race, some other race alone" t="s"/>
    <k n="households with income $50,000 to $100,000" t="s"/>
    <k n="households with income $100,000 to $200,000" t="s"/>
    <k n="population by marital status, never married" t="s"/>
    <k n="population by educational attainment, some college" t="s"/>
    <k n="population by race, black or African American alone" t="s"/>
    <k n="population by educational attainment, master's degree" t="s"/>
    <k n="population by educational attainment, associate degree" t="s"/>
    <k n="population by educational attainment, doctorate degree" t="s"/>
    <k n="population by educational attainment, bachelor's degree" t="s"/>
    <k n="population by educational attainment, high school diploma" t="s"/>
    <k n="population by race, American Indian and Alaska native alone" t="s"/>
    <k n="population by educational attainment, professional school degree" t="s"/>
    <k n="population by race, native Hawaiian and other Pacific Islander alone" t="s"/>
  </s>
  <s>
    <k n="fields" t="spba"/>
  </s>
  <s>
    <k n="title" t="s"/>
    <k n="fields" t="spba"/>
  </s>
  <s>
    <k n="pods" t="spba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2">
    <x:dxf>
      <x:numFmt numFmtId="174" formatCode="_([$$-409]* #,##0_);_([$$-409]* \(#,##0\);_([$$-409]* &quot;-&quot;_);_(@_)"/>
    </x:dxf>
    <x:dxf>
      <x:numFmt numFmtId="3" formatCode="#,##0"/>
    </x:dxf>
    <x:dxf>
      <x:numFmt numFmtId="173" formatCode="0.000000%"/>
    </x:dxf>
    <x:dxf>
      <x:numFmt numFmtId="172" formatCode="0.00000%"/>
    </x:dxf>
    <x:dxf>
      <x:numFmt numFmtId="171" formatCode="#,##0.000000"/>
    </x:dxf>
    <x:dxf>
      <x:numFmt numFmtId="170" formatCode="#,##0.00000"/>
    </x:dxf>
    <x:dxf>
      <x:numFmt numFmtId="169" formatCode="#,##0.0000"/>
    </x:dxf>
    <x:dxf>
      <x:numFmt numFmtId="168" formatCode="#,##0.000"/>
    </x:dxf>
    <x:dxf>
      <x:numFmt numFmtId="167" formatCode="_([$$-409]* #,##0.0_);_([$$-409]* \(#,##0.0\);_([$$-409]* &quot;-&quot;?_);_(@_)"/>
    </x:dxf>
    <x:dxf>
      <x:numFmt numFmtId="166" formatCode="#,##0.0000000"/>
    </x:dxf>
    <x:dxf>
      <x:numFmt numFmtId="165" formatCode="0.0000000%"/>
    </x:dxf>
    <x:dxf>
      <x:numFmt numFmtId="164" formatCode="0.0000%"/>
    </x:dxf>
  </dxfs>
  <richProperties>
    <rPr n="IsTitleField" t="b"/>
    <rPr n="IsHeroField" t="b"/>
    <rPr n="ShouldShowInCell" t="b"/>
  </richProperties>
  <richStyles>
    <rSty>
      <rpv i="0">1</rpv>
    </rSty>
    <rSty>
      <rpv i="1">1</rpv>
    </rSty>
    <rSty>
      <rpv i="2">1</rpv>
    </rSty>
    <rSty dxfid="0"/>
    <rSty dxfid="1"/>
    <rSty dxfid="2"/>
    <rSty dxfid="3"/>
    <rSty dxfid="4"/>
    <rSty dxfid="5"/>
    <rSty dxfid="6"/>
    <rSty dxfid="7"/>
    <rSty dxfid="8"/>
    <rSty dxfid="9"/>
    <rSty dxfid="10"/>
    <rSty dxfid="11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A1321-CF6C-4132-A2F2-229D37C77DD3}" name="ProductTable" displayName="ProductTable" ref="B9:E14" totalsRowShown="0" headerRowDxfId="127" headerRowBorderDxfId="126" tableBorderDxfId="125" totalsRowBorderDxfId="124">
  <autoFilter ref="B9:E14" xr:uid="{D4540489-47ED-4B7F-9196-DE21D20B6F40}"/>
  <tableColumns count="4">
    <tableColumn id="1" xr3:uid="{70BF6A5D-FE9A-4E32-A433-9B3EF2A032DA}" name="ProductID" dataDxfId="123"/>
    <tableColumn id="2" xr3:uid="{B3A1410F-D7A8-49C6-9BA6-B94422AF98F6}" name="Product" dataDxfId="122"/>
    <tableColumn id="3" xr3:uid="{864EDC17-B25F-4A55-8E30-422825C8EDAA}" name="Cost" dataDxfId="121"/>
    <tableColumn id="4" xr3:uid="{46EAF07F-5FC8-49F3-AD70-FBFFCCD6F486}" name="Price" dataDxfId="1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22C4C0-FDAF-472B-8DCB-F9C49BC9127F}" name="ProductTableAnswer" displayName="ProductTableAnswer" ref="B9:E14" totalsRowShown="0" headerRowDxfId="119" headerRowBorderDxfId="118" tableBorderDxfId="117" totalsRowBorderDxfId="116">
  <autoFilter ref="B9:E14" xr:uid="{D4540489-47ED-4B7F-9196-DE21D20B6F40}"/>
  <tableColumns count="4">
    <tableColumn id="1" xr3:uid="{46B9FB82-0FBD-42DB-9887-4E6088430BCA}" name="ProductID" dataDxfId="115"/>
    <tableColumn id="2" xr3:uid="{DB3C7714-C921-405C-99E9-9028523D69E4}" name="Product" dataDxfId="114"/>
    <tableColumn id="3" xr3:uid="{BEDC6A22-E1A9-4DE3-B5B5-E5A4CB0612E4}" name="Cost" dataDxfId="113"/>
    <tableColumn id="4" xr3:uid="{85CD0528-4F39-4C63-A837-9BD07D3016E8}" name="Price" dataDxfId="1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65C55-36E3-4258-A793-3472DCE94FC8}" name="TaxRateTable" displayName="TaxRateTable" ref="B9:D15" totalsRowShown="0" headerRowDxfId="111" headerRowBorderDxfId="110" tableBorderDxfId="109" totalsRowBorderDxfId="108">
  <autoFilter ref="B9:D15" xr:uid="{4AD4A9B3-B1D3-4BEC-A15D-73DF95A1D252}"/>
  <tableColumns count="3">
    <tableColumn id="1" xr3:uid="{10606A69-CB17-4CC2-91E7-A417DA93F547}" name="Earnings"/>
    <tableColumn id="2" xr3:uid="{C2CA6507-5945-4E92-9EE1-11586B17957F}" name="Range" dataDxfId="107"/>
    <tableColumn id="3" xr3:uid="{2B50A21B-7B9E-4019-A191-1ED8B8E5A44D}" name="Tax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C6ADB-9357-43B8-BE63-0666D6380AA8}" name="TaxRateTableAnswer" displayName="TaxRateTableAnswer" ref="B9:D15" totalsRowShown="0" headerRowDxfId="106" headerRowBorderDxfId="105" tableBorderDxfId="104" totalsRowBorderDxfId="103">
  <autoFilter ref="B9:D15" xr:uid="{4AD4A9B3-B1D3-4BEC-A15D-73DF95A1D252}"/>
  <tableColumns count="3">
    <tableColumn id="1" xr3:uid="{A2BBF1A3-3685-4E89-A1EC-5BC74A628B43}" name="Earnings"/>
    <tableColumn id="2" xr3:uid="{76FAAC05-0153-4FD7-96EC-7B08D6E84FBC}" name="Range" dataDxfId="102"/>
    <tableColumn id="3" xr3:uid="{FE43BE5E-1B25-456F-810C-58AB782BF2D1}" name="Tax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107709-2547-4CA3-BA1E-0EF0A8FBDD68}" name="pt" displayName="pt" ref="B4:H8" totalsRowShown="0" headerRowDxfId="70" headerRowBorderDxfId="69" tableBorderDxfId="68" totalsRowBorderDxfId="67">
  <autoFilter ref="B4:H8" xr:uid="{E45AED83-6620-4D87-B074-E4D81BF07A3C}"/>
  <tableColumns count="7">
    <tableColumn id="1" xr3:uid="{90D8DF58-F4BC-4F15-9D1B-6F8ED4FEF835}" name="ProductID" dataDxfId="66"/>
    <tableColumn id="2" xr3:uid="{4502E9A6-95BB-4FC1-8343-EA9EA4D575D6}" name="Product" dataDxfId="65"/>
    <tableColumn id="3" xr3:uid="{D0717FA2-4CBC-41A1-8A2E-1ED675D616C1}" name="Supplier" dataDxfId="64"/>
    <tableColumn id="4" xr3:uid="{F6651621-AA95-4F41-A66C-7FC3262AD62B}" name="State" dataDxfId="63"/>
    <tableColumn id="5" xr3:uid="{148E4C73-8D3E-4192-998F-80472B16EC18}" name="Category" dataDxfId="62"/>
    <tableColumn id="6" xr3:uid="{6CC74957-5752-4AEF-9178-513E0AA48DE0}" name="Cost" dataDxfId="61"/>
    <tableColumn id="7" xr3:uid="{101C65BD-AF30-4889-B99F-DD92E7507628}" name="Price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B47D20-DF08-48C7-B3EA-E432D76F75D4}" name="pt_an" displayName="pt_an" ref="B4:H8" totalsRowShown="0" headerRowDxfId="58" headerRowBorderDxfId="57" tableBorderDxfId="56" totalsRowBorderDxfId="55">
  <autoFilter ref="B4:H8" xr:uid="{E45AED83-6620-4D87-B074-E4D81BF07A3C}"/>
  <tableColumns count="7">
    <tableColumn id="1" xr3:uid="{22C80E9A-4E30-4E65-AACF-461722A92BD7}" name="ProductID" dataDxfId="54"/>
    <tableColumn id="2" xr3:uid="{A9289494-F57D-437B-971D-2DBC10036BFF}" name="Product" dataDxfId="53"/>
    <tableColumn id="3" xr3:uid="{D694791C-0BC6-4CF0-987F-C94F445E0452}" name="Supplier" dataDxfId="52"/>
    <tableColumn id="4" xr3:uid="{09FF4DF2-DEF8-4874-9A25-0105D9A6D6F0}" name="State" dataDxfId="51"/>
    <tableColumn id="5" xr3:uid="{4F9D0FBD-B66D-44F1-A81E-126965465A8C}" name="Category" dataDxfId="50"/>
    <tableColumn id="6" xr3:uid="{D8ED03AE-4CC6-493D-8C85-11FC11CFB2F4}" name="Cost" dataDxfId="49"/>
    <tableColumn id="7" xr3:uid="{B8601E31-3467-4F85-AE23-41C688869866}" name="Price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6B21CC-1A8B-465B-8D03-D32A15548083}" name="st" displayName="st" ref="B4:D16" totalsRowShown="0" headerRowDxfId="18" headerRowBorderDxfId="17" tableBorderDxfId="16" totalsRowBorderDxfId="15">
  <sortState xmlns:xlrd2="http://schemas.microsoft.com/office/spreadsheetml/2017/richdata2" ref="B5:D16">
    <sortCondition descending="1" ref="C5:C16"/>
  </sortState>
  <tableColumns count="3">
    <tableColumn id="1" xr3:uid="{F4CC2551-7F8C-4603-BF3D-F7530A8490B5}" name="Date" dataDxfId="14"/>
    <tableColumn id="2" xr3:uid="{F1D6E1DA-B043-45B8-80C9-045943F39C0E}" name="Price ($)" dataDxfId="13"/>
    <tableColumn id="3" xr3:uid="{53A6E960-6894-44C4-9F2A-F49641F776EC}" name="Stock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86A782-3C18-483E-8447-DA17ECB4F69C}" name="st_an" displayName="st_an" ref="B4:D16" totalsRowShown="0" headerRowDxfId="10" headerRowBorderDxfId="9" tableBorderDxfId="8" totalsRowBorderDxfId="7">
  <sortState xmlns:xlrd2="http://schemas.microsoft.com/office/spreadsheetml/2017/richdata2" ref="B5:D16">
    <sortCondition descending="1" ref="C5:C16"/>
  </sortState>
  <tableColumns count="3">
    <tableColumn id="1" xr3:uid="{46EC324F-2C78-4BAE-BF75-0B4FF8ECEECB}" name="Date" dataDxfId="6"/>
    <tableColumn id="2" xr3:uid="{904E6D28-0CCF-4264-A9EB-CA3DD6621F83}" name="Price ($)" dataDxfId="5"/>
    <tableColumn id="3" xr3:uid="{8F3E2094-B005-401A-8F7E-CB51E6C0B316}" name="Stock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7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5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6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7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0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D401-EA04-4EB5-8402-D0EBB1C1FEE3}">
  <sheetPr codeName="Sheet1">
    <tabColor rgb="FFFFFF00"/>
  </sheetPr>
  <dimension ref="B2:G19"/>
  <sheetViews>
    <sheetView showGridLines="0" tabSelected="1" zoomScale="145" zoomScaleNormal="145" workbookViewId="0"/>
  </sheetViews>
  <sheetFormatPr defaultColWidth="8.85546875" defaultRowHeight="15" x14ac:dyDescent="0.25"/>
  <cols>
    <col min="1" max="1" width="9.140625" customWidth="1"/>
    <col min="2" max="2" width="4.140625" customWidth="1"/>
    <col min="3" max="3" width="12.28515625" customWidth="1"/>
    <col min="4" max="4" width="10" customWidth="1"/>
    <col min="5" max="5" width="9" customWidth="1"/>
    <col min="7" max="7" width="4.140625" customWidth="1"/>
  </cols>
  <sheetData>
    <row r="2" spans="2:7" x14ac:dyDescent="0.25">
      <c r="C2" t="s">
        <v>20</v>
      </c>
    </row>
    <row r="5" spans="2:7" ht="15.75" thickBot="1" x14ac:dyDescent="0.3"/>
    <row r="6" spans="2:7" x14ac:dyDescent="0.25">
      <c r="B6" s="31" t="s">
        <v>28</v>
      </c>
      <c r="C6" s="32"/>
      <c r="D6" s="32"/>
      <c r="E6" s="32"/>
      <c r="F6" s="32"/>
      <c r="G6" s="33"/>
    </row>
    <row r="7" spans="2:7" ht="5.25" customHeight="1" thickBot="1" x14ac:dyDescent="0.3">
      <c r="B7" s="15"/>
      <c r="C7" s="16"/>
      <c r="D7" s="16"/>
      <c r="E7" s="16"/>
      <c r="F7" s="16"/>
      <c r="G7" s="17"/>
    </row>
    <row r="8" spans="2:7" x14ac:dyDescent="0.25">
      <c r="B8" s="8"/>
      <c r="C8" s="9"/>
      <c r="D8" s="9"/>
      <c r="E8" s="82" t="s">
        <v>7</v>
      </c>
      <c r="F8" s="82" t="s">
        <v>9</v>
      </c>
      <c r="G8" s="14"/>
    </row>
    <row r="9" spans="2:7" x14ac:dyDescent="0.25">
      <c r="B9" s="15"/>
      <c r="C9" s="16"/>
      <c r="D9" s="16"/>
      <c r="E9" s="5" t="s">
        <v>10</v>
      </c>
      <c r="F9" s="7">
        <f>_xlfn.XLOOKUP(E9,D14:D18,F14:F18)</f>
        <v>43.95</v>
      </c>
      <c r="G9" s="17"/>
    </row>
    <row r="10" spans="2:7" x14ac:dyDescent="0.25">
      <c r="B10" s="15"/>
      <c r="C10" s="16"/>
      <c r="D10" s="16"/>
      <c r="E10" s="16"/>
      <c r="F10" s="16"/>
      <c r="G10" s="17"/>
    </row>
    <row r="11" spans="2:7" x14ac:dyDescent="0.25">
      <c r="B11" s="15"/>
      <c r="C11" s="16"/>
      <c r="D11" s="16"/>
      <c r="E11" s="16"/>
      <c r="F11" s="16"/>
      <c r="G11" s="17"/>
    </row>
    <row r="12" spans="2:7" x14ac:dyDescent="0.25">
      <c r="B12" s="15"/>
      <c r="C12" s="30" t="s">
        <v>21</v>
      </c>
      <c r="D12" s="16"/>
      <c r="E12" s="16"/>
      <c r="F12" s="16"/>
      <c r="G12" s="17"/>
    </row>
    <row r="13" spans="2:7" x14ac:dyDescent="0.25">
      <c r="B13" s="15"/>
      <c r="C13" s="24" t="s">
        <v>6</v>
      </c>
      <c r="D13" s="24" t="s">
        <v>7</v>
      </c>
      <c r="E13" s="24" t="s">
        <v>8</v>
      </c>
      <c r="F13" s="24" t="s">
        <v>9</v>
      </c>
      <c r="G13" s="17"/>
    </row>
    <row r="14" spans="2:7" x14ac:dyDescent="0.25">
      <c r="B14" s="15"/>
      <c r="C14" s="25" t="s">
        <v>16</v>
      </c>
      <c r="D14" s="25" t="s">
        <v>12</v>
      </c>
      <c r="E14" s="25">
        <v>14.55</v>
      </c>
      <c r="F14" s="25">
        <v>26.95</v>
      </c>
      <c r="G14" s="17"/>
    </row>
    <row r="15" spans="2:7" x14ac:dyDescent="0.25">
      <c r="B15" s="15"/>
      <c r="C15" s="26" t="s">
        <v>15</v>
      </c>
      <c r="D15" s="26" t="s">
        <v>11</v>
      </c>
      <c r="E15" s="26">
        <v>11.18</v>
      </c>
      <c r="F15" s="26">
        <v>27.95</v>
      </c>
      <c r="G15" s="17"/>
    </row>
    <row r="16" spans="2:7" x14ac:dyDescent="0.25">
      <c r="B16" s="15"/>
      <c r="C16" s="25" t="s">
        <v>19</v>
      </c>
      <c r="D16" s="27" t="s">
        <v>10</v>
      </c>
      <c r="E16" s="25">
        <v>19.34</v>
      </c>
      <c r="F16" s="27">
        <v>43.95</v>
      </c>
      <c r="G16" s="17"/>
    </row>
    <row r="17" spans="2:7" x14ac:dyDescent="0.25">
      <c r="B17" s="15"/>
      <c r="C17" s="26" t="s">
        <v>18</v>
      </c>
      <c r="D17" s="26" t="s">
        <v>14</v>
      </c>
      <c r="E17" s="26">
        <v>11.25</v>
      </c>
      <c r="F17" s="26">
        <v>22.95</v>
      </c>
      <c r="G17" s="17"/>
    </row>
    <row r="18" spans="2:7" x14ac:dyDescent="0.25">
      <c r="B18" s="15"/>
      <c r="C18" s="25" t="s">
        <v>17</v>
      </c>
      <c r="D18" s="25" t="s">
        <v>13</v>
      </c>
      <c r="E18" s="25">
        <v>12.88</v>
      </c>
      <c r="F18" s="25">
        <v>29.95</v>
      </c>
      <c r="G18" s="17"/>
    </row>
    <row r="19" spans="2:7" ht="8.25" customHeight="1" thickBot="1" x14ac:dyDescent="0.3">
      <c r="B19" s="20"/>
      <c r="C19" s="21"/>
      <c r="D19" s="21"/>
      <c r="E19" s="21"/>
      <c r="F19" s="21"/>
      <c r="G19" s="2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43A9-1463-41A0-AA11-F281C6F9F540}">
  <sheetPr codeName="Sheet2">
    <tabColor rgb="FFFFFF00"/>
  </sheetPr>
  <dimension ref="B2:G20"/>
  <sheetViews>
    <sheetView showGridLines="0" zoomScale="145" zoomScaleNormal="145" workbookViewId="0"/>
  </sheetViews>
  <sheetFormatPr defaultColWidth="8.85546875" defaultRowHeight="15" x14ac:dyDescent="0.25"/>
  <cols>
    <col min="2" max="2" width="6.28515625" customWidth="1"/>
    <col min="3" max="3" width="16.140625" customWidth="1"/>
    <col min="4" max="4" width="17.140625" bestFit="1" customWidth="1"/>
    <col min="5" max="5" width="9" customWidth="1"/>
    <col min="7" max="7" width="6.28515625" customWidth="1"/>
  </cols>
  <sheetData>
    <row r="2" spans="2:7" x14ac:dyDescent="0.25">
      <c r="B2" t="s">
        <v>20</v>
      </c>
    </row>
    <row r="5" spans="2:7" ht="15.75" thickBot="1" x14ac:dyDescent="0.3"/>
    <row r="6" spans="2:7" x14ac:dyDescent="0.25">
      <c r="B6" s="31" t="s">
        <v>33</v>
      </c>
      <c r="C6" s="32"/>
      <c r="D6" s="32"/>
      <c r="E6" s="32"/>
      <c r="F6" s="32"/>
      <c r="G6" s="33"/>
    </row>
    <row r="7" spans="2:7" ht="4.5" customHeight="1" thickBot="1" x14ac:dyDescent="0.3">
      <c r="B7" s="15"/>
      <c r="C7" s="16"/>
      <c r="D7" s="16"/>
      <c r="E7" s="16"/>
      <c r="F7" s="16"/>
      <c r="G7" s="17"/>
    </row>
    <row r="8" spans="2:7" x14ac:dyDescent="0.25">
      <c r="B8" s="8"/>
      <c r="C8" s="9"/>
      <c r="D8" s="82" t="s">
        <v>30</v>
      </c>
      <c r="E8" s="82" t="s">
        <v>29</v>
      </c>
      <c r="F8" s="9"/>
      <c r="G8" s="14"/>
    </row>
    <row r="9" spans="2:7" x14ac:dyDescent="0.25">
      <c r="B9" s="15"/>
      <c r="C9" s="16"/>
      <c r="D9" s="35">
        <v>1200</v>
      </c>
      <c r="E9" s="41">
        <f>_xlfn.XLOOKUP(D9,C14:C19,E14:E19,,-1)</f>
        <v>0.1</v>
      </c>
      <c r="F9" s="16"/>
      <c r="G9" s="17"/>
    </row>
    <row r="10" spans="2:7" x14ac:dyDescent="0.25">
      <c r="B10" s="15"/>
      <c r="C10" s="16"/>
      <c r="D10" s="16"/>
      <c r="E10" s="16"/>
      <c r="F10" s="16"/>
      <c r="G10" s="17"/>
    </row>
    <row r="11" spans="2:7" x14ac:dyDescent="0.25">
      <c r="B11" s="15"/>
      <c r="C11" s="16"/>
      <c r="D11" s="16"/>
      <c r="E11" s="16"/>
      <c r="F11" s="16"/>
      <c r="G11" s="17"/>
    </row>
    <row r="12" spans="2:7" x14ac:dyDescent="0.25">
      <c r="B12" s="15"/>
      <c r="C12" s="30" t="s">
        <v>21</v>
      </c>
      <c r="D12" s="16"/>
      <c r="E12" s="16"/>
      <c r="F12" s="16"/>
      <c r="G12" s="17"/>
    </row>
    <row r="13" spans="2:7" ht="30" x14ac:dyDescent="0.25">
      <c r="B13" s="15"/>
      <c r="C13" s="38" t="s">
        <v>31</v>
      </c>
      <c r="D13" s="38" t="s">
        <v>32</v>
      </c>
      <c r="E13" s="38" t="s">
        <v>29</v>
      </c>
      <c r="F13" s="16"/>
      <c r="G13" s="17"/>
    </row>
    <row r="14" spans="2:7" x14ac:dyDescent="0.25">
      <c r="B14" s="15"/>
      <c r="C14" s="34">
        <v>0</v>
      </c>
      <c r="D14" s="36" t="str">
        <f>DOLLAR(C14,0)&amp;" - "&amp;DOLLAR(C15-0.01)</f>
        <v>$0 - $299.99</v>
      </c>
      <c r="E14" s="39">
        <v>0</v>
      </c>
      <c r="F14" s="16"/>
      <c r="G14" s="17"/>
    </row>
    <row r="15" spans="2:7" x14ac:dyDescent="0.25">
      <c r="B15" s="15"/>
      <c r="C15" s="35">
        <v>300</v>
      </c>
      <c r="D15" s="37" t="str">
        <f t="shared" ref="D15:D18" si="0">DOLLAR(C15,0)&amp;" - "&amp;DOLLAR(C16-0.01)</f>
        <v>$300 - $599.99</v>
      </c>
      <c r="E15" s="40">
        <v>2.5000000000000001E-2</v>
      </c>
      <c r="F15" s="16"/>
      <c r="G15" s="17"/>
    </row>
    <row r="16" spans="2:7" x14ac:dyDescent="0.25">
      <c r="B16" s="15"/>
      <c r="C16" s="34">
        <v>600</v>
      </c>
      <c r="D16" s="36" t="str">
        <f t="shared" si="0"/>
        <v>$600 - $999.99</v>
      </c>
      <c r="E16" s="39">
        <v>7.0000000000000007E-2</v>
      </c>
      <c r="F16" s="16"/>
      <c r="G16" s="17"/>
    </row>
    <row r="17" spans="2:7" x14ac:dyDescent="0.25">
      <c r="B17" s="15"/>
      <c r="C17" s="42">
        <v>1000</v>
      </c>
      <c r="D17" s="37" t="str">
        <f t="shared" si="0"/>
        <v>$1,000 - $1,999.99</v>
      </c>
      <c r="E17" s="43">
        <v>0.1</v>
      </c>
      <c r="F17" s="16"/>
      <c r="G17" s="17"/>
    </row>
    <row r="18" spans="2:7" x14ac:dyDescent="0.25">
      <c r="B18" s="15"/>
      <c r="C18" s="34">
        <v>2000</v>
      </c>
      <c r="D18" s="36" t="str">
        <f t="shared" si="0"/>
        <v>$2,000 - $4,999.99</v>
      </c>
      <c r="E18" s="39">
        <v>0.15</v>
      </c>
      <c r="F18" s="16"/>
      <c r="G18" s="17"/>
    </row>
    <row r="19" spans="2:7" x14ac:dyDescent="0.25">
      <c r="B19" s="15"/>
      <c r="C19" s="35">
        <v>5000</v>
      </c>
      <c r="D19" s="37" t="str">
        <f>DOLLAR(C19,0)&amp;" or more"</f>
        <v>$5,000 or more</v>
      </c>
      <c r="E19" s="40">
        <v>0.2</v>
      </c>
      <c r="F19" s="16"/>
      <c r="G19" s="17"/>
    </row>
    <row r="20" spans="2:7" ht="4.5" customHeight="1" thickBot="1" x14ac:dyDescent="0.3">
      <c r="B20" s="20"/>
      <c r="C20" s="21"/>
      <c r="D20" s="21"/>
      <c r="E20" s="21"/>
      <c r="F20" s="21"/>
      <c r="G20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41A6-DB8C-4977-A017-9F6DF3AD86B1}">
  <sheetPr codeName="Sheet3">
    <tabColor rgb="FFFFFF00"/>
  </sheetPr>
  <dimension ref="B2:J23"/>
  <sheetViews>
    <sheetView showGridLines="0" zoomScale="145" zoomScaleNormal="145" workbookViewId="0"/>
  </sheetViews>
  <sheetFormatPr defaultColWidth="8.85546875" defaultRowHeight="15" x14ac:dyDescent="0.25"/>
  <cols>
    <col min="1" max="1" width="9.140625" customWidth="1"/>
    <col min="2" max="2" width="14.28515625" customWidth="1"/>
    <col min="3" max="3" width="12.28515625" customWidth="1"/>
    <col min="4" max="4" width="10" customWidth="1"/>
    <col min="5" max="5" width="9" customWidth="1"/>
    <col min="7" max="7" width="9.140625" customWidth="1"/>
    <col min="8" max="8" width="4.85546875" customWidth="1"/>
  </cols>
  <sheetData>
    <row r="2" spans="2:8" x14ac:dyDescent="0.25">
      <c r="C2" t="s">
        <v>20</v>
      </c>
    </row>
    <row r="5" spans="2:8" ht="15.75" thickBot="1" x14ac:dyDescent="0.3"/>
    <row r="6" spans="2:8" x14ac:dyDescent="0.25">
      <c r="B6" s="8"/>
      <c r="C6" s="29" t="s">
        <v>28</v>
      </c>
      <c r="D6" s="28"/>
      <c r="E6" s="28"/>
      <c r="F6" s="28"/>
      <c r="G6" s="28"/>
      <c r="H6" s="14"/>
    </row>
    <row r="7" spans="2:8" ht="15.75" thickBot="1" x14ac:dyDescent="0.3">
      <c r="B7" s="15"/>
      <c r="C7" s="16"/>
      <c r="D7" s="16"/>
      <c r="E7" s="16"/>
      <c r="F7" s="16"/>
      <c r="G7" s="16"/>
      <c r="H7" s="17"/>
    </row>
    <row r="8" spans="2:8" x14ac:dyDescent="0.25">
      <c r="B8" s="8"/>
      <c r="C8" s="9"/>
      <c r="D8" s="9"/>
      <c r="E8" s="82" t="s">
        <v>7</v>
      </c>
      <c r="F8" s="82" t="s">
        <v>9</v>
      </c>
      <c r="G8" s="9"/>
      <c r="H8" s="14"/>
    </row>
    <row r="9" spans="2:8" x14ac:dyDescent="0.25">
      <c r="B9" s="15"/>
      <c r="C9" s="16"/>
      <c r="D9" s="16"/>
      <c r="E9" s="5" t="s">
        <v>10</v>
      </c>
      <c r="F9" s="7"/>
      <c r="G9" s="16"/>
      <c r="H9" s="17"/>
    </row>
    <row r="10" spans="2:8" ht="6.75" customHeight="1" x14ac:dyDescent="0.25">
      <c r="B10" s="15"/>
      <c r="C10" s="16"/>
      <c r="D10" s="16"/>
      <c r="E10" s="16"/>
      <c r="F10" s="16"/>
      <c r="G10" s="16"/>
      <c r="H10" s="17"/>
    </row>
    <row r="11" spans="2:8" x14ac:dyDescent="0.25">
      <c r="B11" s="15"/>
      <c r="C11" s="16" t="s">
        <v>21</v>
      </c>
      <c r="D11" s="16"/>
      <c r="E11" s="16"/>
      <c r="F11" s="16"/>
      <c r="G11" s="16"/>
      <c r="H11" s="17"/>
    </row>
    <row r="12" spans="2:8" ht="6.75" customHeight="1" x14ac:dyDescent="0.25">
      <c r="B12" s="15"/>
      <c r="C12" s="16"/>
      <c r="D12" s="16"/>
      <c r="E12" s="16"/>
      <c r="F12" s="16"/>
      <c r="G12" s="16"/>
      <c r="H12" s="17"/>
    </row>
    <row r="13" spans="2:8" x14ac:dyDescent="0.25">
      <c r="B13" s="15"/>
      <c r="C13" s="24" t="s">
        <v>6</v>
      </c>
      <c r="D13" s="24" t="s">
        <v>7</v>
      </c>
      <c r="E13" s="24" t="s">
        <v>8</v>
      </c>
      <c r="F13" s="24" t="s">
        <v>9</v>
      </c>
      <c r="G13" s="16"/>
      <c r="H13" s="17"/>
    </row>
    <row r="14" spans="2:8" x14ac:dyDescent="0.25">
      <c r="B14" s="15"/>
      <c r="C14" s="25" t="s">
        <v>16</v>
      </c>
      <c r="D14" s="25" t="s">
        <v>12</v>
      </c>
      <c r="E14" s="25">
        <v>14.55</v>
      </c>
      <c r="F14" s="25">
        <v>26.95</v>
      </c>
      <c r="G14" s="16"/>
      <c r="H14" s="17"/>
    </row>
    <row r="15" spans="2:8" x14ac:dyDescent="0.25">
      <c r="B15" s="15"/>
      <c r="C15" s="26" t="s">
        <v>15</v>
      </c>
      <c r="D15" s="26" t="s">
        <v>11</v>
      </c>
      <c r="E15" s="26">
        <v>11.18</v>
      </c>
      <c r="F15" s="26">
        <v>27.95</v>
      </c>
      <c r="G15" s="16"/>
      <c r="H15" s="17"/>
    </row>
    <row r="16" spans="2:8" x14ac:dyDescent="0.25">
      <c r="B16" s="15"/>
      <c r="C16" s="25" t="s">
        <v>19</v>
      </c>
      <c r="D16" s="25" t="s">
        <v>10</v>
      </c>
      <c r="E16" s="25">
        <v>19.34</v>
      </c>
      <c r="F16" s="25">
        <v>43.95</v>
      </c>
      <c r="G16" s="16"/>
      <c r="H16" s="17"/>
    </row>
    <row r="17" spans="2:10" x14ac:dyDescent="0.25">
      <c r="B17" s="15"/>
      <c r="C17" s="26" t="s">
        <v>18</v>
      </c>
      <c r="D17" s="26" t="s">
        <v>14</v>
      </c>
      <c r="E17" s="26">
        <v>11.25</v>
      </c>
      <c r="F17" s="26">
        <v>22.95</v>
      </c>
      <c r="G17" s="16"/>
      <c r="H17" s="17"/>
    </row>
    <row r="18" spans="2:10" x14ac:dyDescent="0.25">
      <c r="B18" s="15"/>
      <c r="C18" s="25" t="s">
        <v>17</v>
      </c>
      <c r="D18" s="25" t="s">
        <v>13</v>
      </c>
      <c r="E18" s="25">
        <v>12.88</v>
      </c>
      <c r="F18" s="25">
        <v>29.95</v>
      </c>
      <c r="G18" s="16"/>
      <c r="H18" s="17"/>
    </row>
    <row r="19" spans="2:10" ht="15.75" thickBot="1" x14ac:dyDescent="0.3">
      <c r="B19" s="20"/>
      <c r="C19" s="21"/>
      <c r="D19" s="21"/>
      <c r="E19" s="21"/>
      <c r="F19" s="21"/>
      <c r="G19" s="21"/>
      <c r="H19" s="22"/>
      <c r="J19" t="s">
        <v>22</v>
      </c>
    </row>
    <row r="20" spans="2:10" x14ac:dyDescent="0.25">
      <c r="J20" t="s">
        <v>24</v>
      </c>
    </row>
    <row r="21" spans="2:10" x14ac:dyDescent="0.25">
      <c r="J21" t="s">
        <v>25</v>
      </c>
    </row>
    <row r="22" spans="2:10" x14ac:dyDescent="0.25">
      <c r="J22" t="s">
        <v>23</v>
      </c>
    </row>
    <row r="23" spans="2:10" x14ac:dyDescent="0.25">
      <c r="J23" t="s">
        <v>26</v>
      </c>
    </row>
  </sheetData>
  <sortState xmlns:xlrd2="http://schemas.microsoft.com/office/spreadsheetml/2017/richdata2" ref="C14:F18">
    <sortCondition ref="D14:D18"/>
  </sortState>
  <phoneticPr fontId="8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45C7-1D88-4945-908E-4369178276BB}">
  <sheetPr codeName="Sheet4">
    <tabColor rgb="FFFFFF00"/>
  </sheetPr>
  <dimension ref="B2:J23"/>
  <sheetViews>
    <sheetView showGridLines="0" zoomScale="145" zoomScaleNormal="145" workbookViewId="0"/>
  </sheetViews>
  <sheetFormatPr defaultColWidth="8.85546875" defaultRowHeight="15" x14ac:dyDescent="0.25"/>
  <cols>
    <col min="2" max="2" width="3.28515625" customWidth="1"/>
    <col min="3" max="3" width="12.28515625" customWidth="1"/>
    <col min="4" max="4" width="10" customWidth="1"/>
    <col min="5" max="5" width="9" customWidth="1"/>
    <col min="8" max="8" width="15.42578125" customWidth="1"/>
  </cols>
  <sheetData>
    <row r="2" spans="2:8" x14ac:dyDescent="0.25">
      <c r="C2" t="s">
        <v>20</v>
      </c>
    </row>
    <row r="5" spans="2:8" ht="15.75" thickBot="1" x14ac:dyDescent="0.3"/>
    <row r="6" spans="2:8" x14ac:dyDescent="0.25">
      <c r="B6" s="8"/>
      <c r="C6" s="29" t="s">
        <v>28</v>
      </c>
      <c r="D6" s="28"/>
      <c r="E6" s="28"/>
      <c r="F6" s="28"/>
      <c r="G6" s="28"/>
      <c r="H6" s="14"/>
    </row>
    <row r="7" spans="2:8" ht="15.75" thickBot="1" x14ac:dyDescent="0.3">
      <c r="B7" s="15"/>
      <c r="C7" s="16"/>
      <c r="D7" s="16"/>
      <c r="E7" s="16"/>
      <c r="F7" s="16"/>
      <c r="G7" s="16"/>
      <c r="H7" s="17"/>
    </row>
    <row r="8" spans="2:8" x14ac:dyDescent="0.25">
      <c r="B8" s="8"/>
      <c r="C8" s="9"/>
      <c r="D8" s="9"/>
      <c r="E8" s="82" t="s">
        <v>7</v>
      </c>
      <c r="F8" s="82" t="s">
        <v>9</v>
      </c>
      <c r="G8" s="9"/>
      <c r="H8" s="14"/>
    </row>
    <row r="9" spans="2:8" x14ac:dyDescent="0.25">
      <c r="B9" s="15"/>
      <c r="C9" s="16"/>
      <c r="D9" s="16"/>
      <c r="E9" s="5" t="s">
        <v>10</v>
      </c>
      <c r="F9" s="7"/>
      <c r="G9" s="16"/>
      <c r="H9" s="17"/>
    </row>
    <row r="10" spans="2:8" x14ac:dyDescent="0.25">
      <c r="B10" s="15"/>
      <c r="C10" s="16"/>
      <c r="D10" s="16"/>
      <c r="E10" s="16"/>
      <c r="F10" s="16"/>
      <c r="G10" s="16"/>
      <c r="H10" s="17"/>
    </row>
    <row r="11" spans="2:8" x14ac:dyDescent="0.25">
      <c r="B11" s="15"/>
      <c r="C11" s="16" t="s">
        <v>21</v>
      </c>
      <c r="D11" s="16"/>
      <c r="E11" s="16"/>
      <c r="F11" s="16"/>
      <c r="G11" s="16"/>
      <c r="H11" s="17"/>
    </row>
    <row r="12" spans="2:8" x14ac:dyDescent="0.25">
      <c r="B12" s="15"/>
      <c r="C12" s="16"/>
      <c r="D12" s="16"/>
      <c r="E12" s="16"/>
      <c r="F12" s="16"/>
      <c r="G12" s="16"/>
      <c r="H12" s="17"/>
    </row>
    <row r="13" spans="2:8" x14ac:dyDescent="0.25">
      <c r="B13" s="15"/>
      <c r="C13" s="24" t="s">
        <v>6</v>
      </c>
      <c r="D13" s="24" t="s">
        <v>7</v>
      </c>
      <c r="E13" s="24" t="s">
        <v>8</v>
      </c>
      <c r="F13" s="24" t="s">
        <v>9</v>
      </c>
      <c r="G13" s="16"/>
      <c r="H13" s="17"/>
    </row>
    <row r="14" spans="2:8" x14ac:dyDescent="0.25">
      <c r="B14" s="15"/>
      <c r="C14" s="25" t="s">
        <v>16</v>
      </c>
      <c r="D14" s="25" t="s">
        <v>12</v>
      </c>
      <c r="E14" s="25">
        <v>14.55</v>
      </c>
      <c r="F14" s="25">
        <v>26.95</v>
      </c>
      <c r="G14" s="16"/>
      <c r="H14" s="17"/>
    </row>
    <row r="15" spans="2:8" x14ac:dyDescent="0.25">
      <c r="B15" s="15"/>
      <c r="C15" s="26" t="s">
        <v>15</v>
      </c>
      <c r="D15" s="26" t="s">
        <v>11</v>
      </c>
      <c r="E15" s="26">
        <v>11.18</v>
      </c>
      <c r="F15" s="26">
        <v>27.95</v>
      </c>
      <c r="G15" s="16"/>
      <c r="H15" s="17"/>
    </row>
    <row r="16" spans="2:8" x14ac:dyDescent="0.25">
      <c r="B16" s="15"/>
      <c r="C16" s="25" t="s">
        <v>19</v>
      </c>
      <c r="D16" s="27" t="s">
        <v>10</v>
      </c>
      <c r="E16" s="25">
        <v>19.34</v>
      </c>
      <c r="F16" s="25">
        <v>43.95</v>
      </c>
      <c r="G16" s="16"/>
      <c r="H16" s="17"/>
    </row>
    <row r="17" spans="2:10" x14ac:dyDescent="0.25">
      <c r="B17" s="15"/>
      <c r="C17" s="26" t="s">
        <v>18</v>
      </c>
      <c r="D17" s="26" t="s">
        <v>14</v>
      </c>
      <c r="E17" s="26">
        <v>11.25</v>
      </c>
      <c r="F17" s="26">
        <v>22.95</v>
      </c>
      <c r="G17" s="16"/>
      <c r="H17" s="17"/>
    </row>
    <row r="18" spans="2:10" x14ac:dyDescent="0.25">
      <c r="B18" s="15"/>
      <c r="C18" s="25" t="s">
        <v>17</v>
      </c>
      <c r="D18" s="25" t="s">
        <v>13</v>
      </c>
      <c r="E18" s="25">
        <v>12.88</v>
      </c>
      <c r="F18" s="25">
        <v>29.95</v>
      </c>
      <c r="G18" s="16"/>
      <c r="H18" s="17"/>
    </row>
    <row r="19" spans="2:10" ht="15.75" thickBot="1" x14ac:dyDescent="0.3">
      <c r="B19" s="20"/>
      <c r="C19" s="21"/>
      <c r="D19" s="21"/>
      <c r="E19" s="21"/>
      <c r="F19" s="21"/>
      <c r="G19" s="21"/>
      <c r="H19" s="22"/>
      <c r="J19" t="s">
        <v>22</v>
      </c>
    </row>
    <row r="20" spans="2:10" x14ac:dyDescent="0.25">
      <c r="J20" t="s">
        <v>24</v>
      </c>
    </row>
    <row r="21" spans="2:10" x14ac:dyDescent="0.25">
      <c r="J21" t="s">
        <v>25</v>
      </c>
    </row>
    <row r="22" spans="2:10" x14ac:dyDescent="0.25">
      <c r="J22" t="s">
        <v>23</v>
      </c>
    </row>
    <row r="23" spans="2:10" x14ac:dyDescent="0.25">
      <c r="J23" t="s">
        <v>26</v>
      </c>
    </row>
  </sheetData>
  <dataValidations count="1">
    <dataValidation type="list" allowBlank="1" showInputMessage="1" showErrorMessage="1" sqref="E9" xr:uid="{8DC0777B-9ACD-4E53-A857-FD3807EB0459}">
      <formula1>$D$14:$D$18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BC58-FB24-42AE-A5A9-DFD95FA03F2F}">
  <sheetPr codeName="Sheet5">
    <tabColor rgb="FFFFFF00"/>
  </sheetPr>
  <dimension ref="B2:J25"/>
  <sheetViews>
    <sheetView showGridLines="0" zoomScale="145" zoomScaleNormal="145" workbookViewId="0"/>
  </sheetViews>
  <sheetFormatPr defaultColWidth="8.85546875" defaultRowHeight="15" x14ac:dyDescent="0.25"/>
  <cols>
    <col min="2" max="2" width="20.28515625" customWidth="1"/>
    <col min="3" max="3" width="12.28515625" customWidth="1"/>
    <col min="4" max="4" width="10" customWidth="1"/>
    <col min="5" max="5" width="9" customWidth="1"/>
    <col min="8" max="8" width="1.7109375" customWidth="1"/>
  </cols>
  <sheetData>
    <row r="2" spans="2:8" x14ac:dyDescent="0.25">
      <c r="C2" t="s">
        <v>20</v>
      </c>
    </row>
    <row r="5" spans="2:8" ht="15.75" thickBot="1" x14ac:dyDescent="0.3"/>
    <row r="6" spans="2:8" x14ac:dyDescent="0.25">
      <c r="B6" s="8"/>
      <c r="C6" s="29" t="s">
        <v>28</v>
      </c>
      <c r="D6" s="28"/>
      <c r="E6" s="28"/>
      <c r="F6" s="28"/>
      <c r="G6" s="28"/>
      <c r="H6" s="14"/>
    </row>
    <row r="7" spans="2:8" ht="15.75" thickBot="1" x14ac:dyDescent="0.3">
      <c r="B7" s="15"/>
      <c r="C7" s="16"/>
      <c r="D7" s="16"/>
      <c r="E7" s="16"/>
      <c r="F7" s="16"/>
      <c r="G7" s="16"/>
      <c r="H7" s="17"/>
    </row>
    <row r="8" spans="2:8" x14ac:dyDescent="0.25">
      <c r="B8" s="8"/>
      <c r="C8" s="9"/>
      <c r="D8" s="9"/>
      <c r="E8" s="82" t="s">
        <v>7</v>
      </c>
      <c r="F8" s="82" t="s">
        <v>9</v>
      </c>
      <c r="G8" s="9"/>
      <c r="H8" s="14"/>
    </row>
    <row r="9" spans="2:8" x14ac:dyDescent="0.25">
      <c r="B9" s="15"/>
      <c r="C9" s="16"/>
      <c r="D9" s="16"/>
      <c r="E9" s="5" t="s">
        <v>10</v>
      </c>
      <c r="F9" s="7"/>
      <c r="G9" s="16"/>
      <c r="H9" s="17"/>
    </row>
    <row r="10" spans="2:8" ht="5.25" customHeight="1" x14ac:dyDescent="0.25">
      <c r="B10" s="15"/>
      <c r="C10" s="16"/>
      <c r="D10" s="16"/>
      <c r="E10" s="16"/>
      <c r="F10" s="16"/>
      <c r="G10" s="16"/>
      <c r="H10" s="17"/>
    </row>
    <row r="11" spans="2:8" x14ac:dyDescent="0.25">
      <c r="B11" s="15"/>
      <c r="C11" s="16" t="s">
        <v>21</v>
      </c>
      <c r="D11" s="16"/>
      <c r="E11" s="16"/>
      <c r="F11" s="16"/>
      <c r="G11" s="16"/>
      <c r="H11" s="17"/>
    </row>
    <row r="12" spans="2:8" ht="5.25" customHeight="1" x14ac:dyDescent="0.25">
      <c r="B12" s="15"/>
      <c r="C12" s="16"/>
      <c r="D12" s="16"/>
      <c r="E12" s="16"/>
      <c r="F12" s="16"/>
      <c r="G12" s="16"/>
      <c r="H12" s="17"/>
    </row>
    <row r="13" spans="2:8" x14ac:dyDescent="0.25">
      <c r="B13" s="15"/>
      <c r="C13" s="24" t="s">
        <v>6</v>
      </c>
      <c r="D13" s="24" t="s">
        <v>7</v>
      </c>
      <c r="E13" s="24" t="s">
        <v>8</v>
      </c>
      <c r="F13" s="24" t="s">
        <v>9</v>
      </c>
      <c r="G13" s="16"/>
      <c r="H13" s="17"/>
    </row>
    <row r="14" spans="2:8" x14ac:dyDescent="0.25">
      <c r="B14" s="15"/>
      <c r="C14" s="25" t="s">
        <v>16</v>
      </c>
      <c r="D14" s="25" t="s">
        <v>12</v>
      </c>
      <c r="E14" s="25">
        <v>14.55</v>
      </c>
      <c r="F14" s="25">
        <v>26.95</v>
      </c>
      <c r="G14" s="16"/>
      <c r="H14" s="17"/>
    </row>
    <row r="15" spans="2:8" x14ac:dyDescent="0.25">
      <c r="B15" s="15"/>
      <c r="C15" s="26" t="s">
        <v>15</v>
      </c>
      <c r="D15" s="26" t="s">
        <v>11</v>
      </c>
      <c r="E15" s="26">
        <v>11.18</v>
      </c>
      <c r="F15" s="26">
        <v>27.95</v>
      </c>
      <c r="G15" s="16"/>
      <c r="H15" s="17"/>
    </row>
    <row r="16" spans="2:8" x14ac:dyDescent="0.25">
      <c r="B16" s="15"/>
      <c r="C16" s="25" t="s">
        <v>19</v>
      </c>
      <c r="D16" s="27" t="s">
        <v>10</v>
      </c>
      <c r="E16" s="25">
        <v>19.34</v>
      </c>
      <c r="F16" s="25">
        <v>43.95</v>
      </c>
      <c r="G16" s="16"/>
      <c r="H16" s="17"/>
    </row>
    <row r="17" spans="2:10" x14ac:dyDescent="0.25">
      <c r="B17" s="15"/>
      <c r="C17" s="26" t="s">
        <v>18</v>
      </c>
      <c r="D17" s="26" t="s">
        <v>14</v>
      </c>
      <c r="E17" s="26">
        <v>11.25</v>
      </c>
      <c r="F17" s="26">
        <v>22.95</v>
      </c>
      <c r="G17" s="16"/>
      <c r="H17" s="17"/>
    </row>
    <row r="18" spans="2:10" x14ac:dyDescent="0.25">
      <c r="B18" s="15"/>
      <c r="C18" s="25" t="s">
        <v>17</v>
      </c>
      <c r="D18" s="25" t="s">
        <v>13</v>
      </c>
      <c r="E18" s="25">
        <v>12.88</v>
      </c>
      <c r="F18" s="25">
        <v>29.95</v>
      </c>
      <c r="G18" s="16"/>
      <c r="H18" s="17"/>
    </row>
    <row r="19" spans="2:10" x14ac:dyDescent="0.25">
      <c r="B19" s="15"/>
      <c r="C19" s="16"/>
      <c r="D19" s="16"/>
      <c r="E19" s="16"/>
      <c r="F19" s="16"/>
      <c r="G19" s="16"/>
      <c r="H19" s="17"/>
    </row>
    <row r="20" spans="2:10" x14ac:dyDescent="0.25">
      <c r="B20" s="15"/>
      <c r="C20" s="16"/>
      <c r="D20" s="16"/>
      <c r="E20" s="16"/>
      <c r="F20" s="16"/>
      <c r="G20" s="16"/>
      <c r="H20" s="17"/>
    </row>
    <row r="21" spans="2:10" ht="15.75" thickBot="1" x14ac:dyDescent="0.3">
      <c r="B21" s="20"/>
      <c r="C21" s="21"/>
      <c r="D21" s="21"/>
      <c r="E21" s="21"/>
      <c r="F21" s="21"/>
      <c r="G21" s="21"/>
      <c r="H21" s="22"/>
      <c r="J21" t="s">
        <v>22</v>
      </c>
    </row>
    <row r="22" spans="2:10" x14ac:dyDescent="0.25">
      <c r="J22" t="s">
        <v>24</v>
      </c>
    </row>
    <row r="23" spans="2:10" x14ac:dyDescent="0.25">
      <c r="J23" t="s">
        <v>36</v>
      </c>
    </row>
    <row r="24" spans="2:10" x14ac:dyDescent="0.25">
      <c r="J24" t="s">
        <v>23</v>
      </c>
    </row>
    <row r="25" spans="2:10" x14ac:dyDescent="0.25">
      <c r="J25" t="s">
        <v>26</v>
      </c>
    </row>
  </sheetData>
  <dataValidations count="1">
    <dataValidation type="list" allowBlank="1" showInputMessage="1" showErrorMessage="1" sqref="E9" xr:uid="{BFD96812-CA35-49CC-A0F5-FA7D7ED379B3}">
      <formula1>$D$14:$D$18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195D-88DE-4C8F-AF15-E7165F751D8D}">
  <sheetPr codeName="Sheet6">
    <tabColor rgb="FFFFFF00"/>
  </sheetPr>
  <dimension ref="B2:K23"/>
  <sheetViews>
    <sheetView showGridLines="0" zoomScale="145" zoomScaleNormal="145" workbookViewId="0"/>
  </sheetViews>
  <sheetFormatPr defaultColWidth="8.85546875" defaultRowHeight="15" x14ac:dyDescent="0.25"/>
  <cols>
    <col min="2" max="2" width="2.7109375" customWidth="1"/>
    <col min="3" max="3" width="12.28515625" customWidth="1"/>
    <col min="4" max="4" width="10" customWidth="1"/>
    <col min="5" max="5" width="9" customWidth="1"/>
  </cols>
  <sheetData>
    <row r="2" spans="2:9" x14ac:dyDescent="0.25">
      <c r="C2" t="s">
        <v>20</v>
      </c>
    </row>
    <row r="5" spans="2:9" ht="15.75" thickBot="1" x14ac:dyDescent="0.3"/>
    <row r="6" spans="2:9" x14ac:dyDescent="0.25">
      <c r="B6" s="8"/>
      <c r="C6" s="29" t="s">
        <v>28</v>
      </c>
      <c r="D6" s="28"/>
      <c r="E6" s="28"/>
      <c r="F6" s="28"/>
      <c r="G6" s="28"/>
      <c r="H6" s="9"/>
      <c r="I6" s="14"/>
    </row>
    <row r="7" spans="2:9" ht="15.75" thickBot="1" x14ac:dyDescent="0.3">
      <c r="B7" s="15"/>
      <c r="C7" s="16"/>
      <c r="D7" s="16"/>
      <c r="E7" s="16"/>
      <c r="F7" s="16"/>
      <c r="G7" s="16"/>
      <c r="H7" s="16"/>
      <c r="I7" s="17"/>
    </row>
    <row r="8" spans="2:9" x14ac:dyDescent="0.25">
      <c r="B8" s="8"/>
      <c r="C8" s="9"/>
      <c r="D8" s="9"/>
      <c r="E8" s="82" t="s">
        <v>7</v>
      </c>
      <c r="F8" s="82" t="s">
        <v>9</v>
      </c>
      <c r="G8" s="9"/>
      <c r="H8" s="9"/>
      <c r="I8" s="14"/>
    </row>
    <row r="9" spans="2:9" x14ac:dyDescent="0.25">
      <c r="B9" s="15"/>
      <c r="C9" s="16"/>
      <c r="D9" s="16"/>
      <c r="E9" s="5" t="s">
        <v>10</v>
      </c>
      <c r="F9" s="7"/>
      <c r="G9" s="16"/>
      <c r="H9" s="16"/>
      <c r="I9" s="17"/>
    </row>
    <row r="10" spans="2:9" ht="4.5" customHeight="1" x14ac:dyDescent="0.25">
      <c r="B10" s="15"/>
      <c r="C10" s="16"/>
      <c r="D10" s="16"/>
      <c r="E10" s="16"/>
      <c r="F10" s="16"/>
      <c r="G10" s="16"/>
      <c r="H10" s="16"/>
      <c r="I10" s="17"/>
    </row>
    <row r="11" spans="2:9" x14ac:dyDescent="0.25">
      <c r="B11" s="15"/>
      <c r="C11" s="16" t="s">
        <v>21</v>
      </c>
      <c r="D11" s="16"/>
      <c r="E11" s="16"/>
      <c r="F11" s="16"/>
      <c r="G11" s="16"/>
      <c r="H11" s="16"/>
      <c r="I11" s="17"/>
    </row>
    <row r="12" spans="2:9" ht="4.5" customHeight="1" x14ac:dyDescent="0.25">
      <c r="B12" s="15"/>
      <c r="C12" s="16"/>
      <c r="D12" s="16"/>
      <c r="E12" s="16"/>
      <c r="F12" s="16"/>
      <c r="G12" s="16"/>
      <c r="H12" s="16"/>
      <c r="I12" s="17"/>
    </row>
    <row r="13" spans="2:9" x14ac:dyDescent="0.25">
      <c r="B13" s="15"/>
      <c r="C13" s="24" t="s">
        <v>6</v>
      </c>
      <c r="D13" s="24" t="s">
        <v>7</v>
      </c>
      <c r="E13" s="24" t="s">
        <v>8</v>
      </c>
      <c r="F13" s="24" t="s">
        <v>9</v>
      </c>
      <c r="G13" s="16"/>
      <c r="H13" s="16"/>
      <c r="I13" s="17"/>
    </row>
    <row r="14" spans="2:9" x14ac:dyDescent="0.25">
      <c r="B14" s="15"/>
      <c r="C14" s="25" t="s">
        <v>16</v>
      </c>
      <c r="D14" s="25" t="s">
        <v>12</v>
      </c>
      <c r="E14" s="25">
        <v>14.55</v>
      </c>
      <c r="F14" s="25">
        <v>26.95</v>
      </c>
      <c r="G14" s="16"/>
      <c r="H14" s="16"/>
      <c r="I14" s="17"/>
    </row>
    <row r="15" spans="2:9" x14ac:dyDescent="0.25">
      <c r="B15" s="15"/>
      <c r="C15" s="26" t="s">
        <v>15</v>
      </c>
      <c r="D15" s="26" t="s">
        <v>11</v>
      </c>
      <c r="E15" s="26">
        <v>11.18</v>
      </c>
      <c r="F15" s="26">
        <v>27.95</v>
      </c>
      <c r="G15" s="16"/>
      <c r="H15" s="16"/>
      <c r="I15" s="17"/>
    </row>
    <row r="16" spans="2:9" x14ac:dyDescent="0.25">
      <c r="B16" s="15"/>
      <c r="C16" s="25" t="s">
        <v>19</v>
      </c>
      <c r="D16" s="25" t="s">
        <v>10</v>
      </c>
      <c r="E16" s="25">
        <v>19.34</v>
      </c>
      <c r="F16" s="27">
        <v>43.95</v>
      </c>
      <c r="G16" s="16"/>
      <c r="H16" s="16"/>
      <c r="I16" s="17"/>
    </row>
    <row r="17" spans="2:11" x14ac:dyDescent="0.25">
      <c r="B17" s="15"/>
      <c r="C17" s="26" t="s">
        <v>18</v>
      </c>
      <c r="D17" s="26" t="s">
        <v>14</v>
      </c>
      <c r="E17" s="26">
        <v>11.25</v>
      </c>
      <c r="F17" s="26">
        <v>22.95</v>
      </c>
      <c r="G17" s="16"/>
      <c r="H17" s="16"/>
      <c r="I17" s="17"/>
    </row>
    <row r="18" spans="2:11" x14ac:dyDescent="0.25">
      <c r="B18" s="15"/>
      <c r="C18" s="25" t="s">
        <v>17</v>
      </c>
      <c r="D18" s="25" t="s">
        <v>13</v>
      </c>
      <c r="E18" s="25">
        <v>12.88</v>
      </c>
      <c r="F18" s="25">
        <v>29.95</v>
      </c>
      <c r="G18" s="16"/>
      <c r="H18" s="16"/>
      <c r="I18" s="17"/>
    </row>
    <row r="19" spans="2:11" ht="15.75" thickBot="1" x14ac:dyDescent="0.3">
      <c r="B19" s="20"/>
      <c r="C19" s="21"/>
      <c r="D19" s="21"/>
      <c r="E19" s="21"/>
      <c r="F19" s="21"/>
      <c r="G19" s="21"/>
      <c r="H19" s="21"/>
      <c r="I19" s="22"/>
      <c r="K19" t="s">
        <v>22</v>
      </c>
    </row>
    <row r="20" spans="2:11" x14ac:dyDescent="0.25">
      <c r="K20" t="s">
        <v>24</v>
      </c>
    </row>
    <row r="21" spans="2:11" x14ac:dyDescent="0.25">
      <c r="K21" t="s">
        <v>25</v>
      </c>
    </row>
    <row r="22" spans="2:11" x14ac:dyDescent="0.25">
      <c r="K22" t="s">
        <v>34</v>
      </c>
    </row>
    <row r="23" spans="2:11" x14ac:dyDescent="0.25">
      <c r="K23" t="s">
        <v>26</v>
      </c>
    </row>
  </sheetData>
  <dataValidations count="1">
    <dataValidation type="list" allowBlank="1" showInputMessage="1" showErrorMessage="1" sqref="E9" xr:uid="{9A84E2C8-411C-4EDF-84B3-28BFFF678F65}">
      <formula1>$D$14:$D$18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1021-0FA9-4260-A66D-7DB27CC5A8E5}">
  <sheetPr codeName="Sheet7">
    <tabColor rgb="FFFFFF00"/>
  </sheetPr>
  <dimension ref="B2:K23"/>
  <sheetViews>
    <sheetView showGridLines="0" zoomScale="145" zoomScaleNormal="145" workbookViewId="0"/>
  </sheetViews>
  <sheetFormatPr defaultColWidth="8.85546875" defaultRowHeight="15" x14ac:dyDescent="0.25"/>
  <cols>
    <col min="2" max="2" width="2.140625" customWidth="1"/>
    <col min="3" max="3" width="12.28515625" customWidth="1"/>
    <col min="4" max="4" width="10" customWidth="1"/>
    <col min="5" max="5" width="9" customWidth="1"/>
    <col min="9" max="9" width="3.85546875" customWidth="1"/>
  </cols>
  <sheetData>
    <row r="2" spans="2:9" x14ac:dyDescent="0.25">
      <c r="C2" t="s">
        <v>20</v>
      </c>
    </row>
    <row r="5" spans="2:9" ht="15.75" thickBot="1" x14ac:dyDescent="0.3"/>
    <row r="6" spans="2:9" x14ac:dyDescent="0.25">
      <c r="B6" s="8"/>
      <c r="C6" s="29" t="s">
        <v>28</v>
      </c>
      <c r="D6" s="28"/>
      <c r="E6" s="28"/>
      <c r="F6" s="28"/>
      <c r="G6" s="28"/>
      <c r="H6" s="9"/>
      <c r="I6" s="14"/>
    </row>
    <row r="7" spans="2:9" ht="15.75" thickBot="1" x14ac:dyDescent="0.3">
      <c r="B7" s="15"/>
      <c r="C7" s="16"/>
      <c r="D7" s="16"/>
      <c r="E7" s="16"/>
      <c r="F7" s="16"/>
      <c r="G7" s="16"/>
      <c r="H7" s="16"/>
      <c r="I7" s="17"/>
    </row>
    <row r="8" spans="2:9" x14ac:dyDescent="0.25">
      <c r="B8" s="8"/>
      <c r="C8" s="9"/>
      <c r="D8" s="9"/>
      <c r="E8" s="82" t="s">
        <v>7</v>
      </c>
      <c r="F8" s="82" t="s">
        <v>9</v>
      </c>
      <c r="G8" s="9"/>
      <c r="H8" s="9"/>
      <c r="I8" s="14"/>
    </row>
    <row r="9" spans="2:9" x14ac:dyDescent="0.25">
      <c r="B9" s="15"/>
      <c r="C9" s="16"/>
      <c r="D9" s="16"/>
      <c r="E9" s="5" t="s">
        <v>10</v>
      </c>
      <c r="F9" s="7">
        <f>_xlfn.XLOOKUP(E9,D14:D18,F14:F18)</f>
        <v>43.95</v>
      </c>
      <c r="G9" s="16"/>
      <c r="H9" s="16"/>
      <c r="I9" s="17"/>
    </row>
    <row r="10" spans="2:9" ht="4.5" customHeight="1" x14ac:dyDescent="0.25">
      <c r="B10" s="15"/>
      <c r="C10" s="16"/>
      <c r="D10" s="16"/>
      <c r="E10" s="16"/>
      <c r="F10" s="16"/>
      <c r="G10" s="16"/>
      <c r="H10" s="16"/>
      <c r="I10" s="17"/>
    </row>
    <row r="11" spans="2:9" x14ac:dyDescent="0.25">
      <c r="B11" s="15"/>
      <c r="C11" s="16" t="s">
        <v>21</v>
      </c>
      <c r="D11" s="16"/>
      <c r="E11" s="16"/>
      <c r="F11" s="16"/>
      <c r="G11" s="16"/>
      <c r="H11" s="16"/>
      <c r="I11" s="17"/>
    </row>
    <row r="12" spans="2:9" ht="4.5" customHeight="1" x14ac:dyDescent="0.25">
      <c r="B12" s="15"/>
      <c r="C12" s="16"/>
      <c r="D12" s="16"/>
      <c r="E12" s="16"/>
      <c r="F12" s="16"/>
      <c r="G12" s="16"/>
      <c r="H12" s="16"/>
      <c r="I12" s="17"/>
    </row>
    <row r="13" spans="2:9" x14ac:dyDescent="0.25">
      <c r="B13" s="15"/>
      <c r="C13" s="24" t="s">
        <v>6</v>
      </c>
      <c r="D13" s="24" t="s">
        <v>7</v>
      </c>
      <c r="E13" s="24" t="s">
        <v>8</v>
      </c>
      <c r="F13" s="24" t="s">
        <v>9</v>
      </c>
      <c r="G13" s="16"/>
      <c r="H13" s="16"/>
      <c r="I13" s="17"/>
    </row>
    <row r="14" spans="2:9" x14ac:dyDescent="0.25">
      <c r="B14" s="15"/>
      <c r="C14" s="25" t="s">
        <v>16</v>
      </c>
      <c r="D14" s="25" t="s">
        <v>12</v>
      </c>
      <c r="E14" s="25">
        <v>14.55</v>
      </c>
      <c r="F14" s="25">
        <v>26.95</v>
      </c>
      <c r="G14" s="16"/>
      <c r="H14" s="16"/>
      <c r="I14" s="17"/>
    </row>
    <row r="15" spans="2:9" x14ac:dyDescent="0.25">
      <c r="B15" s="15"/>
      <c r="C15" s="26" t="s">
        <v>15</v>
      </c>
      <c r="D15" s="26" t="s">
        <v>11</v>
      </c>
      <c r="E15" s="26">
        <v>11.18</v>
      </c>
      <c r="F15" s="26">
        <v>27.95</v>
      </c>
      <c r="G15" s="16"/>
      <c r="H15" s="16"/>
      <c r="I15" s="17"/>
    </row>
    <row r="16" spans="2:9" x14ac:dyDescent="0.25">
      <c r="B16" s="15"/>
      <c r="C16" s="25" t="s">
        <v>19</v>
      </c>
      <c r="D16" s="25" t="s">
        <v>10</v>
      </c>
      <c r="E16" s="25">
        <v>19.34</v>
      </c>
      <c r="F16" s="27">
        <v>43.95</v>
      </c>
      <c r="G16" s="16"/>
      <c r="H16" s="16"/>
      <c r="I16" s="17"/>
    </row>
    <row r="17" spans="2:11" x14ac:dyDescent="0.25">
      <c r="B17" s="15"/>
      <c r="C17" s="26" t="s">
        <v>18</v>
      </c>
      <c r="D17" s="26" t="s">
        <v>14</v>
      </c>
      <c r="E17" s="26">
        <v>11.25</v>
      </c>
      <c r="F17" s="26">
        <v>22.95</v>
      </c>
      <c r="G17" s="16"/>
      <c r="H17" s="16"/>
      <c r="I17" s="17"/>
    </row>
    <row r="18" spans="2:11" x14ac:dyDescent="0.25">
      <c r="B18" s="15"/>
      <c r="C18" s="25" t="s">
        <v>17</v>
      </c>
      <c r="D18" s="25" t="s">
        <v>13</v>
      </c>
      <c r="E18" s="25">
        <v>12.88</v>
      </c>
      <c r="F18" s="25">
        <v>29.95</v>
      </c>
      <c r="G18" s="16"/>
      <c r="H18" s="16"/>
      <c r="I18" s="17"/>
    </row>
    <row r="19" spans="2:11" ht="15.75" thickBot="1" x14ac:dyDescent="0.3">
      <c r="B19" s="20"/>
      <c r="C19" s="21"/>
      <c r="D19" s="21"/>
      <c r="E19" s="21"/>
      <c r="F19" s="21"/>
      <c r="G19" s="21"/>
      <c r="H19" s="21"/>
      <c r="I19" s="22"/>
      <c r="K19" t="s">
        <v>22</v>
      </c>
    </row>
    <row r="20" spans="2:11" x14ac:dyDescent="0.25">
      <c r="K20" t="s">
        <v>24</v>
      </c>
    </row>
    <row r="21" spans="2:11" x14ac:dyDescent="0.25">
      <c r="K21" t="s">
        <v>25</v>
      </c>
    </row>
    <row r="22" spans="2:11" x14ac:dyDescent="0.25">
      <c r="K22" t="s">
        <v>23</v>
      </c>
    </row>
    <row r="23" spans="2:11" x14ac:dyDescent="0.25">
      <c r="K23" t="s">
        <v>35</v>
      </c>
    </row>
  </sheetData>
  <dataValidations count="1">
    <dataValidation type="list" allowBlank="1" showInputMessage="1" showErrorMessage="1" sqref="E9" xr:uid="{AA2246ED-C401-4CE8-8BE1-A8FC547EB170}">
      <formula1>$D$14:$D$18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3039-991C-400E-8B73-E5826C3D0D79}">
  <sheetPr codeName="Sheet8">
    <tabColor rgb="FFFFFF00"/>
  </sheetPr>
  <dimension ref="B2:L25"/>
  <sheetViews>
    <sheetView showGridLines="0" zoomScale="145" zoomScaleNormal="145" workbookViewId="0"/>
  </sheetViews>
  <sheetFormatPr defaultColWidth="8.85546875" defaultRowHeight="15" x14ac:dyDescent="0.25"/>
  <cols>
    <col min="2" max="2" width="23" customWidth="1"/>
    <col min="3" max="3" width="12.28515625" customWidth="1"/>
    <col min="4" max="4" width="10" customWidth="1"/>
    <col min="5" max="5" width="9" customWidth="1"/>
  </cols>
  <sheetData>
    <row r="2" spans="2:10" x14ac:dyDescent="0.25">
      <c r="C2" t="s">
        <v>20</v>
      </c>
    </row>
    <row r="5" spans="2:10" ht="15.75" thickBot="1" x14ac:dyDescent="0.3"/>
    <row r="6" spans="2:10" x14ac:dyDescent="0.25">
      <c r="B6" s="126" t="s">
        <v>27</v>
      </c>
      <c r="C6" s="32"/>
      <c r="D6" s="32"/>
      <c r="E6" s="32"/>
      <c r="F6" s="32"/>
      <c r="G6" s="32"/>
      <c r="H6" s="32"/>
      <c r="I6" s="32"/>
      <c r="J6" s="33"/>
    </row>
    <row r="7" spans="2:10" x14ac:dyDescent="0.25">
      <c r="B7" s="15"/>
      <c r="C7" s="16"/>
      <c r="D7" s="16"/>
      <c r="E7" s="16"/>
      <c r="F7" s="16"/>
      <c r="G7" s="16"/>
      <c r="H7" s="16"/>
      <c r="I7" s="16"/>
      <c r="J7" s="17"/>
    </row>
    <row r="8" spans="2:10" x14ac:dyDescent="0.25">
      <c r="B8" s="15"/>
      <c r="C8" s="16"/>
      <c r="D8" s="16"/>
      <c r="E8" s="6" t="s">
        <v>7</v>
      </c>
      <c r="F8" s="6" t="s">
        <v>9</v>
      </c>
      <c r="G8" s="16"/>
      <c r="H8" s="16"/>
      <c r="I8" s="16"/>
      <c r="J8" s="17"/>
    </row>
    <row r="9" spans="2:10" x14ac:dyDescent="0.25">
      <c r="B9" s="15"/>
      <c r="C9" s="16"/>
      <c r="D9" s="16"/>
      <c r="E9" s="5" t="s">
        <v>10</v>
      </c>
      <c r="F9" s="7">
        <f>_xlfn.XLOOKUP(E9,D14:D18,F14:F18)</f>
        <v>43.95</v>
      </c>
      <c r="G9" s="16"/>
      <c r="H9" s="16"/>
      <c r="I9" s="16"/>
      <c r="J9" s="17"/>
    </row>
    <row r="10" spans="2:10" x14ac:dyDescent="0.25">
      <c r="B10" s="15"/>
      <c r="C10" s="16"/>
      <c r="D10" s="16"/>
      <c r="E10" s="16"/>
      <c r="F10" s="16"/>
      <c r="G10" s="16"/>
      <c r="H10" s="16"/>
      <c r="I10" s="16"/>
      <c r="J10" s="17"/>
    </row>
    <row r="11" spans="2:10" x14ac:dyDescent="0.25">
      <c r="B11" s="15"/>
      <c r="C11" s="16" t="s">
        <v>21</v>
      </c>
      <c r="D11" s="16"/>
      <c r="E11" s="16"/>
      <c r="F11" s="16"/>
      <c r="G11" s="16"/>
      <c r="H11" s="16"/>
      <c r="I11" s="16"/>
      <c r="J11" s="17"/>
    </row>
    <row r="12" spans="2:10" x14ac:dyDescent="0.25">
      <c r="B12" s="15"/>
      <c r="C12" s="16"/>
      <c r="D12" s="16"/>
      <c r="E12" s="16"/>
      <c r="F12" s="16"/>
      <c r="G12" s="16"/>
      <c r="H12" s="16"/>
      <c r="I12" s="16"/>
      <c r="J12" s="17"/>
    </row>
    <row r="13" spans="2:10" x14ac:dyDescent="0.25">
      <c r="B13" s="15"/>
      <c r="C13" s="24" t="s">
        <v>6</v>
      </c>
      <c r="D13" s="24" t="s">
        <v>7</v>
      </c>
      <c r="E13" s="24" t="s">
        <v>8</v>
      </c>
      <c r="F13" s="24" t="s">
        <v>9</v>
      </c>
      <c r="G13" s="16"/>
      <c r="H13" s="16"/>
      <c r="I13" s="16"/>
      <c r="J13" s="17"/>
    </row>
    <row r="14" spans="2:10" x14ac:dyDescent="0.25">
      <c r="B14" s="15"/>
      <c r="C14" s="25" t="s">
        <v>16</v>
      </c>
      <c r="D14" s="25" t="s">
        <v>12</v>
      </c>
      <c r="E14" s="25">
        <v>14.55</v>
      </c>
      <c r="F14" s="25">
        <v>26.95</v>
      </c>
      <c r="G14" s="16"/>
      <c r="H14" s="16"/>
      <c r="I14" s="16"/>
      <c r="J14" s="17"/>
    </row>
    <row r="15" spans="2:10" x14ac:dyDescent="0.25">
      <c r="B15" s="15"/>
      <c r="C15" s="26" t="s">
        <v>15</v>
      </c>
      <c r="D15" s="26" t="s">
        <v>11</v>
      </c>
      <c r="E15" s="26">
        <v>11.18</v>
      </c>
      <c r="F15" s="26">
        <v>27.95</v>
      </c>
      <c r="G15" s="16"/>
      <c r="H15" s="16"/>
      <c r="I15" s="16"/>
      <c r="J15" s="17"/>
    </row>
    <row r="16" spans="2:10" x14ac:dyDescent="0.25">
      <c r="B16" s="15"/>
      <c r="C16" s="25" t="s">
        <v>19</v>
      </c>
      <c r="D16" s="27" t="s">
        <v>10</v>
      </c>
      <c r="E16" s="25">
        <v>19.34</v>
      </c>
      <c r="F16" s="27">
        <v>43.95</v>
      </c>
      <c r="G16" s="16"/>
      <c r="H16" s="16"/>
      <c r="I16" s="16"/>
      <c r="J16" s="17"/>
    </row>
    <row r="17" spans="2:12" x14ac:dyDescent="0.25">
      <c r="B17" s="15"/>
      <c r="C17" s="26" t="s">
        <v>18</v>
      </c>
      <c r="D17" s="26" t="s">
        <v>14</v>
      </c>
      <c r="E17" s="26">
        <v>11.25</v>
      </c>
      <c r="F17" s="26">
        <v>22.95</v>
      </c>
      <c r="G17" s="16"/>
      <c r="H17" s="16"/>
      <c r="I17" s="16"/>
      <c r="J17" s="17"/>
    </row>
    <row r="18" spans="2:12" x14ac:dyDescent="0.25">
      <c r="B18" s="15"/>
      <c r="C18" s="25" t="s">
        <v>17</v>
      </c>
      <c r="D18" s="25" t="s">
        <v>13</v>
      </c>
      <c r="E18" s="25">
        <v>12.88</v>
      </c>
      <c r="F18" s="25">
        <v>29.95</v>
      </c>
      <c r="G18" s="16"/>
      <c r="H18" s="16"/>
      <c r="I18" s="16"/>
      <c r="J18" s="17"/>
    </row>
    <row r="19" spans="2:12" x14ac:dyDescent="0.25">
      <c r="B19" s="15"/>
      <c r="C19" s="16"/>
      <c r="D19" s="16"/>
      <c r="E19" s="16"/>
      <c r="F19" s="16"/>
      <c r="G19" s="16"/>
      <c r="H19" s="16"/>
      <c r="I19" s="16"/>
      <c r="J19" s="17"/>
    </row>
    <row r="20" spans="2:12" x14ac:dyDescent="0.25">
      <c r="B20" s="15"/>
      <c r="C20" s="16"/>
      <c r="D20" s="16"/>
      <c r="E20" s="16"/>
      <c r="F20" s="16"/>
      <c r="G20" s="16"/>
      <c r="H20" s="16"/>
      <c r="I20" s="16"/>
      <c r="J20" s="17"/>
    </row>
    <row r="21" spans="2:12" ht="15.75" thickBot="1" x14ac:dyDescent="0.3">
      <c r="B21" s="20"/>
      <c r="C21" s="21"/>
      <c r="D21" s="21"/>
      <c r="E21" s="21"/>
      <c r="F21" s="21"/>
      <c r="G21" s="21"/>
      <c r="H21" s="21"/>
      <c r="I21" s="21"/>
      <c r="J21" s="22"/>
      <c r="L21" t="s">
        <v>22</v>
      </c>
    </row>
    <row r="22" spans="2:12" x14ac:dyDescent="0.25">
      <c r="L22" t="s">
        <v>24</v>
      </c>
    </row>
    <row r="23" spans="2:12" x14ac:dyDescent="0.25">
      <c r="L23" t="s">
        <v>36</v>
      </c>
    </row>
    <row r="24" spans="2:12" x14ac:dyDescent="0.25">
      <c r="L24" t="s">
        <v>34</v>
      </c>
    </row>
    <row r="25" spans="2:12" x14ac:dyDescent="0.25">
      <c r="L25" t="s">
        <v>35</v>
      </c>
    </row>
  </sheetData>
  <dataValidations count="1">
    <dataValidation type="list" allowBlank="1" showInputMessage="1" showErrorMessage="1" sqref="E9" xr:uid="{215F2E7D-3860-4707-8E0C-D44279CCE217}">
      <formula1>$D$14:$D$18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0E70-90B9-4485-A58E-5F72DC3E604A}">
  <sheetPr codeName="Sheet9">
    <tabColor rgb="FFFFFF00"/>
  </sheetPr>
  <dimension ref="B2:G20"/>
  <sheetViews>
    <sheetView showGridLines="0" zoomScale="145" zoomScaleNormal="145" workbookViewId="0"/>
  </sheetViews>
  <sheetFormatPr defaultColWidth="8.85546875" defaultRowHeight="15" x14ac:dyDescent="0.25"/>
  <cols>
    <col min="2" max="2" width="6.28515625" customWidth="1"/>
    <col min="3" max="3" width="16.140625" customWidth="1"/>
    <col min="4" max="4" width="17.140625" bestFit="1" customWidth="1"/>
    <col min="5" max="5" width="9" customWidth="1"/>
    <col min="7" max="7" width="6.28515625" customWidth="1"/>
  </cols>
  <sheetData>
    <row r="2" spans="2:7" x14ac:dyDescent="0.25">
      <c r="B2" t="s">
        <v>20</v>
      </c>
    </row>
    <row r="5" spans="2:7" ht="15.75" thickBot="1" x14ac:dyDescent="0.3"/>
    <row r="6" spans="2:7" x14ac:dyDescent="0.25">
      <c r="B6" s="31" t="s">
        <v>33</v>
      </c>
      <c r="C6" s="32"/>
      <c r="D6" s="32"/>
      <c r="E6" s="32"/>
      <c r="F6" s="32"/>
      <c r="G6" s="33"/>
    </row>
    <row r="7" spans="2:7" ht="4.5" customHeight="1" thickBot="1" x14ac:dyDescent="0.3">
      <c r="B7" s="15"/>
      <c r="C7" s="16"/>
      <c r="D7" s="16"/>
      <c r="E7" s="16"/>
      <c r="F7" s="16"/>
      <c r="G7" s="17"/>
    </row>
    <row r="8" spans="2:7" x14ac:dyDescent="0.25">
      <c r="B8" s="8"/>
      <c r="C8" s="9"/>
      <c r="D8" s="82" t="s">
        <v>30</v>
      </c>
      <c r="E8" s="82" t="s">
        <v>29</v>
      </c>
      <c r="F8" s="9"/>
      <c r="G8" s="14"/>
    </row>
    <row r="9" spans="2:7" x14ac:dyDescent="0.25">
      <c r="B9" s="15"/>
      <c r="C9" s="16"/>
      <c r="D9" s="35">
        <v>1200</v>
      </c>
      <c r="E9" s="41">
        <f>_xlfn.XLOOKUP(D9,C14:C19,E14:E19,,-1)</f>
        <v>0.1</v>
      </c>
      <c r="F9" s="16"/>
      <c r="G9" s="17"/>
    </row>
    <row r="10" spans="2:7" x14ac:dyDescent="0.25">
      <c r="B10" s="15"/>
      <c r="C10" s="16"/>
      <c r="D10" s="16"/>
      <c r="E10" s="16"/>
      <c r="F10" s="16"/>
      <c r="G10" s="17"/>
    </row>
    <row r="11" spans="2:7" ht="6" customHeight="1" x14ac:dyDescent="0.25">
      <c r="B11" s="15"/>
      <c r="C11" s="16"/>
      <c r="D11" s="16"/>
      <c r="E11" s="16"/>
      <c r="F11" s="16"/>
      <c r="G11" s="17"/>
    </row>
    <row r="12" spans="2:7" x14ac:dyDescent="0.25">
      <c r="B12" s="15"/>
      <c r="C12" s="30" t="s">
        <v>21</v>
      </c>
      <c r="D12" s="16"/>
      <c r="E12" s="16"/>
      <c r="F12" s="16"/>
      <c r="G12" s="17"/>
    </row>
    <row r="13" spans="2:7" ht="30" x14ac:dyDescent="0.25">
      <c r="B13" s="15"/>
      <c r="C13" s="38" t="s">
        <v>31</v>
      </c>
      <c r="D13" s="38" t="s">
        <v>32</v>
      </c>
      <c r="E13" s="38" t="s">
        <v>29</v>
      </c>
      <c r="F13" s="16"/>
      <c r="G13" s="17"/>
    </row>
    <row r="14" spans="2:7" x14ac:dyDescent="0.25">
      <c r="B14" s="15"/>
      <c r="C14" s="34">
        <v>0</v>
      </c>
      <c r="D14" s="36" t="str">
        <f>DOLLAR(C14,0)&amp;" - "&amp;DOLLAR(C15-0.01)</f>
        <v>$0 - $299.99</v>
      </c>
      <c r="E14" s="39">
        <v>0</v>
      </c>
      <c r="F14" s="16"/>
      <c r="G14" s="17"/>
    </row>
    <row r="15" spans="2:7" x14ac:dyDescent="0.25">
      <c r="B15" s="15"/>
      <c r="C15" s="35">
        <v>300</v>
      </c>
      <c r="D15" s="37" t="str">
        <f t="shared" ref="D15:D18" si="0">DOLLAR(C15,0)&amp;" - "&amp;DOLLAR(C16-0.01)</f>
        <v>$300 - $599.99</v>
      </c>
      <c r="E15" s="40">
        <v>2.5000000000000001E-2</v>
      </c>
      <c r="F15" s="16"/>
      <c r="G15" s="17"/>
    </row>
    <row r="16" spans="2:7" x14ac:dyDescent="0.25">
      <c r="B16" s="15"/>
      <c r="C16" s="34">
        <v>600</v>
      </c>
      <c r="D16" s="36" t="str">
        <f t="shared" si="0"/>
        <v>$600 - $999.99</v>
      </c>
      <c r="E16" s="39">
        <v>7.0000000000000007E-2</v>
      </c>
      <c r="F16" s="16"/>
      <c r="G16" s="17"/>
    </row>
    <row r="17" spans="2:7" x14ac:dyDescent="0.25">
      <c r="B17" s="15"/>
      <c r="C17" s="44">
        <v>1000</v>
      </c>
      <c r="D17" s="37" t="str">
        <f t="shared" si="0"/>
        <v>$1,000 - $1,999.99</v>
      </c>
      <c r="E17" s="45">
        <v>0.1</v>
      </c>
      <c r="F17" s="16"/>
      <c r="G17" s="17"/>
    </row>
    <row r="18" spans="2:7" x14ac:dyDescent="0.25">
      <c r="B18" s="15"/>
      <c r="C18" s="34">
        <v>2000</v>
      </c>
      <c r="D18" s="36" t="str">
        <f t="shared" si="0"/>
        <v>$2,000 - $4,999.99</v>
      </c>
      <c r="E18" s="39">
        <v>0.15</v>
      </c>
      <c r="F18" s="16"/>
      <c r="G18" s="17"/>
    </row>
    <row r="19" spans="2:7" x14ac:dyDescent="0.25">
      <c r="B19" s="15"/>
      <c r="C19" s="35">
        <v>5000</v>
      </c>
      <c r="D19" s="37" t="str">
        <f>DOLLAR(C19,0)&amp;" or more"</f>
        <v>$5,000 or more</v>
      </c>
      <c r="E19" s="40">
        <v>0.2</v>
      </c>
      <c r="F19" s="16"/>
      <c r="G19" s="17"/>
    </row>
    <row r="20" spans="2:7" ht="4.5" customHeight="1" thickBot="1" x14ac:dyDescent="0.3">
      <c r="B20" s="20"/>
      <c r="C20" s="21"/>
      <c r="D20" s="21"/>
      <c r="E20" s="21"/>
      <c r="F20" s="21"/>
      <c r="G20" s="2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4116-63F5-48DD-9FDE-78BF7CB98444}">
  <sheetPr codeName="Sheet10">
    <tabColor rgb="FFFFFF00"/>
  </sheetPr>
  <dimension ref="B2:G20"/>
  <sheetViews>
    <sheetView showGridLines="0" zoomScale="145" zoomScaleNormal="145" workbookViewId="0"/>
  </sheetViews>
  <sheetFormatPr defaultColWidth="8.85546875" defaultRowHeight="15" x14ac:dyDescent="0.25"/>
  <cols>
    <col min="2" max="2" width="6.28515625" customWidth="1"/>
    <col min="3" max="3" width="16.140625" customWidth="1"/>
    <col min="4" max="4" width="17.140625" bestFit="1" customWidth="1"/>
    <col min="5" max="5" width="9" customWidth="1"/>
    <col min="7" max="7" width="9.42578125" customWidth="1"/>
  </cols>
  <sheetData>
    <row r="2" spans="2:7" x14ac:dyDescent="0.25">
      <c r="B2" t="s">
        <v>20</v>
      </c>
    </row>
    <row r="5" spans="2:7" ht="15.75" thickBot="1" x14ac:dyDescent="0.3"/>
    <row r="6" spans="2:7" x14ac:dyDescent="0.25">
      <c r="B6" s="31" t="s">
        <v>33</v>
      </c>
      <c r="C6" s="32"/>
      <c r="D6" s="32"/>
      <c r="E6" s="32"/>
      <c r="F6" s="32"/>
      <c r="G6" s="33"/>
    </row>
    <row r="7" spans="2:7" ht="4.5" customHeight="1" thickBot="1" x14ac:dyDescent="0.3">
      <c r="B7" s="15"/>
      <c r="C7" s="16"/>
      <c r="D7" s="16"/>
      <c r="E7" s="16"/>
      <c r="F7" s="16"/>
      <c r="G7" s="17"/>
    </row>
    <row r="8" spans="2:7" x14ac:dyDescent="0.25">
      <c r="B8" s="8"/>
      <c r="C8" s="9"/>
      <c r="D8" s="82" t="s">
        <v>30</v>
      </c>
      <c r="E8" s="82" t="s">
        <v>29</v>
      </c>
      <c r="F8" s="9"/>
      <c r="G8" s="14"/>
    </row>
    <row r="9" spans="2:7" x14ac:dyDescent="0.25">
      <c r="B9" s="15"/>
      <c r="C9" s="16"/>
      <c r="D9" s="35">
        <v>1200</v>
      </c>
      <c r="E9" s="41">
        <f>_xlfn.XLOOKUP(D9,C14:C19,E14:E19,,-1)</f>
        <v>0.1</v>
      </c>
      <c r="F9" s="16"/>
      <c r="G9" s="17"/>
    </row>
    <row r="10" spans="2:7" x14ac:dyDescent="0.25">
      <c r="B10" s="15"/>
      <c r="C10" s="16"/>
      <c r="D10" s="16"/>
      <c r="E10" s="16"/>
      <c r="F10" s="16"/>
      <c r="G10" s="17"/>
    </row>
    <row r="11" spans="2:7" x14ac:dyDescent="0.25">
      <c r="B11" s="15"/>
      <c r="C11" s="16"/>
      <c r="D11" s="16"/>
      <c r="E11" s="16"/>
      <c r="F11" s="16"/>
      <c r="G11" s="17"/>
    </row>
    <row r="12" spans="2:7" x14ac:dyDescent="0.25">
      <c r="B12" s="15"/>
      <c r="C12" s="30" t="s">
        <v>21</v>
      </c>
      <c r="D12" s="16"/>
      <c r="E12" s="16"/>
      <c r="F12" s="16"/>
      <c r="G12" s="17"/>
    </row>
    <row r="13" spans="2:7" ht="30" x14ac:dyDescent="0.25">
      <c r="B13" s="15"/>
      <c r="C13" s="38" t="s">
        <v>31</v>
      </c>
      <c r="D13" s="38" t="s">
        <v>32</v>
      </c>
      <c r="E13" s="38" t="s">
        <v>29</v>
      </c>
      <c r="F13" s="16"/>
      <c r="G13" s="17"/>
    </row>
    <row r="14" spans="2:7" x14ac:dyDescent="0.25">
      <c r="B14" s="15"/>
      <c r="C14" s="34">
        <v>0</v>
      </c>
      <c r="D14" s="36" t="str">
        <f>DOLLAR(C14,0)&amp;" - "&amp;DOLLAR(C15-0.01)</f>
        <v>$0 - $299.99</v>
      </c>
      <c r="E14" s="39">
        <v>0</v>
      </c>
      <c r="F14" s="16"/>
      <c r="G14" s="17"/>
    </row>
    <row r="15" spans="2:7" x14ac:dyDescent="0.25">
      <c r="B15" s="15"/>
      <c r="C15" s="35">
        <v>300</v>
      </c>
      <c r="D15" s="37" t="str">
        <f t="shared" ref="D15:D18" si="0">DOLLAR(C15,0)&amp;" - "&amp;DOLLAR(C16-0.01)</f>
        <v>$300 - $599.99</v>
      </c>
      <c r="E15" s="40">
        <v>2.5000000000000001E-2</v>
      </c>
      <c r="F15" s="16"/>
      <c r="G15" s="17"/>
    </row>
    <row r="16" spans="2:7" x14ac:dyDescent="0.25">
      <c r="B16" s="15"/>
      <c r="C16" s="34">
        <v>600</v>
      </c>
      <c r="D16" s="36" t="str">
        <f t="shared" si="0"/>
        <v>$600 - $999.99</v>
      </c>
      <c r="E16" s="39">
        <v>7.0000000000000007E-2</v>
      </c>
      <c r="F16" s="16"/>
      <c r="G16" s="17"/>
    </row>
    <row r="17" spans="2:7" x14ac:dyDescent="0.25">
      <c r="B17" s="15"/>
      <c r="C17" s="42">
        <v>1000</v>
      </c>
      <c r="D17" s="37" t="str">
        <f t="shared" si="0"/>
        <v>$1,000 - $1,999.99</v>
      </c>
      <c r="E17" s="45">
        <v>0.1</v>
      </c>
      <c r="F17" s="16"/>
      <c r="G17" s="17"/>
    </row>
    <row r="18" spans="2:7" x14ac:dyDescent="0.25">
      <c r="B18" s="15"/>
      <c r="C18" s="34">
        <v>2000</v>
      </c>
      <c r="D18" s="36" t="str">
        <f t="shared" si="0"/>
        <v>$2,000 - $4,999.99</v>
      </c>
      <c r="E18" s="39">
        <v>0.15</v>
      </c>
      <c r="F18" s="16"/>
      <c r="G18" s="17"/>
    </row>
    <row r="19" spans="2:7" x14ac:dyDescent="0.25">
      <c r="B19" s="15"/>
      <c r="C19" s="35">
        <v>5000</v>
      </c>
      <c r="D19" s="37" t="str">
        <f>DOLLAR(C19,0)&amp;" or more"</f>
        <v>$5,000 or more</v>
      </c>
      <c r="E19" s="40">
        <v>0.2</v>
      </c>
      <c r="F19" s="16"/>
      <c r="G19" s="17"/>
    </row>
    <row r="20" spans="2:7" ht="11.25" customHeight="1" thickBot="1" x14ac:dyDescent="0.3">
      <c r="B20" s="20"/>
      <c r="C20" s="21"/>
      <c r="D20" s="21"/>
      <c r="E20" s="21"/>
      <c r="F20" s="21"/>
      <c r="G20" s="2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CEA3-45DE-4813-A5DA-B80F6525C574}">
  <sheetPr codeName="Sheet11">
    <tabColor rgb="FFFFFF00"/>
  </sheetPr>
  <dimension ref="B2:G20"/>
  <sheetViews>
    <sheetView showGridLines="0" zoomScale="145" zoomScaleNormal="145" workbookViewId="0"/>
  </sheetViews>
  <sheetFormatPr defaultColWidth="8.85546875" defaultRowHeight="15" x14ac:dyDescent="0.25"/>
  <cols>
    <col min="2" max="2" width="6.28515625" customWidth="1"/>
    <col min="3" max="3" width="16.140625" customWidth="1"/>
    <col min="4" max="4" width="17.140625" bestFit="1" customWidth="1"/>
    <col min="5" max="5" width="9" customWidth="1"/>
    <col min="7" max="7" width="9.42578125" customWidth="1"/>
  </cols>
  <sheetData>
    <row r="2" spans="2:7" x14ac:dyDescent="0.25">
      <c r="B2" t="s">
        <v>20</v>
      </c>
    </row>
    <row r="5" spans="2:7" ht="15.75" thickBot="1" x14ac:dyDescent="0.3"/>
    <row r="6" spans="2:7" x14ac:dyDescent="0.25">
      <c r="B6" s="31" t="s">
        <v>33</v>
      </c>
      <c r="C6" s="32"/>
      <c r="D6" s="32"/>
      <c r="E6" s="32"/>
      <c r="F6" s="32"/>
      <c r="G6" s="33"/>
    </row>
    <row r="7" spans="2:7" ht="4.5" customHeight="1" thickBot="1" x14ac:dyDescent="0.3">
      <c r="B7" s="15"/>
      <c r="C7" s="16"/>
      <c r="D7" s="16"/>
      <c r="E7" s="16"/>
      <c r="F7" s="16"/>
      <c r="G7" s="17"/>
    </row>
    <row r="8" spans="2:7" x14ac:dyDescent="0.25">
      <c r="B8" s="8"/>
      <c r="C8" s="9"/>
      <c r="D8" s="82" t="s">
        <v>30</v>
      </c>
      <c r="E8" s="82" t="s">
        <v>29</v>
      </c>
      <c r="F8" s="9"/>
      <c r="G8" s="14"/>
    </row>
    <row r="9" spans="2:7" x14ac:dyDescent="0.25">
      <c r="B9" s="15"/>
      <c r="C9" s="16"/>
      <c r="D9" s="35">
        <v>1200</v>
      </c>
      <c r="E9" s="41">
        <f>_xlfn.XLOOKUP(D9,C14:C19,E14:E19,,-1)</f>
        <v>0.1</v>
      </c>
      <c r="F9" s="16"/>
      <c r="G9" s="17"/>
    </row>
    <row r="10" spans="2:7" ht="2.25" customHeight="1" x14ac:dyDescent="0.25">
      <c r="B10" s="15"/>
      <c r="C10" s="16"/>
      <c r="D10" s="16"/>
      <c r="E10" s="16"/>
      <c r="F10" s="16"/>
      <c r="G10" s="17"/>
    </row>
    <row r="11" spans="2:7" ht="2.25" customHeight="1" x14ac:dyDescent="0.25">
      <c r="B11" s="15"/>
      <c r="C11" s="16"/>
      <c r="D11" s="16"/>
      <c r="E11" s="16"/>
      <c r="F11" s="16"/>
      <c r="G11" s="17"/>
    </row>
    <row r="12" spans="2:7" x14ac:dyDescent="0.25">
      <c r="B12" s="15"/>
      <c r="C12" s="30" t="s">
        <v>21</v>
      </c>
      <c r="D12" s="16"/>
      <c r="E12" s="16"/>
      <c r="F12" s="16"/>
      <c r="G12" s="17"/>
    </row>
    <row r="13" spans="2:7" ht="30" x14ac:dyDescent="0.25">
      <c r="B13" s="15"/>
      <c r="C13" s="38" t="s">
        <v>31</v>
      </c>
      <c r="D13" s="38" t="s">
        <v>32</v>
      </c>
      <c r="E13" s="38" t="s">
        <v>29</v>
      </c>
      <c r="F13" s="16"/>
      <c r="G13" s="17"/>
    </row>
    <row r="14" spans="2:7" x14ac:dyDescent="0.25">
      <c r="B14" s="15"/>
      <c r="C14" s="34">
        <v>0</v>
      </c>
      <c r="D14" s="36" t="str">
        <f>DOLLAR(C14,0)&amp;" - "&amp;DOLLAR(C15-0.01)</f>
        <v>$0 - $299.99</v>
      </c>
      <c r="E14" s="39">
        <v>0</v>
      </c>
      <c r="F14" s="16"/>
      <c r="G14" s="17"/>
    </row>
    <row r="15" spans="2:7" x14ac:dyDescent="0.25">
      <c r="B15" s="15"/>
      <c r="C15" s="35">
        <v>300</v>
      </c>
      <c r="D15" s="37" t="str">
        <f t="shared" ref="D15:D18" si="0">DOLLAR(C15,0)&amp;" - "&amp;DOLLAR(C16-0.01)</f>
        <v>$300 - $599.99</v>
      </c>
      <c r="E15" s="40">
        <v>2.5000000000000001E-2</v>
      </c>
      <c r="F15" s="16"/>
      <c r="G15" s="17"/>
    </row>
    <row r="16" spans="2:7" x14ac:dyDescent="0.25">
      <c r="B16" s="15"/>
      <c r="C16" s="34">
        <v>600</v>
      </c>
      <c r="D16" s="36" t="str">
        <f t="shared" si="0"/>
        <v>$600 - $999.99</v>
      </c>
      <c r="E16" s="39">
        <v>7.0000000000000007E-2</v>
      </c>
      <c r="F16" s="16"/>
      <c r="G16" s="17"/>
    </row>
    <row r="17" spans="2:7" x14ac:dyDescent="0.25">
      <c r="B17" s="15"/>
      <c r="C17" s="42">
        <v>1000</v>
      </c>
      <c r="D17" s="37" t="str">
        <f t="shared" si="0"/>
        <v>$1,000 - $1,999.99</v>
      </c>
      <c r="E17" s="45">
        <v>0.1</v>
      </c>
      <c r="F17" s="16"/>
      <c r="G17" s="17"/>
    </row>
    <row r="18" spans="2:7" x14ac:dyDescent="0.25">
      <c r="B18" s="15"/>
      <c r="C18" s="34">
        <v>2000</v>
      </c>
      <c r="D18" s="36" t="str">
        <f t="shared" si="0"/>
        <v>$2,000 - $4,999.99</v>
      </c>
      <c r="E18" s="39">
        <v>0.15</v>
      </c>
      <c r="F18" s="16"/>
      <c r="G18" s="17"/>
    </row>
    <row r="19" spans="2:7" x14ac:dyDescent="0.25">
      <c r="B19" s="15"/>
      <c r="C19" s="35">
        <v>5000</v>
      </c>
      <c r="D19" s="37" t="str">
        <f>DOLLAR(C19,0)&amp;" or more"</f>
        <v>$5,000 or more</v>
      </c>
      <c r="E19" s="40">
        <v>0.2</v>
      </c>
      <c r="F19" s="16"/>
      <c r="G19" s="17"/>
    </row>
    <row r="20" spans="2:7" ht="38.25" customHeight="1" thickBot="1" x14ac:dyDescent="0.3">
      <c r="B20" s="20"/>
      <c r="C20" s="21"/>
      <c r="D20" s="21"/>
      <c r="E20" s="21"/>
      <c r="F20" s="21"/>
      <c r="G20" s="2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EBCF-A76F-4E73-B048-2D378B2148A1}">
  <sheetPr codeName="Sheet12">
    <tabColor rgb="FFFFFF00"/>
  </sheetPr>
  <dimension ref="B2:G20"/>
  <sheetViews>
    <sheetView showGridLines="0" zoomScale="145" zoomScaleNormal="145" workbookViewId="0"/>
  </sheetViews>
  <sheetFormatPr defaultColWidth="8.85546875" defaultRowHeight="15" x14ac:dyDescent="0.25"/>
  <cols>
    <col min="2" max="2" width="2.42578125" customWidth="1"/>
    <col min="3" max="3" width="16.140625" customWidth="1"/>
    <col min="4" max="4" width="17.140625" bestFit="1" customWidth="1"/>
    <col min="5" max="5" width="9" customWidth="1"/>
    <col min="7" max="7" width="12" customWidth="1"/>
  </cols>
  <sheetData>
    <row r="2" spans="2:7" x14ac:dyDescent="0.25">
      <c r="B2" t="s">
        <v>20</v>
      </c>
    </row>
    <row r="5" spans="2:7" ht="15.75" thickBot="1" x14ac:dyDescent="0.3"/>
    <row r="6" spans="2:7" x14ac:dyDescent="0.25">
      <c r="B6" s="31" t="s">
        <v>33</v>
      </c>
      <c r="C6" s="32"/>
      <c r="D6" s="32"/>
      <c r="E6" s="32"/>
      <c r="F6" s="32"/>
      <c r="G6" s="33"/>
    </row>
    <row r="7" spans="2:7" ht="4.5" customHeight="1" thickBot="1" x14ac:dyDescent="0.3">
      <c r="B7" s="15"/>
      <c r="C7" s="16"/>
      <c r="D7" s="16"/>
      <c r="E7" s="16"/>
      <c r="F7" s="16"/>
      <c r="G7" s="17"/>
    </row>
    <row r="8" spans="2:7" x14ac:dyDescent="0.25">
      <c r="B8" s="8"/>
      <c r="C8" s="9"/>
      <c r="D8" s="82" t="s">
        <v>30</v>
      </c>
      <c r="E8" s="82" t="s">
        <v>29</v>
      </c>
      <c r="F8" s="9"/>
      <c r="G8" s="14"/>
    </row>
    <row r="9" spans="2:7" x14ac:dyDescent="0.25">
      <c r="B9" s="15"/>
      <c r="C9" s="16"/>
      <c r="D9" s="35">
        <v>1200</v>
      </c>
      <c r="E9" s="41">
        <f>_xlfn.XLOOKUP(D9,C14:C19,E14:E19,,-1)</f>
        <v>0.1</v>
      </c>
      <c r="F9" s="16"/>
      <c r="G9" s="17"/>
    </row>
    <row r="10" spans="2:7" ht="2.25" customHeight="1" x14ac:dyDescent="0.25">
      <c r="B10" s="15"/>
      <c r="C10" s="16"/>
      <c r="D10" s="16"/>
      <c r="E10" s="16"/>
      <c r="F10" s="16"/>
      <c r="G10" s="17"/>
    </row>
    <row r="11" spans="2:7" ht="2.25" customHeight="1" x14ac:dyDescent="0.25">
      <c r="B11" s="15"/>
      <c r="C11" s="16"/>
      <c r="D11" s="16"/>
      <c r="E11" s="16"/>
      <c r="F11" s="16"/>
      <c r="G11" s="17"/>
    </row>
    <row r="12" spans="2:7" x14ac:dyDescent="0.25">
      <c r="B12" s="15"/>
      <c r="C12" s="30" t="s">
        <v>21</v>
      </c>
      <c r="D12" s="16"/>
      <c r="E12" s="16"/>
      <c r="F12" s="16"/>
      <c r="G12" s="17"/>
    </row>
    <row r="13" spans="2:7" ht="30" x14ac:dyDescent="0.25">
      <c r="B13" s="15"/>
      <c r="C13" s="38" t="s">
        <v>31</v>
      </c>
      <c r="D13" s="38" t="s">
        <v>32</v>
      </c>
      <c r="E13" s="38" t="s">
        <v>29</v>
      </c>
      <c r="F13" s="16"/>
      <c r="G13" s="17"/>
    </row>
    <row r="14" spans="2:7" x14ac:dyDescent="0.25">
      <c r="B14" s="15"/>
      <c r="C14" s="34">
        <v>0</v>
      </c>
      <c r="D14" s="36" t="str">
        <f>DOLLAR(C14,0)&amp;" - "&amp;DOLLAR(C15-0.01)</f>
        <v>$0 - $299.99</v>
      </c>
      <c r="E14" s="39">
        <v>0</v>
      </c>
      <c r="F14" s="16"/>
      <c r="G14" s="17"/>
    </row>
    <row r="15" spans="2:7" x14ac:dyDescent="0.25">
      <c r="B15" s="15"/>
      <c r="C15" s="35">
        <v>300</v>
      </c>
      <c r="D15" s="37" t="str">
        <f t="shared" ref="D15:D18" si="0">DOLLAR(C15,0)&amp;" - "&amp;DOLLAR(C16-0.01)</f>
        <v>$300 - $599.99</v>
      </c>
      <c r="E15" s="40">
        <v>2.5000000000000001E-2</v>
      </c>
      <c r="F15" s="16"/>
      <c r="G15" s="17"/>
    </row>
    <row r="16" spans="2:7" x14ac:dyDescent="0.25">
      <c r="B16" s="15"/>
      <c r="C16" s="34">
        <v>600</v>
      </c>
      <c r="D16" s="36" t="str">
        <f t="shared" si="0"/>
        <v>$600 - $999.99</v>
      </c>
      <c r="E16" s="39">
        <v>7.0000000000000007E-2</v>
      </c>
      <c r="F16" s="16"/>
      <c r="G16" s="17"/>
    </row>
    <row r="17" spans="2:7" x14ac:dyDescent="0.25">
      <c r="B17" s="15"/>
      <c r="C17" s="44">
        <v>1000</v>
      </c>
      <c r="D17" s="37" t="str">
        <f t="shared" si="0"/>
        <v>$1,000 - $1,999.99</v>
      </c>
      <c r="E17" s="43">
        <v>0.1</v>
      </c>
      <c r="F17" s="16"/>
      <c r="G17" s="17"/>
    </row>
    <row r="18" spans="2:7" x14ac:dyDescent="0.25">
      <c r="B18" s="15"/>
      <c r="C18" s="34">
        <v>2000</v>
      </c>
      <c r="D18" s="36" t="str">
        <f t="shared" si="0"/>
        <v>$2,000 - $4,999.99</v>
      </c>
      <c r="E18" s="39">
        <v>0.15</v>
      </c>
      <c r="F18" s="16"/>
      <c r="G18" s="17"/>
    </row>
    <row r="19" spans="2:7" x14ac:dyDescent="0.25">
      <c r="B19" s="15"/>
      <c r="C19" s="35">
        <v>5000</v>
      </c>
      <c r="D19" s="37" t="str">
        <f>DOLLAR(C19,0)&amp;" or more"</f>
        <v>$5,000 or more</v>
      </c>
      <c r="E19" s="40">
        <v>0.2</v>
      </c>
      <c r="F19" s="16"/>
      <c r="G19" s="17"/>
    </row>
    <row r="20" spans="2:7" ht="9" customHeight="1" thickBot="1" x14ac:dyDescent="0.3">
      <c r="B20" s="20"/>
      <c r="C20" s="21"/>
      <c r="D20" s="21"/>
      <c r="E20" s="21"/>
      <c r="F20" s="21"/>
      <c r="G20" s="2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6A1B-CC18-473C-8905-C0964DCA6B48}">
  <sheetPr codeName="Sheet13">
    <tabColor rgb="FFFFFF00"/>
  </sheetPr>
  <dimension ref="B2:G20"/>
  <sheetViews>
    <sheetView showGridLines="0" zoomScale="145" zoomScaleNormal="145" workbookViewId="0"/>
  </sheetViews>
  <sheetFormatPr defaultColWidth="8.85546875" defaultRowHeight="15" x14ac:dyDescent="0.25"/>
  <cols>
    <col min="2" max="2" width="2.42578125" customWidth="1"/>
    <col min="3" max="3" width="16.140625" customWidth="1"/>
    <col min="4" max="4" width="17.140625" bestFit="1" customWidth="1"/>
    <col min="5" max="5" width="9" customWidth="1"/>
    <col min="7" max="7" width="12" customWidth="1"/>
  </cols>
  <sheetData>
    <row r="2" spans="2:7" x14ac:dyDescent="0.25">
      <c r="B2" t="s">
        <v>20</v>
      </c>
    </row>
    <row r="5" spans="2:7" ht="15.75" thickBot="1" x14ac:dyDescent="0.3"/>
    <row r="6" spans="2:7" x14ac:dyDescent="0.25">
      <c r="B6" s="31" t="s">
        <v>33</v>
      </c>
      <c r="C6" s="32"/>
      <c r="D6" s="32"/>
      <c r="E6" s="32"/>
      <c r="F6" s="32"/>
      <c r="G6" s="33"/>
    </row>
    <row r="7" spans="2:7" ht="4.5" customHeight="1" thickBot="1" x14ac:dyDescent="0.3">
      <c r="B7" s="15"/>
      <c r="C7" s="16"/>
      <c r="D7" s="16"/>
      <c r="E7" s="16"/>
      <c r="F7" s="16"/>
      <c r="G7" s="17"/>
    </row>
    <row r="8" spans="2:7" x14ac:dyDescent="0.25">
      <c r="B8" s="8"/>
      <c r="C8" s="9"/>
      <c r="D8" s="82" t="s">
        <v>30</v>
      </c>
      <c r="E8" s="82" t="s">
        <v>29</v>
      </c>
      <c r="F8" s="9"/>
      <c r="G8" s="14"/>
    </row>
    <row r="9" spans="2:7" x14ac:dyDescent="0.25">
      <c r="B9" s="15"/>
      <c r="C9" s="16"/>
      <c r="D9" s="35">
        <v>1200</v>
      </c>
      <c r="E9" s="41">
        <f>_xlfn.XLOOKUP(D9,C14:C19,E14:E19,,-1)</f>
        <v>0.1</v>
      </c>
      <c r="F9" s="16"/>
      <c r="G9" s="17"/>
    </row>
    <row r="10" spans="2:7" ht="3.75" customHeight="1" x14ac:dyDescent="0.25">
      <c r="B10" s="15"/>
      <c r="C10" s="16"/>
      <c r="D10" s="16"/>
      <c r="E10" s="16"/>
      <c r="F10" s="16"/>
      <c r="G10" s="17"/>
    </row>
    <row r="11" spans="2:7" ht="3.75" customHeight="1" x14ac:dyDescent="0.25">
      <c r="B11" s="15"/>
      <c r="C11" s="16"/>
      <c r="D11" s="16"/>
      <c r="E11" s="16"/>
      <c r="F11" s="16"/>
      <c r="G11" s="17"/>
    </row>
    <row r="12" spans="2:7" x14ac:dyDescent="0.25">
      <c r="B12" s="15"/>
      <c r="C12" s="30" t="s">
        <v>21</v>
      </c>
      <c r="D12" s="16"/>
      <c r="E12" s="16"/>
      <c r="F12" s="16"/>
      <c r="G12" s="17"/>
    </row>
    <row r="13" spans="2:7" ht="30" x14ac:dyDescent="0.25">
      <c r="B13" s="15"/>
      <c r="C13" s="38" t="s">
        <v>31</v>
      </c>
      <c r="D13" s="38" t="s">
        <v>32</v>
      </c>
      <c r="E13" s="38" t="s">
        <v>29</v>
      </c>
      <c r="F13" s="16"/>
      <c r="G13" s="17"/>
    </row>
    <row r="14" spans="2:7" x14ac:dyDescent="0.25">
      <c r="B14" s="15"/>
      <c r="C14" s="34">
        <v>0</v>
      </c>
      <c r="D14" s="36" t="str">
        <f>DOLLAR(C14,0)&amp;" - "&amp;DOLLAR(C15-0.01)</f>
        <v>$0 - $299.99</v>
      </c>
      <c r="E14" s="39">
        <v>0</v>
      </c>
      <c r="F14" s="16"/>
      <c r="G14" s="17"/>
    </row>
    <row r="15" spans="2:7" x14ac:dyDescent="0.25">
      <c r="B15" s="15"/>
      <c r="C15" s="35">
        <v>300</v>
      </c>
      <c r="D15" s="37" t="str">
        <f t="shared" ref="D15:D18" si="0">DOLLAR(C15,0)&amp;" - "&amp;DOLLAR(C16-0.01)</f>
        <v>$300 - $599.99</v>
      </c>
      <c r="E15" s="40">
        <v>2.5000000000000001E-2</v>
      </c>
      <c r="F15" s="16"/>
      <c r="G15" s="17"/>
    </row>
    <row r="16" spans="2:7" x14ac:dyDescent="0.25">
      <c r="B16" s="15"/>
      <c r="C16" s="34">
        <v>600</v>
      </c>
      <c r="D16" s="36" t="str">
        <f t="shared" si="0"/>
        <v>$600 - $999.99</v>
      </c>
      <c r="E16" s="39">
        <v>7.0000000000000007E-2</v>
      </c>
      <c r="F16" s="16"/>
      <c r="G16" s="17"/>
    </row>
    <row r="17" spans="2:7" x14ac:dyDescent="0.25">
      <c r="B17" s="15"/>
      <c r="C17" s="44">
        <v>1000</v>
      </c>
      <c r="D17" s="37" t="str">
        <f t="shared" si="0"/>
        <v>$1,000 - $1,999.99</v>
      </c>
      <c r="E17" s="43">
        <v>0.1</v>
      </c>
      <c r="F17" s="16"/>
      <c r="G17" s="17"/>
    </row>
    <row r="18" spans="2:7" x14ac:dyDescent="0.25">
      <c r="B18" s="15"/>
      <c r="C18" s="34">
        <v>2000</v>
      </c>
      <c r="D18" s="36" t="str">
        <f t="shared" si="0"/>
        <v>$2,000 - $4,999.99</v>
      </c>
      <c r="E18" s="39">
        <v>0.15</v>
      </c>
      <c r="F18" s="16"/>
      <c r="G18" s="17"/>
    </row>
    <row r="19" spans="2:7" x14ac:dyDescent="0.25">
      <c r="B19" s="15"/>
      <c r="C19" s="35">
        <v>5000</v>
      </c>
      <c r="D19" s="37" t="str">
        <f>DOLLAR(C19,0)&amp;" or more"</f>
        <v>$5,000 or more</v>
      </c>
      <c r="E19" s="40">
        <v>0.2</v>
      </c>
      <c r="F19" s="16"/>
      <c r="G19" s="17"/>
    </row>
    <row r="20" spans="2:7" ht="9" customHeight="1" thickBot="1" x14ac:dyDescent="0.3">
      <c r="B20" s="20"/>
      <c r="C20" s="21"/>
      <c r="D20" s="21"/>
      <c r="E20" s="21"/>
      <c r="F20" s="21"/>
      <c r="G20" s="22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677C-CFF4-44F0-B5B5-CAE7690C168A}">
  <sheetPr codeName="Sheet14">
    <tabColor rgb="FFFFFF00"/>
  </sheetPr>
  <dimension ref="B2:G20"/>
  <sheetViews>
    <sheetView showGridLines="0" zoomScale="145" zoomScaleNormal="145" workbookViewId="0"/>
  </sheetViews>
  <sheetFormatPr defaultColWidth="8.85546875" defaultRowHeight="15" x14ac:dyDescent="0.25"/>
  <cols>
    <col min="2" max="2" width="4.42578125" customWidth="1"/>
    <col min="3" max="3" width="16.140625" customWidth="1"/>
    <col min="4" max="4" width="17.140625" bestFit="1" customWidth="1"/>
    <col min="5" max="5" width="9" customWidth="1"/>
    <col min="7" max="7" width="19.42578125" customWidth="1"/>
  </cols>
  <sheetData>
    <row r="2" spans="2:7" x14ac:dyDescent="0.25">
      <c r="B2" t="s">
        <v>20</v>
      </c>
    </row>
    <row r="5" spans="2:7" ht="15.75" thickBot="1" x14ac:dyDescent="0.3"/>
    <row r="6" spans="2:7" x14ac:dyDescent="0.25">
      <c r="B6" s="31" t="s">
        <v>33</v>
      </c>
      <c r="C6" s="32"/>
      <c r="D6" s="32"/>
      <c r="E6" s="32"/>
      <c r="F6" s="32"/>
      <c r="G6" s="33"/>
    </row>
    <row r="7" spans="2:7" ht="9.75" customHeight="1" x14ac:dyDescent="0.25">
      <c r="B7" s="15"/>
      <c r="C7" s="16"/>
      <c r="D7" s="16"/>
      <c r="E7" s="16"/>
      <c r="F7" s="16"/>
      <c r="G7" s="17"/>
    </row>
    <row r="8" spans="2:7" x14ac:dyDescent="0.25">
      <c r="B8" s="15"/>
      <c r="C8" s="16"/>
      <c r="D8" s="6" t="s">
        <v>30</v>
      </c>
      <c r="E8" s="6" t="s">
        <v>29</v>
      </c>
      <c r="F8" s="16"/>
      <c r="G8" s="17"/>
    </row>
    <row r="9" spans="2:7" x14ac:dyDescent="0.25">
      <c r="B9" s="15"/>
      <c r="C9" s="16"/>
      <c r="D9" s="35">
        <v>1200</v>
      </c>
      <c r="E9" s="41">
        <f>_xlfn.XLOOKUP(D9,C14:C19,E14:E19,,-1)</f>
        <v>0.1</v>
      </c>
      <c r="F9" s="16"/>
      <c r="G9" s="17"/>
    </row>
    <row r="10" spans="2:7" x14ac:dyDescent="0.25">
      <c r="B10" s="15"/>
      <c r="C10" s="16"/>
      <c r="D10" s="16"/>
      <c r="E10" s="16"/>
      <c r="F10" s="16"/>
      <c r="G10" s="17"/>
    </row>
    <row r="11" spans="2:7" x14ac:dyDescent="0.25">
      <c r="B11" s="15"/>
      <c r="D11" s="16"/>
      <c r="E11" s="16"/>
      <c r="F11" s="16"/>
      <c r="G11" s="17"/>
    </row>
    <row r="12" spans="2:7" x14ac:dyDescent="0.25">
      <c r="B12" s="15"/>
      <c r="C12" s="30" t="s">
        <v>21</v>
      </c>
      <c r="D12" s="16"/>
      <c r="E12" s="16"/>
      <c r="F12" s="16"/>
      <c r="G12" s="17"/>
    </row>
    <row r="13" spans="2:7" ht="30" x14ac:dyDescent="0.25">
      <c r="B13" s="15"/>
      <c r="C13" s="38" t="s">
        <v>31</v>
      </c>
      <c r="D13" s="38" t="s">
        <v>32</v>
      </c>
      <c r="E13" s="38" t="s">
        <v>29</v>
      </c>
      <c r="F13" s="16"/>
      <c r="G13" s="17"/>
    </row>
    <row r="14" spans="2:7" x14ac:dyDescent="0.25">
      <c r="B14" s="15"/>
      <c r="C14" s="34">
        <v>0</v>
      </c>
      <c r="D14" s="36" t="str">
        <f>DOLLAR(C14,0)&amp;" - "&amp;DOLLAR(C15-0.01)</f>
        <v>$0 - $299.99</v>
      </c>
      <c r="E14" s="39">
        <v>0</v>
      </c>
      <c r="F14" s="16"/>
      <c r="G14" s="17"/>
    </row>
    <row r="15" spans="2:7" x14ac:dyDescent="0.25">
      <c r="B15" s="15"/>
      <c r="C15" s="35">
        <v>300</v>
      </c>
      <c r="D15" s="37" t="str">
        <f t="shared" ref="D15:D18" si="0">DOLLAR(C15,0)&amp;" - "&amp;DOLLAR(C16-0.01)</f>
        <v>$300 - $599.99</v>
      </c>
      <c r="E15" s="40">
        <v>2.5000000000000001E-2</v>
      </c>
      <c r="F15" s="16"/>
      <c r="G15" s="17"/>
    </row>
    <row r="16" spans="2:7" x14ac:dyDescent="0.25">
      <c r="B16" s="15"/>
      <c r="C16" s="34">
        <v>600</v>
      </c>
      <c r="D16" s="36" t="str">
        <f t="shared" si="0"/>
        <v>$600 - $999.99</v>
      </c>
      <c r="E16" s="39">
        <v>7.0000000000000007E-2</v>
      </c>
      <c r="F16" s="16"/>
      <c r="G16" s="17"/>
    </row>
    <row r="17" spans="2:7" x14ac:dyDescent="0.25">
      <c r="B17" s="15"/>
      <c r="C17" s="42">
        <v>1000</v>
      </c>
      <c r="D17" s="37" t="str">
        <f t="shared" si="0"/>
        <v>$1,000 - $1,999.99</v>
      </c>
      <c r="E17" s="43">
        <v>0.1</v>
      </c>
      <c r="F17" s="16"/>
      <c r="G17" s="17"/>
    </row>
    <row r="18" spans="2:7" x14ac:dyDescent="0.25">
      <c r="B18" s="15"/>
      <c r="C18" s="34">
        <v>2000</v>
      </c>
      <c r="D18" s="36" t="str">
        <f t="shared" si="0"/>
        <v>$2,000 - $4,999.99</v>
      </c>
      <c r="E18" s="39">
        <v>0.15</v>
      </c>
      <c r="F18" s="16"/>
      <c r="G18" s="17"/>
    </row>
    <row r="19" spans="2:7" x14ac:dyDescent="0.25">
      <c r="B19" s="15"/>
      <c r="C19" s="35">
        <v>5000</v>
      </c>
      <c r="D19" s="37" t="str">
        <f>DOLLAR(C19,0)&amp;" or more"</f>
        <v>$5,000 or more</v>
      </c>
      <c r="E19" s="40">
        <v>0.2</v>
      </c>
      <c r="F19" s="16"/>
      <c r="G19" s="17"/>
    </row>
    <row r="20" spans="2:7" ht="38.25" customHeight="1" thickBot="1" x14ac:dyDescent="0.3">
      <c r="B20" s="20"/>
      <c r="C20" s="21"/>
      <c r="D20" s="21"/>
      <c r="E20" s="21"/>
      <c r="F20" s="21"/>
      <c r="G20" s="2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25D9-0A2D-491B-A8F7-DEDC226F8734}">
  <sheetPr codeName="Sheet15">
    <tabColor rgb="FFFFFF00"/>
  </sheetPr>
  <dimension ref="C1:Y39"/>
  <sheetViews>
    <sheetView showGridLines="0" zoomScale="85" zoomScaleNormal="85" workbookViewId="0"/>
  </sheetViews>
  <sheetFormatPr defaultColWidth="8.85546875" defaultRowHeight="15" x14ac:dyDescent="0.25"/>
  <cols>
    <col min="2" max="2" width="4.42578125" customWidth="1"/>
    <col min="3" max="3" width="5.42578125" customWidth="1"/>
    <col min="18" max="18" width="5.140625" customWidth="1"/>
    <col min="25" max="25" width="27.85546875" customWidth="1"/>
  </cols>
  <sheetData>
    <row r="1" spans="3:20" ht="4.5" customHeight="1" thickBot="1" x14ac:dyDescent="0.3"/>
    <row r="2" spans="3:20" ht="18" thickBot="1" x14ac:dyDescent="0.35">
      <c r="C2" s="46"/>
      <c r="D2" s="48">
        <v>1</v>
      </c>
      <c r="E2" s="47"/>
      <c r="F2" s="49">
        <v>2</v>
      </c>
      <c r="G2" s="47"/>
      <c r="H2" s="50">
        <v>3</v>
      </c>
      <c r="I2" s="47"/>
      <c r="J2" s="51">
        <v>4</v>
      </c>
      <c r="K2" s="47"/>
      <c r="L2" s="52">
        <v>5</v>
      </c>
      <c r="M2" s="47"/>
      <c r="N2" s="81">
        <v>6</v>
      </c>
      <c r="P2" s="74"/>
      <c r="Q2" s="74"/>
      <c r="R2" s="74"/>
      <c r="S2" s="74"/>
      <c r="T2" s="74"/>
    </row>
    <row r="3" spans="3:20" ht="18" thickBot="1" x14ac:dyDescent="0.35">
      <c r="C3" s="76" t="s">
        <v>45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P3" s="74"/>
      <c r="Q3" s="74"/>
      <c r="R3" s="74"/>
      <c r="S3" s="74"/>
      <c r="T3" s="74"/>
    </row>
    <row r="4" spans="3:20" ht="17.25" x14ac:dyDescent="0.3">
      <c r="C4" s="58">
        <v>1</v>
      </c>
      <c r="D4" s="77" t="s">
        <v>46</v>
      </c>
      <c r="E4" s="56"/>
      <c r="F4" s="56"/>
      <c r="G4" s="56"/>
      <c r="H4" s="56"/>
      <c r="I4" s="56"/>
      <c r="J4" s="56"/>
      <c r="K4" s="56"/>
      <c r="L4" s="56"/>
      <c r="M4" s="56"/>
      <c r="N4" s="57"/>
      <c r="P4" s="74"/>
      <c r="Q4" s="74"/>
      <c r="R4" s="74"/>
      <c r="S4" s="74"/>
      <c r="T4" s="74"/>
    </row>
    <row r="5" spans="3:20" ht="17.25" x14ac:dyDescent="0.3">
      <c r="C5" s="59">
        <v>2</v>
      </c>
      <c r="D5" s="77" t="s">
        <v>47</v>
      </c>
      <c r="E5" s="56"/>
      <c r="F5" s="56"/>
      <c r="G5" s="56"/>
      <c r="H5" s="56"/>
      <c r="I5" s="56"/>
      <c r="J5" s="56"/>
      <c r="K5" s="56"/>
      <c r="L5" s="56"/>
      <c r="M5" s="56"/>
      <c r="N5" s="57"/>
      <c r="P5" s="74"/>
      <c r="Q5" s="74"/>
      <c r="R5" s="74"/>
      <c r="S5" s="74"/>
      <c r="T5" s="74"/>
    </row>
    <row r="6" spans="3:20" ht="17.25" x14ac:dyDescent="0.3">
      <c r="C6" s="60">
        <v>3</v>
      </c>
      <c r="D6" s="77" t="s">
        <v>48</v>
      </c>
      <c r="E6" s="56"/>
      <c r="F6" s="56"/>
      <c r="G6" s="56"/>
      <c r="H6" s="56"/>
      <c r="I6" s="56"/>
      <c r="J6" s="56"/>
      <c r="K6" s="56"/>
      <c r="L6" s="56"/>
      <c r="M6" s="56"/>
      <c r="N6" s="57"/>
      <c r="P6" s="74"/>
      <c r="Q6" s="74"/>
      <c r="R6" s="74"/>
      <c r="S6" s="74"/>
      <c r="T6" s="74"/>
    </row>
    <row r="7" spans="3:20" ht="17.25" x14ac:dyDescent="0.3">
      <c r="C7" s="79"/>
      <c r="D7" s="80" t="s">
        <v>51</v>
      </c>
      <c r="E7" s="56"/>
      <c r="F7" s="56"/>
      <c r="G7" s="56"/>
      <c r="H7" s="56"/>
      <c r="I7" s="56"/>
      <c r="J7" s="56"/>
      <c r="K7" s="56"/>
      <c r="L7" s="56"/>
      <c r="M7" s="56"/>
      <c r="N7" s="57"/>
      <c r="P7" s="74"/>
      <c r="Q7" s="74"/>
      <c r="R7" s="74"/>
      <c r="S7" s="74"/>
      <c r="T7" s="74"/>
    </row>
    <row r="8" spans="3:20" ht="17.25" x14ac:dyDescent="0.3">
      <c r="C8" s="61">
        <v>4</v>
      </c>
      <c r="D8" s="77" t="s">
        <v>49</v>
      </c>
      <c r="E8" s="56"/>
      <c r="F8" s="56"/>
      <c r="G8" s="56"/>
      <c r="H8" s="56"/>
      <c r="I8" s="56"/>
      <c r="J8" s="56"/>
      <c r="K8" s="56"/>
      <c r="L8" s="56"/>
      <c r="M8" s="56"/>
      <c r="N8" s="57"/>
      <c r="P8" s="74"/>
      <c r="Q8" s="74"/>
      <c r="R8" s="74"/>
      <c r="S8" s="74"/>
      <c r="T8" s="74"/>
    </row>
    <row r="9" spans="3:20" ht="17.25" x14ac:dyDescent="0.3">
      <c r="C9" s="62">
        <v>5</v>
      </c>
      <c r="D9" s="78" t="s">
        <v>50</v>
      </c>
      <c r="E9" s="56"/>
      <c r="F9" s="56"/>
      <c r="G9" s="56"/>
      <c r="H9" s="56"/>
      <c r="I9" s="56"/>
      <c r="J9" s="56"/>
      <c r="K9" s="56"/>
      <c r="L9" s="56"/>
      <c r="M9" s="56"/>
      <c r="N9" s="57"/>
      <c r="P9" s="74"/>
      <c r="Q9" s="74"/>
      <c r="R9" s="74"/>
      <c r="S9" s="74"/>
      <c r="T9" s="74"/>
    </row>
    <row r="10" spans="3:20" ht="229.5" customHeight="1" x14ac:dyDescent="0.3">
      <c r="C10" s="55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P10" s="74"/>
      <c r="Q10" s="74"/>
      <c r="R10" s="74"/>
      <c r="S10" s="74"/>
      <c r="T10" s="74"/>
    </row>
    <row r="11" spans="3:20" ht="17.25" x14ac:dyDescent="0.3">
      <c r="C11" s="69">
        <v>6</v>
      </c>
      <c r="D11" s="75" t="s">
        <v>0</v>
      </c>
      <c r="E11" s="56"/>
      <c r="F11" s="56"/>
      <c r="G11" s="56"/>
      <c r="H11" s="56"/>
      <c r="I11" s="56"/>
      <c r="J11" s="56"/>
      <c r="K11" s="56"/>
      <c r="L11" s="56"/>
      <c r="M11" s="56"/>
      <c r="N11" s="57"/>
      <c r="P11" s="74"/>
      <c r="Q11" s="74"/>
      <c r="R11" s="74"/>
      <c r="S11" s="74"/>
      <c r="T11" s="74"/>
    </row>
    <row r="12" spans="3:20" ht="17.25" x14ac:dyDescent="0.3">
      <c r="C12" s="55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P12" s="74"/>
      <c r="Q12" s="74"/>
      <c r="R12" s="74"/>
      <c r="S12" s="74"/>
      <c r="T12" s="74"/>
    </row>
    <row r="13" spans="3:20" ht="17.25" x14ac:dyDescent="0.3"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P13" s="74"/>
      <c r="Q13" s="74"/>
      <c r="R13" s="74"/>
      <c r="S13" s="74"/>
      <c r="T13" s="74"/>
    </row>
    <row r="14" spans="3:20" ht="17.25" x14ac:dyDescent="0.3">
      <c r="C14" s="55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P14" s="74"/>
      <c r="Q14" s="74"/>
      <c r="R14" s="74"/>
      <c r="S14" s="74"/>
      <c r="T14" s="74"/>
    </row>
    <row r="15" spans="3:20" ht="17.25" x14ac:dyDescent="0.3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P15" s="74"/>
      <c r="Q15" s="74"/>
      <c r="R15" s="74"/>
      <c r="S15" s="74"/>
      <c r="T15" s="74"/>
    </row>
    <row r="16" spans="3:20" ht="17.25" x14ac:dyDescent="0.3">
      <c r="C16" s="55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P16" s="74"/>
      <c r="Q16" s="74"/>
      <c r="R16" s="74"/>
      <c r="S16" s="74"/>
      <c r="T16" s="74"/>
    </row>
    <row r="17" spans="3:25" ht="17.25" x14ac:dyDescent="0.3">
      <c r="C17" s="55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P17" s="74"/>
      <c r="Q17" s="74"/>
      <c r="R17" s="74"/>
      <c r="S17" s="74"/>
      <c r="T17" s="74"/>
    </row>
    <row r="18" spans="3:25" ht="17.25" x14ac:dyDescent="0.3">
      <c r="C18" s="55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P18" s="74"/>
      <c r="Q18" s="74"/>
      <c r="R18" s="74"/>
      <c r="S18" s="74"/>
      <c r="T18" s="74"/>
    </row>
    <row r="19" spans="3:25" ht="17.25" x14ac:dyDescent="0.3">
      <c r="C19" s="55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P19" s="74"/>
      <c r="Q19" s="74"/>
      <c r="R19" s="74"/>
      <c r="S19" s="74"/>
      <c r="T19" s="74"/>
    </row>
    <row r="20" spans="3:25" ht="17.25" x14ac:dyDescent="0.3">
      <c r="C20" s="55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P20" s="74"/>
      <c r="Q20" s="74"/>
      <c r="R20" s="74"/>
      <c r="S20" s="74"/>
      <c r="T20" s="74"/>
    </row>
    <row r="21" spans="3:25" ht="17.25" x14ac:dyDescent="0.3">
      <c r="C21" s="55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P21" s="74"/>
      <c r="Q21" s="74"/>
      <c r="R21" s="74"/>
      <c r="S21" s="74"/>
      <c r="T21" s="74"/>
    </row>
    <row r="22" spans="3:25" ht="17.25" x14ac:dyDescent="0.3"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P22" s="74"/>
      <c r="Q22" s="74"/>
      <c r="R22" s="74"/>
      <c r="S22" s="74"/>
      <c r="T22" s="74"/>
    </row>
    <row r="23" spans="3:25" ht="17.25" x14ac:dyDescent="0.3">
      <c r="C23" s="55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P23" s="74"/>
      <c r="Q23" s="74"/>
      <c r="R23" s="74"/>
      <c r="S23" s="74"/>
      <c r="T23" s="74"/>
    </row>
    <row r="24" spans="3:25" ht="17.25" x14ac:dyDescent="0.3">
      <c r="C24" s="55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P24" s="74"/>
      <c r="Q24" s="74"/>
      <c r="R24" s="74"/>
      <c r="S24" s="74"/>
      <c r="T24" s="74"/>
    </row>
    <row r="25" spans="3:25" ht="22.5" customHeight="1" thickBot="1" x14ac:dyDescent="0.35"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3"/>
      <c r="P25" s="74"/>
      <c r="Q25" s="74"/>
      <c r="R25" s="74"/>
      <c r="S25" s="74"/>
      <c r="T25" s="74"/>
    </row>
    <row r="26" spans="3:25" x14ac:dyDescent="0.25"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3:25" s="3" customFormat="1" ht="18.75" x14ac:dyDescent="0.3">
      <c r="C27" s="63" t="s">
        <v>37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5"/>
      <c r="X27"/>
      <c r="Y27"/>
    </row>
    <row r="28" spans="3:25" s="3" customFormat="1" ht="18.75" x14ac:dyDescent="0.3">
      <c r="C28" s="66" t="s">
        <v>38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8"/>
      <c r="X28"/>
      <c r="Y28"/>
    </row>
    <row r="29" spans="3:25" s="3" customFormat="1" ht="18.75" x14ac:dyDescent="0.3">
      <c r="C29" s="63" t="s">
        <v>39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5"/>
      <c r="X29"/>
      <c r="Y29"/>
    </row>
    <row r="30" spans="3:25" ht="17.25" x14ac:dyDescent="0.3">
      <c r="C30" s="63" t="s">
        <v>40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5"/>
    </row>
    <row r="31" spans="3:25" x14ac:dyDescent="0.25"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</row>
    <row r="32" spans="3:25" ht="17.25" x14ac:dyDescent="0.3">
      <c r="C32" s="55"/>
      <c r="D32" s="63" t="s">
        <v>41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5"/>
    </row>
    <row r="33" spans="3:23" ht="17.25" x14ac:dyDescent="0.3">
      <c r="C33" s="55"/>
      <c r="D33" s="70" t="s">
        <v>42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5"/>
    </row>
    <row r="34" spans="3:23" ht="17.25" x14ac:dyDescent="0.3">
      <c r="C34" s="55"/>
      <c r="D34" s="63" t="s">
        <v>43</v>
      </c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5"/>
    </row>
    <row r="35" spans="3:23" ht="17.25" x14ac:dyDescent="0.3">
      <c r="C35" s="55"/>
      <c r="D35" s="63" t="s">
        <v>44</v>
      </c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5"/>
    </row>
    <row r="36" spans="3:23" x14ac:dyDescent="0.25"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</row>
    <row r="37" spans="3:23" x14ac:dyDescent="0.25"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</row>
    <row r="38" spans="3:23" x14ac:dyDescent="0.25"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</row>
    <row r="39" spans="3:23" x14ac:dyDescent="0.25"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F71E-C065-4882-8FD2-FB71853DBE51}">
  <sheetPr codeName="Sheet16">
    <tabColor rgb="FF0000FF"/>
  </sheetPr>
  <dimension ref="A1:G15"/>
  <sheetViews>
    <sheetView zoomScale="115" zoomScaleNormal="115" workbookViewId="0"/>
  </sheetViews>
  <sheetFormatPr defaultColWidth="8.85546875" defaultRowHeight="15" x14ac:dyDescent="0.25"/>
  <cols>
    <col min="1" max="1" width="3" bestFit="1" customWidth="1"/>
    <col min="2" max="2" width="12.28515625" customWidth="1"/>
    <col min="3" max="3" width="10" customWidth="1"/>
    <col min="4" max="4" width="9" customWidth="1"/>
    <col min="6" max="6" width="9.140625" customWidth="1"/>
    <col min="7" max="7" width="4.85546875" customWidth="1"/>
  </cols>
  <sheetData>
    <row r="1" spans="1:7" ht="3.75" customHeight="1" x14ac:dyDescent="0.25"/>
    <row r="2" spans="1:7" x14ac:dyDescent="0.25">
      <c r="A2" s="4" t="s">
        <v>1</v>
      </c>
      <c r="B2" t="s">
        <v>666</v>
      </c>
      <c r="G2" s="16"/>
    </row>
    <row r="3" spans="1:7" x14ac:dyDescent="0.25">
      <c r="A3" s="4" t="s">
        <v>52</v>
      </c>
      <c r="B3" s="16"/>
      <c r="C3" s="16"/>
      <c r="D3" s="16"/>
      <c r="E3" s="16"/>
      <c r="F3" s="16"/>
      <c r="G3" s="16"/>
    </row>
    <row r="4" spans="1:7" x14ac:dyDescent="0.25">
      <c r="B4" s="83" t="s">
        <v>7</v>
      </c>
      <c r="C4" s="83" t="s">
        <v>9</v>
      </c>
      <c r="E4" s="4" t="str">
        <f>"Formula in "&amp;ADDRESS(ROW(C5),COLUMN(C5),4)&amp;":"</f>
        <v>Formula in C5:</v>
      </c>
      <c r="F4" s="16"/>
      <c r="G4" s="16"/>
    </row>
    <row r="5" spans="1:7" x14ac:dyDescent="0.25">
      <c r="B5" s="5" t="s">
        <v>10</v>
      </c>
      <c r="C5" s="7">
        <f>_xlfn.XLOOKUP(B5,ProductTable[Product],ProductTable[Price])</f>
        <v>43.95</v>
      </c>
      <c r="E5" s="74" t="str">
        <f ca="1">_xlfn.IFNA(_xlfn.FORMULATEXT(C5),"")</f>
        <v>=XLOOKUP(B5,ProductTable[Product],ProductTable[Price])</v>
      </c>
      <c r="F5" s="16"/>
      <c r="G5" s="16"/>
    </row>
    <row r="6" spans="1:7" ht="4.5" customHeight="1" x14ac:dyDescent="0.25">
      <c r="B6" s="16"/>
      <c r="C6" s="16"/>
      <c r="D6" s="16"/>
      <c r="E6" s="16"/>
      <c r="F6" s="16"/>
      <c r="G6" s="16"/>
    </row>
    <row r="7" spans="1:7" x14ac:dyDescent="0.25">
      <c r="B7" s="16" t="s">
        <v>21</v>
      </c>
      <c r="C7" s="16"/>
      <c r="D7" s="16"/>
      <c r="E7" s="16"/>
      <c r="F7" s="16"/>
      <c r="G7" s="16"/>
    </row>
    <row r="8" spans="1:7" ht="4.5" customHeight="1" x14ac:dyDescent="0.25">
      <c r="B8" s="16"/>
      <c r="C8" s="16"/>
      <c r="D8" s="16"/>
      <c r="E8" s="16"/>
      <c r="F8" s="16"/>
      <c r="G8" s="16"/>
    </row>
    <row r="9" spans="1:7" x14ac:dyDescent="0.25">
      <c r="B9" s="88" t="s">
        <v>6</v>
      </c>
      <c r="C9" s="89" t="s">
        <v>7</v>
      </c>
      <c r="D9" s="89" t="s">
        <v>8</v>
      </c>
      <c r="E9" s="90" t="s">
        <v>9</v>
      </c>
      <c r="F9" s="16"/>
      <c r="G9" s="16"/>
    </row>
    <row r="10" spans="1:7" x14ac:dyDescent="0.25">
      <c r="B10" s="84" t="s">
        <v>16</v>
      </c>
      <c r="C10" s="25" t="s">
        <v>12</v>
      </c>
      <c r="D10" s="25">
        <v>14.55</v>
      </c>
      <c r="E10" s="86">
        <v>26.95</v>
      </c>
      <c r="F10" s="16"/>
    </row>
    <row r="11" spans="1:7" x14ac:dyDescent="0.25">
      <c r="B11" s="85" t="s">
        <v>15</v>
      </c>
      <c r="C11" s="26" t="s">
        <v>11</v>
      </c>
      <c r="D11" s="26">
        <v>11.18</v>
      </c>
      <c r="E11" s="87">
        <v>27.95</v>
      </c>
      <c r="F11" s="16"/>
    </row>
    <row r="12" spans="1:7" x14ac:dyDescent="0.25">
      <c r="B12" s="84" t="s">
        <v>19</v>
      </c>
      <c r="C12" s="25" t="s">
        <v>10</v>
      </c>
      <c r="D12" s="25">
        <v>19.34</v>
      </c>
      <c r="E12" s="86">
        <v>43.95</v>
      </c>
      <c r="F12" s="16"/>
    </row>
    <row r="13" spans="1:7" x14ac:dyDescent="0.25">
      <c r="B13" s="85" t="s">
        <v>18</v>
      </c>
      <c r="C13" s="26" t="s">
        <v>14</v>
      </c>
      <c r="D13" s="26">
        <v>11.25</v>
      </c>
      <c r="E13" s="87">
        <v>22.95</v>
      </c>
      <c r="F13" s="16"/>
    </row>
    <row r="14" spans="1:7" x14ac:dyDescent="0.25">
      <c r="B14" s="91" t="s">
        <v>17</v>
      </c>
      <c r="C14" s="92" t="s">
        <v>13</v>
      </c>
      <c r="D14" s="92">
        <v>12.88</v>
      </c>
      <c r="E14" s="93">
        <v>29.95</v>
      </c>
      <c r="F14" s="16"/>
    </row>
    <row r="15" spans="1:7" x14ac:dyDescent="0.25">
      <c r="B15" s="16"/>
      <c r="C15" s="16"/>
      <c r="D15" s="16"/>
      <c r="E15" s="16"/>
      <c r="F15" s="16"/>
    </row>
  </sheetData>
  <dataValidations count="1">
    <dataValidation type="list" allowBlank="1" showInputMessage="1" showErrorMessage="1" sqref="B5" xr:uid="{9877CB82-E58E-4177-ACC2-6D96F44ACAF8}">
      <formula1>$C$10:$C$14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7F45-66A5-47BD-B6F6-7C468C8C0F4D}">
  <sheetPr codeName="Sheet17">
    <tabColor rgb="FFFF0000"/>
  </sheetPr>
  <dimension ref="A1:G15"/>
  <sheetViews>
    <sheetView zoomScale="190" zoomScaleNormal="190" workbookViewId="0"/>
  </sheetViews>
  <sheetFormatPr defaultColWidth="8.85546875" defaultRowHeight="15" x14ac:dyDescent="0.25"/>
  <cols>
    <col min="1" max="1" width="3" bestFit="1" customWidth="1"/>
    <col min="2" max="2" width="12.28515625" customWidth="1"/>
    <col min="3" max="3" width="10" customWidth="1"/>
    <col min="4" max="4" width="9" customWidth="1"/>
    <col min="6" max="6" width="9.140625" customWidth="1"/>
    <col min="7" max="7" width="4.85546875" customWidth="1"/>
  </cols>
  <sheetData>
    <row r="1" spans="1:7" ht="3.75" customHeight="1" x14ac:dyDescent="0.25"/>
    <row r="2" spans="1:7" x14ac:dyDescent="0.25">
      <c r="A2" s="4" t="s">
        <v>1</v>
      </c>
      <c r="B2" t="s">
        <v>666</v>
      </c>
      <c r="G2" s="16"/>
    </row>
    <row r="3" spans="1:7" x14ac:dyDescent="0.25">
      <c r="A3" s="4" t="s">
        <v>52</v>
      </c>
      <c r="B3" s="16"/>
      <c r="C3" s="16"/>
      <c r="D3" s="16"/>
      <c r="E3" s="16"/>
      <c r="F3" s="16"/>
      <c r="G3" s="16"/>
    </row>
    <row r="4" spans="1:7" x14ac:dyDescent="0.25">
      <c r="B4" s="83" t="s">
        <v>7</v>
      </c>
      <c r="C4" s="83" t="s">
        <v>9</v>
      </c>
      <c r="E4" s="4" t="str">
        <f>"Formula in "&amp;ADDRESS(ROW(C5),COLUMN(C5),4)&amp;":"</f>
        <v>Formula in C5:</v>
      </c>
      <c r="F4" s="16"/>
      <c r="G4" s="16"/>
    </row>
    <row r="5" spans="1:7" x14ac:dyDescent="0.25">
      <c r="B5" s="5" t="s">
        <v>10</v>
      </c>
      <c r="C5" s="7">
        <f>_xlfn.XLOOKUP(B5,ProductTableAnswer[Product],ProductTableAnswer[Price])</f>
        <v>43.95</v>
      </c>
      <c r="E5" s="74" t="str">
        <f ca="1">_xlfn.IFNA(_xlfn.FORMULATEXT(C5),"")</f>
        <v>=XLOOKUP(B5,ProductTableAnswer[Product],ProductTableAnswer[Price])</v>
      </c>
      <c r="F5" s="16"/>
      <c r="G5" s="16"/>
    </row>
    <row r="6" spans="1:7" ht="4.5" customHeight="1" x14ac:dyDescent="0.25">
      <c r="B6" s="16"/>
      <c r="C6" s="16"/>
      <c r="D6" s="16"/>
      <c r="E6" s="16"/>
      <c r="F6" s="16"/>
      <c r="G6" s="16"/>
    </row>
    <row r="7" spans="1:7" x14ac:dyDescent="0.25">
      <c r="B7" s="16" t="s">
        <v>21</v>
      </c>
      <c r="C7" s="16"/>
      <c r="D7" s="16"/>
      <c r="E7" s="16"/>
      <c r="F7" s="16"/>
      <c r="G7" s="16"/>
    </row>
    <row r="8" spans="1:7" ht="4.5" customHeight="1" x14ac:dyDescent="0.25">
      <c r="B8" s="16"/>
      <c r="C8" s="16"/>
      <c r="D8" s="16"/>
      <c r="E8" s="16"/>
      <c r="F8" s="16"/>
      <c r="G8" s="16"/>
    </row>
    <row r="9" spans="1:7" x14ac:dyDescent="0.25">
      <c r="B9" s="88" t="s">
        <v>6</v>
      </c>
      <c r="C9" s="89" t="s">
        <v>7</v>
      </c>
      <c r="D9" s="89" t="s">
        <v>8</v>
      </c>
      <c r="E9" s="90" t="s">
        <v>9</v>
      </c>
      <c r="F9" s="16"/>
      <c r="G9" s="16"/>
    </row>
    <row r="10" spans="1:7" x14ac:dyDescent="0.25">
      <c r="B10" s="84" t="s">
        <v>16</v>
      </c>
      <c r="C10" s="25" t="s">
        <v>12</v>
      </c>
      <c r="D10" s="25">
        <v>14.55</v>
      </c>
      <c r="E10" s="86">
        <v>26.95</v>
      </c>
      <c r="F10" s="16"/>
    </row>
    <row r="11" spans="1:7" x14ac:dyDescent="0.25">
      <c r="B11" s="85" t="s">
        <v>15</v>
      </c>
      <c r="C11" s="26" t="s">
        <v>11</v>
      </c>
      <c r="D11" s="26">
        <v>11.18</v>
      </c>
      <c r="E11" s="87">
        <v>27.95</v>
      </c>
      <c r="F11" s="16"/>
    </row>
    <row r="12" spans="1:7" x14ac:dyDescent="0.25">
      <c r="B12" s="84" t="s">
        <v>19</v>
      </c>
      <c r="C12" s="25" t="s">
        <v>10</v>
      </c>
      <c r="D12" s="25">
        <v>19.34</v>
      </c>
      <c r="E12" s="86">
        <v>43.95</v>
      </c>
      <c r="F12" s="16"/>
    </row>
    <row r="13" spans="1:7" x14ac:dyDescent="0.25">
      <c r="B13" s="85" t="s">
        <v>18</v>
      </c>
      <c r="C13" s="26" t="s">
        <v>14</v>
      </c>
      <c r="D13" s="26">
        <v>11.25</v>
      </c>
      <c r="E13" s="87">
        <v>22.95</v>
      </c>
      <c r="F13" s="16"/>
    </row>
    <row r="14" spans="1:7" x14ac:dyDescent="0.25">
      <c r="B14" s="91" t="s">
        <v>17</v>
      </c>
      <c r="C14" s="92" t="s">
        <v>13</v>
      </c>
      <c r="D14" s="92">
        <v>12.88</v>
      </c>
      <c r="E14" s="93">
        <v>29.95</v>
      </c>
      <c r="F14" s="16"/>
    </row>
    <row r="15" spans="1:7" x14ac:dyDescent="0.25">
      <c r="B15" s="16"/>
      <c r="C15" s="16"/>
      <c r="D15" s="16"/>
      <c r="E15" s="16"/>
      <c r="F15" s="16"/>
    </row>
  </sheetData>
  <dataValidations count="1">
    <dataValidation type="list" allowBlank="1" showInputMessage="1" showErrorMessage="1" sqref="B5" xr:uid="{D38CA39A-3B5E-4D7B-ACE7-5FF532C624D5}">
      <formula1>$C$10:$C$14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8252-B39D-4F07-B735-98235A780792}">
  <sheetPr codeName="Sheet18">
    <tabColor rgb="FF0000FF"/>
  </sheetPr>
  <dimension ref="A1:F16"/>
  <sheetViews>
    <sheetView zoomScale="175" zoomScaleNormal="175" workbookViewId="0"/>
  </sheetViews>
  <sheetFormatPr defaultColWidth="8.85546875" defaultRowHeight="15" x14ac:dyDescent="0.25"/>
  <cols>
    <col min="1" max="1" width="3" bestFit="1" customWidth="1"/>
    <col min="2" max="2" width="14.140625" customWidth="1"/>
    <col min="3" max="3" width="17.28515625" customWidth="1"/>
    <col min="4" max="4" width="9.42578125" customWidth="1"/>
    <col min="6" max="6" width="6.28515625" customWidth="1"/>
  </cols>
  <sheetData>
    <row r="1" spans="1:6" ht="3.75" customHeight="1" x14ac:dyDescent="0.25"/>
    <row r="2" spans="1:6" x14ac:dyDescent="0.25">
      <c r="A2" s="4" t="s">
        <v>1</v>
      </c>
      <c r="B2" t="s">
        <v>53</v>
      </c>
    </row>
    <row r="3" spans="1:6" x14ac:dyDescent="0.25">
      <c r="A3" s="4" t="s">
        <v>52</v>
      </c>
    </row>
    <row r="4" spans="1:6" x14ac:dyDescent="0.25">
      <c r="B4" s="6" t="s">
        <v>54</v>
      </c>
      <c r="C4" s="6" t="s">
        <v>56</v>
      </c>
      <c r="D4" s="16"/>
      <c r="E4" s="4" t="str">
        <f>"Formula in "&amp;ADDRESS(ROW(C5),COLUMN(C5),4)&amp;":"</f>
        <v>Formula in C5:</v>
      </c>
      <c r="F4" s="16"/>
    </row>
    <row r="5" spans="1:6" x14ac:dyDescent="0.25">
      <c r="B5" s="35">
        <v>1200</v>
      </c>
      <c r="C5" s="41"/>
      <c r="D5" s="16"/>
      <c r="E5" s="74" t="str">
        <f ca="1">_xlfn.IFNA(_xlfn.FORMULATEXT(C5),"")</f>
        <v/>
      </c>
      <c r="F5" s="16"/>
    </row>
    <row r="6" spans="1:6" ht="3.75" customHeight="1" x14ac:dyDescent="0.25">
      <c r="B6" s="16"/>
      <c r="C6" s="16"/>
      <c r="D6" s="16"/>
      <c r="E6" s="16"/>
      <c r="F6" s="16"/>
    </row>
    <row r="7" spans="1:6" x14ac:dyDescent="0.25">
      <c r="B7" s="30" t="s">
        <v>21</v>
      </c>
      <c r="C7" s="16"/>
      <c r="D7" s="16"/>
      <c r="E7" s="16"/>
      <c r="F7" s="16"/>
    </row>
    <row r="8" spans="1:6" ht="3.75" customHeight="1" x14ac:dyDescent="0.25">
      <c r="B8" s="16"/>
      <c r="C8" s="16"/>
      <c r="D8" s="16"/>
      <c r="E8" s="16"/>
      <c r="F8" s="16"/>
    </row>
    <row r="9" spans="1:6" x14ac:dyDescent="0.25">
      <c r="B9" s="100" t="s">
        <v>54</v>
      </c>
      <c r="C9" s="101" t="s">
        <v>55</v>
      </c>
      <c r="D9" s="102" t="s">
        <v>56</v>
      </c>
      <c r="E9" s="16"/>
      <c r="F9" s="16"/>
    </row>
    <row r="10" spans="1:6" x14ac:dyDescent="0.25">
      <c r="B10" s="94">
        <v>0</v>
      </c>
      <c r="C10" s="36" t="str">
        <f>DOLLAR(B10,0)&amp;" - "&amp;DOLLAR(B11-0.01)</f>
        <v>$0 - $299.99</v>
      </c>
      <c r="D10" s="97">
        <v>0</v>
      </c>
      <c r="E10" s="16"/>
      <c r="F10" s="16"/>
    </row>
    <row r="11" spans="1:6" x14ac:dyDescent="0.25">
      <c r="B11" s="95">
        <v>300</v>
      </c>
      <c r="C11" s="37" t="str">
        <f t="shared" ref="C11:C14" si="0">DOLLAR(B11,0)&amp;" - "&amp;DOLLAR(B12-0.01)</f>
        <v>$300 - $599.99</v>
      </c>
      <c r="D11" s="98">
        <v>2.5000000000000001E-2</v>
      </c>
      <c r="E11" s="16"/>
      <c r="F11" s="16"/>
    </row>
    <row r="12" spans="1:6" x14ac:dyDescent="0.25">
      <c r="B12" s="94">
        <v>600</v>
      </c>
      <c r="C12" s="36" t="str">
        <f t="shared" si="0"/>
        <v>$600 - $999.99</v>
      </c>
      <c r="D12" s="97">
        <v>7.0000000000000007E-2</v>
      </c>
      <c r="E12" s="16"/>
      <c r="F12" s="16"/>
    </row>
    <row r="13" spans="1:6" x14ac:dyDescent="0.25">
      <c r="B13" s="96">
        <v>1000</v>
      </c>
      <c r="C13" s="37" t="str">
        <f t="shared" si="0"/>
        <v>$1,000 - $1,999.99</v>
      </c>
      <c r="D13" s="99">
        <v>0.1</v>
      </c>
      <c r="E13" s="16"/>
      <c r="F13" s="16"/>
    </row>
    <row r="14" spans="1:6" x14ac:dyDescent="0.25">
      <c r="B14" s="94">
        <v>2000</v>
      </c>
      <c r="C14" s="36" t="str">
        <f t="shared" si="0"/>
        <v>$2,000 - $4,999.99</v>
      </c>
      <c r="D14" s="97">
        <v>0.15</v>
      </c>
      <c r="E14" s="16"/>
      <c r="F14" s="16"/>
    </row>
    <row r="15" spans="1:6" x14ac:dyDescent="0.25">
      <c r="B15" s="103">
        <v>5000</v>
      </c>
      <c r="C15" s="104" t="str">
        <f>DOLLAR(B15,0)&amp;" or more"</f>
        <v>$5,000 or more</v>
      </c>
      <c r="D15" s="105">
        <v>0.2</v>
      </c>
      <c r="E15" s="16"/>
      <c r="F15" s="16"/>
    </row>
    <row r="16" spans="1:6" ht="4.5" customHeight="1" x14ac:dyDescent="0.25">
      <c r="B16" s="16"/>
      <c r="C16" s="16"/>
      <c r="D16" s="16"/>
      <c r="E16" s="16"/>
      <c r="F16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744E-30B9-4894-AAA3-52D4334A652B}">
  <sheetPr codeName="Sheet19">
    <tabColor rgb="FFFF0000"/>
  </sheetPr>
  <dimension ref="A1:F16"/>
  <sheetViews>
    <sheetView zoomScale="190" zoomScaleNormal="190" workbookViewId="0"/>
  </sheetViews>
  <sheetFormatPr defaultColWidth="8.85546875" defaultRowHeight="15" x14ac:dyDescent="0.25"/>
  <cols>
    <col min="1" max="1" width="3" bestFit="1" customWidth="1"/>
    <col min="2" max="2" width="14.140625" customWidth="1"/>
    <col min="3" max="3" width="17.28515625" customWidth="1"/>
    <col min="4" max="4" width="9.42578125" customWidth="1"/>
    <col min="6" max="6" width="6.28515625" customWidth="1"/>
  </cols>
  <sheetData>
    <row r="1" spans="1:6" ht="3.75" customHeight="1" x14ac:dyDescent="0.25"/>
    <row r="2" spans="1:6" x14ac:dyDescent="0.25">
      <c r="A2" s="4" t="s">
        <v>1</v>
      </c>
      <c r="B2" t="s">
        <v>53</v>
      </c>
    </row>
    <row r="3" spans="1:6" x14ac:dyDescent="0.25">
      <c r="A3" s="4" t="s">
        <v>52</v>
      </c>
    </row>
    <row r="4" spans="1:6" x14ac:dyDescent="0.25">
      <c r="B4" s="6" t="s">
        <v>54</v>
      </c>
      <c r="C4" s="6" t="s">
        <v>56</v>
      </c>
      <c r="D4" s="16"/>
      <c r="E4" s="4" t="str">
        <f>"Formula in "&amp;ADDRESS(ROW(C5),COLUMN(C5),4)&amp;":"</f>
        <v>Formula in C5:</v>
      </c>
      <c r="F4" s="16"/>
    </row>
    <row r="5" spans="1:6" x14ac:dyDescent="0.25">
      <c r="B5" s="35">
        <v>1200</v>
      </c>
      <c r="C5" s="41">
        <f>_xlfn.XLOOKUP(B5,TaxRateTableAnswer[Earnings],TaxRateTableAnswer[TaxRate],0,-1)</f>
        <v>0.1</v>
      </c>
      <c r="D5" s="16"/>
      <c r="E5" s="74" t="str">
        <f ca="1">_xlfn.IFNA(_xlfn.FORMULATEXT(C5),"")</f>
        <v>=XLOOKUP(B5,TaxRateTableAnswer[Earnings],TaxRateTableAnswer[TaxRate],0,-1)</v>
      </c>
      <c r="F5" s="16"/>
    </row>
    <row r="6" spans="1:6" ht="3.75" customHeight="1" x14ac:dyDescent="0.25">
      <c r="B6" s="16"/>
      <c r="C6" s="16"/>
      <c r="D6" s="16"/>
      <c r="E6" s="16"/>
      <c r="F6" s="16"/>
    </row>
    <row r="7" spans="1:6" x14ac:dyDescent="0.25">
      <c r="B7" s="30" t="s">
        <v>21</v>
      </c>
      <c r="C7" s="16"/>
      <c r="D7" s="16"/>
      <c r="E7" s="16"/>
      <c r="F7" s="16"/>
    </row>
    <row r="8" spans="1:6" ht="3.75" customHeight="1" x14ac:dyDescent="0.25">
      <c r="B8" s="16"/>
      <c r="C8" s="16"/>
      <c r="D8" s="16"/>
      <c r="E8" s="16"/>
      <c r="F8" s="16"/>
    </row>
    <row r="9" spans="1:6" x14ac:dyDescent="0.25">
      <c r="B9" s="100" t="s">
        <v>54</v>
      </c>
      <c r="C9" s="101" t="s">
        <v>55</v>
      </c>
      <c r="D9" s="102" t="s">
        <v>56</v>
      </c>
      <c r="E9" s="16"/>
      <c r="F9" s="16"/>
    </row>
    <row r="10" spans="1:6" x14ac:dyDescent="0.25">
      <c r="B10" s="94">
        <v>0</v>
      </c>
      <c r="C10" s="36" t="str">
        <f>DOLLAR(B10,0)&amp;" - "&amp;DOLLAR(B11-0.01)</f>
        <v>$0 - $299.99</v>
      </c>
      <c r="D10" s="97">
        <v>0</v>
      </c>
      <c r="E10" s="16"/>
      <c r="F10" s="16"/>
    </row>
    <row r="11" spans="1:6" x14ac:dyDescent="0.25">
      <c r="B11" s="95">
        <v>300</v>
      </c>
      <c r="C11" s="37" t="str">
        <f t="shared" ref="C11:C14" si="0">DOLLAR(B11,0)&amp;" - "&amp;DOLLAR(B12-0.01)</f>
        <v>$300 - $599.99</v>
      </c>
      <c r="D11" s="98">
        <v>2.5000000000000001E-2</v>
      </c>
      <c r="E11" s="16"/>
      <c r="F11" s="16"/>
    </row>
    <row r="12" spans="1:6" x14ac:dyDescent="0.25">
      <c r="B12" s="94">
        <v>600</v>
      </c>
      <c r="C12" s="36" t="str">
        <f t="shared" si="0"/>
        <v>$600 - $999.99</v>
      </c>
      <c r="D12" s="97">
        <v>7.0000000000000007E-2</v>
      </c>
      <c r="E12" s="16"/>
      <c r="F12" s="16"/>
    </row>
    <row r="13" spans="1:6" x14ac:dyDescent="0.25">
      <c r="B13" s="96">
        <v>1000</v>
      </c>
      <c r="C13" s="37" t="str">
        <f t="shared" si="0"/>
        <v>$1,000 - $1,999.99</v>
      </c>
      <c r="D13" s="99">
        <v>0.1</v>
      </c>
      <c r="E13" s="16"/>
      <c r="F13" s="16"/>
    </row>
    <row r="14" spans="1:6" x14ac:dyDescent="0.25">
      <c r="B14" s="94">
        <v>2000</v>
      </c>
      <c r="C14" s="36" t="str">
        <f t="shared" si="0"/>
        <v>$2,000 - $4,999.99</v>
      </c>
      <c r="D14" s="97">
        <v>0.15</v>
      </c>
      <c r="E14" s="16"/>
      <c r="F14" s="16"/>
    </row>
    <row r="15" spans="1:6" x14ac:dyDescent="0.25">
      <c r="B15" s="103">
        <v>5000</v>
      </c>
      <c r="C15" s="104" t="str">
        <f>DOLLAR(B15,0)&amp;" or more"</f>
        <v>$5,000 or more</v>
      </c>
      <c r="D15" s="105">
        <v>0.2</v>
      </c>
      <c r="E15" s="16"/>
      <c r="F15" s="16"/>
    </row>
    <row r="16" spans="1:6" ht="4.5" customHeight="1" x14ac:dyDescent="0.25">
      <c r="B16" s="16"/>
      <c r="C16" s="16"/>
      <c r="D16" s="16"/>
      <c r="E16" s="16"/>
      <c r="F16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D5E7-BD48-42B4-AC21-2E790FC271A5}">
  <sheetPr codeName="Sheet20">
    <tabColor rgb="FF0000FF"/>
  </sheetPr>
  <dimension ref="A1:E14"/>
  <sheetViews>
    <sheetView zoomScale="190" zoomScaleNormal="190" workbookViewId="0"/>
  </sheetViews>
  <sheetFormatPr defaultColWidth="8.85546875" defaultRowHeight="15" x14ac:dyDescent="0.25"/>
  <cols>
    <col min="1" max="1" width="3.140625" bestFit="1" customWidth="1"/>
    <col min="2" max="2" width="20" customWidth="1"/>
    <col min="3" max="3" width="11.42578125" customWidth="1"/>
    <col min="4" max="4" width="2.42578125" customWidth="1"/>
    <col min="5" max="5" width="29.140625" customWidth="1"/>
    <col min="8" max="8" width="8.7109375" customWidth="1"/>
    <col min="10" max="10" width="11.28515625" customWidth="1"/>
  </cols>
  <sheetData>
    <row r="1" spans="1:5" ht="4.5" customHeight="1" x14ac:dyDescent="0.25"/>
    <row r="2" spans="1:5" x14ac:dyDescent="0.25">
      <c r="A2" s="4" t="s">
        <v>1</v>
      </c>
      <c r="B2" t="s">
        <v>57</v>
      </c>
    </row>
    <row r="3" spans="1:5" x14ac:dyDescent="0.25">
      <c r="A3" s="4" t="s">
        <v>63</v>
      </c>
    </row>
    <row r="4" spans="1:5" x14ac:dyDescent="0.25">
      <c r="B4" s="6" t="s">
        <v>81</v>
      </c>
      <c r="C4" s="106">
        <v>23000</v>
      </c>
      <c r="E4" s="4" t="str">
        <f>"Formula in "&amp;ADDRESS(ROW(C5),COLUMN(C5),4)&amp;":"</f>
        <v>Formula in C5:</v>
      </c>
    </row>
    <row r="5" spans="1:5" x14ac:dyDescent="0.25">
      <c r="B5" s="6" t="s">
        <v>64</v>
      </c>
      <c r="C5" s="108"/>
      <c r="E5" s="74" t="str">
        <f ca="1">_xlfn.IFNA(_xlfn.FORMULATEXT(C5),"")</f>
        <v/>
      </c>
    </row>
    <row r="7" spans="1:5" ht="30" x14ac:dyDescent="0.25">
      <c r="B7" s="109" t="s">
        <v>61</v>
      </c>
      <c r="C7" s="109" t="s">
        <v>62</v>
      </c>
      <c r="E7" s="4" t="s">
        <v>65</v>
      </c>
    </row>
    <row r="8" spans="1:5" x14ac:dyDescent="0.25">
      <c r="B8" s="106">
        <v>238000</v>
      </c>
      <c r="C8" s="107">
        <v>16</v>
      </c>
      <c r="E8" t="str">
        <f>FIXED(B8,0)&amp;" &gt;= Pipe Size &gt; "&amp;FIXED(B9,0)</f>
        <v>238,000 &gt;= Pipe Size &gt; 134,000</v>
      </c>
    </row>
    <row r="9" spans="1:5" x14ac:dyDescent="0.25">
      <c r="B9" s="106">
        <v>134000</v>
      </c>
      <c r="C9" s="107">
        <v>12</v>
      </c>
      <c r="E9" t="str">
        <f t="shared" ref="E9:E14" si="0">FIXED(B9,0)&amp;" &gt;= Pipe Size &gt; "&amp;FIXED(B10,0)</f>
        <v>134,000 &gt;= Pipe Size &gt; 83,000</v>
      </c>
    </row>
    <row r="10" spans="1:5" x14ac:dyDescent="0.25">
      <c r="B10" s="106">
        <v>83000</v>
      </c>
      <c r="C10" s="107">
        <v>10</v>
      </c>
      <c r="E10" t="str">
        <f t="shared" si="0"/>
        <v>83,000 &gt;= Pipe Size &gt; 46,000</v>
      </c>
    </row>
    <row r="11" spans="1:5" x14ac:dyDescent="0.25">
      <c r="B11" s="106">
        <v>46000</v>
      </c>
      <c r="C11" s="107">
        <v>8</v>
      </c>
      <c r="E11" t="str">
        <f t="shared" si="0"/>
        <v>46,000 &gt;= Pipe Size &gt; 22,000</v>
      </c>
    </row>
    <row r="12" spans="1:5" x14ac:dyDescent="0.25">
      <c r="B12" s="106">
        <v>22000</v>
      </c>
      <c r="C12" s="107">
        <v>6</v>
      </c>
      <c r="E12" t="str">
        <f t="shared" si="0"/>
        <v>22,000 &gt;= Pipe Size &gt; 14,000</v>
      </c>
    </row>
    <row r="13" spans="1:5" x14ac:dyDescent="0.25">
      <c r="B13" s="106">
        <v>14000</v>
      </c>
      <c r="C13" s="107">
        <v>5</v>
      </c>
      <c r="E13" t="str">
        <f t="shared" si="0"/>
        <v>14,000 &gt;= Pipe Size &gt; 3,500</v>
      </c>
    </row>
    <row r="14" spans="1:5" x14ac:dyDescent="0.25">
      <c r="B14" s="106">
        <v>3500</v>
      </c>
      <c r="C14" s="107">
        <v>3</v>
      </c>
      <c r="E14" t="str">
        <f t="shared" si="0"/>
        <v>3,500 &gt;= Pipe Size &gt; 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0384-7038-4394-AADF-27B4DD0D64B2}">
  <sheetPr codeName="Sheet21">
    <tabColor rgb="FFFF0000"/>
  </sheetPr>
  <dimension ref="A1:E14"/>
  <sheetViews>
    <sheetView zoomScale="190" zoomScaleNormal="190" workbookViewId="0"/>
  </sheetViews>
  <sheetFormatPr defaultColWidth="8.85546875" defaultRowHeight="15" x14ac:dyDescent="0.25"/>
  <cols>
    <col min="1" max="1" width="3.140625" bestFit="1" customWidth="1"/>
    <col min="2" max="2" width="22" customWidth="1"/>
    <col min="3" max="3" width="11.42578125" customWidth="1"/>
    <col min="4" max="4" width="2.42578125" customWidth="1"/>
    <col min="5" max="5" width="29.140625" customWidth="1"/>
    <col min="8" max="8" width="9.7109375" customWidth="1"/>
    <col min="10" max="10" width="11.28515625" customWidth="1"/>
  </cols>
  <sheetData>
    <row r="1" spans="1:5" ht="4.5" customHeight="1" x14ac:dyDescent="0.25"/>
    <row r="2" spans="1:5" x14ac:dyDescent="0.25">
      <c r="A2" s="4" t="s">
        <v>1</v>
      </c>
      <c r="B2" t="s">
        <v>57</v>
      </c>
    </row>
    <row r="3" spans="1:5" x14ac:dyDescent="0.25">
      <c r="A3" s="4" t="s">
        <v>63</v>
      </c>
    </row>
    <row r="4" spans="1:5" x14ac:dyDescent="0.25">
      <c r="B4" s="6" t="s">
        <v>81</v>
      </c>
      <c r="C4" s="106">
        <v>23000</v>
      </c>
      <c r="E4" s="4" t="str">
        <f>"Formula in "&amp;ADDRESS(ROW(C5),COLUMN(C5),4)&amp;":"</f>
        <v>Formula in C5:</v>
      </c>
    </row>
    <row r="5" spans="1:5" x14ac:dyDescent="0.25">
      <c r="B5" s="6" t="s">
        <v>64</v>
      </c>
      <c r="C5" s="108">
        <f>_xlfn.XLOOKUP(C4,B8:B14,C8:C14,"Enter value "&amp;B8&amp;" or smaller",1)</f>
        <v>8</v>
      </c>
      <c r="E5" s="74" t="str">
        <f ca="1">_xlfn.IFNA(_xlfn.FORMULATEXT(C5),"")</f>
        <v>=XLOOKUP(C4,B8:B14,C8:C14,"Enter value "&amp;B8&amp;" or smaller",1)</v>
      </c>
    </row>
    <row r="7" spans="1:5" ht="30" x14ac:dyDescent="0.25">
      <c r="B7" s="109" t="s">
        <v>61</v>
      </c>
      <c r="C7" s="109" t="s">
        <v>62</v>
      </c>
      <c r="E7" s="4" t="s">
        <v>65</v>
      </c>
    </row>
    <row r="8" spans="1:5" x14ac:dyDescent="0.25">
      <c r="B8" s="106">
        <v>238000</v>
      </c>
      <c r="C8" s="107">
        <v>16</v>
      </c>
      <c r="E8" t="str">
        <f>FIXED(B8,0)&amp;" &gt;= Pipe Size &gt; "&amp;FIXED(B9,0)</f>
        <v>238,000 &gt;= Pipe Size &gt; 134,000</v>
      </c>
    </row>
    <row r="9" spans="1:5" x14ac:dyDescent="0.25">
      <c r="B9" s="106">
        <v>134000</v>
      </c>
      <c r="C9" s="107">
        <v>12</v>
      </c>
      <c r="E9" t="str">
        <f t="shared" ref="E9:E14" si="0">FIXED(B9,0)&amp;" &gt;= Pipe Size &gt; "&amp;FIXED(B10,0)</f>
        <v>134,000 &gt;= Pipe Size &gt; 83,000</v>
      </c>
    </row>
    <row r="10" spans="1:5" x14ac:dyDescent="0.25">
      <c r="B10" s="106">
        <v>83000</v>
      </c>
      <c r="C10" s="107">
        <v>10</v>
      </c>
      <c r="E10" t="str">
        <f t="shared" si="0"/>
        <v>83,000 &gt;= Pipe Size &gt; 46,000</v>
      </c>
    </row>
    <row r="11" spans="1:5" x14ac:dyDescent="0.25">
      <c r="B11" s="106">
        <v>46000</v>
      </c>
      <c r="C11" s="107">
        <v>8</v>
      </c>
      <c r="E11" t="str">
        <f t="shared" si="0"/>
        <v>46,000 &gt;= Pipe Size &gt; 22,000</v>
      </c>
    </row>
    <row r="12" spans="1:5" x14ac:dyDescent="0.25">
      <c r="B12" s="106">
        <v>22000</v>
      </c>
      <c r="C12" s="107">
        <v>6</v>
      </c>
      <c r="E12" t="str">
        <f t="shared" si="0"/>
        <v>22,000 &gt;= Pipe Size &gt; 14,000</v>
      </c>
    </row>
    <row r="13" spans="1:5" x14ac:dyDescent="0.25">
      <c r="B13" s="106">
        <v>14000</v>
      </c>
      <c r="C13" s="107">
        <v>5</v>
      </c>
      <c r="E13" t="str">
        <f t="shared" si="0"/>
        <v>14,000 &gt;= Pipe Size &gt; 3,500</v>
      </c>
    </row>
    <row r="14" spans="1:5" x14ac:dyDescent="0.25">
      <c r="B14" s="106">
        <v>3500</v>
      </c>
      <c r="C14" s="107">
        <v>3</v>
      </c>
      <c r="E14" t="str">
        <f t="shared" si="0"/>
        <v>3,500 &gt;= Pipe Size &gt; 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C145-8BD7-4A8F-A7B6-0E9FA49BEE05}">
  <sheetPr codeName="Sheet22">
    <tabColor rgb="FF0000FF"/>
  </sheetPr>
  <dimension ref="A1:S14"/>
  <sheetViews>
    <sheetView zoomScale="205" zoomScaleNormal="205" workbookViewId="0"/>
  </sheetViews>
  <sheetFormatPr defaultColWidth="8.85546875" defaultRowHeight="15" x14ac:dyDescent="0.25"/>
  <cols>
    <col min="1" max="1" width="3" customWidth="1"/>
    <col min="2" max="2" width="13" customWidth="1"/>
    <col min="3" max="3" width="11.140625" customWidth="1"/>
    <col min="4" max="4" width="1.7109375" customWidth="1"/>
    <col min="9" max="9" width="12.7109375" customWidth="1"/>
  </cols>
  <sheetData>
    <row r="1" spans="1:19" ht="4.5" customHeight="1" x14ac:dyDescent="0.25"/>
    <row r="2" spans="1:19" x14ac:dyDescent="0.25">
      <c r="A2" s="4" t="s">
        <v>1</v>
      </c>
      <c r="B2" s="4" t="s">
        <v>83</v>
      </c>
      <c r="S2" t="str">
        <f>_xlfn.TEXTJOIN(", ",,B11:B13)</f>
        <v>Coca Cola Inc., Pepsi Cola Inc., RC Cola</v>
      </c>
    </row>
    <row r="3" spans="1:19" x14ac:dyDescent="0.25">
      <c r="A3" s="4" t="s">
        <v>76</v>
      </c>
      <c r="B3" t="s">
        <v>84</v>
      </c>
    </row>
    <row r="4" spans="1:19" ht="4.5" customHeight="1" x14ac:dyDescent="0.25"/>
    <row r="5" spans="1:19" ht="30" x14ac:dyDescent="0.25">
      <c r="B5" s="111" t="s">
        <v>78</v>
      </c>
      <c r="C5" s="110" t="s">
        <v>66</v>
      </c>
      <c r="E5" s="4" t="str">
        <f>"Formula in "&amp;ADDRESS(ROW(C6),COLUMN(C6),4)&amp;":"</f>
        <v>Formula in C6:</v>
      </c>
    </row>
    <row r="6" spans="1:19" x14ac:dyDescent="0.25">
      <c r="B6" s="5" t="s">
        <v>67</v>
      </c>
      <c r="C6" s="7"/>
      <c r="E6" t="str">
        <f ca="1">_xlfn.IFNA(_xlfn.FORMULATEXT(C6),"")</f>
        <v/>
      </c>
    </row>
    <row r="7" spans="1:19" ht="4.5" customHeight="1" x14ac:dyDescent="0.25"/>
    <row r="8" spans="1:19" x14ac:dyDescent="0.25">
      <c r="B8" s="4" t="s">
        <v>21</v>
      </c>
    </row>
    <row r="9" spans="1:19" ht="4.5" customHeight="1" x14ac:dyDescent="0.25"/>
    <row r="10" spans="1:19" ht="30" x14ac:dyDescent="0.25">
      <c r="B10" s="111" t="s">
        <v>79</v>
      </c>
      <c r="C10" s="110" t="s">
        <v>66</v>
      </c>
    </row>
    <row r="11" spans="1:19" x14ac:dyDescent="0.25">
      <c r="B11" s="5" t="s">
        <v>68</v>
      </c>
      <c r="C11" s="5" t="s">
        <v>69</v>
      </c>
    </row>
    <row r="12" spans="1:19" x14ac:dyDescent="0.25">
      <c r="B12" s="5" t="s">
        <v>70</v>
      </c>
      <c r="C12" s="5" t="s">
        <v>71</v>
      </c>
    </row>
    <row r="13" spans="1:19" x14ac:dyDescent="0.25">
      <c r="B13" s="5" t="s">
        <v>72</v>
      </c>
      <c r="C13" s="5" t="s">
        <v>73</v>
      </c>
    </row>
    <row r="14" spans="1:19" x14ac:dyDescent="0.25">
      <c r="B14" s="5" t="s">
        <v>74</v>
      </c>
      <c r="C14" s="5" t="s">
        <v>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9E25-8D6C-428D-9DED-3166330DF322}">
  <sheetPr codeName="Sheet23">
    <tabColor rgb="FFFF0000"/>
  </sheetPr>
  <dimension ref="A1:S14"/>
  <sheetViews>
    <sheetView zoomScale="205" zoomScaleNormal="205" workbookViewId="0"/>
  </sheetViews>
  <sheetFormatPr defaultColWidth="8.85546875" defaultRowHeight="15" x14ac:dyDescent="0.25"/>
  <cols>
    <col min="1" max="1" width="3" customWidth="1"/>
    <col min="2" max="2" width="13" customWidth="1"/>
    <col min="3" max="3" width="11.140625" customWidth="1"/>
    <col min="4" max="4" width="1.7109375" customWidth="1"/>
    <col min="9" max="9" width="12.28515625" customWidth="1"/>
  </cols>
  <sheetData>
    <row r="1" spans="1:19" ht="4.5" customHeight="1" x14ac:dyDescent="0.25"/>
    <row r="2" spans="1:19" x14ac:dyDescent="0.25">
      <c r="A2" s="4" t="s">
        <v>1</v>
      </c>
      <c r="B2" t="s">
        <v>82</v>
      </c>
      <c r="S2" t="str">
        <f>_xlfn.TEXTJOIN(", ",,B11:B13)</f>
        <v>Coca Cola Inc., Pepsi Cola Inc., RC Cola</v>
      </c>
    </row>
    <row r="3" spans="1:19" x14ac:dyDescent="0.25">
      <c r="A3" s="4" t="s">
        <v>76</v>
      </c>
      <c r="B3" t="s">
        <v>77</v>
      </c>
    </row>
    <row r="4" spans="1:19" ht="4.5" customHeight="1" x14ac:dyDescent="0.25"/>
    <row r="5" spans="1:19" ht="30" x14ac:dyDescent="0.25">
      <c r="B5" s="111" t="s">
        <v>78</v>
      </c>
      <c r="C5" s="110" t="s">
        <v>66</v>
      </c>
      <c r="E5" s="4" t="str">
        <f>"Formula in "&amp;ADDRESS(ROW(C6),COLUMN(C6),4)&amp;":"</f>
        <v>Formula in C6:</v>
      </c>
    </row>
    <row r="6" spans="1:19" x14ac:dyDescent="0.25">
      <c r="B6" s="5" t="s">
        <v>67</v>
      </c>
      <c r="C6" s="7" t="str">
        <f>_xlfn.XLOOKUP("*"&amp;B6&amp;"*",B11:B14,C11:C14,"Not Found",2)</f>
        <v>Atlanta</v>
      </c>
      <c r="E6" t="str">
        <f ca="1">_xlfn.IFNA(_xlfn.FORMULATEXT(C6),"")</f>
        <v>=XLOOKUP("*"&amp;B6&amp;"*",B11:B14,C11:C14,"Not Found",2)</v>
      </c>
    </row>
    <row r="7" spans="1:19" ht="4.5" customHeight="1" x14ac:dyDescent="0.25"/>
    <row r="8" spans="1:19" x14ac:dyDescent="0.25">
      <c r="B8" s="4" t="s">
        <v>21</v>
      </c>
    </row>
    <row r="9" spans="1:19" ht="4.5" customHeight="1" x14ac:dyDescent="0.25"/>
    <row r="10" spans="1:19" ht="30" x14ac:dyDescent="0.25">
      <c r="B10" s="111" t="s">
        <v>79</v>
      </c>
      <c r="C10" s="110" t="s">
        <v>66</v>
      </c>
    </row>
    <row r="11" spans="1:19" x14ac:dyDescent="0.25">
      <c r="B11" s="5" t="s">
        <v>68</v>
      </c>
      <c r="C11" s="5" t="s">
        <v>69</v>
      </c>
    </row>
    <row r="12" spans="1:19" x14ac:dyDescent="0.25">
      <c r="B12" s="5" t="s">
        <v>70</v>
      </c>
      <c r="C12" s="5" t="s">
        <v>71</v>
      </c>
    </row>
    <row r="13" spans="1:19" x14ac:dyDescent="0.25">
      <c r="B13" s="5" t="s">
        <v>72</v>
      </c>
      <c r="C13" s="5" t="s">
        <v>73</v>
      </c>
    </row>
    <row r="14" spans="1:19" x14ac:dyDescent="0.25">
      <c r="B14" s="5" t="s">
        <v>74</v>
      </c>
      <c r="C14" s="5" t="s">
        <v>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54FC-86A3-4379-959A-7CC13AADC634}">
  <sheetPr codeName="Sheet24">
    <tabColor rgb="FF0000FF"/>
  </sheetPr>
  <dimension ref="A1:H16"/>
  <sheetViews>
    <sheetView zoomScale="115" zoomScaleNormal="115" workbookViewId="0"/>
  </sheetViews>
  <sheetFormatPr defaultColWidth="8.85546875" defaultRowHeight="15" x14ac:dyDescent="0.25"/>
  <cols>
    <col min="1" max="1" width="3" customWidth="1"/>
    <col min="2" max="3" width="10.28515625" customWidth="1"/>
  </cols>
  <sheetData>
    <row r="1" spans="1:8" ht="4.5" customHeight="1" x14ac:dyDescent="0.25"/>
    <row r="2" spans="1:8" x14ac:dyDescent="0.25">
      <c r="A2" s="4" t="s">
        <v>1</v>
      </c>
      <c r="B2" t="s">
        <v>95</v>
      </c>
    </row>
    <row r="3" spans="1:8" x14ac:dyDescent="0.25">
      <c r="A3" s="4" t="s">
        <v>80</v>
      </c>
      <c r="B3" t="s">
        <v>94</v>
      </c>
    </row>
    <row r="4" spans="1:8" ht="4.5" customHeight="1" x14ac:dyDescent="0.25">
      <c r="A4" s="4"/>
    </row>
    <row r="5" spans="1:8" x14ac:dyDescent="0.25">
      <c r="B5" s="4" t="str">
        <f>"Formula in "&amp;ADDRESS(ROW(C12),COLUMN(C12),4)&amp;":"</f>
        <v>Formula in C12:</v>
      </c>
    </row>
    <row r="6" spans="1:8" x14ac:dyDescent="0.25">
      <c r="B6" t="str">
        <f ca="1">_xlfn.IFNA(_xlfn.FORMULATEXT(C12),"")</f>
        <v/>
      </c>
    </row>
    <row r="7" spans="1:8" x14ac:dyDescent="0.25">
      <c r="B7" t="s">
        <v>102</v>
      </c>
    </row>
    <row r="8" spans="1:8" ht="4.5" customHeight="1" x14ac:dyDescent="0.25"/>
    <row r="9" spans="1:8" x14ac:dyDescent="0.25">
      <c r="B9" s="4" t="s">
        <v>104</v>
      </c>
    </row>
    <row r="10" spans="1:8" ht="4.5" customHeight="1" x14ac:dyDescent="0.25"/>
    <row r="11" spans="1:8" ht="30" x14ac:dyDescent="0.25">
      <c r="B11" s="110" t="s">
        <v>87</v>
      </c>
      <c r="C11" s="111" t="s">
        <v>105</v>
      </c>
      <c r="D11" s="115">
        <v>44473</v>
      </c>
      <c r="E11" s="115">
        <v>44474</v>
      </c>
      <c r="F11" s="115">
        <v>44475</v>
      </c>
      <c r="G11" s="115">
        <v>44476</v>
      </c>
      <c r="H11" s="115">
        <v>44477</v>
      </c>
    </row>
    <row r="12" spans="1:8" x14ac:dyDescent="0.25">
      <c r="B12" s="5" t="s">
        <v>89</v>
      </c>
      <c r="C12" s="112"/>
      <c r="D12" s="5"/>
      <c r="E12" s="5"/>
      <c r="F12" s="5" t="s">
        <v>88</v>
      </c>
      <c r="G12" s="5" t="s">
        <v>88</v>
      </c>
      <c r="H12" s="5" t="s">
        <v>88</v>
      </c>
    </row>
    <row r="13" spans="1:8" x14ac:dyDescent="0.25">
      <c r="B13" s="5" t="s">
        <v>90</v>
      </c>
      <c r="C13" s="112"/>
      <c r="D13" s="5"/>
      <c r="E13" s="5" t="s">
        <v>88</v>
      </c>
      <c r="F13" s="5"/>
      <c r="G13" s="5" t="s">
        <v>88</v>
      </c>
      <c r="H13" s="5"/>
    </row>
    <row r="14" spans="1:8" x14ac:dyDescent="0.25">
      <c r="B14" s="5" t="s">
        <v>91</v>
      </c>
      <c r="C14" s="112"/>
      <c r="D14" s="5"/>
      <c r="E14" s="5" t="s">
        <v>88</v>
      </c>
      <c r="F14" s="5" t="s">
        <v>88</v>
      </c>
      <c r="G14" s="5" t="s">
        <v>88</v>
      </c>
      <c r="H14" s="5"/>
    </row>
    <row r="15" spans="1:8" x14ac:dyDescent="0.25">
      <c r="B15" s="5" t="s">
        <v>92</v>
      </c>
      <c r="C15" s="112"/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</row>
    <row r="16" spans="1:8" x14ac:dyDescent="0.25">
      <c r="B16" s="5" t="s">
        <v>93</v>
      </c>
      <c r="C16" s="112"/>
      <c r="D16" s="5"/>
      <c r="E16" s="5"/>
      <c r="F16" s="5"/>
      <c r="G16" s="5" t="s">
        <v>88</v>
      </c>
      <c r="H16" s="5" t="s">
        <v>88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ECB6-948C-4B4F-872D-B984E68DF046}">
  <sheetPr codeName="Sheet25">
    <tabColor rgb="FFFF0000"/>
  </sheetPr>
  <dimension ref="A1:H16"/>
  <sheetViews>
    <sheetView zoomScale="115" zoomScaleNormal="115" workbookViewId="0"/>
  </sheetViews>
  <sheetFormatPr defaultColWidth="8.85546875" defaultRowHeight="15" x14ac:dyDescent="0.25"/>
  <cols>
    <col min="1" max="1" width="3" customWidth="1"/>
    <col min="2" max="3" width="10.28515625" customWidth="1"/>
  </cols>
  <sheetData>
    <row r="1" spans="1:8" ht="4.5" customHeight="1" x14ac:dyDescent="0.25"/>
    <row r="2" spans="1:8" x14ac:dyDescent="0.25">
      <c r="A2" s="4" t="s">
        <v>1</v>
      </c>
      <c r="B2" t="s">
        <v>95</v>
      </c>
    </row>
    <row r="3" spans="1:8" x14ac:dyDescent="0.25">
      <c r="A3" s="4" t="s">
        <v>80</v>
      </c>
      <c r="B3" t="s">
        <v>94</v>
      </c>
    </row>
    <row r="4" spans="1:8" ht="4.5" customHeight="1" x14ac:dyDescent="0.25">
      <c r="A4" s="4"/>
    </row>
    <row r="5" spans="1:8" x14ac:dyDescent="0.25">
      <c r="B5" s="4" t="str">
        <f>"Formula in "&amp;ADDRESS(ROW(C12),COLUMN(C12),4)&amp;":"</f>
        <v>Formula in C12:</v>
      </c>
    </row>
    <row r="6" spans="1:8" x14ac:dyDescent="0.25">
      <c r="B6" t="str">
        <f ca="1">_xlfn.IFNA(_xlfn.FORMULATEXT(C12),"")</f>
        <v>=XLOOKUP("x",D12:H12,$D$11:$H$11,"Didn't work")</v>
      </c>
    </row>
    <row r="7" spans="1:8" x14ac:dyDescent="0.25">
      <c r="B7" t="s">
        <v>102</v>
      </c>
    </row>
    <row r="8" spans="1:8" ht="4.5" customHeight="1" x14ac:dyDescent="0.25"/>
    <row r="9" spans="1:8" x14ac:dyDescent="0.25">
      <c r="B9" s="4" t="s">
        <v>104</v>
      </c>
    </row>
    <row r="10" spans="1:8" ht="4.5" customHeight="1" x14ac:dyDescent="0.25"/>
    <row r="11" spans="1:8" ht="30" x14ac:dyDescent="0.25">
      <c r="B11" s="110" t="s">
        <v>87</v>
      </c>
      <c r="C11" s="111" t="s">
        <v>105</v>
      </c>
      <c r="D11" s="115">
        <v>44473</v>
      </c>
      <c r="E11" s="115">
        <v>44474</v>
      </c>
      <c r="F11" s="115">
        <v>44475</v>
      </c>
      <c r="G11" s="115">
        <v>44476</v>
      </c>
      <c r="H11" s="115">
        <v>44477</v>
      </c>
    </row>
    <row r="12" spans="1:8" x14ac:dyDescent="0.25">
      <c r="B12" s="5" t="s">
        <v>89</v>
      </c>
      <c r="C12" s="112">
        <f>_xlfn.XLOOKUP("x",D12:H12,$D$11:$H$11,"Didn't work")</f>
        <v>44475</v>
      </c>
      <c r="D12" s="5"/>
      <c r="E12" s="5"/>
      <c r="F12" s="5" t="s">
        <v>88</v>
      </c>
      <c r="G12" s="5" t="s">
        <v>88</v>
      </c>
      <c r="H12" s="5" t="s">
        <v>88</v>
      </c>
    </row>
    <row r="13" spans="1:8" x14ac:dyDescent="0.25">
      <c r="B13" s="5" t="s">
        <v>90</v>
      </c>
      <c r="C13" s="112">
        <f t="shared" ref="C13:C16" si="0">_xlfn.XLOOKUP("x",D13:H13,$D$11:$H$11,"Didn't work")</f>
        <v>44474</v>
      </c>
      <c r="D13" s="5"/>
      <c r="E13" s="5" t="s">
        <v>88</v>
      </c>
      <c r="F13" s="5"/>
      <c r="G13" s="5" t="s">
        <v>88</v>
      </c>
      <c r="H13" s="5"/>
    </row>
    <row r="14" spans="1:8" x14ac:dyDescent="0.25">
      <c r="B14" s="5" t="s">
        <v>91</v>
      </c>
      <c r="C14" s="112">
        <f t="shared" si="0"/>
        <v>44474</v>
      </c>
      <c r="D14" s="5"/>
      <c r="E14" s="5" t="s">
        <v>88</v>
      </c>
      <c r="F14" s="5" t="s">
        <v>88</v>
      </c>
      <c r="G14" s="5" t="s">
        <v>88</v>
      </c>
      <c r="H14" s="5"/>
    </row>
    <row r="15" spans="1:8" x14ac:dyDescent="0.25">
      <c r="B15" s="5" t="s">
        <v>92</v>
      </c>
      <c r="C15" s="112">
        <f t="shared" si="0"/>
        <v>44473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</row>
    <row r="16" spans="1:8" x14ac:dyDescent="0.25">
      <c r="B16" s="5" t="s">
        <v>93</v>
      </c>
      <c r="C16" s="112">
        <f t="shared" si="0"/>
        <v>44476</v>
      </c>
      <c r="D16" s="5"/>
      <c r="E16" s="5"/>
      <c r="F16" s="5"/>
      <c r="G16" s="5" t="s">
        <v>88</v>
      </c>
      <c r="H16" s="5" t="s">
        <v>88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82CF-A7AA-4684-AA76-DFD0B527B460}">
  <sheetPr codeName="Sheet26">
    <tabColor rgb="FF0000FF"/>
  </sheetPr>
  <dimension ref="A1:I15"/>
  <sheetViews>
    <sheetView zoomScale="115" zoomScaleNormal="115" workbookViewId="0"/>
  </sheetViews>
  <sheetFormatPr defaultColWidth="8.85546875" defaultRowHeight="15" x14ac:dyDescent="0.25"/>
  <cols>
    <col min="1" max="1" width="3" customWidth="1"/>
    <col min="2" max="2" width="10.42578125" customWidth="1"/>
    <col min="3" max="3" width="9.42578125" bestFit="1" customWidth="1"/>
    <col min="4" max="4" width="8.28515625" bestFit="1" customWidth="1"/>
    <col min="5" max="5" width="1" customWidth="1"/>
    <col min="6" max="6" width="9.42578125" bestFit="1" customWidth="1"/>
    <col min="8" max="8" width="1" customWidth="1"/>
  </cols>
  <sheetData>
    <row r="1" spans="1:9" ht="3.75" customHeight="1" x14ac:dyDescent="0.25"/>
    <row r="2" spans="1:9" x14ac:dyDescent="0.25">
      <c r="A2" s="4" t="s">
        <v>1</v>
      </c>
      <c r="B2" t="s">
        <v>101</v>
      </c>
    </row>
    <row r="3" spans="1:9" x14ac:dyDescent="0.25">
      <c r="A3" s="4" t="s">
        <v>85</v>
      </c>
      <c r="B3" t="s">
        <v>100</v>
      </c>
    </row>
    <row r="4" spans="1:9" ht="3.75" customHeight="1" x14ac:dyDescent="0.25"/>
    <row r="5" spans="1:9" x14ac:dyDescent="0.25">
      <c r="B5" s="110" t="s">
        <v>96</v>
      </c>
      <c r="C5" s="110" t="s">
        <v>97</v>
      </c>
      <c r="D5" s="110" t="s">
        <v>98</v>
      </c>
      <c r="F5" s="110" t="s">
        <v>97</v>
      </c>
      <c r="G5" s="110" t="s">
        <v>99</v>
      </c>
      <c r="I5" s="4" t="str">
        <f>"Formula in "&amp;ADDRESS(ROW(G6),COLUMN(G6),4)&amp;":"</f>
        <v>Formula in G6:</v>
      </c>
    </row>
    <row r="6" spans="1:9" x14ac:dyDescent="0.25">
      <c r="B6" s="113">
        <v>44472</v>
      </c>
      <c r="C6" s="5" t="s">
        <v>91</v>
      </c>
      <c r="D6" s="114">
        <v>640.55999999999995</v>
      </c>
      <c r="F6" s="5" t="s">
        <v>91</v>
      </c>
      <c r="G6" s="7"/>
      <c r="I6" s="74" t="str">
        <f ca="1">_xlfn.IFNA(_xlfn.FORMULATEXT(G6),"")</f>
        <v/>
      </c>
    </row>
    <row r="7" spans="1:9" x14ac:dyDescent="0.25">
      <c r="B7" s="113">
        <v>44472</v>
      </c>
      <c r="C7" s="5" t="s">
        <v>89</v>
      </c>
      <c r="D7" s="114">
        <v>706.02</v>
      </c>
      <c r="F7" s="5" t="s">
        <v>89</v>
      </c>
      <c r="G7" s="7"/>
      <c r="I7" t="s">
        <v>103</v>
      </c>
    </row>
    <row r="8" spans="1:9" x14ac:dyDescent="0.25">
      <c r="B8" s="113">
        <v>44472</v>
      </c>
      <c r="C8" s="5" t="s">
        <v>89</v>
      </c>
      <c r="D8" s="114">
        <v>589.69000000000005</v>
      </c>
    </row>
    <row r="9" spans="1:9" x14ac:dyDescent="0.25">
      <c r="B9" s="113">
        <v>44472</v>
      </c>
      <c r="C9" s="5" t="s">
        <v>89</v>
      </c>
      <c r="D9" s="114">
        <v>695.31</v>
      </c>
    </row>
    <row r="10" spans="1:9" x14ac:dyDescent="0.25">
      <c r="B10" s="113">
        <v>44472</v>
      </c>
      <c r="C10" s="5" t="s">
        <v>91</v>
      </c>
      <c r="D10" s="114">
        <v>474.26</v>
      </c>
    </row>
    <row r="11" spans="1:9" x14ac:dyDescent="0.25">
      <c r="B11" s="113">
        <v>44472</v>
      </c>
      <c r="C11" s="5" t="s">
        <v>91</v>
      </c>
      <c r="D11" s="114">
        <v>786.13</v>
      </c>
    </row>
    <row r="12" spans="1:9" x14ac:dyDescent="0.25">
      <c r="B12" s="113">
        <v>44472</v>
      </c>
      <c r="C12" s="5" t="s">
        <v>91</v>
      </c>
      <c r="D12" s="114">
        <v>311.12</v>
      </c>
    </row>
    <row r="13" spans="1:9" x14ac:dyDescent="0.25">
      <c r="B13" s="113">
        <v>44472</v>
      </c>
      <c r="C13" s="5" t="s">
        <v>89</v>
      </c>
      <c r="D13" s="114">
        <v>483.25</v>
      </c>
    </row>
    <row r="14" spans="1:9" x14ac:dyDescent="0.25">
      <c r="B14" s="113">
        <v>44472</v>
      </c>
      <c r="C14" s="5" t="s">
        <v>89</v>
      </c>
      <c r="D14" s="114">
        <v>696.97</v>
      </c>
    </row>
    <row r="15" spans="1:9" x14ac:dyDescent="0.25">
      <c r="B15" s="113">
        <v>44472</v>
      </c>
      <c r="C15" s="5" t="s">
        <v>89</v>
      </c>
      <c r="D15" s="114">
        <v>765.99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9F6B-B1EB-474E-B017-CFE0E532E8A5}">
  <sheetPr codeName="Sheet27">
    <tabColor rgb="FFFF0000"/>
  </sheetPr>
  <dimension ref="A1:I15"/>
  <sheetViews>
    <sheetView zoomScale="115" zoomScaleNormal="115" workbookViewId="0"/>
  </sheetViews>
  <sheetFormatPr defaultColWidth="8.85546875" defaultRowHeight="15" x14ac:dyDescent="0.25"/>
  <cols>
    <col min="1" max="1" width="3" customWidth="1"/>
    <col min="2" max="2" width="10.42578125" customWidth="1"/>
    <col min="3" max="3" width="9.42578125" bestFit="1" customWidth="1"/>
    <col min="4" max="4" width="8.28515625" bestFit="1" customWidth="1"/>
    <col min="5" max="5" width="1" customWidth="1"/>
    <col min="6" max="6" width="9.42578125" bestFit="1" customWidth="1"/>
    <col min="8" max="8" width="1" customWidth="1"/>
  </cols>
  <sheetData>
    <row r="1" spans="1:9" ht="3.75" customHeight="1" x14ac:dyDescent="0.25"/>
    <row r="2" spans="1:9" x14ac:dyDescent="0.25">
      <c r="A2" s="4" t="s">
        <v>1</v>
      </c>
      <c r="B2" t="s">
        <v>101</v>
      </c>
    </row>
    <row r="3" spans="1:9" x14ac:dyDescent="0.25">
      <c r="A3" s="4" t="s">
        <v>85</v>
      </c>
      <c r="B3" t="s">
        <v>100</v>
      </c>
    </row>
    <row r="4" spans="1:9" ht="3.75" customHeight="1" x14ac:dyDescent="0.25"/>
    <row r="5" spans="1:9" x14ac:dyDescent="0.25">
      <c r="B5" s="110" t="s">
        <v>96</v>
      </c>
      <c r="C5" s="110" t="s">
        <v>97</v>
      </c>
      <c r="D5" s="110" t="s">
        <v>98</v>
      </c>
      <c r="F5" s="110" t="s">
        <v>97</v>
      </c>
      <c r="G5" s="110" t="s">
        <v>99</v>
      </c>
      <c r="I5" s="4" t="str">
        <f>"Formula in "&amp;ADDRESS(ROW(G6),COLUMN(G6),4)&amp;":"</f>
        <v>Formula in G6:</v>
      </c>
    </row>
    <row r="6" spans="1:9" x14ac:dyDescent="0.25">
      <c r="B6" s="113">
        <v>44472</v>
      </c>
      <c r="C6" s="5" t="s">
        <v>91</v>
      </c>
      <c r="D6" s="114">
        <v>640.55999999999995</v>
      </c>
      <c r="F6" s="5" t="s">
        <v>91</v>
      </c>
      <c r="G6" s="7" cm="1">
        <f t="array" ref="G6:G7">_xlfn.XLOOKUP(F6:F7,C6:C15,D6:D15,,,-1)</f>
        <v>311.12</v>
      </c>
      <c r="I6" s="74" t="str">
        <f ca="1">_xlfn.IFNA(_xlfn.FORMULATEXT(G6),"")</f>
        <v>=XLOOKUP(F6:F7,C6:C15,D6:D15,,,-1)</v>
      </c>
    </row>
    <row r="7" spans="1:9" x14ac:dyDescent="0.25">
      <c r="B7" s="113">
        <v>44472</v>
      </c>
      <c r="C7" s="5" t="s">
        <v>89</v>
      </c>
      <c r="D7" s="114">
        <v>706.02</v>
      </c>
      <c r="F7" s="5" t="s">
        <v>89</v>
      </c>
      <c r="G7" s="7">
        <v>765.99</v>
      </c>
      <c r="I7" t="s">
        <v>103</v>
      </c>
    </row>
    <row r="8" spans="1:9" x14ac:dyDescent="0.25">
      <c r="B8" s="113">
        <v>44472</v>
      </c>
      <c r="C8" s="5" t="s">
        <v>89</v>
      </c>
      <c r="D8" s="114">
        <v>589.69000000000005</v>
      </c>
    </row>
    <row r="9" spans="1:9" x14ac:dyDescent="0.25">
      <c r="B9" s="113">
        <v>44472</v>
      </c>
      <c r="C9" s="5" t="s">
        <v>89</v>
      </c>
      <c r="D9" s="114">
        <v>695.31</v>
      </c>
    </row>
    <row r="10" spans="1:9" x14ac:dyDescent="0.25">
      <c r="B10" s="113">
        <v>44472</v>
      </c>
      <c r="C10" s="5" t="s">
        <v>91</v>
      </c>
      <c r="D10" s="114">
        <v>474.26</v>
      </c>
    </row>
    <row r="11" spans="1:9" x14ac:dyDescent="0.25">
      <c r="B11" s="113">
        <v>44472</v>
      </c>
      <c r="C11" s="5" t="s">
        <v>91</v>
      </c>
      <c r="D11" s="114">
        <v>786.13</v>
      </c>
    </row>
    <row r="12" spans="1:9" x14ac:dyDescent="0.25">
      <c r="B12" s="113">
        <v>44472</v>
      </c>
      <c r="C12" s="5" t="s">
        <v>91</v>
      </c>
      <c r="D12" s="114">
        <v>311.12</v>
      </c>
    </row>
    <row r="13" spans="1:9" x14ac:dyDescent="0.25">
      <c r="B13" s="113">
        <v>44472</v>
      </c>
      <c r="C13" s="5" t="s">
        <v>89</v>
      </c>
      <c r="D13" s="114">
        <v>483.25</v>
      </c>
    </row>
    <row r="14" spans="1:9" x14ac:dyDescent="0.25">
      <c r="B14" s="113">
        <v>44472</v>
      </c>
      <c r="C14" s="5" t="s">
        <v>89</v>
      </c>
      <c r="D14" s="114">
        <v>696.97</v>
      </c>
    </row>
    <row r="15" spans="1:9" x14ac:dyDescent="0.25">
      <c r="B15" s="113">
        <v>44472</v>
      </c>
      <c r="C15" s="5" t="s">
        <v>89</v>
      </c>
      <c r="D15" s="114">
        <v>765.99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3075-D97A-4F53-88A9-3FE47D09FBD4}">
  <sheetPr codeName="Sheet28">
    <tabColor rgb="FF0000FF"/>
  </sheetPr>
  <dimension ref="A1:P22"/>
  <sheetViews>
    <sheetView zoomScale="175" zoomScaleNormal="175" workbookViewId="0"/>
  </sheetViews>
  <sheetFormatPr defaultColWidth="8.85546875" defaultRowHeight="15" x14ac:dyDescent="0.25"/>
  <cols>
    <col min="1" max="1" width="3" customWidth="1"/>
    <col min="2" max="2" width="10.85546875" customWidth="1"/>
  </cols>
  <sheetData>
    <row r="1" spans="1:16" ht="3" customHeight="1" x14ac:dyDescent="0.25"/>
    <row r="2" spans="1:16" x14ac:dyDescent="0.25">
      <c r="A2" s="4" t="s">
        <v>1</v>
      </c>
      <c r="B2" t="s">
        <v>134</v>
      </c>
      <c r="P2" t="s">
        <v>110</v>
      </c>
    </row>
    <row r="3" spans="1:16" x14ac:dyDescent="0.25">
      <c r="A3" s="4" t="s">
        <v>86</v>
      </c>
      <c r="B3" t="s">
        <v>135</v>
      </c>
      <c r="P3">
        <f ca="1">CHOOSE(RANDBETWEEN(1,2),RANDBETWEEN(110,2399),ABS(INT(_xlfn.NORM.INV(RAND(),450,250))))</f>
        <v>239</v>
      </c>
    </row>
    <row r="4" spans="1:16" ht="3" customHeight="1" x14ac:dyDescent="0.25">
      <c r="A4" s="4"/>
    </row>
    <row r="5" spans="1:16" x14ac:dyDescent="0.25">
      <c r="B5" s="6" t="s">
        <v>111</v>
      </c>
      <c r="C5" s="5" t="s">
        <v>107</v>
      </c>
      <c r="E5" s="4" t="str">
        <f>"Formula in "&amp;ADDRESS(ROW(C6),COLUMN(C6),4)&amp;":"</f>
        <v>Formula in C6:</v>
      </c>
    </row>
    <row r="6" spans="1:16" x14ac:dyDescent="0.25">
      <c r="B6" s="6" t="s">
        <v>112</v>
      </c>
      <c r="C6" s="116"/>
      <c r="E6" s="74" t="str">
        <f ca="1">_xlfn.IFNA(_xlfn.FORMULATEXT(C6),"")</f>
        <v/>
      </c>
    </row>
    <row r="7" spans="1:16" ht="3" customHeight="1" x14ac:dyDescent="0.25"/>
    <row r="8" spans="1:16" x14ac:dyDescent="0.25">
      <c r="B8" s="4" t="s">
        <v>113</v>
      </c>
    </row>
    <row r="9" spans="1:16" ht="3" customHeight="1" x14ac:dyDescent="0.25"/>
    <row r="10" spans="1:16" x14ac:dyDescent="0.25">
      <c r="B10" s="110" t="s">
        <v>114</v>
      </c>
      <c r="C10" s="110" t="s">
        <v>106</v>
      </c>
      <c r="D10" s="110" t="s">
        <v>107</v>
      </c>
      <c r="E10" s="110" t="s">
        <v>108</v>
      </c>
      <c r="F10" s="110" t="s">
        <v>109</v>
      </c>
    </row>
    <row r="11" spans="1:16" x14ac:dyDescent="0.25">
      <c r="B11" s="117">
        <v>0.25</v>
      </c>
      <c r="C11" s="106">
        <v>373</v>
      </c>
      <c r="D11" s="106">
        <v>1646</v>
      </c>
      <c r="E11" s="106">
        <v>1606</v>
      </c>
      <c r="F11" s="106">
        <v>738</v>
      </c>
    </row>
    <row r="12" spans="1:16" x14ac:dyDescent="0.25">
      <c r="B12" s="117">
        <v>0.29166666666666702</v>
      </c>
      <c r="C12" s="106">
        <v>38</v>
      </c>
      <c r="D12" s="106">
        <v>1198</v>
      </c>
      <c r="E12" s="106">
        <v>1719</v>
      </c>
      <c r="F12" s="106">
        <v>1888</v>
      </c>
    </row>
    <row r="13" spans="1:16" x14ac:dyDescent="0.25">
      <c r="B13" s="117">
        <v>0.33333333333333298</v>
      </c>
      <c r="C13" s="106">
        <v>300</v>
      </c>
      <c r="D13" s="106">
        <v>1828</v>
      </c>
      <c r="E13" s="106">
        <v>1285</v>
      </c>
      <c r="F13" s="106">
        <v>816</v>
      </c>
    </row>
    <row r="14" spans="1:16" x14ac:dyDescent="0.25">
      <c r="B14" s="117">
        <v>0.375</v>
      </c>
      <c r="C14" s="106">
        <v>1221</v>
      </c>
      <c r="D14" s="106">
        <v>265</v>
      </c>
      <c r="E14" s="106">
        <v>484</v>
      </c>
      <c r="F14" s="106">
        <v>1277</v>
      </c>
    </row>
    <row r="15" spans="1:16" x14ac:dyDescent="0.25">
      <c r="B15" s="117">
        <v>0.41666666666666702</v>
      </c>
      <c r="C15" s="106">
        <v>930</v>
      </c>
      <c r="D15" s="106">
        <v>780</v>
      </c>
      <c r="E15" s="106">
        <v>246</v>
      </c>
      <c r="F15" s="106">
        <v>15</v>
      </c>
    </row>
    <row r="16" spans="1:16" x14ac:dyDescent="0.25">
      <c r="B16" s="117">
        <v>0.45833333333333298</v>
      </c>
      <c r="C16" s="106">
        <v>914</v>
      </c>
      <c r="D16" s="106">
        <v>227</v>
      </c>
      <c r="E16" s="106">
        <v>409</v>
      </c>
      <c r="F16" s="106">
        <v>443</v>
      </c>
    </row>
    <row r="17" spans="2:6" x14ac:dyDescent="0.25">
      <c r="B17" s="117">
        <v>0.5</v>
      </c>
      <c r="C17" s="106">
        <v>1271</v>
      </c>
      <c r="D17" s="106">
        <v>945</v>
      </c>
      <c r="E17" s="106">
        <v>1924</v>
      </c>
      <c r="F17" s="106">
        <v>715</v>
      </c>
    </row>
    <row r="18" spans="2:6" x14ac:dyDescent="0.25">
      <c r="B18" s="117">
        <v>0.54166666666666696</v>
      </c>
      <c r="C18" s="106">
        <v>1840</v>
      </c>
      <c r="D18" s="106">
        <v>617</v>
      </c>
      <c r="E18" s="106">
        <v>144</v>
      </c>
      <c r="F18" s="106">
        <v>887</v>
      </c>
    </row>
    <row r="19" spans="2:6" x14ac:dyDescent="0.25">
      <c r="B19" s="117">
        <v>0.58333333333333304</v>
      </c>
      <c r="C19" s="106">
        <v>966</v>
      </c>
      <c r="D19" s="106">
        <v>1824</v>
      </c>
      <c r="E19" s="106">
        <v>268</v>
      </c>
      <c r="F19" s="106">
        <v>378</v>
      </c>
    </row>
    <row r="20" spans="2:6" x14ac:dyDescent="0.25">
      <c r="B20" s="117">
        <v>0.625</v>
      </c>
      <c r="C20" s="106">
        <v>672</v>
      </c>
      <c r="D20" s="106">
        <v>1208</v>
      </c>
      <c r="E20" s="106">
        <v>1946</v>
      </c>
      <c r="F20" s="106">
        <v>528</v>
      </c>
    </row>
    <row r="21" spans="2:6" x14ac:dyDescent="0.25">
      <c r="B21" s="117">
        <v>0.66666666666666696</v>
      </c>
      <c r="C21" s="106">
        <v>1177</v>
      </c>
      <c r="D21" s="106">
        <v>822</v>
      </c>
      <c r="E21" s="106">
        <v>323</v>
      </c>
      <c r="F21" s="106">
        <v>760</v>
      </c>
    </row>
    <row r="22" spans="2:6" x14ac:dyDescent="0.25">
      <c r="B22" s="117">
        <v>0.70833333333333304</v>
      </c>
      <c r="C22" s="106">
        <v>304</v>
      </c>
      <c r="D22" s="106">
        <v>432</v>
      </c>
      <c r="E22" s="106">
        <v>495</v>
      </c>
      <c r="F22" s="106">
        <v>364</v>
      </c>
    </row>
  </sheetData>
  <phoneticPr fontId="8" type="noConversion"/>
  <conditionalFormatting sqref="C11:F22">
    <cfRule type="expression" dxfId="101" priority="1">
      <formula>C$10=$C$5</formula>
    </cfRule>
  </conditionalFormatting>
  <dataValidations count="1">
    <dataValidation type="list" allowBlank="1" showInputMessage="1" showErrorMessage="1" sqref="C5" xr:uid="{43915CDF-55CC-46F3-9127-087E7256A808}">
      <formula1>$C$10:$F$10</formula1>
    </dataValidation>
  </dataValidation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69FE-60C8-4C29-A8C8-2A559BBAB2DB}">
  <sheetPr codeName="Sheet29">
    <tabColor rgb="FFFF0000"/>
  </sheetPr>
  <dimension ref="A1:P22"/>
  <sheetViews>
    <sheetView zoomScale="175" zoomScaleNormal="175" workbookViewId="0"/>
  </sheetViews>
  <sheetFormatPr defaultColWidth="8.85546875" defaultRowHeight="15" x14ac:dyDescent="0.25"/>
  <cols>
    <col min="1" max="1" width="3" customWidth="1"/>
    <col min="2" max="2" width="10.85546875" customWidth="1"/>
  </cols>
  <sheetData>
    <row r="1" spans="1:16" ht="3" customHeight="1" x14ac:dyDescent="0.25"/>
    <row r="2" spans="1:16" x14ac:dyDescent="0.25">
      <c r="A2" s="4" t="s">
        <v>1</v>
      </c>
      <c r="B2" t="s">
        <v>134</v>
      </c>
      <c r="P2" t="s">
        <v>110</v>
      </c>
    </row>
    <row r="3" spans="1:16" x14ac:dyDescent="0.25">
      <c r="A3" s="4" t="s">
        <v>86</v>
      </c>
      <c r="B3" t="s">
        <v>135</v>
      </c>
      <c r="P3">
        <f ca="1">CHOOSE(RANDBETWEEN(1,2),RANDBETWEEN(110,2399),ABS(INT(_xlfn.NORM.INV(RAND(),450,250))))</f>
        <v>819</v>
      </c>
    </row>
    <row r="4" spans="1:16" ht="3" customHeight="1" x14ac:dyDescent="0.25">
      <c r="A4" s="4"/>
    </row>
    <row r="5" spans="1:16" x14ac:dyDescent="0.25">
      <c r="B5" s="6" t="s">
        <v>111</v>
      </c>
      <c r="C5" s="5" t="s">
        <v>107</v>
      </c>
      <c r="E5" s="4" t="str">
        <f>"Formula in "&amp;ADDRESS(ROW(C6),COLUMN(C6),4)&amp;":"</f>
        <v>Formula in C6:</v>
      </c>
    </row>
    <row r="6" spans="1:16" x14ac:dyDescent="0.25">
      <c r="B6" s="6" t="s">
        <v>112</v>
      </c>
      <c r="C6" s="116">
        <f>SUM(_xlfn.XLOOKUP(C5,C10:F10,C11:F22))</f>
        <v>11792</v>
      </c>
      <c r="E6" s="74" t="str">
        <f ca="1">_xlfn.IFNA(_xlfn.FORMULATEXT(C6),"")</f>
        <v>=SUM(XLOOKUP(C5,C10:F10,C11:F22))</v>
      </c>
    </row>
    <row r="7" spans="1:16" ht="3" customHeight="1" x14ac:dyDescent="0.25"/>
    <row r="8" spans="1:16" x14ac:dyDescent="0.25">
      <c r="B8" s="4" t="s">
        <v>113</v>
      </c>
    </row>
    <row r="9" spans="1:16" ht="3" customHeight="1" x14ac:dyDescent="0.25"/>
    <row r="10" spans="1:16" x14ac:dyDescent="0.25">
      <c r="B10" s="110" t="s">
        <v>114</v>
      </c>
      <c r="C10" s="110" t="s">
        <v>106</v>
      </c>
      <c r="D10" s="110" t="s">
        <v>107</v>
      </c>
      <c r="E10" s="110" t="s">
        <v>108</v>
      </c>
      <c r="F10" s="110" t="s">
        <v>109</v>
      </c>
    </row>
    <row r="11" spans="1:16" x14ac:dyDescent="0.25">
      <c r="B11" s="117">
        <v>0.25</v>
      </c>
      <c r="C11" s="106">
        <v>373</v>
      </c>
      <c r="D11" s="106">
        <v>1646</v>
      </c>
      <c r="E11" s="106">
        <v>1606</v>
      </c>
      <c r="F11" s="106">
        <v>738</v>
      </c>
    </row>
    <row r="12" spans="1:16" x14ac:dyDescent="0.25">
      <c r="B12" s="117">
        <v>0.29166666666666702</v>
      </c>
      <c r="C12" s="106">
        <v>38</v>
      </c>
      <c r="D12" s="106">
        <v>1198</v>
      </c>
      <c r="E12" s="106">
        <v>1719</v>
      </c>
      <c r="F12" s="106">
        <v>1888</v>
      </c>
    </row>
    <row r="13" spans="1:16" x14ac:dyDescent="0.25">
      <c r="B13" s="117">
        <v>0.33333333333333298</v>
      </c>
      <c r="C13" s="106">
        <v>300</v>
      </c>
      <c r="D13" s="106">
        <v>1828</v>
      </c>
      <c r="E13" s="106">
        <v>1285</v>
      </c>
      <c r="F13" s="106">
        <v>816</v>
      </c>
    </row>
    <row r="14" spans="1:16" x14ac:dyDescent="0.25">
      <c r="B14" s="117">
        <v>0.375</v>
      </c>
      <c r="C14" s="106">
        <v>1221</v>
      </c>
      <c r="D14" s="106">
        <v>265</v>
      </c>
      <c r="E14" s="106">
        <v>484</v>
      </c>
      <c r="F14" s="106">
        <v>1277</v>
      </c>
    </row>
    <row r="15" spans="1:16" x14ac:dyDescent="0.25">
      <c r="B15" s="117">
        <v>0.41666666666666702</v>
      </c>
      <c r="C15" s="106">
        <v>930</v>
      </c>
      <c r="D15" s="106">
        <v>780</v>
      </c>
      <c r="E15" s="106">
        <v>246</v>
      </c>
      <c r="F15" s="106">
        <v>15</v>
      </c>
    </row>
    <row r="16" spans="1:16" x14ac:dyDescent="0.25">
      <c r="B16" s="117">
        <v>0.45833333333333298</v>
      </c>
      <c r="C16" s="106">
        <v>914</v>
      </c>
      <c r="D16" s="106">
        <v>227</v>
      </c>
      <c r="E16" s="106">
        <v>409</v>
      </c>
      <c r="F16" s="106">
        <v>443</v>
      </c>
    </row>
    <row r="17" spans="2:6" x14ac:dyDescent="0.25">
      <c r="B17" s="117">
        <v>0.5</v>
      </c>
      <c r="C17" s="106">
        <v>1271</v>
      </c>
      <c r="D17" s="106">
        <v>945</v>
      </c>
      <c r="E17" s="106">
        <v>1924</v>
      </c>
      <c r="F17" s="106">
        <v>715</v>
      </c>
    </row>
    <row r="18" spans="2:6" x14ac:dyDescent="0.25">
      <c r="B18" s="117">
        <v>0.54166666666666696</v>
      </c>
      <c r="C18" s="106">
        <v>1840</v>
      </c>
      <c r="D18" s="106">
        <v>617</v>
      </c>
      <c r="E18" s="106">
        <v>144</v>
      </c>
      <c r="F18" s="106">
        <v>887</v>
      </c>
    </row>
    <row r="19" spans="2:6" x14ac:dyDescent="0.25">
      <c r="B19" s="117">
        <v>0.58333333333333304</v>
      </c>
      <c r="C19" s="106">
        <v>966</v>
      </c>
      <c r="D19" s="106">
        <v>1824</v>
      </c>
      <c r="E19" s="106">
        <v>268</v>
      </c>
      <c r="F19" s="106">
        <v>378</v>
      </c>
    </row>
    <row r="20" spans="2:6" x14ac:dyDescent="0.25">
      <c r="B20" s="117">
        <v>0.625</v>
      </c>
      <c r="C20" s="106">
        <v>672</v>
      </c>
      <c r="D20" s="106">
        <v>1208</v>
      </c>
      <c r="E20" s="106">
        <v>1946</v>
      </c>
      <c r="F20" s="106">
        <v>528</v>
      </c>
    </row>
    <row r="21" spans="2:6" x14ac:dyDescent="0.25">
      <c r="B21" s="117">
        <v>0.66666666666666696</v>
      </c>
      <c r="C21" s="106">
        <v>1177</v>
      </c>
      <c r="D21" s="106">
        <v>822</v>
      </c>
      <c r="E21" s="106">
        <v>323</v>
      </c>
      <c r="F21" s="106">
        <v>760</v>
      </c>
    </row>
    <row r="22" spans="2:6" x14ac:dyDescent="0.25">
      <c r="B22" s="117">
        <v>0.70833333333333304</v>
      </c>
      <c r="C22" s="106">
        <v>304</v>
      </c>
      <c r="D22" s="106">
        <v>432</v>
      </c>
      <c r="E22" s="106">
        <v>495</v>
      </c>
      <c r="F22" s="106">
        <v>364</v>
      </c>
    </row>
  </sheetData>
  <conditionalFormatting sqref="C11:F22">
    <cfRule type="expression" dxfId="100" priority="1">
      <formula>C$10=$C$5</formula>
    </cfRule>
  </conditionalFormatting>
  <dataValidations count="1">
    <dataValidation type="list" allowBlank="1" showInputMessage="1" showErrorMessage="1" sqref="C5" xr:uid="{D28A4EF1-D3B3-487E-B41D-40DA83C47332}">
      <formula1>$C$10:$F$10</formula1>
    </dataValidation>
  </dataValidation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5453-9594-4550-BE9B-0F541B90F89C}">
  <sheetPr codeName="Sheet30">
    <tabColor rgb="FF0000FF"/>
  </sheetPr>
  <dimension ref="A1:H13"/>
  <sheetViews>
    <sheetView zoomScale="175" zoomScaleNormal="175" workbookViewId="0"/>
  </sheetViews>
  <sheetFormatPr defaultColWidth="8.85546875" defaultRowHeight="15" x14ac:dyDescent="0.25"/>
  <cols>
    <col min="1" max="1" width="5.42578125" bestFit="1" customWidth="1"/>
    <col min="2" max="2" width="11.42578125" customWidth="1"/>
    <col min="3" max="3" width="5.85546875" bestFit="1" customWidth="1"/>
    <col min="4" max="4" width="7.28515625" bestFit="1" customWidth="1"/>
    <col min="5" max="5" width="9.28515625" bestFit="1" customWidth="1"/>
    <col min="6" max="6" width="12.85546875" bestFit="1" customWidth="1"/>
    <col min="7" max="7" width="12.42578125" bestFit="1" customWidth="1"/>
    <col min="8" max="8" width="11.7109375" bestFit="1" customWidth="1"/>
  </cols>
  <sheetData>
    <row r="1" spans="1:8" ht="4.5" customHeight="1" x14ac:dyDescent="0.25"/>
    <row r="2" spans="1:8" x14ac:dyDescent="0.25">
      <c r="A2" s="4" t="s">
        <v>133</v>
      </c>
      <c r="B2" s="4" t="s">
        <v>136</v>
      </c>
    </row>
    <row r="3" spans="1:8" ht="4.5" customHeight="1" x14ac:dyDescent="0.25"/>
    <row r="4" spans="1:8" x14ac:dyDescent="0.25">
      <c r="B4" s="110" t="s">
        <v>132</v>
      </c>
      <c r="D4" s="110" t="s">
        <v>2</v>
      </c>
      <c r="E4" s="110" t="s">
        <v>3</v>
      </c>
      <c r="F4" s="110" t="s">
        <v>5</v>
      </c>
      <c r="G4" s="110" t="s">
        <v>119</v>
      </c>
      <c r="H4" s="110" t="s">
        <v>4</v>
      </c>
    </row>
    <row r="5" spans="1:8" x14ac:dyDescent="0.25">
      <c r="B5" s="5" t="s">
        <v>116</v>
      </c>
      <c r="D5" s="7"/>
      <c r="E5" s="7"/>
      <c r="F5" s="7"/>
      <c r="G5" s="7"/>
      <c r="H5" s="7"/>
    </row>
    <row r="6" spans="1:8" ht="4.5" customHeight="1" x14ac:dyDescent="0.25"/>
    <row r="7" spans="1:8" x14ac:dyDescent="0.25">
      <c r="A7" s="4"/>
      <c r="B7" s="4" t="str">
        <f>"Formula in "&amp;ADDRESS(ROW(D5),COLUMN(D5),4)&amp;":"</f>
        <v>Formula in D5:</v>
      </c>
      <c r="D7" s="74" t="str">
        <f ca="1">_xlfn.IFNA(_xlfn.FORMULATEXT(D5),"")</f>
        <v/>
      </c>
    </row>
    <row r="9" spans="1:8" x14ac:dyDescent="0.25">
      <c r="B9" s="110" t="s">
        <v>132</v>
      </c>
      <c r="C9" s="110" t="s">
        <v>2</v>
      </c>
      <c r="D9" s="110" t="s">
        <v>3</v>
      </c>
      <c r="E9" s="110" t="s">
        <v>5</v>
      </c>
      <c r="F9" s="110" t="s">
        <v>119</v>
      </c>
      <c r="G9" s="110" t="s">
        <v>4</v>
      </c>
    </row>
    <row r="10" spans="1:8" x14ac:dyDescent="0.25">
      <c r="B10" s="5" t="s">
        <v>115</v>
      </c>
      <c r="C10" s="5" t="s">
        <v>91</v>
      </c>
      <c r="D10" s="5" t="s">
        <v>89</v>
      </c>
      <c r="E10" s="113">
        <v>41188</v>
      </c>
      <c r="F10" s="5" t="s">
        <v>120</v>
      </c>
      <c r="G10" s="5" t="s">
        <v>121</v>
      </c>
    </row>
    <row r="11" spans="1:8" x14ac:dyDescent="0.25">
      <c r="B11" s="5" t="s">
        <v>116</v>
      </c>
      <c r="C11" s="5" t="s">
        <v>122</v>
      </c>
      <c r="D11" s="5" t="s">
        <v>123</v>
      </c>
      <c r="E11" s="113">
        <v>40862</v>
      </c>
      <c r="F11" s="5" t="s">
        <v>124</v>
      </c>
      <c r="G11" s="5" t="s">
        <v>125</v>
      </c>
    </row>
    <row r="12" spans="1:8" x14ac:dyDescent="0.25">
      <c r="B12" s="5" t="s">
        <v>117</v>
      </c>
      <c r="C12" s="5" t="s">
        <v>90</v>
      </c>
      <c r="D12" s="5" t="s">
        <v>126</v>
      </c>
      <c r="E12" s="113">
        <v>43134</v>
      </c>
      <c r="F12" s="5" t="s">
        <v>127</v>
      </c>
      <c r="G12" s="5" t="s">
        <v>121</v>
      </c>
    </row>
    <row r="13" spans="1:8" x14ac:dyDescent="0.25">
      <c r="B13" s="5" t="s">
        <v>118</v>
      </c>
      <c r="C13" s="5" t="s">
        <v>128</v>
      </c>
      <c r="D13" s="5" t="s">
        <v>131</v>
      </c>
      <c r="E13" s="113">
        <v>44110</v>
      </c>
      <c r="F13" s="5" t="s">
        <v>129</v>
      </c>
      <c r="G13" s="5" t="s">
        <v>130</v>
      </c>
    </row>
  </sheetData>
  <conditionalFormatting sqref="B10:G13">
    <cfRule type="expression" dxfId="99" priority="1">
      <formula>$B10=$B$5</formula>
    </cfRule>
  </conditionalFormatting>
  <dataValidations count="1">
    <dataValidation type="list" allowBlank="1" showInputMessage="1" showErrorMessage="1" sqref="B5" xr:uid="{7BDA075E-28AD-42A5-A2F9-2B6CDD424582}">
      <formula1>$B$10:$B$13</formula1>
    </dataValidation>
  </dataValidation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19C7-6391-4F7F-9BC9-4FB19F3200BC}">
  <sheetPr codeName="Sheet31">
    <tabColor rgb="FFFF0000"/>
  </sheetPr>
  <dimension ref="A1:H13"/>
  <sheetViews>
    <sheetView zoomScale="175" zoomScaleNormal="175" workbookViewId="0"/>
  </sheetViews>
  <sheetFormatPr defaultColWidth="8.85546875" defaultRowHeight="15" x14ac:dyDescent="0.25"/>
  <cols>
    <col min="1" max="1" width="5.42578125" bestFit="1" customWidth="1"/>
    <col min="2" max="2" width="11.42578125" customWidth="1"/>
    <col min="3" max="3" width="5.85546875" bestFit="1" customWidth="1"/>
    <col min="4" max="4" width="7.28515625" bestFit="1" customWidth="1"/>
    <col min="5" max="5" width="9.28515625" bestFit="1" customWidth="1"/>
    <col min="6" max="6" width="12.85546875" bestFit="1" customWidth="1"/>
    <col min="7" max="7" width="12.42578125" bestFit="1" customWidth="1"/>
    <col min="8" max="8" width="11.7109375" bestFit="1" customWidth="1"/>
  </cols>
  <sheetData>
    <row r="1" spans="1:8" ht="4.5" customHeight="1" x14ac:dyDescent="0.25"/>
    <row r="2" spans="1:8" x14ac:dyDescent="0.25">
      <c r="A2" s="4" t="s">
        <v>133</v>
      </c>
      <c r="B2" s="4" t="s">
        <v>136</v>
      </c>
    </row>
    <row r="3" spans="1:8" ht="4.5" customHeight="1" x14ac:dyDescent="0.25"/>
    <row r="4" spans="1:8" x14ac:dyDescent="0.25">
      <c r="B4" s="110" t="s">
        <v>132</v>
      </c>
      <c r="D4" s="110" t="s">
        <v>2</v>
      </c>
      <c r="E4" s="110" t="s">
        <v>3</v>
      </c>
      <c r="F4" s="110" t="s">
        <v>5</v>
      </c>
      <c r="G4" s="110" t="s">
        <v>119</v>
      </c>
      <c r="H4" s="110" t="s">
        <v>4</v>
      </c>
    </row>
    <row r="5" spans="1:8" x14ac:dyDescent="0.25">
      <c r="B5" s="5" t="s">
        <v>116</v>
      </c>
      <c r="D5" s="7" t="str" cm="1">
        <f t="array" ref="D5:H5">_xlfn.XLOOKUP(B5,B10:B13,C10:G13)</f>
        <v>Ty</v>
      </c>
      <c r="E5" s="7" t="str">
        <v>Smithe</v>
      </c>
      <c r="F5" s="7">
        <v>40862</v>
      </c>
      <c r="G5" s="7" t="str">
        <v>435-398-5510</v>
      </c>
      <c r="H5" s="7" t="str">
        <v>Finance</v>
      </c>
    </row>
    <row r="6" spans="1:8" ht="4.5" customHeight="1" x14ac:dyDescent="0.25"/>
    <row r="7" spans="1:8" x14ac:dyDescent="0.25">
      <c r="A7" s="4"/>
      <c r="B7" s="4" t="str">
        <f>"Formula in "&amp;ADDRESS(ROW(D5),COLUMN(D5),4)&amp;":"</f>
        <v>Formula in D5:</v>
      </c>
      <c r="D7" s="74" t="str">
        <f ca="1">_xlfn.IFNA(_xlfn.FORMULATEXT(D5),"")</f>
        <v>=XLOOKUP(B5,B10:B13,C10:G13)</v>
      </c>
    </row>
    <row r="9" spans="1:8" x14ac:dyDescent="0.25">
      <c r="B9" s="110" t="s">
        <v>132</v>
      </c>
      <c r="C9" s="110" t="s">
        <v>2</v>
      </c>
      <c r="D9" s="110" t="s">
        <v>3</v>
      </c>
      <c r="E9" s="110" t="s">
        <v>5</v>
      </c>
      <c r="F9" s="110" t="s">
        <v>119</v>
      </c>
      <c r="G9" s="110" t="s">
        <v>4</v>
      </c>
    </row>
    <row r="10" spans="1:8" x14ac:dyDescent="0.25">
      <c r="B10" s="5" t="s">
        <v>115</v>
      </c>
      <c r="C10" s="5" t="s">
        <v>91</v>
      </c>
      <c r="D10" s="5" t="s">
        <v>89</v>
      </c>
      <c r="E10" s="113">
        <v>41188</v>
      </c>
      <c r="F10" s="5" t="s">
        <v>120</v>
      </c>
      <c r="G10" s="5" t="s">
        <v>121</v>
      </c>
    </row>
    <row r="11" spans="1:8" x14ac:dyDescent="0.25">
      <c r="B11" s="5" t="s">
        <v>116</v>
      </c>
      <c r="C11" s="5" t="s">
        <v>122</v>
      </c>
      <c r="D11" s="5" t="s">
        <v>123</v>
      </c>
      <c r="E11" s="113">
        <v>40862</v>
      </c>
      <c r="F11" s="5" t="s">
        <v>124</v>
      </c>
      <c r="G11" s="5" t="s">
        <v>125</v>
      </c>
    </row>
    <row r="12" spans="1:8" x14ac:dyDescent="0.25">
      <c r="B12" s="5" t="s">
        <v>117</v>
      </c>
      <c r="C12" s="5" t="s">
        <v>90</v>
      </c>
      <c r="D12" s="5" t="s">
        <v>126</v>
      </c>
      <c r="E12" s="113">
        <v>43134</v>
      </c>
      <c r="F12" s="5" t="s">
        <v>127</v>
      </c>
      <c r="G12" s="5" t="s">
        <v>121</v>
      </c>
    </row>
    <row r="13" spans="1:8" x14ac:dyDescent="0.25">
      <c r="B13" s="5" t="s">
        <v>118</v>
      </c>
      <c r="C13" s="5" t="s">
        <v>128</v>
      </c>
      <c r="D13" s="5" t="s">
        <v>131</v>
      </c>
      <c r="E13" s="113">
        <v>44110</v>
      </c>
      <c r="F13" s="5" t="s">
        <v>129</v>
      </c>
      <c r="G13" s="5" t="s">
        <v>130</v>
      </c>
    </row>
  </sheetData>
  <conditionalFormatting sqref="B10:G13">
    <cfRule type="expression" dxfId="98" priority="1">
      <formula>$B10=$B$5</formula>
    </cfRule>
  </conditionalFormatting>
  <dataValidations count="1">
    <dataValidation type="list" allowBlank="1" showInputMessage="1" showErrorMessage="1" sqref="B5" xr:uid="{C8D4F769-F467-474F-A80F-C7D9BC421EA1}">
      <formula1>$B$10:$B$13</formula1>
    </dataValidation>
  </dataValidation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2AC9-512F-4FB6-9D37-AC0E6F6477F2}">
  <sheetPr codeName="Sheet32">
    <tabColor rgb="FF0000FF"/>
  </sheetPr>
  <dimension ref="A1:Q52"/>
  <sheetViews>
    <sheetView zoomScale="85" zoomScaleNormal="85" workbookViewId="0"/>
  </sheetViews>
  <sheetFormatPr defaultColWidth="8.85546875" defaultRowHeight="15" x14ac:dyDescent="0.25"/>
  <cols>
    <col min="1" max="1" width="5.42578125" bestFit="1" customWidth="1"/>
    <col min="2" max="2" width="10.42578125" customWidth="1"/>
    <col min="4" max="10" width="7.85546875" customWidth="1"/>
    <col min="11" max="11" width="8.28515625" customWidth="1"/>
    <col min="12" max="12" width="7" customWidth="1"/>
  </cols>
  <sheetData>
    <row r="1" spans="1:11" ht="4.5" customHeight="1" x14ac:dyDescent="0.25"/>
    <row r="2" spans="1:11" x14ac:dyDescent="0.25">
      <c r="A2" s="4" t="s">
        <v>1</v>
      </c>
      <c r="B2" s="4" t="s">
        <v>142</v>
      </c>
    </row>
    <row r="3" spans="1:11" x14ac:dyDescent="0.25">
      <c r="A3" s="4" t="s">
        <v>137</v>
      </c>
      <c r="B3" t="s">
        <v>147</v>
      </c>
    </row>
    <row r="4" spans="1:11" ht="4.5" customHeight="1" x14ac:dyDescent="0.25"/>
    <row r="5" spans="1:11" ht="21" x14ac:dyDescent="0.35">
      <c r="B5" s="127" t="s">
        <v>148</v>
      </c>
      <c r="C5" s="128"/>
      <c r="D5" s="128"/>
      <c r="E5" s="128"/>
      <c r="F5" s="128"/>
      <c r="G5" s="128"/>
      <c r="H5" s="128"/>
      <c r="I5" s="128"/>
      <c r="J5" s="128"/>
      <c r="K5" s="128"/>
    </row>
    <row r="6" spans="1:11" x14ac:dyDescent="0.25">
      <c r="B6" s="129" t="s">
        <v>143</v>
      </c>
      <c r="C6" s="130"/>
      <c r="D6" s="131" t="s">
        <v>138</v>
      </c>
      <c r="E6" s="132"/>
      <c r="F6" s="132"/>
      <c r="G6" s="132"/>
      <c r="H6" s="132"/>
      <c r="I6" s="132"/>
      <c r="J6" s="132"/>
      <c r="K6" s="132"/>
    </row>
    <row r="7" spans="1:11" x14ac:dyDescent="0.25">
      <c r="B7" s="265" t="s">
        <v>139</v>
      </c>
      <c r="C7" s="265" t="s">
        <v>140</v>
      </c>
      <c r="D7" s="133">
        <v>0</v>
      </c>
      <c r="E7" s="133">
        <v>1</v>
      </c>
      <c r="F7" s="133">
        <v>2</v>
      </c>
      <c r="G7" s="133">
        <v>3</v>
      </c>
      <c r="H7" s="133">
        <v>4</v>
      </c>
      <c r="I7" s="133">
        <v>5</v>
      </c>
      <c r="J7" s="133">
        <v>6</v>
      </c>
      <c r="K7" s="133">
        <v>7</v>
      </c>
    </row>
    <row r="8" spans="1:11" x14ac:dyDescent="0.25">
      <c r="B8" s="265"/>
      <c r="C8" s="265"/>
      <c r="D8" s="134" t="s">
        <v>141</v>
      </c>
      <c r="E8" s="135"/>
      <c r="F8" s="135"/>
      <c r="G8" s="135"/>
      <c r="H8" s="135"/>
      <c r="I8" s="135"/>
      <c r="J8" s="135"/>
      <c r="K8" s="136"/>
    </row>
    <row r="9" spans="1:11" x14ac:dyDescent="0.25">
      <c r="B9" s="137">
        <v>450</v>
      </c>
      <c r="C9" s="137">
        <f>B9+10</f>
        <v>460</v>
      </c>
      <c r="D9" s="5">
        <v>31</v>
      </c>
      <c r="E9" s="5">
        <v>20</v>
      </c>
      <c r="F9" s="5">
        <v>12</v>
      </c>
      <c r="G9" s="5">
        <v>4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B10" s="137">
        <f>C9</f>
        <v>460</v>
      </c>
      <c r="C10" s="137">
        <f t="shared" ref="C10:C33" si="0">B10+10</f>
        <v>470</v>
      </c>
      <c r="D10" s="5">
        <f>D9+2</f>
        <v>33</v>
      </c>
      <c r="E10" s="5">
        <f>E9+2</f>
        <v>22</v>
      </c>
      <c r="F10" s="5">
        <v>13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B11" s="137">
        <f t="shared" ref="B11:B33" si="1">C10</f>
        <v>470</v>
      </c>
      <c r="C11" s="137">
        <f t="shared" si="0"/>
        <v>480</v>
      </c>
      <c r="D11" s="5">
        <f>D10+1</f>
        <v>34</v>
      </c>
      <c r="E11" s="5">
        <f>E10+1</f>
        <v>23</v>
      </c>
      <c r="F11" s="5">
        <v>14</v>
      </c>
      <c r="G11" s="5">
        <v>6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B12" s="137">
        <f t="shared" si="1"/>
        <v>480</v>
      </c>
      <c r="C12" s="137">
        <f t="shared" si="0"/>
        <v>490</v>
      </c>
      <c r="D12" s="5">
        <f t="shared" ref="D12:E12" si="2">D11+2</f>
        <v>36</v>
      </c>
      <c r="E12" s="5">
        <f t="shared" si="2"/>
        <v>25</v>
      </c>
      <c r="F12" s="5">
        <v>15</v>
      </c>
      <c r="G12" s="5">
        <v>7</v>
      </c>
      <c r="H12" s="5">
        <v>1</v>
      </c>
      <c r="I12" s="5">
        <v>0</v>
      </c>
      <c r="J12" s="5">
        <v>0</v>
      </c>
      <c r="K12" s="5">
        <v>0</v>
      </c>
    </row>
    <row r="13" spans="1:11" x14ac:dyDescent="0.25">
      <c r="B13" s="137">
        <f t="shared" si="1"/>
        <v>490</v>
      </c>
      <c r="C13" s="137">
        <f t="shared" si="0"/>
        <v>500</v>
      </c>
      <c r="D13" s="5">
        <f t="shared" ref="D13:E13" si="3">D12+1</f>
        <v>37</v>
      </c>
      <c r="E13" s="5">
        <f t="shared" si="3"/>
        <v>26</v>
      </c>
      <c r="F13" s="5">
        <v>16</v>
      </c>
      <c r="G13" s="5">
        <v>8</v>
      </c>
      <c r="H13" s="5">
        <v>2</v>
      </c>
      <c r="I13" s="5">
        <v>0</v>
      </c>
      <c r="J13" s="5">
        <v>0</v>
      </c>
      <c r="K13" s="5">
        <v>0</v>
      </c>
    </row>
    <row r="14" spans="1:11" x14ac:dyDescent="0.25">
      <c r="B14" s="137">
        <f t="shared" si="1"/>
        <v>500</v>
      </c>
      <c r="C14" s="137">
        <f t="shared" si="0"/>
        <v>510</v>
      </c>
      <c r="D14" s="5">
        <f t="shared" ref="D14:E14" si="4">D13+2</f>
        <v>39</v>
      </c>
      <c r="E14" s="5">
        <f t="shared" si="4"/>
        <v>28</v>
      </c>
      <c r="F14" s="5">
        <v>17</v>
      </c>
      <c r="G14" s="5">
        <v>9</v>
      </c>
      <c r="H14" s="5">
        <v>3</v>
      </c>
      <c r="I14" s="5">
        <v>0</v>
      </c>
      <c r="J14" s="5">
        <v>0</v>
      </c>
      <c r="K14" s="5">
        <v>0</v>
      </c>
    </row>
    <row r="15" spans="1:11" x14ac:dyDescent="0.25">
      <c r="B15" s="137">
        <f t="shared" si="1"/>
        <v>510</v>
      </c>
      <c r="C15" s="137">
        <f t="shared" si="0"/>
        <v>520</v>
      </c>
      <c r="D15" s="5">
        <f t="shared" ref="D15:E15" si="5">D14+1</f>
        <v>40</v>
      </c>
      <c r="E15" s="5">
        <f t="shared" si="5"/>
        <v>29</v>
      </c>
      <c r="F15" s="5">
        <v>18</v>
      </c>
      <c r="G15" s="5">
        <v>10</v>
      </c>
      <c r="H15" s="5">
        <v>4</v>
      </c>
      <c r="I15" s="5">
        <v>0</v>
      </c>
      <c r="J15" s="5">
        <v>0</v>
      </c>
      <c r="K15" s="5">
        <v>0</v>
      </c>
    </row>
    <row r="16" spans="1:11" x14ac:dyDescent="0.25">
      <c r="B16" s="137">
        <f t="shared" si="1"/>
        <v>520</v>
      </c>
      <c r="C16" s="137">
        <f t="shared" si="0"/>
        <v>530</v>
      </c>
      <c r="D16" s="5">
        <f t="shared" ref="D16:E16" si="6">D15+2</f>
        <v>42</v>
      </c>
      <c r="E16" s="5">
        <f t="shared" si="6"/>
        <v>31</v>
      </c>
      <c r="F16" s="5">
        <v>20</v>
      </c>
      <c r="G16" s="5">
        <v>11</v>
      </c>
      <c r="H16" s="5">
        <v>5</v>
      </c>
      <c r="I16" s="5">
        <v>0</v>
      </c>
      <c r="J16" s="5">
        <v>0</v>
      </c>
      <c r="K16" s="5">
        <v>0</v>
      </c>
    </row>
    <row r="17" spans="2:11" x14ac:dyDescent="0.25">
      <c r="B17" s="137">
        <f t="shared" si="1"/>
        <v>530</v>
      </c>
      <c r="C17" s="137">
        <f t="shared" si="0"/>
        <v>540</v>
      </c>
      <c r="D17" s="5">
        <f t="shared" ref="D17:E17" si="7">D16+1</f>
        <v>43</v>
      </c>
      <c r="E17" s="5">
        <f t="shared" si="7"/>
        <v>32</v>
      </c>
      <c r="F17" s="5">
        <v>21</v>
      </c>
      <c r="G17" s="5">
        <v>12</v>
      </c>
      <c r="H17" s="5">
        <v>6</v>
      </c>
      <c r="I17" s="5">
        <v>0</v>
      </c>
      <c r="J17" s="5">
        <v>0</v>
      </c>
      <c r="K17" s="5">
        <v>0</v>
      </c>
    </row>
    <row r="18" spans="2:11" x14ac:dyDescent="0.25">
      <c r="B18" s="137">
        <f t="shared" si="1"/>
        <v>540</v>
      </c>
      <c r="C18" s="137">
        <f t="shared" si="0"/>
        <v>550</v>
      </c>
      <c r="D18" s="5">
        <f t="shared" ref="D18:E18" si="8">D17+2</f>
        <v>45</v>
      </c>
      <c r="E18" s="5">
        <f t="shared" si="8"/>
        <v>34</v>
      </c>
      <c r="F18" s="5">
        <v>23</v>
      </c>
      <c r="G18" s="5">
        <v>13</v>
      </c>
      <c r="H18" s="5">
        <v>7</v>
      </c>
      <c r="I18" s="5">
        <v>0</v>
      </c>
      <c r="J18" s="5">
        <v>0</v>
      </c>
      <c r="K18" s="5">
        <v>0</v>
      </c>
    </row>
    <row r="19" spans="2:11" x14ac:dyDescent="0.25">
      <c r="B19" s="137">
        <f t="shared" si="1"/>
        <v>550</v>
      </c>
      <c r="C19" s="137">
        <f t="shared" si="0"/>
        <v>560</v>
      </c>
      <c r="D19" s="5">
        <f t="shared" ref="D19:E19" si="9">D18+1</f>
        <v>46</v>
      </c>
      <c r="E19" s="5">
        <f t="shared" si="9"/>
        <v>35</v>
      </c>
      <c r="F19" s="5">
        <v>24</v>
      </c>
      <c r="G19" s="5">
        <v>14</v>
      </c>
      <c r="H19" s="5">
        <v>8</v>
      </c>
      <c r="I19" s="5">
        <v>0</v>
      </c>
      <c r="J19" s="5">
        <v>0</v>
      </c>
      <c r="K19" s="5">
        <v>0</v>
      </c>
    </row>
    <row r="20" spans="2:11" x14ac:dyDescent="0.25">
      <c r="B20" s="137">
        <f t="shared" si="1"/>
        <v>560</v>
      </c>
      <c r="C20" s="137">
        <f t="shared" si="0"/>
        <v>570</v>
      </c>
      <c r="D20" s="5">
        <f t="shared" ref="D20:E20" si="10">D19+2</f>
        <v>48</v>
      </c>
      <c r="E20" s="5">
        <f t="shared" si="10"/>
        <v>37</v>
      </c>
      <c r="F20" s="5">
        <v>26</v>
      </c>
      <c r="G20" s="5">
        <v>15</v>
      </c>
      <c r="H20" s="5">
        <v>9</v>
      </c>
      <c r="I20" s="5">
        <v>1</v>
      </c>
      <c r="J20" s="5">
        <v>0</v>
      </c>
      <c r="K20" s="5">
        <v>0</v>
      </c>
    </row>
    <row r="21" spans="2:11" x14ac:dyDescent="0.25">
      <c r="B21" s="137">
        <f t="shared" si="1"/>
        <v>570</v>
      </c>
      <c r="C21" s="137">
        <f t="shared" si="0"/>
        <v>580</v>
      </c>
      <c r="D21" s="5">
        <f t="shared" ref="D21:E21" si="11">D20+1</f>
        <v>49</v>
      </c>
      <c r="E21" s="5">
        <f t="shared" si="11"/>
        <v>38</v>
      </c>
      <c r="F21" s="5">
        <v>27</v>
      </c>
      <c r="G21" s="5">
        <v>16</v>
      </c>
      <c r="H21" s="5">
        <v>10</v>
      </c>
      <c r="I21" s="5">
        <v>2</v>
      </c>
      <c r="J21" s="5">
        <v>0</v>
      </c>
      <c r="K21" s="5">
        <v>0</v>
      </c>
    </row>
    <row r="22" spans="2:11" x14ac:dyDescent="0.25">
      <c r="B22" s="137">
        <f t="shared" si="1"/>
        <v>580</v>
      </c>
      <c r="C22" s="137">
        <f t="shared" si="0"/>
        <v>590</v>
      </c>
      <c r="D22" s="5">
        <f t="shared" ref="D22:E22" si="12">D21+2</f>
        <v>51</v>
      </c>
      <c r="E22" s="5">
        <f t="shared" si="12"/>
        <v>40</v>
      </c>
      <c r="F22" s="5">
        <v>29</v>
      </c>
      <c r="G22" s="5">
        <v>18</v>
      </c>
      <c r="H22" s="5">
        <v>11</v>
      </c>
      <c r="I22" s="5">
        <v>3</v>
      </c>
      <c r="J22" s="5">
        <v>0</v>
      </c>
      <c r="K22" s="5">
        <v>0</v>
      </c>
    </row>
    <row r="23" spans="2:11" x14ac:dyDescent="0.25">
      <c r="B23" s="137">
        <f t="shared" si="1"/>
        <v>590</v>
      </c>
      <c r="C23" s="137">
        <f t="shared" si="0"/>
        <v>600</v>
      </c>
      <c r="D23" s="5">
        <f t="shared" ref="D23:E23" si="13">D22+1</f>
        <v>52</v>
      </c>
      <c r="E23" s="5">
        <f t="shared" si="13"/>
        <v>41</v>
      </c>
      <c r="F23" s="5">
        <v>30</v>
      </c>
      <c r="G23" s="5">
        <v>19</v>
      </c>
      <c r="H23" s="5">
        <v>12</v>
      </c>
      <c r="I23" s="5">
        <v>4</v>
      </c>
      <c r="J23" s="5">
        <v>0</v>
      </c>
      <c r="K23" s="5">
        <v>0</v>
      </c>
    </row>
    <row r="24" spans="2:11" x14ac:dyDescent="0.25">
      <c r="B24" s="137">
        <f t="shared" si="1"/>
        <v>600</v>
      </c>
      <c r="C24" s="137">
        <f t="shared" si="0"/>
        <v>610</v>
      </c>
      <c r="D24" s="5">
        <f t="shared" ref="D24:E24" si="14">D23+2</f>
        <v>54</v>
      </c>
      <c r="E24" s="5">
        <f t="shared" si="14"/>
        <v>43</v>
      </c>
      <c r="F24" s="5">
        <v>32</v>
      </c>
      <c r="G24" s="5">
        <v>21</v>
      </c>
      <c r="H24" s="5">
        <v>13</v>
      </c>
      <c r="I24" s="5">
        <v>5</v>
      </c>
      <c r="J24" s="5">
        <v>0</v>
      </c>
      <c r="K24" s="5">
        <v>0</v>
      </c>
    </row>
    <row r="25" spans="2:11" x14ac:dyDescent="0.25">
      <c r="B25" s="137">
        <f t="shared" si="1"/>
        <v>610</v>
      </c>
      <c r="C25" s="137">
        <f t="shared" si="0"/>
        <v>620</v>
      </c>
      <c r="D25" s="5">
        <f t="shared" ref="D25:E25" si="15">D24+1</f>
        <v>55</v>
      </c>
      <c r="E25" s="5">
        <f t="shared" si="15"/>
        <v>44</v>
      </c>
      <c r="F25" s="5">
        <v>33</v>
      </c>
      <c r="G25" s="5">
        <v>22</v>
      </c>
      <c r="H25" s="5">
        <v>14</v>
      </c>
      <c r="I25" s="5">
        <v>6</v>
      </c>
      <c r="J25" s="5">
        <v>0</v>
      </c>
      <c r="K25" s="5">
        <v>0</v>
      </c>
    </row>
    <row r="26" spans="2:11" x14ac:dyDescent="0.25">
      <c r="B26" s="137">
        <f t="shared" si="1"/>
        <v>620</v>
      </c>
      <c r="C26" s="137">
        <f t="shared" si="0"/>
        <v>630</v>
      </c>
      <c r="D26" s="5">
        <f t="shared" ref="D26:E26" si="16">D25+2</f>
        <v>57</v>
      </c>
      <c r="E26" s="5">
        <f t="shared" si="16"/>
        <v>46</v>
      </c>
      <c r="F26" s="5">
        <v>35</v>
      </c>
      <c r="G26" s="5">
        <v>24</v>
      </c>
      <c r="H26" s="5">
        <v>15</v>
      </c>
      <c r="I26" s="5">
        <v>7</v>
      </c>
      <c r="J26" s="5">
        <v>0</v>
      </c>
      <c r="K26" s="5">
        <v>0</v>
      </c>
    </row>
    <row r="27" spans="2:11" x14ac:dyDescent="0.25">
      <c r="B27" s="137">
        <f t="shared" si="1"/>
        <v>630</v>
      </c>
      <c r="C27" s="137">
        <f t="shared" si="0"/>
        <v>640</v>
      </c>
      <c r="D27" s="5">
        <f t="shared" ref="D27:E27" si="17">D26+1</f>
        <v>58</v>
      </c>
      <c r="E27" s="5">
        <f t="shared" si="17"/>
        <v>47</v>
      </c>
      <c r="F27" s="5">
        <v>36</v>
      </c>
      <c r="G27" s="5">
        <v>25</v>
      </c>
      <c r="H27" s="5">
        <v>16</v>
      </c>
      <c r="I27" s="5">
        <v>8</v>
      </c>
      <c r="J27" s="5">
        <v>0</v>
      </c>
      <c r="K27" s="5">
        <v>0</v>
      </c>
    </row>
    <row r="28" spans="2:11" x14ac:dyDescent="0.25">
      <c r="B28" s="137">
        <f t="shared" si="1"/>
        <v>640</v>
      </c>
      <c r="C28" s="137">
        <f t="shared" si="0"/>
        <v>650</v>
      </c>
      <c r="D28" s="5">
        <f t="shared" ref="D28:E28" si="18">D27+2</f>
        <v>60</v>
      </c>
      <c r="E28" s="5">
        <f t="shared" si="18"/>
        <v>49</v>
      </c>
      <c r="F28" s="5">
        <v>38</v>
      </c>
      <c r="G28" s="5">
        <v>27</v>
      </c>
      <c r="H28" s="5">
        <v>17</v>
      </c>
      <c r="I28" s="5">
        <v>9</v>
      </c>
      <c r="J28" s="5">
        <v>0</v>
      </c>
      <c r="K28" s="5">
        <v>0</v>
      </c>
    </row>
    <row r="29" spans="2:11" x14ac:dyDescent="0.25">
      <c r="B29" s="137">
        <f t="shared" si="1"/>
        <v>650</v>
      </c>
      <c r="C29" s="137">
        <f t="shared" si="0"/>
        <v>660</v>
      </c>
      <c r="D29" s="5">
        <f t="shared" ref="D29:E29" si="19">D28+1</f>
        <v>61</v>
      </c>
      <c r="E29" s="5">
        <f t="shared" si="19"/>
        <v>50</v>
      </c>
      <c r="F29" s="5">
        <v>39</v>
      </c>
      <c r="G29" s="5">
        <v>28</v>
      </c>
      <c r="H29" s="5">
        <v>19</v>
      </c>
      <c r="I29" s="5">
        <v>10</v>
      </c>
      <c r="J29" s="5">
        <v>0</v>
      </c>
      <c r="K29" s="5">
        <v>0</v>
      </c>
    </row>
    <row r="30" spans="2:11" x14ac:dyDescent="0.25">
      <c r="B30" s="137">
        <f t="shared" si="1"/>
        <v>660</v>
      </c>
      <c r="C30" s="137">
        <f t="shared" si="0"/>
        <v>670</v>
      </c>
      <c r="D30" s="5">
        <f t="shared" ref="D30:E30" si="20">D29+2</f>
        <v>63</v>
      </c>
      <c r="E30" s="5">
        <f t="shared" si="20"/>
        <v>52</v>
      </c>
      <c r="F30" s="5">
        <v>41</v>
      </c>
      <c r="G30" s="5">
        <v>30</v>
      </c>
      <c r="H30" s="5">
        <v>20</v>
      </c>
      <c r="I30" s="5">
        <v>11</v>
      </c>
      <c r="J30" s="5">
        <v>0</v>
      </c>
      <c r="K30" s="5">
        <v>0</v>
      </c>
    </row>
    <row r="31" spans="2:11" x14ac:dyDescent="0.25">
      <c r="B31" s="137">
        <f t="shared" si="1"/>
        <v>670</v>
      </c>
      <c r="C31" s="137">
        <f t="shared" si="0"/>
        <v>680</v>
      </c>
      <c r="D31" s="5">
        <f t="shared" ref="D31:E31" si="21">D30+1</f>
        <v>64</v>
      </c>
      <c r="E31" s="5">
        <f t="shared" si="21"/>
        <v>53</v>
      </c>
      <c r="F31" s="5">
        <v>42</v>
      </c>
      <c r="G31" s="5">
        <v>31</v>
      </c>
      <c r="H31" s="5">
        <v>21</v>
      </c>
      <c r="I31" s="5">
        <v>12</v>
      </c>
      <c r="J31" s="5">
        <v>0</v>
      </c>
      <c r="K31" s="5">
        <v>0</v>
      </c>
    </row>
    <row r="32" spans="2:11" x14ac:dyDescent="0.25">
      <c r="B32" s="137">
        <f t="shared" si="1"/>
        <v>680</v>
      </c>
      <c r="C32" s="137">
        <f t="shared" si="0"/>
        <v>690</v>
      </c>
      <c r="D32" s="5">
        <f t="shared" ref="D32:E32" si="22">D31+2</f>
        <v>66</v>
      </c>
      <c r="E32" s="5">
        <f t="shared" si="22"/>
        <v>55</v>
      </c>
      <c r="F32" s="5">
        <v>44</v>
      </c>
      <c r="G32" s="5">
        <v>33</v>
      </c>
      <c r="H32" s="5">
        <v>22</v>
      </c>
      <c r="I32" s="5">
        <v>13</v>
      </c>
      <c r="J32" s="5">
        <v>0</v>
      </c>
      <c r="K32" s="5">
        <v>0</v>
      </c>
    </row>
    <row r="33" spans="1:12" x14ac:dyDescent="0.25">
      <c r="B33" s="137">
        <f t="shared" si="1"/>
        <v>690</v>
      </c>
      <c r="C33" s="137">
        <f t="shared" si="0"/>
        <v>700</v>
      </c>
      <c r="D33" s="5">
        <f t="shared" ref="D33:E33" si="23">D32+1</f>
        <v>67</v>
      </c>
      <c r="E33" s="5">
        <f t="shared" si="23"/>
        <v>56</v>
      </c>
      <c r="F33" s="5">
        <v>45</v>
      </c>
      <c r="G33" s="5">
        <v>34</v>
      </c>
      <c r="H33" s="5">
        <v>23</v>
      </c>
      <c r="I33" s="5">
        <v>14</v>
      </c>
      <c r="J33" s="5">
        <v>0</v>
      </c>
      <c r="K33" s="5">
        <v>0</v>
      </c>
    </row>
    <row r="34" spans="1:12" x14ac:dyDescent="0.25">
      <c r="B34" s="137">
        <f t="shared" ref="B34:B35" si="24">C33</f>
        <v>700</v>
      </c>
      <c r="C34" s="137">
        <f t="shared" ref="C34:C35" si="25">B34+10</f>
        <v>710</v>
      </c>
      <c r="D34" s="5">
        <f t="shared" ref="D34:E34" si="26">D33+1</f>
        <v>68</v>
      </c>
      <c r="E34" s="5">
        <f t="shared" si="26"/>
        <v>57</v>
      </c>
      <c r="F34" s="5">
        <v>45</v>
      </c>
      <c r="G34" s="5">
        <v>34</v>
      </c>
      <c r="H34" s="5">
        <v>23</v>
      </c>
      <c r="I34" s="5">
        <v>14</v>
      </c>
      <c r="J34" s="5">
        <v>0</v>
      </c>
      <c r="K34" s="5">
        <v>0</v>
      </c>
    </row>
    <row r="35" spans="1:12" x14ac:dyDescent="0.25">
      <c r="B35" s="137">
        <f t="shared" si="24"/>
        <v>710</v>
      </c>
      <c r="C35" s="137">
        <f t="shared" si="25"/>
        <v>720</v>
      </c>
      <c r="D35" s="5">
        <f t="shared" ref="D35:E35" si="27">D34+1</f>
        <v>69</v>
      </c>
      <c r="E35" s="5">
        <f t="shared" si="27"/>
        <v>58</v>
      </c>
      <c r="F35" s="5">
        <v>46</v>
      </c>
      <c r="G35" s="5">
        <v>35</v>
      </c>
      <c r="H35" s="5">
        <v>23</v>
      </c>
      <c r="I35" s="5">
        <v>15</v>
      </c>
      <c r="J35" s="5">
        <v>0</v>
      </c>
      <c r="K35" s="5">
        <v>0</v>
      </c>
    </row>
    <row r="36" spans="1:12" ht="4.5" customHeight="1" x14ac:dyDescent="0.25"/>
    <row r="37" spans="1:12" x14ac:dyDescent="0.25">
      <c r="B37" s="142" t="s">
        <v>144</v>
      </c>
      <c r="C37" s="143"/>
      <c r="D37" s="141">
        <v>705</v>
      </c>
    </row>
    <row r="38" spans="1:12" x14ac:dyDescent="0.25">
      <c r="B38" s="142" t="s">
        <v>145</v>
      </c>
      <c r="C38" s="143"/>
      <c r="D38" s="5">
        <v>2</v>
      </c>
    </row>
    <row r="39" spans="1:12" x14ac:dyDescent="0.25">
      <c r="B39" s="139" t="s">
        <v>146</v>
      </c>
      <c r="C39" s="140"/>
      <c r="D39" s="7"/>
    </row>
    <row r="40" spans="1:12" ht="4.5" customHeight="1" x14ac:dyDescent="0.25"/>
    <row r="41" spans="1:12" x14ac:dyDescent="0.25">
      <c r="B41" s="4" t="str">
        <f>"Formula in "&amp;ADDRESS(ROW(D39),COLUMN(D39),4)&amp;":"</f>
        <v>Formula in D39:</v>
      </c>
    </row>
    <row r="42" spans="1:12" ht="19.5" x14ac:dyDescent="0.3">
      <c r="B42" s="167" t="str">
        <f ca="1">_xlfn.IFNA(_xlfn.FORMULATEXT(D39),"")</f>
        <v/>
      </c>
    </row>
    <row r="43" spans="1:12" x14ac:dyDescent="0.25">
      <c r="A43" s="168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</row>
    <row r="44" spans="1:12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</row>
    <row r="45" spans="1:12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</row>
    <row r="46" spans="1:12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</row>
    <row r="47" spans="1:12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</row>
    <row r="48" spans="1:12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</row>
    <row r="49" spans="1:17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</row>
    <row r="50" spans="1:17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</row>
    <row r="52" spans="1:17" x14ac:dyDescent="0.25">
      <c r="Q52" s="4"/>
    </row>
  </sheetData>
  <mergeCells count="2">
    <mergeCell ref="B7:B8"/>
    <mergeCell ref="C7:C8"/>
  </mergeCells>
  <conditionalFormatting sqref="D7:K7">
    <cfRule type="cellIs" dxfId="97" priority="4" operator="equal">
      <formula>$D$38</formula>
    </cfRule>
  </conditionalFormatting>
  <conditionalFormatting sqref="D9:K35">
    <cfRule type="expression" dxfId="96" priority="1">
      <formula>AND($B9=LOOKUP($D$37,$B$9:$B$35),D$7=$D$38)</formula>
    </cfRule>
    <cfRule type="expression" dxfId="95" priority="3">
      <formula>D$7=$D$38</formula>
    </cfRule>
  </conditionalFormatting>
  <conditionalFormatting sqref="B9:K35">
    <cfRule type="expression" dxfId="94" priority="2">
      <formula>$B9=LOOKUP($D$37,$B$9:$B$35)</formula>
    </cfRule>
  </conditionalFormatting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B15D-EC3B-4434-893D-2544406DC5E4}">
  <sheetPr codeName="Sheet33">
    <tabColor rgb="FFFF0000"/>
  </sheetPr>
  <dimension ref="A1:Q52"/>
  <sheetViews>
    <sheetView zoomScale="115" zoomScaleNormal="115" workbookViewId="0"/>
  </sheetViews>
  <sheetFormatPr defaultColWidth="8.85546875" defaultRowHeight="15" x14ac:dyDescent="0.25"/>
  <cols>
    <col min="1" max="1" width="5.42578125" bestFit="1" customWidth="1"/>
    <col min="2" max="2" width="10.42578125" customWidth="1"/>
    <col min="4" max="10" width="7.85546875" customWidth="1"/>
    <col min="11" max="11" width="8.28515625" customWidth="1"/>
    <col min="12" max="12" width="7" customWidth="1"/>
  </cols>
  <sheetData>
    <row r="1" spans="1:11" ht="4.5" customHeight="1" x14ac:dyDescent="0.25"/>
    <row r="2" spans="1:11" x14ac:dyDescent="0.25">
      <c r="A2" s="4" t="s">
        <v>1</v>
      </c>
      <c r="B2" s="4" t="s">
        <v>142</v>
      </c>
    </row>
    <row r="3" spans="1:11" x14ac:dyDescent="0.25">
      <c r="A3" s="4" t="s">
        <v>137</v>
      </c>
      <c r="B3" t="s">
        <v>147</v>
      </c>
    </row>
    <row r="4" spans="1:11" ht="4.5" customHeight="1" x14ac:dyDescent="0.25"/>
    <row r="5" spans="1:11" ht="21" x14ac:dyDescent="0.35">
      <c r="B5" s="127" t="s">
        <v>148</v>
      </c>
      <c r="C5" s="128"/>
      <c r="D5" s="128"/>
      <c r="E5" s="128"/>
      <c r="F5" s="128"/>
      <c r="G5" s="128"/>
      <c r="H5" s="128"/>
      <c r="I5" s="128"/>
      <c r="J5" s="128"/>
      <c r="K5" s="128"/>
    </row>
    <row r="6" spans="1:11" x14ac:dyDescent="0.25">
      <c r="B6" s="129" t="s">
        <v>143</v>
      </c>
      <c r="C6" s="130"/>
      <c r="D6" s="131" t="s">
        <v>138</v>
      </c>
      <c r="E6" s="132"/>
      <c r="F6" s="132"/>
      <c r="G6" s="132"/>
      <c r="H6" s="132"/>
      <c r="I6" s="132"/>
      <c r="J6" s="132"/>
      <c r="K6" s="132"/>
    </row>
    <row r="7" spans="1:11" x14ac:dyDescent="0.25">
      <c r="B7" s="265" t="s">
        <v>139</v>
      </c>
      <c r="C7" s="265" t="s">
        <v>140</v>
      </c>
      <c r="D7" s="133">
        <v>0</v>
      </c>
      <c r="E7" s="133">
        <v>1</v>
      </c>
      <c r="F7" s="133">
        <v>2</v>
      </c>
      <c r="G7" s="133">
        <v>3</v>
      </c>
      <c r="H7" s="133">
        <v>4</v>
      </c>
      <c r="I7" s="133">
        <v>5</v>
      </c>
      <c r="J7" s="133">
        <v>6</v>
      </c>
      <c r="K7" s="133">
        <v>7</v>
      </c>
    </row>
    <row r="8" spans="1:11" x14ac:dyDescent="0.25">
      <c r="B8" s="265"/>
      <c r="C8" s="265"/>
      <c r="D8" s="134" t="s">
        <v>141</v>
      </c>
      <c r="E8" s="135"/>
      <c r="F8" s="135"/>
      <c r="G8" s="135"/>
      <c r="H8" s="135"/>
      <c r="I8" s="135"/>
      <c r="J8" s="135"/>
      <c r="K8" s="136"/>
    </row>
    <row r="9" spans="1:11" x14ac:dyDescent="0.25">
      <c r="B9" s="137">
        <v>450</v>
      </c>
      <c r="C9" s="137">
        <f>B9+10</f>
        <v>460</v>
      </c>
      <c r="D9" s="5">
        <v>31</v>
      </c>
      <c r="E9" s="5">
        <v>20</v>
      </c>
      <c r="F9" s="5">
        <v>12</v>
      </c>
      <c r="G9" s="5">
        <v>4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B10" s="137">
        <f>C9</f>
        <v>460</v>
      </c>
      <c r="C10" s="137">
        <f t="shared" ref="C10:C35" si="0">B10+10</f>
        <v>470</v>
      </c>
      <c r="D10" s="5">
        <f>D9+2</f>
        <v>33</v>
      </c>
      <c r="E10" s="5">
        <f>E9+2</f>
        <v>22</v>
      </c>
      <c r="F10" s="5">
        <v>13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B11" s="137">
        <f t="shared" ref="B11:B35" si="1">C10</f>
        <v>470</v>
      </c>
      <c r="C11" s="137">
        <f t="shared" si="0"/>
        <v>480</v>
      </c>
      <c r="D11" s="5">
        <f>D10+1</f>
        <v>34</v>
      </c>
      <c r="E11" s="5">
        <f>E10+1</f>
        <v>23</v>
      </c>
      <c r="F11" s="5">
        <v>14</v>
      </c>
      <c r="G11" s="5">
        <v>6</v>
      </c>
      <c r="H11" s="5">
        <v>0</v>
      </c>
      <c r="I11" s="5">
        <v>0</v>
      </c>
      <c r="J11" s="5">
        <v>0</v>
      </c>
      <c r="K11" s="5">
        <v>0</v>
      </c>
    </row>
    <row r="12" spans="1:11" hidden="1" x14ac:dyDescent="0.25">
      <c r="B12" s="137">
        <f t="shared" si="1"/>
        <v>480</v>
      </c>
      <c r="C12" s="137">
        <f t="shared" si="0"/>
        <v>490</v>
      </c>
      <c r="D12" s="5">
        <f t="shared" ref="D12:E12" si="2">D11+2</f>
        <v>36</v>
      </c>
      <c r="E12" s="5">
        <f t="shared" si="2"/>
        <v>25</v>
      </c>
      <c r="F12" s="5">
        <v>15</v>
      </c>
      <c r="G12" s="5">
        <v>7</v>
      </c>
      <c r="H12" s="5">
        <v>1</v>
      </c>
      <c r="I12" s="5">
        <v>0</v>
      </c>
      <c r="J12" s="5">
        <v>0</v>
      </c>
      <c r="K12" s="5">
        <v>0</v>
      </c>
    </row>
    <row r="13" spans="1:11" hidden="1" x14ac:dyDescent="0.25">
      <c r="B13" s="137">
        <f t="shared" si="1"/>
        <v>490</v>
      </c>
      <c r="C13" s="137">
        <f t="shared" si="0"/>
        <v>500</v>
      </c>
      <c r="D13" s="5">
        <f t="shared" ref="D13:E13" si="3">D12+1</f>
        <v>37</v>
      </c>
      <c r="E13" s="5">
        <f t="shared" si="3"/>
        <v>26</v>
      </c>
      <c r="F13" s="5">
        <v>16</v>
      </c>
      <c r="G13" s="5">
        <v>8</v>
      </c>
      <c r="H13" s="5">
        <v>2</v>
      </c>
      <c r="I13" s="5">
        <v>0</v>
      </c>
      <c r="J13" s="5">
        <v>0</v>
      </c>
      <c r="K13" s="5">
        <v>0</v>
      </c>
    </row>
    <row r="14" spans="1:11" hidden="1" x14ac:dyDescent="0.25">
      <c r="B14" s="137">
        <f t="shared" si="1"/>
        <v>500</v>
      </c>
      <c r="C14" s="137">
        <f t="shared" si="0"/>
        <v>510</v>
      </c>
      <c r="D14" s="5">
        <f t="shared" ref="D14:E14" si="4">D13+2</f>
        <v>39</v>
      </c>
      <c r="E14" s="5">
        <f t="shared" si="4"/>
        <v>28</v>
      </c>
      <c r="F14" s="5">
        <v>17</v>
      </c>
      <c r="G14" s="5">
        <v>9</v>
      </c>
      <c r="H14" s="5">
        <v>3</v>
      </c>
      <c r="I14" s="5">
        <v>0</v>
      </c>
      <c r="J14" s="5">
        <v>0</v>
      </c>
      <c r="K14" s="5">
        <v>0</v>
      </c>
    </row>
    <row r="15" spans="1:11" hidden="1" x14ac:dyDescent="0.25">
      <c r="B15" s="137">
        <f t="shared" si="1"/>
        <v>510</v>
      </c>
      <c r="C15" s="137">
        <f t="shared" si="0"/>
        <v>520</v>
      </c>
      <c r="D15" s="5">
        <f t="shared" ref="D15:E15" si="5">D14+1</f>
        <v>40</v>
      </c>
      <c r="E15" s="5">
        <f t="shared" si="5"/>
        <v>29</v>
      </c>
      <c r="F15" s="5">
        <v>18</v>
      </c>
      <c r="G15" s="5">
        <v>10</v>
      </c>
      <c r="H15" s="5">
        <v>4</v>
      </c>
      <c r="I15" s="5">
        <v>0</v>
      </c>
      <c r="J15" s="5">
        <v>0</v>
      </c>
      <c r="K15" s="5">
        <v>0</v>
      </c>
    </row>
    <row r="16" spans="1:11" hidden="1" x14ac:dyDescent="0.25">
      <c r="B16" s="137">
        <f t="shared" si="1"/>
        <v>520</v>
      </c>
      <c r="C16" s="137">
        <f t="shared" si="0"/>
        <v>530</v>
      </c>
      <c r="D16" s="5">
        <f t="shared" ref="D16:E16" si="6">D15+2</f>
        <v>42</v>
      </c>
      <c r="E16" s="5">
        <f t="shared" si="6"/>
        <v>31</v>
      </c>
      <c r="F16" s="5">
        <v>20</v>
      </c>
      <c r="G16" s="5">
        <v>11</v>
      </c>
      <c r="H16" s="5">
        <v>5</v>
      </c>
      <c r="I16" s="5">
        <v>0</v>
      </c>
      <c r="J16" s="5">
        <v>0</v>
      </c>
      <c r="K16" s="5">
        <v>0</v>
      </c>
    </row>
    <row r="17" spans="2:11" hidden="1" x14ac:dyDescent="0.25">
      <c r="B17" s="137">
        <f t="shared" si="1"/>
        <v>530</v>
      </c>
      <c r="C17" s="137">
        <f t="shared" si="0"/>
        <v>540</v>
      </c>
      <c r="D17" s="5">
        <f t="shared" ref="D17:E17" si="7">D16+1</f>
        <v>43</v>
      </c>
      <c r="E17" s="5">
        <f t="shared" si="7"/>
        <v>32</v>
      </c>
      <c r="F17" s="5">
        <v>21</v>
      </c>
      <c r="G17" s="5">
        <v>12</v>
      </c>
      <c r="H17" s="5">
        <v>6</v>
      </c>
      <c r="I17" s="5">
        <v>0</v>
      </c>
      <c r="J17" s="5">
        <v>0</v>
      </c>
      <c r="K17" s="5">
        <v>0</v>
      </c>
    </row>
    <row r="18" spans="2:11" hidden="1" x14ac:dyDescent="0.25">
      <c r="B18" s="137">
        <f t="shared" si="1"/>
        <v>540</v>
      </c>
      <c r="C18" s="137">
        <f t="shared" si="0"/>
        <v>550</v>
      </c>
      <c r="D18" s="5">
        <f t="shared" ref="D18:E18" si="8">D17+2</f>
        <v>45</v>
      </c>
      <c r="E18" s="5">
        <f t="shared" si="8"/>
        <v>34</v>
      </c>
      <c r="F18" s="5">
        <v>23</v>
      </c>
      <c r="G18" s="5">
        <v>13</v>
      </c>
      <c r="H18" s="5">
        <v>7</v>
      </c>
      <c r="I18" s="5">
        <v>0</v>
      </c>
      <c r="J18" s="5">
        <v>0</v>
      </c>
      <c r="K18" s="5">
        <v>0</v>
      </c>
    </row>
    <row r="19" spans="2:11" hidden="1" x14ac:dyDescent="0.25">
      <c r="B19" s="137">
        <f t="shared" si="1"/>
        <v>550</v>
      </c>
      <c r="C19" s="137">
        <f t="shared" si="0"/>
        <v>560</v>
      </c>
      <c r="D19" s="5">
        <f t="shared" ref="D19:E19" si="9">D18+1</f>
        <v>46</v>
      </c>
      <c r="E19" s="5">
        <f t="shared" si="9"/>
        <v>35</v>
      </c>
      <c r="F19" s="5">
        <v>24</v>
      </c>
      <c r="G19" s="5">
        <v>14</v>
      </c>
      <c r="H19" s="5">
        <v>8</v>
      </c>
      <c r="I19" s="5">
        <v>0</v>
      </c>
      <c r="J19" s="5">
        <v>0</v>
      </c>
      <c r="K19" s="5">
        <v>0</v>
      </c>
    </row>
    <row r="20" spans="2:11" hidden="1" x14ac:dyDescent="0.25">
      <c r="B20" s="137">
        <f t="shared" si="1"/>
        <v>560</v>
      </c>
      <c r="C20" s="137">
        <f t="shared" si="0"/>
        <v>570</v>
      </c>
      <c r="D20" s="5">
        <f t="shared" ref="D20:E20" si="10">D19+2</f>
        <v>48</v>
      </c>
      <c r="E20" s="5">
        <f t="shared" si="10"/>
        <v>37</v>
      </c>
      <c r="F20" s="5">
        <v>26</v>
      </c>
      <c r="G20" s="5">
        <v>15</v>
      </c>
      <c r="H20" s="5">
        <v>9</v>
      </c>
      <c r="I20" s="5">
        <v>1</v>
      </c>
      <c r="J20" s="5">
        <v>0</v>
      </c>
      <c r="K20" s="5">
        <v>0</v>
      </c>
    </row>
    <row r="21" spans="2:11" hidden="1" x14ac:dyDescent="0.25">
      <c r="B21" s="137">
        <f t="shared" si="1"/>
        <v>570</v>
      </c>
      <c r="C21" s="137">
        <f t="shared" si="0"/>
        <v>580</v>
      </c>
      <c r="D21" s="5">
        <f t="shared" ref="D21:E21" si="11">D20+1</f>
        <v>49</v>
      </c>
      <c r="E21" s="5">
        <f t="shared" si="11"/>
        <v>38</v>
      </c>
      <c r="F21" s="5">
        <v>27</v>
      </c>
      <c r="G21" s="5">
        <v>16</v>
      </c>
      <c r="H21" s="5">
        <v>10</v>
      </c>
      <c r="I21" s="5">
        <v>2</v>
      </c>
      <c r="J21" s="5">
        <v>0</v>
      </c>
      <c r="K21" s="5">
        <v>0</v>
      </c>
    </row>
    <row r="22" spans="2:11" hidden="1" x14ac:dyDescent="0.25">
      <c r="B22" s="137">
        <f t="shared" si="1"/>
        <v>580</v>
      </c>
      <c r="C22" s="137">
        <f t="shared" si="0"/>
        <v>590</v>
      </c>
      <c r="D22" s="5">
        <f t="shared" ref="D22:E22" si="12">D21+2</f>
        <v>51</v>
      </c>
      <c r="E22" s="5">
        <f t="shared" si="12"/>
        <v>40</v>
      </c>
      <c r="F22" s="5">
        <v>29</v>
      </c>
      <c r="G22" s="5">
        <v>18</v>
      </c>
      <c r="H22" s="5">
        <v>11</v>
      </c>
      <c r="I22" s="5">
        <v>3</v>
      </c>
      <c r="J22" s="5">
        <v>0</v>
      </c>
      <c r="K22" s="5">
        <v>0</v>
      </c>
    </row>
    <row r="23" spans="2:11" hidden="1" x14ac:dyDescent="0.25">
      <c r="B23" s="137">
        <f t="shared" si="1"/>
        <v>590</v>
      </c>
      <c r="C23" s="137">
        <f t="shared" si="0"/>
        <v>600</v>
      </c>
      <c r="D23" s="5">
        <f t="shared" ref="D23:E23" si="13">D22+1</f>
        <v>52</v>
      </c>
      <c r="E23" s="5">
        <f t="shared" si="13"/>
        <v>41</v>
      </c>
      <c r="F23" s="5">
        <v>30</v>
      </c>
      <c r="G23" s="5">
        <v>19</v>
      </c>
      <c r="H23" s="5">
        <v>12</v>
      </c>
      <c r="I23" s="5">
        <v>4</v>
      </c>
      <c r="J23" s="5">
        <v>0</v>
      </c>
      <c r="K23" s="5">
        <v>0</v>
      </c>
    </row>
    <row r="24" spans="2:11" hidden="1" x14ac:dyDescent="0.25">
      <c r="B24" s="137">
        <f t="shared" si="1"/>
        <v>600</v>
      </c>
      <c r="C24" s="137">
        <f t="shared" si="0"/>
        <v>610</v>
      </c>
      <c r="D24" s="5">
        <f t="shared" ref="D24:E24" si="14">D23+2</f>
        <v>54</v>
      </c>
      <c r="E24" s="5">
        <f t="shared" si="14"/>
        <v>43</v>
      </c>
      <c r="F24" s="5">
        <v>32</v>
      </c>
      <c r="G24" s="5">
        <v>21</v>
      </c>
      <c r="H24" s="5">
        <v>13</v>
      </c>
      <c r="I24" s="5">
        <v>5</v>
      </c>
      <c r="J24" s="5">
        <v>0</v>
      </c>
      <c r="K24" s="5">
        <v>0</v>
      </c>
    </row>
    <row r="25" spans="2:11" hidden="1" x14ac:dyDescent="0.25">
      <c r="B25" s="137">
        <f t="shared" si="1"/>
        <v>610</v>
      </c>
      <c r="C25" s="137">
        <f t="shared" si="0"/>
        <v>620</v>
      </c>
      <c r="D25" s="5">
        <f t="shared" ref="D25:E25" si="15">D24+1</f>
        <v>55</v>
      </c>
      <c r="E25" s="5">
        <f t="shared" si="15"/>
        <v>44</v>
      </c>
      <c r="F25" s="5">
        <v>33</v>
      </c>
      <c r="G25" s="5">
        <v>22</v>
      </c>
      <c r="H25" s="5">
        <v>14</v>
      </c>
      <c r="I25" s="5">
        <v>6</v>
      </c>
      <c r="J25" s="5">
        <v>0</v>
      </c>
      <c r="K25" s="5">
        <v>0</v>
      </c>
    </row>
    <row r="26" spans="2:11" hidden="1" x14ac:dyDescent="0.25">
      <c r="B26" s="137">
        <f t="shared" si="1"/>
        <v>620</v>
      </c>
      <c r="C26" s="137">
        <f t="shared" si="0"/>
        <v>630</v>
      </c>
      <c r="D26" s="5">
        <f t="shared" ref="D26:E26" si="16">D25+2</f>
        <v>57</v>
      </c>
      <c r="E26" s="5">
        <f t="shared" si="16"/>
        <v>46</v>
      </c>
      <c r="F26" s="5">
        <v>35</v>
      </c>
      <c r="G26" s="5">
        <v>24</v>
      </c>
      <c r="H26" s="5">
        <v>15</v>
      </c>
      <c r="I26" s="5">
        <v>7</v>
      </c>
      <c r="J26" s="5">
        <v>0</v>
      </c>
      <c r="K26" s="5">
        <v>0</v>
      </c>
    </row>
    <row r="27" spans="2:11" hidden="1" x14ac:dyDescent="0.25">
      <c r="B27" s="137">
        <f t="shared" si="1"/>
        <v>630</v>
      </c>
      <c r="C27" s="137">
        <f t="shared" si="0"/>
        <v>640</v>
      </c>
      <c r="D27" s="5">
        <f t="shared" ref="D27:E27" si="17">D26+1</f>
        <v>58</v>
      </c>
      <c r="E27" s="5">
        <f t="shared" si="17"/>
        <v>47</v>
      </c>
      <c r="F27" s="5">
        <v>36</v>
      </c>
      <c r="G27" s="5">
        <v>25</v>
      </c>
      <c r="H27" s="5">
        <v>16</v>
      </c>
      <c r="I27" s="5">
        <v>8</v>
      </c>
      <c r="J27" s="5">
        <v>0</v>
      </c>
      <c r="K27" s="5">
        <v>0</v>
      </c>
    </row>
    <row r="28" spans="2:11" hidden="1" x14ac:dyDescent="0.25">
      <c r="B28" s="137">
        <f t="shared" si="1"/>
        <v>640</v>
      </c>
      <c r="C28" s="137">
        <f t="shared" si="0"/>
        <v>650</v>
      </c>
      <c r="D28" s="5">
        <f t="shared" ref="D28:E28" si="18">D27+2</f>
        <v>60</v>
      </c>
      <c r="E28" s="5">
        <f t="shared" si="18"/>
        <v>49</v>
      </c>
      <c r="F28" s="5">
        <v>38</v>
      </c>
      <c r="G28" s="5">
        <v>27</v>
      </c>
      <c r="H28" s="5">
        <v>17</v>
      </c>
      <c r="I28" s="5">
        <v>9</v>
      </c>
      <c r="J28" s="5">
        <v>0</v>
      </c>
      <c r="K28" s="5">
        <v>0</v>
      </c>
    </row>
    <row r="29" spans="2:11" hidden="1" x14ac:dyDescent="0.25">
      <c r="B29" s="137">
        <f t="shared" si="1"/>
        <v>650</v>
      </c>
      <c r="C29" s="137">
        <f t="shared" si="0"/>
        <v>660</v>
      </c>
      <c r="D29" s="5">
        <f t="shared" ref="D29:E29" si="19">D28+1</f>
        <v>61</v>
      </c>
      <c r="E29" s="5">
        <f t="shared" si="19"/>
        <v>50</v>
      </c>
      <c r="F29" s="5">
        <v>39</v>
      </c>
      <c r="G29" s="5">
        <v>28</v>
      </c>
      <c r="H29" s="5">
        <v>19</v>
      </c>
      <c r="I29" s="5">
        <v>10</v>
      </c>
      <c r="J29" s="5">
        <v>0</v>
      </c>
      <c r="K29" s="5">
        <v>0</v>
      </c>
    </row>
    <row r="30" spans="2:11" hidden="1" x14ac:dyDescent="0.25">
      <c r="B30" s="137">
        <f t="shared" si="1"/>
        <v>660</v>
      </c>
      <c r="C30" s="137">
        <f t="shared" si="0"/>
        <v>670</v>
      </c>
      <c r="D30" s="5">
        <f t="shared" ref="D30:E30" si="20">D29+2</f>
        <v>63</v>
      </c>
      <c r="E30" s="5">
        <f t="shared" si="20"/>
        <v>52</v>
      </c>
      <c r="F30" s="5">
        <v>41</v>
      </c>
      <c r="G30" s="5">
        <v>30</v>
      </c>
      <c r="H30" s="5">
        <v>20</v>
      </c>
      <c r="I30" s="5">
        <v>11</v>
      </c>
      <c r="J30" s="5">
        <v>0</v>
      </c>
      <c r="K30" s="5">
        <v>0</v>
      </c>
    </row>
    <row r="31" spans="2:11" hidden="1" x14ac:dyDescent="0.25">
      <c r="B31" s="137">
        <f t="shared" si="1"/>
        <v>670</v>
      </c>
      <c r="C31" s="137">
        <f t="shared" si="0"/>
        <v>680</v>
      </c>
      <c r="D31" s="5">
        <f t="shared" ref="D31:E31" si="21">D30+1</f>
        <v>64</v>
      </c>
      <c r="E31" s="5">
        <f t="shared" si="21"/>
        <v>53</v>
      </c>
      <c r="F31" s="5">
        <v>42</v>
      </c>
      <c r="G31" s="5">
        <v>31</v>
      </c>
      <c r="H31" s="5">
        <v>21</v>
      </c>
      <c r="I31" s="5">
        <v>12</v>
      </c>
      <c r="J31" s="5">
        <v>0</v>
      </c>
      <c r="K31" s="5">
        <v>0</v>
      </c>
    </row>
    <row r="32" spans="2:11" x14ac:dyDescent="0.25">
      <c r="B32" s="137">
        <f t="shared" si="1"/>
        <v>680</v>
      </c>
      <c r="C32" s="137">
        <f t="shared" si="0"/>
        <v>690</v>
      </c>
      <c r="D32" s="5">
        <f t="shared" ref="D32:E32" si="22">D31+2</f>
        <v>66</v>
      </c>
      <c r="E32" s="5">
        <f t="shared" si="22"/>
        <v>55</v>
      </c>
      <c r="F32" s="5">
        <v>44</v>
      </c>
      <c r="G32" s="5">
        <v>33</v>
      </c>
      <c r="H32" s="5">
        <v>22</v>
      </c>
      <c r="I32" s="5">
        <v>13</v>
      </c>
      <c r="J32" s="5">
        <v>0</v>
      </c>
      <c r="K32" s="5">
        <v>0</v>
      </c>
    </row>
    <row r="33" spans="1:12" x14ac:dyDescent="0.25">
      <c r="B33" s="137">
        <f t="shared" si="1"/>
        <v>690</v>
      </c>
      <c r="C33" s="137">
        <f t="shared" si="0"/>
        <v>700</v>
      </c>
      <c r="D33" s="5">
        <f t="shared" ref="D33:E35" si="23">D32+1</f>
        <v>67</v>
      </c>
      <c r="E33" s="5">
        <f t="shared" si="23"/>
        <v>56</v>
      </c>
      <c r="F33" s="5">
        <v>45</v>
      </c>
      <c r="G33" s="5">
        <v>34</v>
      </c>
      <c r="H33" s="5">
        <v>23</v>
      </c>
      <c r="I33" s="5">
        <v>14</v>
      </c>
      <c r="J33" s="5">
        <v>0</v>
      </c>
      <c r="K33" s="5">
        <v>0</v>
      </c>
    </row>
    <row r="34" spans="1:12" x14ac:dyDescent="0.25">
      <c r="B34" s="137">
        <f t="shared" si="1"/>
        <v>700</v>
      </c>
      <c r="C34" s="137">
        <f t="shared" si="0"/>
        <v>710</v>
      </c>
      <c r="D34" s="5">
        <f t="shared" si="23"/>
        <v>68</v>
      </c>
      <c r="E34" s="5">
        <f t="shared" si="23"/>
        <v>57</v>
      </c>
      <c r="F34" s="5">
        <v>45</v>
      </c>
      <c r="G34" s="5">
        <v>34</v>
      </c>
      <c r="H34" s="5">
        <v>23</v>
      </c>
      <c r="I34" s="5">
        <v>14</v>
      </c>
      <c r="J34" s="5">
        <v>0</v>
      </c>
      <c r="K34" s="5">
        <v>0</v>
      </c>
    </row>
    <row r="35" spans="1:12" x14ac:dyDescent="0.25">
      <c r="B35" s="137">
        <f t="shared" si="1"/>
        <v>710</v>
      </c>
      <c r="C35" s="137">
        <f t="shared" si="0"/>
        <v>720</v>
      </c>
      <c r="D35" s="5">
        <f t="shared" si="23"/>
        <v>69</v>
      </c>
      <c r="E35" s="5">
        <f t="shared" si="23"/>
        <v>58</v>
      </c>
      <c r="F35" s="5">
        <v>46</v>
      </c>
      <c r="G35" s="5">
        <v>35</v>
      </c>
      <c r="H35" s="5">
        <v>23</v>
      </c>
      <c r="I35" s="5">
        <v>15</v>
      </c>
      <c r="J35" s="5">
        <v>0</v>
      </c>
      <c r="K35" s="5">
        <v>0</v>
      </c>
    </row>
    <row r="36" spans="1:12" ht="4.5" customHeight="1" x14ac:dyDescent="0.25"/>
    <row r="37" spans="1:12" x14ac:dyDescent="0.25">
      <c r="B37" s="142" t="s">
        <v>144</v>
      </c>
      <c r="C37" s="143"/>
      <c r="D37" s="141">
        <v>705</v>
      </c>
    </row>
    <row r="38" spans="1:12" x14ac:dyDescent="0.25">
      <c r="B38" s="142" t="s">
        <v>145</v>
      </c>
      <c r="C38" s="143"/>
      <c r="D38" s="5">
        <v>2</v>
      </c>
    </row>
    <row r="39" spans="1:12" x14ac:dyDescent="0.25">
      <c r="B39" s="139" t="s">
        <v>146</v>
      </c>
      <c r="C39" s="140"/>
      <c r="D39" s="7" cm="1">
        <f t="array" ref="D39">_xlfn.XLOOKUP(D37,B9:B35,_xlfn.XLOOKUP(D38,D7:K7,D9:K35),"Not Found",-1)</f>
        <v>45</v>
      </c>
    </row>
    <row r="40" spans="1:12" ht="4.5" customHeight="1" x14ac:dyDescent="0.25"/>
    <row r="41" spans="1:12" x14ac:dyDescent="0.25">
      <c r="B41" s="4" t="str">
        <f>"Formula in "&amp;ADDRESS(ROW(D39),COLUMN(D39),4)&amp;":"</f>
        <v>Formula in D39:</v>
      </c>
    </row>
    <row r="42" spans="1:12" ht="19.5" x14ac:dyDescent="0.3">
      <c r="B42" s="167" t="str">
        <f ca="1">_xlfn.IFNA(_xlfn.FORMULATEXT(D39),"")</f>
        <v>=XLOOKUP(D37,B9:B35,XLOOKUP(D38,D7:K7,D9:K35),"Not Found",-1)</v>
      </c>
    </row>
    <row r="43" spans="1:12" x14ac:dyDescent="0.25">
      <c r="A43" s="168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</row>
    <row r="44" spans="1:12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</row>
    <row r="45" spans="1:12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</row>
    <row r="46" spans="1:12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</row>
    <row r="47" spans="1:12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</row>
    <row r="48" spans="1:12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</row>
    <row r="49" spans="1:17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</row>
    <row r="50" spans="1:17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</row>
    <row r="52" spans="1:17" x14ac:dyDescent="0.25">
      <c r="Q52" s="4"/>
    </row>
  </sheetData>
  <mergeCells count="2">
    <mergeCell ref="B7:B8"/>
    <mergeCell ref="C7:C8"/>
  </mergeCells>
  <conditionalFormatting sqref="D7:K7">
    <cfRule type="cellIs" dxfId="93" priority="4" operator="equal">
      <formula>$D$38</formula>
    </cfRule>
  </conditionalFormatting>
  <conditionalFormatting sqref="D9:K35">
    <cfRule type="expression" dxfId="92" priority="1">
      <formula>AND($B9=LOOKUP($D$37,$B$9:$B$35),D$7=$D$38)</formula>
    </cfRule>
    <cfRule type="expression" dxfId="91" priority="3">
      <formula>D$7=$D$38</formula>
    </cfRule>
  </conditionalFormatting>
  <conditionalFormatting sqref="B9:K35">
    <cfRule type="expression" dxfId="90" priority="2">
      <formula>$B9=LOOKUP($D$37,$B$9:$B$35)</formula>
    </cfRule>
  </conditionalFormatting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366-89D9-46BE-8831-4EBB1528F652}">
  <sheetPr codeName="Sheet34">
    <tabColor rgb="FF0000FF"/>
  </sheetPr>
  <dimension ref="A1:L17"/>
  <sheetViews>
    <sheetView zoomScale="115" zoomScaleNormal="115" workbookViewId="0"/>
  </sheetViews>
  <sheetFormatPr defaultColWidth="8.85546875" defaultRowHeight="15" x14ac:dyDescent="0.25"/>
  <cols>
    <col min="1" max="1" width="4.42578125" bestFit="1" customWidth="1"/>
    <col min="2" max="2" width="17.85546875" customWidth="1"/>
    <col min="3" max="3" width="8.28515625" customWidth="1"/>
    <col min="4" max="12" width="7.28515625" customWidth="1"/>
  </cols>
  <sheetData>
    <row r="1" spans="1:12" ht="4.5" customHeight="1" x14ac:dyDescent="0.25"/>
    <row r="2" spans="1:12" x14ac:dyDescent="0.25">
      <c r="A2" s="4" t="s">
        <v>1</v>
      </c>
      <c r="B2" s="4" t="s">
        <v>149</v>
      </c>
    </row>
    <row r="3" spans="1:12" x14ac:dyDescent="0.25">
      <c r="A3" s="4" t="s">
        <v>150</v>
      </c>
      <c r="B3" t="s">
        <v>147</v>
      </c>
    </row>
    <row r="4" spans="1:12" ht="6.75" customHeight="1" x14ac:dyDescent="0.25">
      <c r="A4" s="4"/>
    </row>
    <row r="5" spans="1:12" x14ac:dyDescent="0.25">
      <c r="B5" s="125" t="s">
        <v>59</v>
      </c>
      <c r="C5" s="5">
        <v>4</v>
      </c>
    </row>
    <row r="6" spans="1:12" x14ac:dyDescent="0.25">
      <c r="B6" s="125" t="s">
        <v>58</v>
      </c>
      <c r="C6" s="5">
        <v>3</v>
      </c>
      <c r="E6" s="4" t="str">
        <f>"Formula in "&amp;ADDRESS(ROW(C7),COLUMN(C7),4)&amp;":"</f>
        <v>Formula in C7:</v>
      </c>
    </row>
    <row r="7" spans="1:12" ht="30.75" x14ac:dyDescent="0.3">
      <c r="B7" s="124" t="s">
        <v>60</v>
      </c>
      <c r="C7" s="116"/>
      <c r="E7" s="170" t="str">
        <f ca="1">_xlfn.IFNA(_xlfn.FORMULATEXT(C7),"")</f>
        <v/>
      </c>
    </row>
    <row r="8" spans="1:12" ht="9.75" customHeight="1" x14ac:dyDescent="0.25"/>
    <row r="9" spans="1:12" x14ac:dyDescent="0.25">
      <c r="B9" s="266" t="s">
        <v>59</v>
      </c>
      <c r="C9" s="118" t="s">
        <v>58</v>
      </c>
      <c r="D9" s="119"/>
      <c r="E9" s="119"/>
      <c r="F9" s="119"/>
      <c r="G9" s="119"/>
      <c r="H9" s="119"/>
      <c r="I9" s="119"/>
      <c r="J9" s="119"/>
      <c r="K9" s="119"/>
      <c r="L9" s="120"/>
    </row>
    <row r="10" spans="1:12" x14ac:dyDescent="0.25">
      <c r="B10" s="266"/>
      <c r="C10" s="5">
        <v>1</v>
      </c>
      <c r="D10" s="5">
        <v>1.5</v>
      </c>
      <c r="E10" s="5">
        <v>2</v>
      </c>
      <c r="F10" s="5">
        <v>2.5</v>
      </c>
      <c r="G10" s="5">
        <v>3</v>
      </c>
      <c r="H10" s="5">
        <v>4</v>
      </c>
      <c r="I10" s="5">
        <v>5</v>
      </c>
      <c r="J10" s="5">
        <v>6</v>
      </c>
      <c r="K10" s="5">
        <v>7</v>
      </c>
      <c r="L10" s="5">
        <v>8</v>
      </c>
    </row>
    <row r="11" spans="1:12" x14ac:dyDescent="0.25">
      <c r="B11" s="266"/>
      <c r="C11" s="121" t="s">
        <v>60</v>
      </c>
      <c r="D11" s="122"/>
      <c r="E11" s="122"/>
      <c r="F11" s="122"/>
      <c r="G11" s="122"/>
      <c r="H11" s="122"/>
      <c r="I11" s="122"/>
      <c r="J11" s="122"/>
      <c r="K11" s="122"/>
      <c r="L11" s="123"/>
    </row>
    <row r="12" spans="1:12" x14ac:dyDescent="0.25">
      <c r="B12" s="5">
        <v>2</v>
      </c>
      <c r="C12" s="106">
        <v>2880</v>
      </c>
      <c r="D12" s="106">
        <v>1920</v>
      </c>
      <c r="E12" s="106">
        <v>1440</v>
      </c>
      <c r="F12" s="106">
        <v>115</v>
      </c>
      <c r="G12" s="106">
        <v>960</v>
      </c>
      <c r="H12" s="106">
        <v>720</v>
      </c>
      <c r="I12" s="106">
        <v>575</v>
      </c>
      <c r="J12" s="106">
        <v>480</v>
      </c>
      <c r="K12" s="106">
        <v>410</v>
      </c>
      <c r="L12" s="106">
        <v>360</v>
      </c>
    </row>
    <row r="13" spans="1:12" x14ac:dyDescent="0.25">
      <c r="B13" s="5">
        <v>3</v>
      </c>
      <c r="C13" s="106">
        <v>8800</v>
      </c>
      <c r="D13" s="106">
        <v>5860</v>
      </c>
      <c r="E13" s="106">
        <v>4400</v>
      </c>
      <c r="F13" s="106">
        <v>3520</v>
      </c>
      <c r="G13" s="106">
        <v>2930</v>
      </c>
      <c r="H13" s="106">
        <v>2200</v>
      </c>
      <c r="I13" s="106">
        <v>1760</v>
      </c>
      <c r="J13" s="106">
        <v>1470</v>
      </c>
      <c r="K13" s="106">
        <v>1260</v>
      </c>
      <c r="L13" s="106">
        <v>1100</v>
      </c>
    </row>
    <row r="14" spans="1:12" x14ac:dyDescent="0.25">
      <c r="B14" s="5">
        <v>4</v>
      </c>
      <c r="C14" s="106">
        <v>18400</v>
      </c>
      <c r="D14" s="106">
        <v>12700</v>
      </c>
      <c r="E14" s="106">
        <v>9200</v>
      </c>
      <c r="F14" s="106">
        <v>7360</v>
      </c>
      <c r="G14" s="106">
        <v>6130</v>
      </c>
      <c r="H14" s="106">
        <v>4600</v>
      </c>
      <c r="I14" s="106">
        <v>3680</v>
      </c>
      <c r="J14" s="106">
        <v>3070</v>
      </c>
      <c r="K14" s="106">
        <v>2630</v>
      </c>
      <c r="L14" s="106">
        <v>2300</v>
      </c>
    </row>
    <row r="15" spans="1:12" x14ac:dyDescent="0.25">
      <c r="B15" s="5">
        <v>5</v>
      </c>
      <c r="C15" s="106">
        <v>34600</v>
      </c>
      <c r="D15" s="106">
        <v>23050</v>
      </c>
      <c r="E15" s="106">
        <v>17300</v>
      </c>
      <c r="F15" s="106">
        <v>13840</v>
      </c>
      <c r="G15" s="106">
        <v>11530</v>
      </c>
      <c r="H15" s="106">
        <v>8650</v>
      </c>
      <c r="I15" s="106">
        <v>6920</v>
      </c>
      <c r="J15" s="106">
        <v>5765</v>
      </c>
      <c r="K15" s="106">
        <v>4945</v>
      </c>
      <c r="L15" s="106">
        <v>4325</v>
      </c>
    </row>
    <row r="16" spans="1:12" x14ac:dyDescent="0.25">
      <c r="B16" s="5">
        <v>6</v>
      </c>
      <c r="C16" s="106">
        <v>54000</v>
      </c>
      <c r="D16" s="106">
        <v>3600</v>
      </c>
      <c r="E16" s="106">
        <v>27000</v>
      </c>
      <c r="F16" s="106">
        <v>21600</v>
      </c>
      <c r="G16" s="106">
        <v>18000</v>
      </c>
      <c r="H16" s="106">
        <v>13500</v>
      </c>
      <c r="I16" s="106">
        <v>10800</v>
      </c>
      <c r="J16" s="106">
        <v>9000</v>
      </c>
      <c r="K16" s="106">
        <v>7715</v>
      </c>
      <c r="L16" s="106">
        <v>6750</v>
      </c>
    </row>
    <row r="17" spans="2:12" x14ac:dyDescent="0.25">
      <c r="B17" s="5">
        <v>8</v>
      </c>
      <c r="C17" s="106">
        <v>116000</v>
      </c>
      <c r="D17" s="106">
        <v>77400</v>
      </c>
      <c r="E17" s="106">
        <v>58000</v>
      </c>
      <c r="F17" s="106">
        <v>46400</v>
      </c>
      <c r="G17" s="106">
        <v>38660</v>
      </c>
      <c r="H17" s="106">
        <v>29000</v>
      </c>
      <c r="I17" s="106">
        <v>23200</v>
      </c>
      <c r="J17" s="106">
        <v>19315</v>
      </c>
      <c r="K17" s="106">
        <v>16570</v>
      </c>
      <c r="L17" s="106">
        <v>14500</v>
      </c>
    </row>
  </sheetData>
  <mergeCells count="1">
    <mergeCell ref="B9:B11"/>
  </mergeCells>
  <conditionalFormatting sqref="B12:L17">
    <cfRule type="expression" dxfId="89" priority="6">
      <formula>$B12=$C$5</formula>
    </cfRule>
  </conditionalFormatting>
  <conditionalFormatting sqref="C10:L10">
    <cfRule type="expression" dxfId="88" priority="3">
      <formula>C10=$C$6</formula>
    </cfRule>
  </conditionalFormatting>
  <conditionalFormatting sqref="C12:L17">
    <cfRule type="expression" dxfId="87" priority="4">
      <formula>AND($B12=$C$5,C$10=$C$6)</formula>
    </cfRule>
    <cfRule type="expression" dxfId="86" priority="7">
      <formula>C$10=$C$6</formula>
    </cfRule>
  </conditionalFormatting>
  <dataValidations count="2">
    <dataValidation type="list" allowBlank="1" showInputMessage="1" showErrorMessage="1" sqref="C5" xr:uid="{2901BB88-79F0-406C-9BB5-F413DC2186BF}">
      <formula1>$B$12:$B$17</formula1>
    </dataValidation>
    <dataValidation type="list" allowBlank="1" showInputMessage="1" showErrorMessage="1" sqref="C6" xr:uid="{929BE5ED-D629-420F-B4EB-BCD7A07CBCBD}">
      <formula1>$C$10:$L$10</formula1>
    </dataValidation>
  </dataValidation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2F97-91CE-4B5A-AEF8-61D4A6D43667}">
  <sheetPr codeName="Sheet35">
    <tabColor rgb="FFFF0000"/>
  </sheetPr>
  <dimension ref="A1:L17"/>
  <sheetViews>
    <sheetView zoomScale="115" zoomScaleNormal="115" workbookViewId="0"/>
  </sheetViews>
  <sheetFormatPr defaultColWidth="8.85546875" defaultRowHeight="15" x14ac:dyDescent="0.25"/>
  <cols>
    <col min="1" max="1" width="4.42578125" bestFit="1" customWidth="1"/>
    <col min="2" max="2" width="17.85546875" customWidth="1"/>
    <col min="3" max="3" width="8.28515625" customWidth="1"/>
    <col min="4" max="12" width="7.28515625" customWidth="1"/>
  </cols>
  <sheetData>
    <row r="1" spans="1:12" ht="4.5" customHeight="1" x14ac:dyDescent="0.25"/>
    <row r="2" spans="1:12" x14ac:dyDescent="0.25">
      <c r="A2" s="4" t="s">
        <v>1</v>
      </c>
      <c r="B2" s="4" t="s">
        <v>149</v>
      </c>
    </row>
    <row r="3" spans="1:12" x14ac:dyDescent="0.25">
      <c r="A3" s="4" t="s">
        <v>150</v>
      </c>
      <c r="B3" t="s">
        <v>147</v>
      </c>
    </row>
    <row r="4" spans="1:12" ht="6.75" customHeight="1" x14ac:dyDescent="0.25">
      <c r="A4" s="4"/>
    </row>
    <row r="5" spans="1:12" x14ac:dyDescent="0.25">
      <c r="B5" s="125" t="s">
        <v>59</v>
      </c>
      <c r="C5" s="5">
        <v>4</v>
      </c>
    </row>
    <row r="6" spans="1:12" x14ac:dyDescent="0.25">
      <c r="B6" s="125" t="s">
        <v>58</v>
      </c>
      <c r="C6" s="5">
        <v>3</v>
      </c>
      <c r="E6" s="4" t="str">
        <f>"Formula in "&amp;ADDRESS(ROW(C7),COLUMN(C7),4)&amp;":"</f>
        <v>Formula in C7:</v>
      </c>
    </row>
    <row r="7" spans="1:12" ht="30.75" x14ac:dyDescent="0.3">
      <c r="B7" s="124" t="s">
        <v>60</v>
      </c>
      <c r="C7" s="116" cm="1">
        <f t="array" ref="C7">_xlfn.XLOOKUP(C6,C10:L10,_xlfn.XLOOKUP(C5,B12:B17,C12:L17))</f>
        <v>6130</v>
      </c>
      <c r="E7" s="170" t="str">
        <f ca="1">_xlfn.IFNA(_xlfn.FORMULATEXT(C7),"")</f>
        <v>=XLOOKUP(C6,C10:L10,XLOOKUP(C5,B12:B17,C12:L17))</v>
      </c>
    </row>
    <row r="8" spans="1:12" ht="9.75" customHeight="1" x14ac:dyDescent="0.25"/>
    <row r="9" spans="1:12" x14ac:dyDescent="0.25">
      <c r="B9" s="266" t="s">
        <v>59</v>
      </c>
      <c r="C9" s="118" t="s">
        <v>58</v>
      </c>
      <c r="D9" s="119"/>
      <c r="E9" s="119"/>
      <c r="F9" s="119"/>
      <c r="G9" s="119"/>
      <c r="H9" s="119"/>
      <c r="I9" s="119"/>
      <c r="J9" s="119"/>
      <c r="K9" s="119"/>
      <c r="L9" s="120"/>
    </row>
    <row r="10" spans="1:12" x14ac:dyDescent="0.25">
      <c r="B10" s="266"/>
      <c r="C10" s="5">
        <v>1</v>
      </c>
      <c r="D10" s="5">
        <v>1.5</v>
      </c>
      <c r="E10" s="5">
        <v>2</v>
      </c>
      <c r="F10" s="5">
        <v>2.5</v>
      </c>
      <c r="G10" s="5">
        <v>3</v>
      </c>
      <c r="H10" s="5">
        <v>4</v>
      </c>
      <c r="I10" s="5">
        <v>5</v>
      </c>
      <c r="J10" s="5">
        <v>6</v>
      </c>
      <c r="K10" s="5">
        <v>7</v>
      </c>
      <c r="L10" s="5">
        <v>8</v>
      </c>
    </row>
    <row r="11" spans="1:12" x14ac:dyDescent="0.25">
      <c r="B11" s="266"/>
      <c r="C11" s="121" t="s">
        <v>60</v>
      </c>
      <c r="D11" s="122"/>
      <c r="E11" s="122"/>
      <c r="F11" s="122"/>
      <c r="G11" s="122"/>
      <c r="H11" s="122"/>
      <c r="I11" s="122"/>
      <c r="J11" s="122"/>
      <c r="K11" s="122"/>
      <c r="L11" s="123"/>
    </row>
    <row r="12" spans="1:12" x14ac:dyDescent="0.25">
      <c r="B12" s="5">
        <v>2</v>
      </c>
      <c r="C12" s="106">
        <v>2880</v>
      </c>
      <c r="D12" s="106">
        <v>1920</v>
      </c>
      <c r="E12" s="106">
        <v>1440</v>
      </c>
      <c r="F12" s="106">
        <v>115</v>
      </c>
      <c r="G12" s="106">
        <v>960</v>
      </c>
      <c r="H12" s="106">
        <v>720</v>
      </c>
      <c r="I12" s="106">
        <v>575</v>
      </c>
      <c r="J12" s="106">
        <v>480</v>
      </c>
      <c r="K12" s="106">
        <v>410</v>
      </c>
      <c r="L12" s="106">
        <v>360</v>
      </c>
    </row>
    <row r="13" spans="1:12" x14ac:dyDescent="0.25">
      <c r="B13" s="5">
        <v>3</v>
      </c>
      <c r="C13" s="106">
        <v>8800</v>
      </c>
      <c r="D13" s="106">
        <v>5860</v>
      </c>
      <c r="E13" s="106">
        <v>4400</v>
      </c>
      <c r="F13" s="106">
        <v>3520</v>
      </c>
      <c r="G13" s="106">
        <v>2930</v>
      </c>
      <c r="H13" s="106">
        <v>2200</v>
      </c>
      <c r="I13" s="106">
        <v>1760</v>
      </c>
      <c r="J13" s="106">
        <v>1470</v>
      </c>
      <c r="K13" s="106">
        <v>1260</v>
      </c>
      <c r="L13" s="106">
        <v>1100</v>
      </c>
    </row>
    <row r="14" spans="1:12" x14ac:dyDescent="0.25">
      <c r="B14" s="5">
        <v>4</v>
      </c>
      <c r="C14" s="106">
        <v>18400</v>
      </c>
      <c r="D14" s="106">
        <v>12700</v>
      </c>
      <c r="E14" s="106">
        <v>9200</v>
      </c>
      <c r="F14" s="106">
        <v>7360</v>
      </c>
      <c r="G14" s="106">
        <v>6130</v>
      </c>
      <c r="H14" s="106">
        <v>4600</v>
      </c>
      <c r="I14" s="106">
        <v>3680</v>
      </c>
      <c r="J14" s="106">
        <v>3070</v>
      </c>
      <c r="K14" s="106">
        <v>2630</v>
      </c>
      <c r="L14" s="106">
        <v>2300</v>
      </c>
    </row>
    <row r="15" spans="1:12" x14ac:dyDescent="0.25">
      <c r="B15" s="5">
        <v>5</v>
      </c>
      <c r="C15" s="106">
        <v>34600</v>
      </c>
      <c r="D15" s="106">
        <v>23050</v>
      </c>
      <c r="E15" s="106">
        <v>17300</v>
      </c>
      <c r="F15" s="106">
        <v>13840</v>
      </c>
      <c r="G15" s="106">
        <v>11530</v>
      </c>
      <c r="H15" s="106">
        <v>8650</v>
      </c>
      <c r="I15" s="106">
        <v>6920</v>
      </c>
      <c r="J15" s="106">
        <v>5765</v>
      </c>
      <c r="K15" s="106">
        <v>4945</v>
      </c>
      <c r="L15" s="106">
        <v>4325</v>
      </c>
    </row>
    <row r="16" spans="1:12" x14ac:dyDescent="0.25">
      <c r="B16" s="5">
        <v>6</v>
      </c>
      <c r="C16" s="106">
        <v>54000</v>
      </c>
      <c r="D16" s="106">
        <v>3600</v>
      </c>
      <c r="E16" s="106">
        <v>27000</v>
      </c>
      <c r="F16" s="106">
        <v>21600</v>
      </c>
      <c r="G16" s="106">
        <v>18000</v>
      </c>
      <c r="H16" s="106">
        <v>13500</v>
      </c>
      <c r="I16" s="106">
        <v>10800</v>
      </c>
      <c r="J16" s="106">
        <v>9000</v>
      </c>
      <c r="K16" s="106">
        <v>7715</v>
      </c>
      <c r="L16" s="106">
        <v>6750</v>
      </c>
    </row>
    <row r="17" spans="2:12" x14ac:dyDescent="0.25">
      <c r="B17" s="5">
        <v>8</v>
      </c>
      <c r="C17" s="106">
        <v>116000</v>
      </c>
      <c r="D17" s="106">
        <v>77400</v>
      </c>
      <c r="E17" s="106">
        <v>58000</v>
      </c>
      <c r="F17" s="106">
        <v>46400</v>
      </c>
      <c r="G17" s="106">
        <v>38660</v>
      </c>
      <c r="H17" s="106">
        <v>29000</v>
      </c>
      <c r="I17" s="106">
        <v>23200</v>
      </c>
      <c r="J17" s="106">
        <v>19315</v>
      </c>
      <c r="K17" s="106">
        <v>16570</v>
      </c>
      <c r="L17" s="106">
        <v>14500</v>
      </c>
    </row>
  </sheetData>
  <mergeCells count="1">
    <mergeCell ref="B9:B11"/>
  </mergeCells>
  <conditionalFormatting sqref="B12:L17">
    <cfRule type="expression" dxfId="85" priority="3">
      <formula>$B12=$C$5</formula>
    </cfRule>
  </conditionalFormatting>
  <conditionalFormatting sqref="C10:L10">
    <cfRule type="expression" dxfId="84" priority="1">
      <formula>C10=$C$6</formula>
    </cfRule>
  </conditionalFormatting>
  <conditionalFormatting sqref="C12:L17">
    <cfRule type="expression" dxfId="83" priority="2">
      <formula>AND($B12=$C$5,C$10=$C$6)</formula>
    </cfRule>
    <cfRule type="expression" dxfId="82" priority="4">
      <formula>C$10=$C$6</formula>
    </cfRule>
  </conditionalFormatting>
  <dataValidations count="2">
    <dataValidation type="list" allowBlank="1" showInputMessage="1" showErrorMessage="1" sqref="C6" xr:uid="{496C18B9-F17D-4686-A548-FF41AC81936D}">
      <formula1>$C$10:$L$10</formula1>
    </dataValidation>
    <dataValidation type="list" allowBlank="1" showInputMessage="1" showErrorMessage="1" sqref="C5" xr:uid="{A20542E7-4B92-42CD-BCEA-674B4BE946E4}">
      <formula1>$B$12:$B$17</formula1>
    </dataValidation>
  </dataValidation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993D-98F0-4CB5-A42A-BF0E03D18798}">
  <sheetPr codeName="Sheet36">
    <tabColor rgb="FF0000FF"/>
  </sheetPr>
  <dimension ref="A1:N21"/>
  <sheetViews>
    <sheetView zoomScale="145" zoomScaleNormal="145" workbookViewId="0"/>
  </sheetViews>
  <sheetFormatPr defaultColWidth="8.85546875" defaultRowHeight="15" x14ac:dyDescent="0.25"/>
  <cols>
    <col min="1" max="1" width="4" bestFit="1" customWidth="1"/>
  </cols>
  <sheetData>
    <row r="1" spans="1:14" ht="3" customHeight="1" x14ac:dyDescent="0.25"/>
    <row r="2" spans="1:14" x14ac:dyDescent="0.25">
      <c r="A2" s="4" t="s">
        <v>1</v>
      </c>
      <c r="B2" s="4" t="s">
        <v>155</v>
      </c>
      <c r="M2" s="4" t="s">
        <v>154</v>
      </c>
      <c r="N2" s="4" t="s">
        <v>7</v>
      </c>
    </row>
    <row r="3" spans="1:14" x14ac:dyDescent="0.25">
      <c r="A3" s="4" t="s">
        <v>157</v>
      </c>
      <c r="B3" t="s">
        <v>156</v>
      </c>
      <c r="M3" t="str" cm="1">
        <f t="array" ref="M3:M5">_xlfn._xlws.SORT(_xlfn.UNIQUE(B13:B21))</f>
        <v>Oakland</v>
      </c>
      <c r="N3" t="str" cm="1">
        <f t="array" ref="N3:N5">_xlfn._xlws.SORT(_xlfn.UNIQUE(C13:C21))</f>
        <v>Aspen</v>
      </c>
    </row>
    <row r="4" spans="1:14" x14ac:dyDescent="0.25">
      <c r="M4" t="str">
        <v>Seattle</v>
      </c>
      <c r="N4" t="str">
        <v>Carlota</v>
      </c>
    </row>
    <row r="5" spans="1:14" x14ac:dyDescent="0.25">
      <c r="B5" s="138" t="s">
        <v>154</v>
      </c>
      <c r="C5" s="5" t="s">
        <v>152</v>
      </c>
      <c r="M5" t="str">
        <v>Tacoma</v>
      </c>
      <c r="N5" t="str">
        <v>Quad</v>
      </c>
    </row>
    <row r="6" spans="1:14" x14ac:dyDescent="0.25">
      <c r="B6" s="138" t="s">
        <v>7</v>
      </c>
      <c r="C6" s="5" t="s">
        <v>10</v>
      </c>
    </row>
    <row r="7" spans="1:14" x14ac:dyDescent="0.25">
      <c r="B7" s="110" t="s">
        <v>9</v>
      </c>
      <c r="C7" s="7"/>
    </row>
    <row r="8" spans="1:14" ht="3" customHeight="1" x14ac:dyDescent="0.25"/>
    <row r="9" spans="1:14" x14ac:dyDescent="0.25">
      <c r="B9" s="4" t="str">
        <f>"Formula in "&amp;ADDRESS(ROW(C7),COLUMN(C7),4)&amp;":"</f>
        <v>Formula in C7:</v>
      </c>
    </row>
    <row r="10" spans="1:14" x14ac:dyDescent="0.25">
      <c r="B10" s="74" t="str">
        <f ca="1">_xlfn.IFNA(_xlfn.FORMULATEXT(C7),"")</f>
        <v/>
      </c>
    </row>
    <row r="11" spans="1:14" ht="3" customHeight="1" x14ac:dyDescent="0.25"/>
    <row r="12" spans="1:14" x14ac:dyDescent="0.25">
      <c r="B12" s="110" t="s">
        <v>154</v>
      </c>
      <c r="C12" s="110" t="s">
        <v>7</v>
      </c>
      <c r="D12" s="110" t="s">
        <v>9</v>
      </c>
    </row>
    <row r="13" spans="1:14" x14ac:dyDescent="0.25">
      <c r="B13" s="5" t="s">
        <v>151</v>
      </c>
      <c r="C13" s="5" t="s">
        <v>10</v>
      </c>
      <c r="D13" s="5">
        <v>43.95</v>
      </c>
    </row>
    <row r="14" spans="1:14" x14ac:dyDescent="0.25">
      <c r="B14" s="5" t="s">
        <v>151</v>
      </c>
      <c r="C14" s="5" t="s">
        <v>12</v>
      </c>
      <c r="D14" s="5">
        <v>27.95</v>
      </c>
    </row>
    <row r="15" spans="1:14" x14ac:dyDescent="0.25">
      <c r="B15" s="5" t="s">
        <v>151</v>
      </c>
      <c r="C15" s="5" t="s">
        <v>11</v>
      </c>
      <c r="D15" s="5">
        <v>25.95</v>
      </c>
    </row>
    <row r="16" spans="1:14" x14ac:dyDescent="0.25">
      <c r="B16" s="5" t="s">
        <v>152</v>
      </c>
      <c r="C16" s="5" t="s">
        <v>10</v>
      </c>
      <c r="D16" s="5">
        <v>39.950000000000003</v>
      </c>
    </row>
    <row r="17" spans="2:4" x14ac:dyDescent="0.25">
      <c r="B17" s="5" t="s">
        <v>152</v>
      </c>
      <c r="C17" s="5" t="s">
        <v>12</v>
      </c>
      <c r="D17" s="5">
        <v>24.95</v>
      </c>
    </row>
    <row r="18" spans="2:4" x14ac:dyDescent="0.25">
      <c r="B18" s="5" t="s">
        <v>152</v>
      </c>
      <c r="C18" s="5" t="s">
        <v>11</v>
      </c>
      <c r="D18" s="5">
        <v>26.95</v>
      </c>
    </row>
    <row r="19" spans="2:4" x14ac:dyDescent="0.25">
      <c r="B19" s="5" t="s">
        <v>153</v>
      </c>
      <c r="C19" s="5" t="s">
        <v>10</v>
      </c>
      <c r="D19" s="5">
        <v>30.95</v>
      </c>
    </row>
    <row r="20" spans="2:4" x14ac:dyDescent="0.25">
      <c r="B20" s="5" t="s">
        <v>153</v>
      </c>
      <c r="C20" s="5" t="s">
        <v>12</v>
      </c>
      <c r="D20" s="5">
        <v>27.95</v>
      </c>
    </row>
    <row r="21" spans="2:4" x14ac:dyDescent="0.25">
      <c r="B21" s="5" t="s">
        <v>153</v>
      </c>
      <c r="C21" s="5" t="s">
        <v>11</v>
      </c>
      <c r="D21" s="5">
        <v>25.95</v>
      </c>
    </row>
  </sheetData>
  <conditionalFormatting sqref="B13:D21">
    <cfRule type="expression" dxfId="81" priority="1">
      <formula>$C$5&amp;$C$6=$B13&amp;$C13</formula>
    </cfRule>
  </conditionalFormatting>
  <dataValidations count="2">
    <dataValidation type="list" allowBlank="1" showInputMessage="1" showErrorMessage="1" sqref="C5" xr:uid="{BDA64BAC-1220-4E82-B1E7-B8E093546D9C}">
      <formula1>$M$3:$M$5</formula1>
    </dataValidation>
    <dataValidation type="list" allowBlank="1" showInputMessage="1" showErrorMessage="1" sqref="C6" xr:uid="{5D933448-67FB-40F7-91BE-F59E62AADFE2}">
      <formula1>$N$3:$N$5</formula1>
    </dataValidation>
  </dataValidation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5A57-343E-466B-9750-EC07E2C124B3}">
  <sheetPr codeName="Sheet37">
    <tabColor rgb="FFFF0000"/>
  </sheetPr>
  <dimension ref="A1:N21"/>
  <sheetViews>
    <sheetView zoomScale="145" zoomScaleNormal="145" workbookViewId="0"/>
  </sheetViews>
  <sheetFormatPr defaultColWidth="8.85546875" defaultRowHeight="15" x14ac:dyDescent="0.25"/>
  <cols>
    <col min="1" max="1" width="4" bestFit="1" customWidth="1"/>
  </cols>
  <sheetData>
    <row r="1" spans="1:14" ht="3" customHeight="1" x14ac:dyDescent="0.25"/>
    <row r="2" spans="1:14" x14ac:dyDescent="0.25">
      <c r="A2" s="4" t="s">
        <v>1</v>
      </c>
      <c r="B2" s="4" t="s">
        <v>155</v>
      </c>
      <c r="M2" s="4" t="s">
        <v>154</v>
      </c>
      <c r="N2" s="4" t="s">
        <v>7</v>
      </c>
    </row>
    <row r="3" spans="1:14" x14ac:dyDescent="0.25">
      <c r="A3" s="4" t="s">
        <v>157</v>
      </c>
      <c r="B3" t="s">
        <v>156</v>
      </c>
      <c r="M3" t="str" cm="1">
        <f t="array" ref="M3:M5">_xlfn._xlws.SORT(_xlfn.UNIQUE(B13:B21))</f>
        <v>Oakland</v>
      </c>
      <c r="N3" t="str" cm="1">
        <f t="array" ref="N3:N5">_xlfn._xlws.SORT(_xlfn.UNIQUE(C13:C21))</f>
        <v>Aspen</v>
      </c>
    </row>
    <row r="4" spans="1:14" x14ac:dyDescent="0.25">
      <c r="M4" t="str">
        <v>Seattle</v>
      </c>
      <c r="N4" t="str">
        <v>Carlota</v>
      </c>
    </row>
    <row r="5" spans="1:14" x14ac:dyDescent="0.25">
      <c r="B5" s="138" t="s">
        <v>154</v>
      </c>
      <c r="C5" s="5" t="s">
        <v>152</v>
      </c>
      <c r="M5" t="str">
        <v>Tacoma</v>
      </c>
      <c r="N5" t="str">
        <v>Quad</v>
      </c>
    </row>
    <row r="6" spans="1:14" x14ac:dyDescent="0.25">
      <c r="B6" s="138" t="s">
        <v>7</v>
      </c>
      <c r="C6" s="5" t="s">
        <v>10</v>
      </c>
    </row>
    <row r="7" spans="1:14" x14ac:dyDescent="0.25">
      <c r="B7" s="110" t="s">
        <v>9</v>
      </c>
      <c r="C7" s="7" cm="1">
        <f t="array" ref="C7">_xlfn.XLOOKUP(C5&amp;C6,B13:B21&amp;C13:C21,D13:D21)</f>
        <v>39.950000000000003</v>
      </c>
    </row>
    <row r="8" spans="1:14" ht="3" customHeight="1" x14ac:dyDescent="0.25"/>
    <row r="9" spans="1:14" x14ac:dyDescent="0.25">
      <c r="B9" s="4" t="str">
        <f>"Formula in "&amp;ADDRESS(ROW(C7),COLUMN(C7),4)&amp;":"</f>
        <v>Formula in C7:</v>
      </c>
    </row>
    <row r="10" spans="1:14" x14ac:dyDescent="0.25">
      <c r="B10" s="74" t="str">
        <f ca="1">_xlfn.IFNA(_xlfn.FORMULATEXT(C7),"")</f>
        <v>=XLOOKUP(C5&amp;C6,B13:B21&amp;C13:C21,D13:D21)</v>
      </c>
    </row>
    <row r="11" spans="1:14" ht="3" customHeight="1" x14ac:dyDescent="0.25"/>
    <row r="12" spans="1:14" x14ac:dyDescent="0.25">
      <c r="B12" s="110" t="s">
        <v>154</v>
      </c>
      <c r="C12" s="110" t="s">
        <v>7</v>
      </c>
      <c r="D12" s="110" t="s">
        <v>9</v>
      </c>
    </row>
    <row r="13" spans="1:14" x14ac:dyDescent="0.25">
      <c r="B13" s="5" t="s">
        <v>151</v>
      </c>
      <c r="C13" s="5" t="s">
        <v>10</v>
      </c>
      <c r="D13" s="5">
        <v>43.95</v>
      </c>
    </row>
    <row r="14" spans="1:14" x14ac:dyDescent="0.25">
      <c r="B14" s="5" t="s">
        <v>151</v>
      </c>
      <c r="C14" s="5" t="s">
        <v>12</v>
      </c>
      <c r="D14" s="5">
        <v>27.95</v>
      </c>
    </row>
    <row r="15" spans="1:14" x14ac:dyDescent="0.25">
      <c r="B15" s="5" t="s">
        <v>151</v>
      </c>
      <c r="C15" s="5" t="s">
        <v>11</v>
      </c>
      <c r="D15" s="5">
        <v>25.95</v>
      </c>
    </row>
    <row r="16" spans="1:14" x14ac:dyDescent="0.25">
      <c r="B16" s="5" t="s">
        <v>152</v>
      </c>
      <c r="C16" s="5" t="s">
        <v>10</v>
      </c>
      <c r="D16" s="5">
        <v>39.950000000000003</v>
      </c>
    </row>
    <row r="17" spans="2:4" x14ac:dyDescent="0.25">
      <c r="B17" s="5" t="s">
        <v>152</v>
      </c>
      <c r="C17" s="5" t="s">
        <v>12</v>
      </c>
      <c r="D17" s="5">
        <v>24.95</v>
      </c>
    </row>
    <row r="18" spans="2:4" x14ac:dyDescent="0.25">
      <c r="B18" s="5" t="s">
        <v>152</v>
      </c>
      <c r="C18" s="5" t="s">
        <v>11</v>
      </c>
      <c r="D18" s="5">
        <v>26.95</v>
      </c>
    </row>
    <row r="19" spans="2:4" x14ac:dyDescent="0.25">
      <c r="B19" s="5" t="s">
        <v>153</v>
      </c>
      <c r="C19" s="5" t="s">
        <v>10</v>
      </c>
      <c r="D19" s="5">
        <v>30.95</v>
      </c>
    </row>
    <row r="20" spans="2:4" x14ac:dyDescent="0.25">
      <c r="B20" s="5" t="s">
        <v>153</v>
      </c>
      <c r="C20" s="5" t="s">
        <v>12</v>
      </c>
      <c r="D20" s="5">
        <v>27.95</v>
      </c>
    </row>
    <row r="21" spans="2:4" x14ac:dyDescent="0.25">
      <c r="B21" s="5" t="s">
        <v>153</v>
      </c>
      <c r="C21" s="5" t="s">
        <v>11</v>
      </c>
      <c r="D21" s="5">
        <v>25.95</v>
      </c>
    </row>
  </sheetData>
  <conditionalFormatting sqref="B13:D21">
    <cfRule type="expression" dxfId="80" priority="1">
      <formula>$C$5&amp;$C$6=$B13&amp;$C13</formula>
    </cfRule>
  </conditionalFormatting>
  <dataValidations count="2">
    <dataValidation type="list" allowBlank="1" showInputMessage="1" showErrorMessage="1" sqref="C6" xr:uid="{D3A41028-F5EA-41AA-B643-695DE8440468}">
      <formula1>$N$3:$N$5</formula1>
    </dataValidation>
    <dataValidation type="list" allowBlank="1" showInputMessage="1" showErrorMessage="1" sqref="C5" xr:uid="{06D3CC27-37CF-4E37-828B-A2824CD8A986}">
      <formula1>$M$3:$M$5</formula1>
    </dataValidation>
  </dataValidation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26AC-25B3-49B1-AEEF-309EB354A759}">
  <sheetPr codeName="Sheet38">
    <tabColor rgb="FF0000FF"/>
  </sheetPr>
  <dimension ref="A1:H32"/>
  <sheetViews>
    <sheetView zoomScale="130" zoomScaleNormal="130" workbookViewId="0"/>
  </sheetViews>
  <sheetFormatPr defaultColWidth="8.85546875" defaultRowHeight="15" x14ac:dyDescent="0.25"/>
  <cols>
    <col min="1" max="1" width="4" bestFit="1" customWidth="1"/>
    <col min="2" max="2" width="4.140625" customWidth="1"/>
    <col min="3" max="3" width="19.28515625" customWidth="1"/>
    <col min="4" max="4" width="14.140625" bestFit="1" customWidth="1"/>
    <col min="5" max="5" width="15.28515625" customWidth="1"/>
    <col min="6" max="6" width="10.85546875" bestFit="1" customWidth="1"/>
    <col min="8" max="8" width="9.140625" customWidth="1"/>
    <col min="9" max="9" width="9.7109375" customWidth="1"/>
  </cols>
  <sheetData>
    <row r="1" spans="1:5" ht="3" customHeight="1" x14ac:dyDescent="0.25"/>
    <row r="2" spans="1:5" x14ac:dyDescent="0.25">
      <c r="A2" s="4" t="s">
        <v>1</v>
      </c>
      <c r="B2" s="4" t="s">
        <v>166</v>
      </c>
    </row>
    <row r="3" spans="1:5" x14ac:dyDescent="0.25">
      <c r="A3" s="4" t="s">
        <v>158</v>
      </c>
      <c r="B3" t="s">
        <v>247</v>
      </c>
    </row>
    <row r="4" spans="1:5" x14ac:dyDescent="0.25">
      <c r="A4" s="4"/>
      <c r="B4" t="s">
        <v>172</v>
      </c>
    </row>
    <row r="5" spans="1:5" ht="3" customHeight="1" x14ac:dyDescent="0.25"/>
    <row r="6" spans="1:5" x14ac:dyDescent="0.25">
      <c r="C6" s="125" t="s">
        <v>159</v>
      </c>
      <c r="D6" s="5">
        <v>45</v>
      </c>
    </row>
    <row r="7" spans="1:5" x14ac:dyDescent="0.25">
      <c r="C7" s="124" t="s">
        <v>160</v>
      </c>
      <c r="D7" s="7"/>
    </row>
    <row r="8" spans="1:5" ht="3" customHeight="1" x14ac:dyDescent="0.25"/>
    <row r="9" spans="1:5" x14ac:dyDescent="0.25">
      <c r="C9" s="4" t="str">
        <f>"Formula in "&amp;ADDRESS(ROW(D7),COLUMN(D7),4)&amp;":"</f>
        <v>Formula in D7:</v>
      </c>
    </row>
    <row r="10" spans="1:5" ht="15.75" x14ac:dyDescent="0.25">
      <c r="C10" s="144" t="str">
        <f ca="1">_xlfn.IFNA(_xlfn.FORMULATEXT(D7),"")</f>
        <v/>
      </c>
    </row>
    <row r="11" spans="1:5" ht="3" customHeight="1" x14ac:dyDescent="0.25"/>
    <row r="12" spans="1:5" x14ac:dyDescent="0.25">
      <c r="C12" s="124" t="s">
        <v>160</v>
      </c>
      <c r="D12" s="6" t="s">
        <v>9</v>
      </c>
      <c r="E12" s="6" t="s">
        <v>159</v>
      </c>
    </row>
    <row r="13" spans="1:5" x14ac:dyDescent="0.25">
      <c r="C13" s="5" t="s">
        <v>10</v>
      </c>
      <c r="D13" s="114">
        <v>43.95</v>
      </c>
      <c r="E13" s="5" t="s">
        <v>242</v>
      </c>
    </row>
    <row r="14" spans="1:5" x14ac:dyDescent="0.25">
      <c r="C14" s="5" t="s">
        <v>12</v>
      </c>
      <c r="D14" s="114">
        <v>27.95</v>
      </c>
      <c r="E14" s="5" t="s">
        <v>164</v>
      </c>
    </row>
    <row r="15" spans="1:5" x14ac:dyDescent="0.25">
      <c r="C15" s="5" t="s">
        <v>13</v>
      </c>
      <c r="D15" s="114">
        <v>30.95</v>
      </c>
      <c r="E15" s="5" t="s">
        <v>165</v>
      </c>
    </row>
    <row r="16" spans="1:5" x14ac:dyDescent="0.25">
      <c r="C16" s="5" t="s">
        <v>14</v>
      </c>
      <c r="D16" s="114">
        <v>35.950000000000003</v>
      </c>
      <c r="E16" s="5" t="s">
        <v>243</v>
      </c>
    </row>
    <row r="17" spans="3:8" x14ac:dyDescent="0.25">
      <c r="C17" s="5" t="s">
        <v>161</v>
      </c>
      <c r="D17" s="114">
        <v>40.950000000000003</v>
      </c>
      <c r="E17" s="5" t="s">
        <v>244</v>
      </c>
    </row>
    <row r="18" spans="3:8" x14ac:dyDescent="0.25">
      <c r="C18" s="5" t="s">
        <v>162</v>
      </c>
      <c r="D18" s="114">
        <v>75</v>
      </c>
      <c r="E18" s="5" t="s">
        <v>245</v>
      </c>
    </row>
    <row r="19" spans="3:8" x14ac:dyDescent="0.25">
      <c r="C19" s="5" t="s">
        <v>163</v>
      </c>
      <c r="D19" s="114">
        <v>100</v>
      </c>
      <c r="E19" s="5" t="s">
        <v>246</v>
      </c>
    </row>
    <row r="20" spans="3:8" ht="3.75" customHeight="1" x14ac:dyDescent="0.25"/>
    <row r="21" spans="3:8" x14ac:dyDescent="0.25">
      <c r="C21" s="145" t="s">
        <v>667</v>
      </c>
      <c r="D21" s="146"/>
      <c r="E21" s="146"/>
      <c r="F21" s="146"/>
      <c r="G21" s="146"/>
      <c r="H21" s="147"/>
    </row>
    <row r="22" spans="3:8" x14ac:dyDescent="0.25">
      <c r="C22" s="148" t="s">
        <v>173</v>
      </c>
      <c r="D22" s="149"/>
      <c r="E22" s="149"/>
      <c r="F22" s="149"/>
      <c r="G22" s="149"/>
      <c r="H22" s="150"/>
    </row>
    <row r="23" spans="3:8" x14ac:dyDescent="0.25">
      <c r="C23" s="151" t="s">
        <v>668</v>
      </c>
      <c r="D23" s="152"/>
      <c r="E23" s="152"/>
      <c r="F23" s="152"/>
      <c r="G23" s="152"/>
      <c r="H23" s="153"/>
    </row>
    <row r="24" spans="3:8" x14ac:dyDescent="0.25">
      <c r="C24" s="154" t="s">
        <v>171</v>
      </c>
      <c r="D24" s="149"/>
      <c r="E24" s="149"/>
      <c r="F24" s="149"/>
      <c r="G24" s="149"/>
      <c r="H24" s="150"/>
    </row>
    <row r="25" spans="3:8" x14ac:dyDescent="0.25">
      <c r="C25" s="155" t="s">
        <v>669</v>
      </c>
      <c r="D25" s="152"/>
      <c r="E25" s="152"/>
      <c r="F25" s="152"/>
      <c r="G25" s="152"/>
      <c r="H25" s="153"/>
    </row>
    <row r="26" spans="3:8" x14ac:dyDescent="0.25">
      <c r="C26" s="156" t="s">
        <v>167</v>
      </c>
      <c r="D26" s="149"/>
      <c r="E26" s="149"/>
      <c r="F26" s="149"/>
      <c r="G26" s="149"/>
      <c r="H26" s="150"/>
    </row>
    <row r="27" spans="3:8" x14ac:dyDescent="0.25">
      <c r="C27" s="157" t="s">
        <v>670</v>
      </c>
      <c r="D27" s="158"/>
      <c r="E27" s="158"/>
      <c r="F27" s="158"/>
      <c r="G27" s="158"/>
      <c r="H27" s="159"/>
    </row>
    <row r="28" spans="3:8" x14ac:dyDescent="0.25">
      <c r="C28" s="160" t="s">
        <v>170</v>
      </c>
      <c r="D28" s="161"/>
      <c r="E28" s="161"/>
      <c r="F28" s="161"/>
      <c r="G28" s="161"/>
      <c r="H28" s="162"/>
    </row>
    <row r="29" spans="3:8" x14ac:dyDescent="0.25">
      <c r="C29" s="163" t="s">
        <v>671</v>
      </c>
      <c r="D29" s="152"/>
      <c r="E29" s="152"/>
      <c r="F29" s="152"/>
      <c r="G29" s="152"/>
      <c r="H29" s="153"/>
    </row>
    <row r="30" spans="3:8" x14ac:dyDescent="0.25">
      <c r="C30" s="148" t="s">
        <v>168</v>
      </c>
      <c r="D30" s="149"/>
      <c r="E30" s="149"/>
      <c r="F30" s="149"/>
      <c r="G30" s="149"/>
      <c r="H30" s="150"/>
    </row>
    <row r="31" spans="3:8" x14ac:dyDescent="0.25">
      <c r="C31" s="151" t="s">
        <v>672</v>
      </c>
      <c r="D31" s="152"/>
      <c r="E31" s="152"/>
      <c r="F31" s="152"/>
      <c r="G31" s="152"/>
      <c r="H31" s="153"/>
    </row>
    <row r="32" spans="3:8" x14ac:dyDescent="0.25">
      <c r="C32" s="164" t="s">
        <v>169</v>
      </c>
      <c r="D32" s="165"/>
      <c r="E32" s="165"/>
      <c r="F32" s="165"/>
      <c r="G32" s="165"/>
      <c r="H32" s="166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6A7F-9CF0-47CF-BC26-AD42CC63390E}">
  <sheetPr codeName="Sheet39">
    <tabColor rgb="FFFF0000"/>
  </sheetPr>
  <dimension ref="A1:H32"/>
  <sheetViews>
    <sheetView zoomScale="130" zoomScaleNormal="130" workbookViewId="0"/>
  </sheetViews>
  <sheetFormatPr defaultColWidth="8.85546875" defaultRowHeight="15" x14ac:dyDescent="0.25"/>
  <cols>
    <col min="1" max="1" width="4" bestFit="1" customWidth="1"/>
    <col min="2" max="2" width="4.140625" customWidth="1"/>
    <col min="3" max="3" width="19.28515625" customWidth="1"/>
    <col min="4" max="4" width="14.140625" bestFit="1" customWidth="1"/>
    <col min="5" max="5" width="15.28515625" customWidth="1"/>
    <col min="6" max="6" width="10.85546875" bestFit="1" customWidth="1"/>
    <col min="8" max="8" width="9.140625" customWidth="1"/>
    <col min="9" max="9" width="9.7109375" customWidth="1"/>
  </cols>
  <sheetData>
    <row r="1" spans="1:5" ht="3" customHeight="1" x14ac:dyDescent="0.25"/>
    <row r="2" spans="1:5" x14ac:dyDescent="0.25">
      <c r="A2" s="4" t="s">
        <v>1</v>
      </c>
      <c r="B2" s="4" t="s">
        <v>166</v>
      </c>
    </row>
    <row r="3" spans="1:5" x14ac:dyDescent="0.25">
      <c r="A3" s="4" t="s">
        <v>158</v>
      </c>
      <c r="B3" t="s">
        <v>247</v>
      </c>
    </row>
    <row r="4" spans="1:5" x14ac:dyDescent="0.25">
      <c r="A4" s="4"/>
      <c r="B4" t="s">
        <v>172</v>
      </c>
    </row>
    <row r="5" spans="1:5" ht="3" customHeight="1" x14ac:dyDescent="0.25"/>
    <row r="6" spans="1:5" x14ac:dyDescent="0.25">
      <c r="C6" s="125" t="s">
        <v>159</v>
      </c>
      <c r="D6" s="5">
        <v>45</v>
      </c>
    </row>
    <row r="7" spans="1:5" x14ac:dyDescent="0.25">
      <c r="C7" s="124" t="s">
        <v>160</v>
      </c>
      <c r="D7" s="7" t="str" cm="1">
        <f t="array" ref="D7">_xlfn.XLOOKUP(D6,--LEFT(E13:E19,2),C13:C19,"Range must be 20 or bigger",-1)</f>
        <v>Majestic Beaut</v>
      </c>
    </row>
    <row r="8" spans="1:5" ht="3" customHeight="1" x14ac:dyDescent="0.25"/>
    <row r="9" spans="1:5" x14ac:dyDescent="0.25">
      <c r="C9" s="4" t="str">
        <f>"Formula in "&amp;ADDRESS(ROW(D7),COLUMN(D7),4)&amp;":"</f>
        <v>Formula in D7:</v>
      </c>
    </row>
    <row r="10" spans="1:5" ht="15.75" x14ac:dyDescent="0.25">
      <c r="C10" s="144" t="str">
        <f ca="1">_xlfn.IFNA(_xlfn.FORMULATEXT(D7),"")</f>
        <v>=XLOOKUP(D6,--LEFT(E13:E19,2),C13:C19,"Range must be 20 or bigger",-1)</v>
      </c>
    </row>
    <row r="11" spans="1:5" ht="3" customHeight="1" x14ac:dyDescent="0.25"/>
    <row r="12" spans="1:5" x14ac:dyDescent="0.25">
      <c r="C12" s="124" t="s">
        <v>160</v>
      </c>
      <c r="D12" s="6" t="s">
        <v>9</v>
      </c>
      <c r="E12" s="6" t="s">
        <v>159</v>
      </c>
    </row>
    <row r="13" spans="1:5" x14ac:dyDescent="0.25">
      <c r="C13" s="5" t="s">
        <v>10</v>
      </c>
      <c r="D13" s="114">
        <v>43.95</v>
      </c>
      <c r="E13" s="5" t="s">
        <v>242</v>
      </c>
    </row>
    <row r="14" spans="1:5" x14ac:dyDescent="0.25">
      <c r="C14" s="5" t="s">
        <v>12</v>
      </c>
      <c r="D14" s="114">
        <v>27.95</v>
      </c>
      <c r="E14" s="5" t="s">
        <v>164</v>
      </c>
    </row>
    <row r="15" spans="1:5" x14ac:dyDescent="0.25">
      <c r="C15" s="5" t="s">
        <v>13</v>
      </c>
      <c r="D15" s="114">
        <v>30.95</v>
      </c>
      <c r="E15" s="5" t="s">
        <v>165</v>
      </c>
    </row>
    <row r="16" spans="1:5" x14ac:dyDescent="0.25">
      <c r="C16" s="5" t="s">
        <v>14</v>
      </c>
      <c r="D16" s="114">
        <v>35.950000000000003</v>
      </c>
      <c r="E16" s="5" t="s">
        <v>243</v>
      </c>
    </row>
    <row r="17" spans="3:8" x14ac:dyDescent="0.25">
      <c r="C17" s="5" t="s">
        <v>161</v>
      </c>
      <c r="D17" s="114">
        <v>40.950000000000003</v>
      </c>
      <c r="E17" s="5" t="s">
        <v>244</v>
      </c>
    </row>
    <row r="18" spans="3:8" x14ac:dyDescent="0.25">
      <c r="C18" s="5" t="s">
        <v>162</v>
      </c>
      <c r="D18" s="114">
        <v>75</v>
      </c>
      <c r="E18" s="5" t="s">
        <v>245</v>
      </c>
    </row>
    <row r="19" spans="3:8" x14ac:dyDescent="0.25">
      <c r="C19" s="5" t="s">
        <v>163</v>
      </c>
      <c r="D19" s="114">
        <v>100</v>
      </c>
      <c r="E19" s="5" t="s">
        <v>246</v>
      </c>
    </row>
    <row r="20" spans="3:8" ht="3.75" customHeight="1" x14ac:dyDescent="0.25"/>
    <row r="21" spans="3:8" x14ac:dyDescent="0.25">
      <c r="C21" s="145" t="s">
        <v>667</v>
      </c>
      <c r="D21" s="146"/>
      <c r="E21" s="146"/>
      <c r="F21" s="146"/>
      <c r="G21" s="146"/>
      <c r="H21" s="147"/>
    </row>
    <row r="22" spans="3:8" x14ac:dyDescent="0.25">
      <c r="C22" s="148" t="s">
        <v>173</v>
      </c>
      <c r="D22" s="149"/>
      <c r="E22" s="149"/>
      <c r="F22" s="149"/>
      <c r="G22" s="149"/>
      <c r="H22" s="150"/>
    </row>
    <row r="23" spans="3:8" x14ac:dyDescent="0.25">
      <c r="C23" s="151" t="s">
        <v>668</v>
      </c>
      <c r="D23" s="152"/>
      <c r="E23" s="152"/>
      <c r="F23" s="152"/>
      <c r="G23" s="152"/>
      <c r="H23" s="153"/>
    </row>
    <row r="24" spans="3:8" x14ac:dyDescent="0.25">
      <c r="C24" s="154" t="s">
        <v>171</v>
      </c>
      <c r="D24" s="149"/>
      <c r="E24" s="149"/>
      <c r="F24" s="149"/>
      <c r="G24" s="149"/>
      <c r="H24" s="150"/>
    </row>
    <row r="25" spans="3:8" x14ac:dyDescent="0.25">
      <c r="C25" s="155" t="s">
        <v>669</v>
      </c>
      <c r="D25" s="152"/>
      <c r="E25" s="152"/>
      <c r="F25" s="152"/>
      <c r="G25" s="152"/>
      <c r="H25" s="153"/>
    </row>
    <row r="26" spans="3:8" x14ac:dyDescent="0.25">
      <c r="C26" s="156" t="s">
        <v>167</v>
      </c>
      <c r="D26" s="149"/>
      <c r="E26" s="149"/>
      <c r="F26" s="149"/>
      <c r="G26" s="149"/>
      <c r="H26" s="150"/>
    </row>
    <row r="27" spans="3:8" x14ac:dyDescent="0.25">
      <c r="C27" s="157" t="s">
        <v>670</v>
      </c>
      <c r="D27" s="158"/>
      <c r="E27" s="158"/>
      <c r="F27" s="158"/>
      <c r="G27" s="158"/>
      <c r="H27" s="159"/>
    </row>
    <row r="28" spans="3:8" x14ac:dyDescent="0.25">
      <c r="C28" s="160" t="s">
        <v>170</v>
      </c>
      <c r="D28" s="161"/>
      <c r="E28" s="161"/>
      <c r="F28" s="161"/>
      <c r="G28" s="161"/>
      <c r="H28" s="162"/>
    </row>
    <row r="29" spans="3:8" x14ac:dyDescent="0.25">
      <c r="C29" s="163" t="s">
        <v>671</v>
      </c>
      <c r="D29" s="152"/>
      <c r="E29" s="152"/>
      <c r="F29" s="152"/>
      <c r="G29" s="152"/>
      <c r="H29" s="153"/>
    </row>
    <row r="30" spans="3:8" x14ac:dyDescent="0.25">
      <c r="C30" s="148" t="s">
        <v>168</v>
      </c>
      <c r="D30" s="149"/>
      <c r="E30" s="149"/>
      <c r="F30" s="149"/>
      <c r="G30" s="149"/>
      <c r="H30" s="150"/>
    </row>
    <row r="31" spans="3:8" x14ac:dyDescent="0.25">
      <c r="C31" s="151" t="s">
        <v>672</v>
      </c>
      <c r="D31" s="152"/>
      <c r="E31" s="152"/>
      <c r="F31" s="152"/>
      <c r="G31" s="152"/>
      <c r="H31" s="153"/>
    </row>
    <row r="32" spans="3:8" x14ac:dyDescent="0.25">
      <c r="C32" s="164" t="s">
        <v>169</v>
      </c>
      <c r="D32" s="165"/>
      <c r="E32" s="165"/>
      <c r="F32" s="165"/>
      <c r="G32" s="165"/>
      <c r="H32" s="166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5C74-C95C-4A53-9BAE-64A83B4104E7}">
  <sheetPr codeName="Sheet40">
    <tabColor rgb="FF0000FF"/>
  </sheetPr>
  <dimension ref="A1:J18"/>
  <sheetViews>
    <sheetView zoomScale="175" zoomScaleNormal="175" workbookViewId="0"/>
  </sheetViews>
  <sheetFormatPr defaultColWidth="8.85546875" defaultRowHeight="15" x14ac:dyDescent="0.25"/>
  <cols>
    <col min="1" max="1" width="4.140625" bestFit="1" customWidth="1"/>
    <col min="2" max="2" width="12.7109375" customWidth="1"/>
    <col min="3" max="3" width="12" bestFit="1" customWidth="1"/>
    <col min="4" max="4" width="6.7109375" customWidth="1"/>
    <col min="5" max="5" width="12.85546875" customWidth="1"/>
    <col min="6" max="6" width="8.140625" customWidth="1"/>
    <col min="7" max="10" width="7.140625" bestFit="1" customWidth="1"/>
  </cols>
  <sheetData>
    <row r="1" spans="1:10" ht="3.75" customHeight="1" x14ac:dyDescent="0.25"/>
    <row r="2" spans="1:10" x14ac:dyDescent="0.25">
      <c r="A2" s="4" t="s">
        <v>1</v>
      </c>
      <c r="B2" s="4" t="s">
        <v>181</v>
      </c>
    </row>
    <row r="3" spans="1:10" x14ac:dyDescent="0.25">
      <c r="A3" s="4" t="s">
        <v>209</v>
      </c>
    </row>
    <row r="4" spans="1:10" x14ac:dyDescent="0.25">
      <c r="A4" s="4"/>
      <c r="B4" s="125" t="s">
        <v>184</v>
      </c>
      <c r="C4" s="5" t="s">
        <v>90</v>
      </c>
      <c r="E4" s="125" t="s">
        <v>184</v>
      </c>
      <c r="F4" s="5" t="s">
        <v>92</v>
      </c>
    </row>
    <row r="5" spans="1:10" x14ac:dyDescent="0.25">
      <c r="B5" s="125" t="s">
        <v>185</v>
      </c>
      <c r="C5" s="40">
        <v>0.83499999999999996</v>
      </c>
      <c r="E5" s="125" t="s">
        <v>185</v>
      </c>
      <c r="F5" s="5">
        <v>0.94</v>
      </c>
    </row>
    <row r="6" spans="1:10" x14ac:dyDescent="0.25">
      <c r="B6" s="6" t="s">
        <v>186</v>
      </c>
      <c r="C6" s="7"/>
      <c r="E6" s="6" t="s">
        <v>186</v>
      </c>
      <c r="F6" s="7"/>
    </row>
    <row r="7" spans="1:10" ht="5.25" customHeight="1" x14ac:dyDescent="0.25"/>
    <row r="8" spans="1:10" x14ac:dyDescent="0.25">
      <c r="B8" s="4" t="str">
        <f>"Formula in "&amp;ADDRESS(ROW(C6),COLUMN(C6),4)&amp;":"</f>
        <v>Formula in C6:</v>
      </c>
      <c r="F8" s="4" t="str">
        <f>"Formula in "&amp;ADDRESS(ROW(F6),COLUMN(F6),4)&amp;":"</f>
        <v>Formula in F6:</v>
      </c>
    </row>
    <row r="9" spans="1:10" ht="17.25" x14ac:dyDescent="0.3">
      <c r="B9" s="170" t="str">
        <f ca="1">_xlfn.IFNA(_xlfn.FORMULATEXT(C6),"")</f>
        <v/>
      </c>
      <c r="F9" s="170" t="str">
        <f ca="1">_xlfn.IFNA(_xlfn.FORMULATEXT(F6),"")</f>
        <v/>
      </c>
    </row>
    <row r="11" spans="1:10" x14ac:dyDescent="0.25">
      <c r="B11" s="4" t="s">
        <v>182</v>
      </c>
      <c r="E11" s="4" t="s">
        <v>183</v>
      </c>
    </row>
    <row r="12" spans="1:10" ht="3.75" customHeight="1" x14ac:dyDescent="0.25"/>
    <row r="13" spans="1:10" x14ac:dyDescent="0.25">
      <c r="B13" s="6" t="s">
        <v>179</v>
      </c>
      <c r="C13" s="6" t="s">
        <v>180</v>
      </c>
      <c r="E13" s="6" t="s">
        <v>179</v>
      </c>
      <c r="F13" s="40">
        <v>0.9</v>
      </c>
      <c r="G13" s="40">
        <v>0.8</v>
      </c>
      <c r="H13" s="40">
        <v>0.7</v>
      </c>
      <c r="I13" s="40">
        <v>0.6</v>
      </c>
      <c r="J13" s="40">
        <v>0.5</v>
      </c>
    </row>
    <row r="14" spans="1:10" x14ac:dyDescent="0.25">
      <c r="B14" s="40">
        <v>0.9</v>
      </c>
      <c r="C14" s="5" t="s">
        <v>174</v>
      </c>
      <c r="E14" s="6" t="s">
        <v>180</v>
      </c>
      <c r="F14" s="5" t="s">
        <v>174</v>
      </c>
      <c r="G14" s="5" t="s">
        <v>175</v>
      </c>
      <c r="H14" s="5" t="s">
        <v>176</v>
      </c>
      <c r="I14" s="5" t="s">
        <v>177</v>
      </c>
      <c r="J14" s="5" t="s">
        <v>178</v>
      </c>
    </row>
    <row r="15" spans="1:10" x14ac:dyDescent="0.25">
      <c r="B15" s="40">
        <v>0.8</v>
      </c>
      <c r="C15" s="5" t="s">
        <v>175</v>
      </c>
    </row>
    <row r="16" spans="1:10" x14ac:dyDescent="0.25">
      <c r="B16" s="40">
        <v>0.7</v>
      </c>
      <c r="C16" s="5" t="s">
        <v>176</v>
      </c>
    </row>
    <row r="17" spans="2:3" x14ac:dyDescent="0.25">
      <c r="B17" s="40">
        <v>0.6</v>
      </c>
      <c r="C17" s="5" t="s">
        <v>177</v>
      </c>
    </row>
    <row r="18" spans="2:3" x14ac:dyDescent="0.25">
      <c r="B18" s="40">
        <v>0.5</v>
      </c>
      <c r="C18" s="5" t="s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4365-B642-49A9-9A5C-D5646B0ED590}">
  <sheetPr codeName="Sheet41">
    <tabColor rgb="FFFF0000"/>
  </sheetPr>
  <dimension ref="A1:J18"/>
  <sheetViews>
    <sheetView zoomScale="175" zoomScaleNormal="175" workbookViewId="0"/>
  </sheetViews>
  <sheetFormatPr defaultColWidth="8.85546875" defaultRowHeight="15" x14ac:dyDescent="0.25"/>
  <cols>
    <col min="1" max="1" width="4.140625" bestFit="1" customWidth="1"/>
    <col min="2" max="2" width="12.7109375" customWidth="1"/>
    <col min="3" max="3" width="12" bestFit="1" customWidth="1"/>
    <col min="4" max="4" width="6.7109375" customWidth="1"/>
    <col min="5" max="5" width="12.85546875" customWidth="1"/>
    <col min="6" max="6" width="8.140625" customWidth="1"/>
    <col min="7" max="10" width="7.140625" bestFit="1" customWidth="1"/>
  </cols>
  <sheetData>
    <row r="1" spans="1:10" ht="3.75" customHeight="1" x14ac:dyDescent="0.25"/>
    <row r="2" spans="1:10" x14ac:dyDescent="0.25">
      <c r="A2" s="4" t="s">
        <v>1</v>
      </c>
      <c r="B2" s="4" t="s">
        <v>181</v>
      </c>
    </row>
    <row r="3" spans="1:10" x14ac:dyDescent="0.25">
      <c r="A3" s="4" t="s">
        <v>209</v>
      </c>
    </row>
    <row r="4" spans="1:10" x14ac:dyDescent="0.25">
      <c r="A4" s="4"/>
      <c r="B4" s="125" t="s">
        <v>184</v>
      </c>
      <c r="C4" s="5" t="s">
        <v>90</v>
      </c>
      <c r="E4" s="125" t="s">
        <v>184</v>
      </c>
      <c r="F4" s="5" t="s">
        <v>92</v>
      </c>
    </row>
    <row r="5" spans="1:10" x14ac:dyDescent="0.25">
      <c r="B5" s="125" t="s">
        <v>185</v>
      </c>
      <c r="C5" s="40">
        <v>0.83499999999999996</v>
      </c>
      <c r="E5" s="125" t="s">
        <v>185</v>
      </c>
      <c r="F5" s="5">
        <v>0.94</v>
      </c>
    </row>
    <row r="6" spans="1:10" x14ac:dyDescent="0.25">
      <c r="B6" s="6" t="s">
        <v>186</v>
      </c>
      <c r="C6" s="7" t="str">
        <f>_xlfn.XLOOKUP(C5,B14:B18,C14:C18,,-1)</f>
        <v>B</v>
      </c>
      <c r="E6" s="6" t="s">
        <v>186</v>
      </c>
      <c r="F6" s="7" t="str">
        <f>_xlfn.XLOOKUP(F5,F13:J13,F14:J14,,-1)</f>
        <v>A</v>
      </c>
    </row>
    <row r="7" spans="1:10" ht="5.25" customHeight="1" x14ac:dyDescent="0.25"/>
    <row r="8" spans="1:10" x14ac:dyDescent="0.25">
      <c r="B8" s="4" t="str">
        <f>"Formula in "&amp;ADDRESS(ROW(C6),COLUMN(C6),4)&amp;":"</f>
        <v>Formula in C6:</v>
      </c>
      <c r="F8" s="4" t="str">
        <f>"Formula in "&amp;ADDRESS(ROW(F6),COLUMN(F6),4)&amp;":"</f>
        <v>Formula in F6:</v>
      </c>
    </row>
    <row r="9" spans="1:10" ht="17.25" x14ac:dyDescent="0.3">
      <c r="B9" s="170" t="str">
        <f ca="1">_xlfn.IFNA(_xlfn.FORMULATEXT(C6),"")</f>
        <v>=XLOOKUP(C5,B14:B18,C14:C18,,-1)</v>
      </c>
      <c r="F9" s="170" t="str">
        <f ca="1">_xlfn.IFNA(_xlfn.FORMULATEXT(F6),"")</f>
        <v>=XLOOKUP(F5,F13:J13,F14:J14,,-1)</v>
      </c>
    </row>
    <row r="11" spans="1:10" x14ac:dyDescent="0.25">
      <c r="B11" s="4" t="s">
        <v>182</v>
      </c>
      <c r="E11" s="4" t="s">
        <v>183</v>
      </c>
    </row>
    <row r="12" spans="1:10" ht="3.75" customHeight="1" x14ac:dyDescent="0.25"/>
    <row r="13" spans="1:10" x14ac:dyDescent="0.25">
      <c r="B13" s="6" t="s">
        <v>179</v>
      </c>
      <c r="C13" s="6" t="s">
        <v>180</v>
      </c>
      <c r="E13" s="6" t="s">
        <v>179</v>
      </c>
      <c r="F13" s="40">
        <v>0.9</v>
      </c>
      <c r="G13" s="40">
        <v>0.8</v>
      </c>
      <c r="H13" s="40">
        <v>0.7</v>
      </c>
      <c r="I13" s="40">
        <v>0.6</v>
      </c>
      <c r="J13" s="40">
        <v>0.5</v>
      </c>
    </row>
    <row r="14" spans="1:10" x14ac:dyDescent="0.25">
      <c r="B14" s="40">
        <v>0.9</v>
      </c>
      <c r="C14" s="5" t="s">
        <v>174</v>
      </c>
      <c r="E14" s="6" t="s">
        <v>180</v>
      </c>
      <c r="F14" s="5" t="s">
        <v>174</v>
      </c>
      <c r="G14" s="5" t="s">
        <v>175</v>
      </c>
      <c r="H14" s="5" t="s">
        <v>176</v>
      </c>
      <c r="I14" s="5" t="s">
        <v>177</v>
      </c>
      <c r="J14" s="5" t="s">
        <v>178</v>
      </c>
    </row>
    <row r="15" spans="1:10" x14ac:dyDescent="0.25">
      <c r="B15" s="40">
        <v>0.8</v>
      </c>
      <c r="C15" s="5" t="s">
        <v>175</v>
      </c>
    </row>
    <row r="16" spans="1:10" x14ac:dyDescent="0.25">
      <c r="B16" s="40">
        <v>0.7</v>
      </c>
      <c r="C16" s="5" t="s">
        <v>176</v>
      </c>
    </row>
    <row r="17" spans="2:3" x14ac:dyDescent="0.25">
      <c r="B17" s="40">
        <v>0.6</v>
      </c>
      <c r="C17" s="5" t="s">
        <v>177</v>
      </c>
    </row>
    <row r="18" spans="2:3" x14ac:dyDescent="0.25">
      <c r="B18" s="40">
        <v>0.5</v>
      </c>
      <c r="C18" s="5" t="s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868B-1B86-48AD-990A-2BAE8B1E04D9}">
  <sheetPr codeName="Sheet42">
    <tabColor rgb="FF0000FF"/>
  </sheetPr>
  <dimension ref="A1:AN29"/>
  <sheetViews>
    <sheetView zoomScale="130" zoomScaleNormal="130" workbookViewId="0"/>
  </sheetViews>
  <sheetFormatPr defaultColWidth="8.85546875" defaultRowHeight="15" x14ac:dyDescent="0.25"/>
  <cols>
    <col min="1" max="1" width="4.140625" bestFit="1" customWidth="1"/>
    <col min="2" max="2" width="12" customWidth="1"/>
    <col min="11" max="11" width="5.42578125" customWidth="1"/>
  </cols>
  <sheetData>
    <row r="1" spans="1:40" ht="3.75" customHeight="1" x14ac:dyDescent="0.25"/>
    <row r="2" spans="1:40" x14ac:dyDescent="0.25">
      <c r="A2" s="4" t="s">
        <v>207</v>
      </c>
      <c r="B2" s="4" t="s">
        <v>216</v>
      </c>
    </row>
    <row r="3" spans="1:40" ht="3.75" customHeight="1" x14ac:dyDescent="0.25"/>
    <row r="4" spans="1:40" x14ac:dyDescent="0.25">
      <c r="A4" s="4" t="s">
        <v>208</v>
      </c>
      <c r="B4" s="171" t="s">
        <v>201</v>
      </c>
      <c r="C4" s="171" t="s">
        <v>187</v>
      </c>
      <c r="D4" s="171" t="s">
        <v>188</v>
      </c>
      <c r="E4" s="171" t="s">
        <v>189</v>
      </c>
      <c r="F4" s="171" t="s">
        <v>190</v>
      </c>
      <c r="G4" s="171" t="s">
        <v>191</v>
      </c>
      <c r="H4" s="171" t="s">
        <v>210</v>
      </c>
      <c r="I4" s="171" t="s">
        <v>211</v>
      </c>
    </row>
    <row r="5" spans="1:40" x14ac:dyDescent="0.25">
      <c r="B5" s="172" t="s">
        <v>202</v>
      </c>
      <c r="C5" s="173" t="s">
        <v>212</v>
      </c>
      <c r="D5" s="173"/>
      <c r="E5" s="173"/>
      <c r="F5" s="173"/>
      <c r="G5" s="173"/>
      <c r="H5" s="173"/>
      <c r="I5" s="173"/>
    </row>
    <row r="6" spans="1:40" x14ac:dyDescent="0.25">
      <c r="B6" s="172" t="s">
        <v>196</v>
      </c>
      <c r="C6" s="106">
        <v>1287</v>
      </c>
      <c r="D6" s="106">
        <v>6359</v>
      </c>
      <c r="E6" s="106">
        <v>12288</v>
      </c>
      <c r="F6" s="106">
        <v>59279</v>
      </c>
      <c r="G6" s="106">
        <v>94795</v>
      </c>
      <c r="H6" s="106">
        <v>27825</v>
      </c>
      <c r="I6" s="106">
        <v>16672</v>
      </c>
      <c r="AH6" s="106" t="b">
        <f>AND(COLUMNS($C6:C6)&gt;=_xlfn.XMATCH($C$13,$C$4:$I$4),COLUMNS($C6:C6)&lt;=_xlfn.XMATCH($C$14,$C$4:$I$4),ROWS(C$6:C6)=_xlfn.XMATCH($C$12,$B$6:$B$10))</f>
        <v>0</v>
      </c>
      <c r="AI6" s="106" t="b">
        <f>AND(COLUMNS($C6:D6)&gt;=_xlfn.XMATCH($C$13,$C$4:$I$4),COLUMNS($C6:D6)&lt;=_xlfn.XMATCH($C$14,$C$4:$I$4),ROWS(D$6:D6)=_xlfn.XMATCH($C$12,$B$6:$B$10))</f>
        <v>0</v>
      </c>
      <c r="AJ6" s="106" t="b">
        <f>AND(COLUMNS($C6:E6)&gt;=_xlfn.XMATCH($C$13,$C$4:$I$4),COLUMNS($C6:E6)&lt;=_xlfn.XMATCH($C$14,$C$4:$I$4),ROWS(E$6:E6)=_xlfn.XMATCH($C$12,$B$6:$B$10))</f>
        <v>0</v>
      </c>
      <c r="AK6" s="106" t="b">
        <f>AND(COLUMNS($C6:F6)&gt;=_xlfn.XMATCH($C$13,$C$4:$I$4),COLUMNS($C6:F6)&lt;=_xlfn.XMATCH($C$14,$C$4:$I$4),ROWS(F$6:F6)=_xlfn.XMATCH($C$12,$B$6:$B$10))</f>
        <v>0</v>
      </c>
      <c r="AL6" s="106" t="b">
        <f>AND(COLUMNS($C6:G6)&gt;=_xlfn.XMATCH($C$13,$C$4:$I$4),COLUMNS($C6:G6)&lt;=_xlfn.XMATCH($C$14,$C$4:$I$4),ROWS(G$6:G6)=_xlfn.XMATCH($C$12,$B$6:$B$10))</f>
        <v>0</v>
      </c>
      <c r="AM6" s="106" t="b">
        <f>AND(COLUMNS($C6:H6)&gt;=_xlfn.XMATCH($C$13,$C$4:$I$4),COLUMNS($C6:H6)&lt;=_xlfn.XMATCH($C$14,$C$4:$I$4),ROWS(H$6:H6)=_xlfn.XMATCH($C$12,$B$6:$B$10))</f>
        <v>0</v>
      </c>
      <c r="AN6" s="106" t="b">
        <f>AND(COLUMNS($C6:I6)&gt;=_xlfn.XMATCH($C$13,$C$4:$I$4),COLUMNS($C6:I6)&lt;=_xlfn.XMATCH($C$14,$C$4:$I$4),ROWS(I$6:I6)=_xlfn.XMATCH($C$12,$B$6:$B$10))</f>
        <v>0</v>
      </c>
    </row>
    <row r="7" spans="1:40" x14ac:dyDescent="0.25">
      <c r="B7" s="172" t="s">
        <v>192</v>
      </c>
      <c r="C7" s="106">
        <v>7429</v>
      </c>
      <c r="D7" s="106">
        <v>41435</v>
      </c>
      <c r="E7" s="106">
        <v>61666</v>
      </c>
      <c r="F7" s="106">
        <v>118149</v>
      </c>
      <c r="G7" s="106">
        <v>264856</v>
      </c>
      <c r="H7" s="106">
        <v>210497</v>
      </c>
      <c r="I7" s="106">
        <v>106540</v>
      </c>
      <c r="AH7" s="106" t="b">
        <f>AND(COLUMNS($C7:C7)&gt;=_xlfn.XMATCH($C$13,$C$4:$I$4),COLUMNS($C7:C7)&lt;=_xlfn.XMATCH($C$14,$C$4:$I$4),ROWS(C$6:C7)=_xlfn.XMATCH($C$12,$B$6:$B$10))</f>
        <v>0</v>
      </c>
      <c r="AI7" s="106" t="b">
        <f>AND(COLUMNS($C7:D7)&gt;=_xlfn.XMATCH($C$13,$C$4:$I$4),COLUMNS($C7:D7)&lt;=_xlfn.XMATCH($C$14,$C$4:$I$4),ROWS(D$6:D7)=_xlfn.XMATCH($C$12,$B$6:$B$10))</f>
        <v>0</v>
      </c>
      <c r="AJ7" s="106" t="b">
        <f>AND(COLUMNS($C7:E7)&gt;=_xlfn.XMATCH($C$13,$C$4:$I$4),COLUMNS($C7:E7)&lt;=_xlfn.XMATCH($C$14,$C$4:$I$4),ROWS(E$6:E7)=_xlfn.XMATCH($C$12,$B$6:$B$10))</f>
        <v>0</v>
      </c>
      <c r="AK7" s="106" t="b">
        <f>AND(COLUMNS($C7:F7)&gt;=_xlfn.XMATCH($C$13,$C$4:$I$4),COLUMNS($C7:F7)&lt;=_xlfn.XMATCH($C$14,$C$4:$I$4),ROWS(F$6:F7)=_xlfn.XMATCH($C$12,$B$6:$B$10))</f>
        <v>0</v>
      </c>
      <c r="AL7" s="106" t="b">
        <f>AND(COLUMNS($C7:G7)&gt;=_xlfn.XMATCH($C$13,$C$4:$I$4),COLUMNS($C7:G7)&lt;=_xlfn.XMATCH($C$14,$C$4:$I$4),ROWS(G$6:G7)=_xlfn.XMATCH($C$12,$B$6:$B$10))</f>
        <v>0</v>
      </c>
      <c r="AM7" s="106" t="b">
        <f>AND(COLUMNS($C7:H7)&gt;=_xlfn.XMATCH($C$13,$C$4:$I$4),COLUMNS($C7:H7)&lt;=_xlfn.XMATCH($C$14,$C$4:$I$4),ROWS(H$6:H7)=_xlfn.XMATCH($C$12,$B$6:$B$10))</f>
        <v>0</v>
      </c>
      <c r="AN7" s="106" t="b">
        <f>AND(COLUMNS($C7:I7)&gt;=_xlfn.XMATCH($C$13,$C$4:$I$4),COLUMNS($C7:I7)&lt;=_xlfn.XMATCH($C$14,$C$4:$I$4),ROWS(I$6:I7)=_xlfn.XMATCH($C$12,$B$6:$B$10))</f>
        <v>0</v>
      </c>
    </row>
    <row r="8" spans="1:40" x14ac:dyDescent="0.25">
      <c r="B8" s="172" t="s">
        <v>195</v>
      </c>
      <c r="C8" s="106">
        <v>1112</v>
      </c>
      <c r="D8" s="106">
        <v>3885</v>
      </c>
      <c r="E8" s="106">
        <v>3595</v>
      </c>
      <c r="F8" s="106">
        <v>9863</v>
      </c>
      <c r="G8" s="106">
        <v>29632</v>
      </c>
      <c r="H8" s="106">
        <v>21140</v>
      </c>
      <c r="I8" s="106">
        <v>10752</v>
      </c>
      <c r="AH8" s="106" t="b">
        <f>AND(COLUMNS($C8:C8)&gt;=_xlfn.XMATCH($C$13,$C$4:$I$4),COLUMNS($C8:C8)&lt;=_xlfn.XMATCH($C$14,$C$4:$I$4),ROWS(C$6:C8)=_xlfn.XMATCH($C$12,$B$6:$B$10))</f>
        <v>0</v>
      </c>
      <c r="AI8" s="106" t="b">
        <f>AND(COLUMNS($C8:D8)&gt;=_xlfn.XMATCH($C$13,$C$4:$I$4),COLUMNS($C8:D8)&lt;=_xlfn.XMATCH($C$14,$C$4:$I$4),ROWS(D$6:D8)=_xlfn.XMATCH($C$12,$B$6:$B$10))</f>
        <v>0</v>
      </c>
      <c r="AJ8" s="106" t="b">
        <f>AND(COLUMNS($C8:E8)&gt;=_xlfn.XMATCH($C$13,$C$4:$I$4),COLUMNS($C8:E8)&lt;=_xlfn.XMATCH($C$14,$C$4:$I$4),ROWS(E$6:E8)=_xlfn.XMATCH($C$12,$B$6:$B$10))</f>
        <v>1</v>
      </c>
      <c r="AK8" s="106" t="b">
        <f>AND(COLUMNS($C8:F8)&gt;=_xlfn.XMATCH($C$13,$C$4:$I$4),COLUMNS($C8:F8)&lt;=_xlfn.XMATCH($C$14,$C$4:$I$4),ROWS(F$6:F8)=_xlfn.XMATCH($C$12,$B$6:$B$10))</f>
        <v>1</v>
      </c>
      <c r="AL8" s="106" t="b">
        <f>AND(COLUMNS($C8:G8)&gt;=_xlfn.XMATCH($C$13,$C$4:$I$4),COLUMNS($C8:G8)&lt;=_xlfn.XMATCH($C$14,$C$4:$I$4),ROWS(G$6:G8)=_xlfn.XMATCH($C$12,$B$6:$B$10))</f>
        <v>1</v>
      </c>
      <c r="AM8" s="106" t="b">
        <f>AND(COLUMNS($C8:H8)&gt;=_xlfn.XMATCH($C$13,$C$4:$I$4),COLUMNS($C8:H8)&lt;=_xlfn.XMATCH($C$14,$C$4:$I$4),ROWS(H$6:H8)=_xlfn.XMATCH($C$12,$B$6:$B$10))</f>
        <v>1</v>
      </c>
      <c r="AN8" s="106" t="b">
        <f>AND(COLUMNS($C8:I8)&gt;=_xlfn.XMATCH($C$13,$C$4:$I$4),COLUMNS($C8:I8)&lt;=_xlfn.XMATCH($C$14,$C$4:$I$4),ROWS(I$6:I8)=_xlfn.XMATCH($C$12,$B$6:$B$10))</f>
        <v>0</v>
      </c>
    </row>
    <row r="9" spans="1:40" x14ac:dyDescent="0.25">
      <c r="B9" s="172" t="s">
        <v>194</v>
      </c>
      <c r="C9" s="106">
        <v>687</v>
      </c>
      <c r="D9" s="106">
        <v>1820</v>
      </c>
      <c r="E9" s="106">
        <v>1733</v>
      </c>
      <c r="F9" s="106">
        <v>4413</v>
      </c>
      <c r="G9" s="106">
        <v>9836</v>
      </c>
      <c r="H9" s="106">
        <v>8221</v>
      </c>
      <c r="I9" s="106">
        <v>6796</v>
      </c>
      <c r="AH9" s="106" t="b">
        <f>AND(COLUMNS($C9:C9)&gt;=_xlfn.XMATCH($C$13,$C$4:$I$4),COLUMNS($C9:C9)&lt;=_xlfn.XMATCH($C$14,$C$4:$I$4),ROWS(C$6:C9)=_xlfn.XMATCH($C$12,$B$6:$B$10))</f>
        <v>0</v>
      </c>
      <c r="AI9" s="106" t="b">
        <f>AND(COLUMNS($C9:D9)&gt;=_xlfn.XMATCH($C$13,$C$4:$I$4),COLUMNS($C9:D9)&lt;=_xlfn.XMATCH($C$14,$C$4:$I$4),ROWS(D$6:D9)=_xlfn.XMATCH($C$12,$B$6:$B$10))</f>
        <v>0</v>
      </c>
      <c r="AJ9" s="106" t="b">
        <f>AND(COLUMNS($C9:E9)&gt;=_xlfn.XMATCH($C$13,$C$4:$I$4),COLUMNS($C9:E9)&lt;=_xlfn.XMATCH($C$14,$C$4:$I$4),ROWS(E$6:E9)=_xlfn.XMATCH($C$12,$B$6:$B$10))</f>
        <v>0</v>
      </c>
      <c r="AK9" s="106" t="b">
        <f>AND(COLUMNS($C9:F9)&gt;=_xlfn.XMATCH($C$13,$C$4:$I$4),COLUMNS($C9:F9)&lt;=_xlfn.XMATCH($C$14,$C$4:$I$4),ROWS(F$6:F9)=_xlfn.XMATCH($C$12,$B$6:$B$10))</f>
        <v>0</v>
      </c>
      <c r="AL9" s="106" t="b">
        <f>AND(COLUMNS($C9:G9)&gt;=_xlfn.XMATCH($C$13,$C$4:$I$4),COLUMNS($C9:G9)&lt;=_xlfn.XMATCH($C$14,$C$4:$I$4),ROWS(G$6:G9)=_xlfn.XMATCH($C$12,$B$6:$B$10))</f>
        <v>0</v>
      </c>
      <c r="AM9" s="106" t="b">
        <f>AND(COLUMNS($C9:H9)&gt;=_xlfn.XMATCH($C$13,$C$4:$I$4),COLUMNS($C9:H9)&lt;=_xlfn.XMATCH($C$14,$C$4:$I$4),ROWS(H$6:H9)=_xlfn.XMATCH($C$12,$B$6:$B$10))</f>
        <v>0</v>
      </c>
      <c r="AN9" s="106" t="b">
        <f>AND(COLUMNS($C9:I9)&gt;=_xlfn.XMATCH($C$13,$C$4:$I$4),COLUMNS($C9:I9)&lt;=_xlfn.XMATCH($C$14,$C$4:$I$4),ROWS(I$6:I9)=_xlfn.XMATCH($C$12,$B$6:$B$10))</f>
        <v>0</v>
      </c>
    </row>
    <row r="10" spans="1:40" x14ac:dyDescent="0.25">
      <c r="B10" s="172" t="s">
        <v>193</v>
      </c>
      <c r="C10" s="106">
        <v>6931</v>
      </c>
      <c r="D10" s="106">
        <v>8670</v>
      </c>
      <c r="E10" s="106">
        <v>7259</v>
      </c>
      <c r="F10" s="106">
        <v>13564</v>
      </c>
      <c r="G10" s="106">
        <v>23508</v>
      </c>
      <c r="H10" s="106">
        <v>14370</v>
      </c>
      <c r="I10" s="106">
        <v>12722</v>
      </c>
      <c r="AH10" s="106" t="b">
        <f>AND(COLUMNS($C10:C10)&gt;=_xlfn.XMATCH($C$13,$C$4:$I$4),COLUMNS($C10:C10)&lt;=_xlfn.XMATCH($C$14,$C$4:$I$4),ROWS(C$6:C10)=_xlfn.XMATCH($C$12,$B$6:$B$10))</f>
        <v>0</v>
      </c>
      <c r="AI10" s="106" t="b">
        <f>AND(COLUMNS($C10:D10)&gt;=_xlfn.XMATCH($C$13,$C$4:$I$4),COLUMNS($C10:D10)&lt;=_xlfn.XMATCH($C$14,$C$4:$I$4),ROWS(D$6:D10)=_xlfn.XMATCH($C$12,$B$6:$B$10))</f>
        <v>0</v>
      </c>
      <c r="AJ10" s="106" t="b">
        <f>AND(COLUMNS($C10:E10)&gt;=_xlfn.XMATCH($C$13,$C$4:$I$4),COLUMNS($C10:E10)&lt;=_xlfn.XMATCH($C$14,$C$4:$I$4),ROWS(E$6:E10)=_xlfn.XMATCH($C$12,$B$6:$B$10))</f>
        <v>0</v>
      </c>
      <c r="AK10" s="106" t="b">
        <f>AND(COLUMNS($C10:F10)&gt;=_xlfn.XMATCH($C$13,$C$4:$I$4),COLUMNS($C10:F10)&lt;=_xlfn.XMATCH($C$14,$C$4:$I$4),ROWS(F$6:F10)=_xlfn.XMATCH($C$12,$B$6:$B$10))</f>
        <v>0</v>
      </c>
      <c r="AL10" s="106" t="b">
        <f>AND(COLUMNS($C10:G10)&gt;=_xlfn.XMATCH($C$13,$C$4:$I$4),COLUMNS($C10:G10)&lt;=_xlfn.XMATCH($C$14,$C$4:$I$4),ROWS(G$6:G10)=_xlfn.XMATCH($C$12,$B$6:$B$10))</f>
        <v>0</v>
      </c>
      <c r="AM10" s="106" t="b">
        <f>AND(COLUMNS($C10:H10)&gt;=_xlfn.XMATCH($C$13,$C$4:$I$4),COLUMNS($C10:H10)&lt;=_xlfn.XMATCH($C$14,$C$4:$I$4),ROWS(H$6:H10)=_xlfn.XMATCH($C$12,$B$6:$B$10))</f>
        <v>0</v>
      </c>
      <c r="AN10" s="106" t="b">
        <f>AND(COLUMNS($C10:I10)&gt;=_xlfn.XMATCH($C$13,$C$4:$I$4),COLUMNS($C10:I10)&lt;=_xlfn.XMATCH($C$14,$C$4:$I$4),ROWS(I$6:I10)=_xlfn.XMATCH($C$12,$B$6:$B$10))</f>
        <v>0</v>
      </c>
    </row>
    <row r="11" spans="1:40" ht="3.75" customHeight="1" x14ac:dyDescent="0.25"/>
    <row r="12" spans="1:40" x14ac:dyDescent="0.25">
      <c r="B12" s="125" t="s">
        <v>200</v>
      </c>
      <c r="C12" s="5" t="s">
        <v>195</v>
      </c>
    </row>
    <row r="13" spans="1:40" x14ac:dyDescent="0.25">
      <c r="B13" s="125" t="s">
        <v>197</v>
      </c>
      <c r="C13" s="5" t="s">
        <v>189</v>
      </c>
    </row>
    <row r="14" spans="1:40" x14ac:dyDescent="0.25">
      <c r="B14" s="125" t="s">
        <v>198</v>
      </c>
      <c r="C14" s="5" t="s">
        <v>210</v>
      </c>
    </row>
    <row r="15" spans="1:40" x14ac:dyDescent="0.25">
      <c r="B15" s="6" t="s">
        <v>199</v>
      </c>
      <c r="C15" s="116"/>
    </row>
    <row r="16" spans="1:40" ht="3.75" customHeight="1" x14ac:dyDescent="0.25"/>
    <row r="17" spans="2:11" x14ac:dyDescent="0.25">
      <c r="B17" s="4" t="str">
        <f>"Formula in "&amp;ADDRESS(ROW(C15),COLUMN(C15),4)&amp;":"</f>
        <v>Formula in C15:</v>
      </c>
    </row>
    <row r="18" spans="2:11" ht="17.25" x14ac:dyDescent="0.3">
      <c r="B18" s="170" t="str">
        <f ca="1">_xlfn.IFNA(_xlfn.FORMULATEXT(C15),"")</f>
        <v/>
      </c>
    </row>
    <row r="19" spans="2:11" x14ac:dyDescent="0.25">
      <c r="B19" s="175"/>
      <c r="C19" s="168"/>
      <c r="D19" s="168"/>
      <c r="E19" s="168"/>
      <c r="F19" s="168"/>
      <c r="G19" s="168"/>
      <c r="H19" s="168"/>
      <c r="I19" s="168"/>
      <c r="J19" s="168"/>
      <c r="K19" s="176"/>
    </row>
    <row r="20" spans="2:11" x14ac:dyDescent="0.25">
      <c r="B20" s="177"/>
      <c r="C20" s="169"/>
      <c r="D20" s="169"/>
      <c r="E20" s="169"/>
      <c r="F20" s="169"/>
      <c r="G20" s="169"/>
      <c r="H20" s="169"/>
      <c r="I20" s="169"/>
      <c r="J20" s="169"/>
      <c r="K20" s="178"/>
    </row>
    <row r="21" spans="2:11" ht="28.5" customHeight="1" x14ac:dyDescent="0.25">
      <c r="B21" s="179"/>
      <c r="C21" s="152"/>
      <c r="D21" s="152"/>
      <c r="E21" s="152"/>
      <c r="F21" s="152"/>
      <c r="G21" s="152"/>
      <c r="H21" s="152"/>
      <c r="I21" s="152"/>
      <c r="J21" s="152"/>
      <c r="K21" s="180"/>
    </row>
    <row r="22" spans="2:11" x14ac:dyDescent="0.25">
      <c r="B22" s="145" t="s">
        <v>217</v>
      </c>
      <c r="C22" s="146"/>
      <c r="D22" s="146"/>
      <c r="E22" s="146"/>
      <c r="F22" s="146"/>
      <c r="G22" s="146"/>
      <c r="H22" s="146"/>
      <c r="I22" s="146"/>
      <c r="J22" s="146"/>
      <c r="K22" s="147"/>
    </row>
    <row r="23" spans="2:11" x14ac:dyDescent="0.25">
      <c r="B23" s="174" t="s">
        <v>204</v>
      </c>
      <c r="C23" s="149"/>
      <c r="D23" s="149"/>
      <c r="E23" s="149"/>
      <c r="F23" s="149"/>
      <c r="G23" s="149"/>
      <c r="H23" s="149"/>
      <c r="I23" s="149"/>
      <c r="J23" s="149"/>
      <c r="K23" s="150"/>
    </row>
    <row r="24" spans="2:11" ht="21" x14ac:dyDescent="0.35">
      <c r="B24" s="151" t="s">
        <v>205</v>
      </c>
      <c r="C24" s="152"/>
      <c r="D24" s="152"/>
      <c r="E24" s="152"/>
      <c r="F24" s="152"/>
      <c r="G24" s="152"/>
      <c r="H24" s="152"/>
      <c r="I24" s="152"/>
      <c r="J24" s="152"/>
      <c r="K24" s="153"/>
    </row>
    <row r="25" spans="2:11" x14ac:dyDescent="0.25">
      <c r="B25" s="154" t="s">
        <v>206</v>
      </c>
      <c r="C25" s="149"/>
      <c r="D25" s="149"/>
      <c r="E25" s="149"/>
      <c r="F25" s="149"/>
      <c r="G25" s="149"/>
      <c r="H25" s="149"/>
      <c r="I25" s="149"/>
      <c r="J25" s="149"/>
      <c r="K25" s="150"/>
    </row>
    <row r="26" spans="2:11" x14ac:dyDescent="0.25">
      <c r="B26" s="267" t="s">
        <v>203</v>
      </c>
      <c r="C26" s="268"/>
      <c r="D26" s="268"/>
      <c r="E26" s="268"/>
      <c r="F26" s="268"/>
      <c r="G26" s="268"/>
      <c r="H26" s="268"/>
      <c r="I26" s="268"/>
      <c r="J26" s="268"/>
      <c r="K26" s="269"/>
    </row>
    <row r="27" spans="2:11" x14ac:dyDescent="0.25">
      <c r="B27" s="156" t="s">
        <v>213</v>
      </c>
      <c r="C27" s="149"/>
      <c r="D27" s="149"/>
      <c r="E27" s="149"/>
      <c r="F27" s="149"/>
      <c r="G27" s="149"/>
      <c r="H27" s="149"/>
      <c r="I27" s="149"/>
      <c r="J27" s="149"/>
      <c r="K27" s="150"/>
    </row>
    <row r="28" spans="2:11" x14ac:dyDescent="0.25">
      <c r="B28" s="163" t="s">
        <v>214</v>
      </c>
      <c r="C28" s="152"/>
      <c r="D28" s="152"/>
      <c r="E28" s="152"/>
      <c r="F28" s="152"/>
      <c r="G28" s="152"/>
      <c r="H28" s="152"/>
      <c r="I28" s="152"/>
      <c r="J28" s="152"/>
      <c r="K28" s="153"/>
    </row>
    <row r="29" spans="2:11" x14ac:dyDescent="0.25">
      <c r="B29" s="164" t="s">
        <v>215</v>
      </c>
      <c r="C29" s="165"/>
      <c r="D29" s="165"/>
      <c r="E29" s="165"/>
      <c r="F29" s="165"/>
      <c r="G29" s="165"/>
      <c r="H29" s="165"/>
      <c r="I29" s="165"/>
      <c r="J29" s="165"/>
      <c r="K29" s="166"/>
    </row>
  </sheetData>
  <sortState xmlns:xlrd2="http://schemas.microsoft.com/office/spreadsheetml/2017/richdata2" ref="M5:T9">
    <sortCondition ref="M5:M9"/>
  </sortState>
  <mergeCells count="1">
    <mergeCell ref="B26:K26"/>
  </mergeCells>
  <phoneticPr fontId="8" type="noConversion"/>
  <conditionalFormatting sqref="C6:I10">
    <cfRule type="expression" dxfId="79" priority="1">
      <formula>AND(COLUMNS($C6:C6)&gt;=_xlfn.XMATCH($C$13,$C$4:$I$4),COLUMNS($C6:C6)&lt;=_xlfn.XMATCH($C$14,$C$4:$I$4),ROWS(C$6:C6)=_xlfn.XMATCH($C$12,$B$6:$B$10))</formula>
    </cfRule>
  </conditionalFormatting>
  <dataValidations count="2">
    <dataValidation type="list" allowBlank="1" showInputMessage="1" showErrorMessage="1" sqref="C13:C14" xr:uid="{42AC11FF-99B5-4BC5-B2A7-1209896F6DEE}">
      <formula1>$C$4:$I$4</formula1>
    </dataValidation>
    <dataValidation type="list" allowBlank="1" showInputMessage="1" showErrorMessage="1" sqref="C12" xr:uid="{BFCA4A86-8379-4CD1-A90B-AEF6039BF4C4}">
      <formula1>$B$6:$B$10</formula1>
    </dataValidation>
  </dataValidation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0EE9-3146-474A-BFC9-2C0DA2886FBB}">
  <sheetPr codeName="Sheet43">
    <tabColor rgb="FFFF0000"/>
  </sheetPr>
  <dimension ref="A1:AN29"/>
  <sheetViews>
    <sheetView zoomScale="130" zoomScaleNormal="130" workbookViewId="0"/>
  </sheetViews>
  <sheetFormatPr defaultColWidth="8.85546875" defaultRowHeight="15" x14ac:dyDescent="0.25"/>
  <cols>
    <col min="1" max="1" width="4.140625" bestFit="1" customWidth="1"/>
    <col min="2" max="2" width="12" customWidth="1"/>
    <col min="11" max="11" width="5.42578125" customWidth="1"/>
  </cols>
  <sheetData>
    <row r="1" spans="1:40" ht="3.75" customHeight="1" x14ac:dyDescent="0.25"/>
    <row r="2" spans="1:40" x14ac:dyDescent="0.25">
      <c r="A2" s="4" t="s">
        <v>207</v>
      </c>
      <c r="B2" s="4" t="s">
        <v>216</v>
      </c>
    </row>
    <row r="3" spans="1:40" ht="3.75" customHeight="1" x14ac:dyDescent="0.25"/>
    <row r="4" spans="1:40" x14ac:dyDescent="0.25">
      <c r="A4" s="4" t="s">
        <v>208</v>
      </c>
      <c r="B4" s="171" t="s">
        <v>201</v>
      </c>
      <c r="C4" s="171" t="s">
        <v>187</v>
      </c>
      <c r="D4" s="171" t="s">
        <v>188</v>
      </c>
      <c r="E4" s="171" t="s">
        <v>189</v>
      </c>
      <c r="F4" s="171" t="s">
        <v>190</v>
      </c>
      <c r="G4" s="171" t="s">
        <v>191</v>
      </c>
      <c r="H4" s="171" t="s">
        <v>210</v>
      </c>
      <c r="I4" s="171" t="s">
        <v>211</v>
      </c>
    </row>
    <row r="5" spans="1:40" x14ac:dyDescent="0.25">
      <c r="B5" s="172" t="s">
        <v>202</v>
      </c>
      <c r="C5" s="173" t="s">
        <v>212</v>
      </c>
      <c r="D5" s="173"/>
      <c r="E5" s="173"/>
      <c r="F5" s="173"/>
      <c r="G5" s="173"/>
      <c r="H5" s="173"/>
      <c r="I5" s="173"/>
    </row>
    <row r="6" spans="1:40" x14ac:dyDescent="0.25">
      <c r="B6" s="172" t="s">
        <v>196</v>
      </c>
      <c r="C6" s="106">
        <v>1287</v>
      </c>
      <c r="D6" s="106">
        <v>6359</v>
      </c>
      <c r="E6" s="106">
        <v>12288</v>
      </c>
      <c r="F6" s="106">
        <v>59279</v>
      </c>
      <c r="G6" s="106">
        <v>94795</v>
      </c>
      <c r="H6" s="106">
        <v>27825</v>
      </c>
      <c r="I6" s="106">
        <v>16672</v>
      </c>
      <c r="AH6" s="106" t="b">
        <f>AND(COLUMNS($C6:C6)&gt;=_xlfn.XMATCH($C$13,$C$4:$I$4),COLUMNS($C6:C6)&lt;=_xlfn.XMATCH($C$14,$C$4:$I$4),ROWS(C$6:C6)=_xlfn.XMATCH($C$12,$B$6:$B$10))</f>
        <v>0</v>
      </c>
      <c r="AI6" s="106" t="b">
        <f>AND(COLUMNS($C6:D6)&gt;=_xlfn.XMATCH($C$13,$C$4:$I$4),COLUMNS($C6:D6)&lt;=_xlfn.XMATCH($C$14,$C$4:$I$4),ROWS(D$6:D6)=_xlfn.XMATCH($C$12,$B$6:$B$10))</f>
        <v>0</v>
      </c>
      <c r="AJ6" s="106" t="b">
        <f>AND(COLUMNS($C6:E6)&gt;=_xlfn.XMATCH($C$13,$C$4:$I$4),COLUMNS($C6:E6)&lt;=_xlfn.XMATCH($C$14,$C$4:$I$4),ROWS(E$6:E6)=_xlfn.XMATCH($C$12,$B$6:$B$10))</f>
        <v>0</v>
      </c>
      <c r="AK6" s="106" t="b">
        <f>AND(COLUMNS($C6:F6)&gt;=_xlfn.XMATCH($C$13,$C$4:$I$4),COLUMNS($C6:F6)&lt;=_xlfn.XMATCH($C$14,$C$4:$I$4),ROWS(F$6:F6)=_xlfn.XMATCH($C$12,$B$6:$B$10))</f>
        <v>0</v>
      </c>
      <c r="AL6" s="106" t="b">
        <f>AND(COLUMNS($C6:G6)&gt;=_xlfn.XMATCH($C$13,$C$4:$I$4),COLUMNS($C6:G6)&lt;=_xlfn.XMATCH($C$14,$C$4:$I$4),ROWS(G$6:G6)=_xlfn.XMATCH($C$12,$B$6:$B$10))</f>
        <v>0</v>
      </c>
      <c r="AM6" s="106" t="b">
        <f>AND(COLUMNS($C6:H6)&gt;=_xlfn.XMATCH($C$13,$C$4:$I$4),COLUMNS($C6:H6)&lt;=_xlfn.XMATCH($C$14,$C$4:$I$4),ROWS(H$6:H6)=_xlfn.XMATCH($C$12,$B$6:$B$10))</f>
        <v>0</v>
      </c>
      <c r="AN6" s="106" t="b">
        <f>AND(COLUMNS($C6:I6)&gt;=_xlfn.XMATCH($C$13,$C$4:$I$4),COLUMNS($C6:I6)&lt;=_xlfn.XMATCH($C$14,$C$4:$I$4),ROWS(I$6:I6)=_xlfn.XMATCH($C$12,$B$6:$B$10))</f>
        <v>0</v>
      </c>
    </row>
    <row r="7" spans="1:40" x14ac:dyDescent="0.25">
      <c r="B7" s="172" t="s">
        <v>192</v>
      </c>
      <c r="C7" s="106">
        <v>7429</v>
      </c>
      <c r="D7" s="106">
        <v>41435</v>
      </c>
      <c r="E7" s="106">
        <v>61666</v>
      </c>
      <c r="F7" s="106">
        <v>118149</v>
      </c>
      <c r="G7" s="106">
        <v>264856</v>
      </c>
      <c r="H7" s="106">
        <v>210497</v>
      </c>
      <c r="I7" s="106">
        <v>106540</v>
      </c>
      <c r="AH7" s="106" t="b">
        <f>AND(COLUMNS($C7:C7)&gt;=_xlfn.XMATCH($C$13,$C$4:$I$4),COLUMNS($C7:C7)&lt;=_xlfn.XMATCH($C$14,$C$4:$I$4),ROWS(C$6:C7)=_xlfn.XMATCH($C$12,$B$6:$B$10))</f>
        <v>0</v>
      </c>
      <c r="AI7" s="106" t="b">
        <f>AND(COLUMNS($C7:D7)&gt;=_xlfn.XMATCH($C$13,$C$4:$I$4),COLUMNS($C7:D7)&lt;=_xlfn.XMATCH($C$14,$C$4:$I$4),ROWS(D$6:D7)=_xlfn.XMATCH($C$12,$B$6:$B$10))</f>
        <v>0</v>
      </c>
      <c r="AJ7" s="106" t="b">
        <f>AND(COLUMNS($C7:E7)&gt;=_xlfn.XMATCH($C$13,$C$4:$I$4),COLUMNS($C7:E7)&lt;=_xlfn.XMATCH($C$14,$C$4:$I$4),ROWS(E$6:E7)=_xlfn.XMATCH($C$12,$B$6:$B$10))</f>
        <v>0</v>
      </c>
      <c r="AK7" s="106" t="b">
        <f>AND(COLUMNS($C7:F7)&gt;=_xlfn.XMATCH($C$13,$C$4:$I$4),COLUMNS($C7:F7)&lt;=_xlfn.XMATCH($C$14,$C$4:$I$4),ROWS(F$6:F7)=_xlfn.XMATCH($C$12,$B$6:$B$10))</f>
        <v>0</v>
      </c>
      <c r="AL7" s="106" t="b">
        <f>AND(COLUMNS($C7:G7)&gt;=_xlfn.XMATCH($C$13,$C$4:$I$4),COLUMNS($C7:G7)&lt;=_xlfn.XMATCH($C$14,$C$4:$I$4),ROWS(G$6:G7)=_xlfn.XMATCH($C$12,$B$6:$B$10))</f>
        <v>0</v>
      </c>
      <c r="AM7" s="106" t="b">
        <f>AND(COLUMNS($C7:H7)&gt;=_xlfn.XMATCH($C$13,$C$4:$I$4),COLUMNS($C7:H7)&lt;=_xlfn.XMATCH($C$14,$C$4:$I$4),ROWS(H$6:H7)=_xlfn.XMATCH($C$12,$B$6:$B$10))</f>
        <v>0</v>
      </c>
      <c r="AN7" s="106" t="b">
        <f>AND(COLUMNS($C7:I7)&gt;=_xlfn.XMATCH($C$13,$C$4:$I$4),COLUMNS($C7:I7)&lt;=_xlfn.XMATCH($C$14,$C$4:$I$4),ROWS(I$6:I7)=_xlfn.XMATCH($C$12,$B$6:$B$10))</f>
        <v>0</v>
      </c>
    </row>
    <row r="8" spans="1:40" x14ac:dyDescent="0.25">
      <c r="B8" s="172" t="s">
        <v>195</v>
      </c>
      <c r="C8" s="106">
        <v>1112</v>
      </c>
      <c r="D8" s="106">
        <v>3885</v>
      </c>
      <c r="E8" s="106">
        <v>3595</v>
      </c>
      <c r="F8" s="106">
        <v>9863</v>
      </c>
      <c r="G8" s="106">
        <v>29632</v>
      </c>
      <c r="H8" s="106">
        <v>21140</v>
      </c>
      <c r="I8" s="106">
        <v>10752</v>
      </c>
      <c r="AH8" s="106" t="b">
        <f>AND(COLUMNS($C8:C8)&gt;=_xlfn.XMATCH($C$13,$C$4:$I$4),COLUMNS($C8:C8)&lt;=_xlfn.XMATCH($C$14,$C$4:$I$4),ROWS(C$6:C8)=_xlfn.XMATCH($C$12,$B$6:$B$10))</f>
        <v>0</v>
      </c>
      <c r="AI8" s="106" t="b">
        <f>AND(COLUMNS($C8:D8)&gt;=_xlfn.XMATCH($C$13,$C$4:$I$4),COLUMNS($C8:D8)&lt;=_xlfn.XMATCH($C$14,$C$4:$I$4),ROWS(D$6:D8)=_xlfn.XMATCH($C$12,$B$6:$B$10))</f>
        <v>0</v>
      </c>
      <c r="AJ8" s="106" t="b">
        <f>AND(COLUMNS($C8:E8)&gt;=_xlfn.XMATCH($C$13,$C$4:$I$4),COLUMNS($C8:E8)&lt;=_xlfn.XMATCH($C$14,$C$4:$I$4),ROWS(E$6:E8)=_xlfn.XMATCH($C$12,$B$6:$B$10))</f>
        <v>1</v>
      </c>
      <c r="AK8" s="106" t="b">
        <f>AND(COLUMNS($C8:F8)&gt;=_xlfn.XMATCH($C$13,$C$4:$I$4),COLUMNS($C8:F8)&lt;=_xlfn.XMATCH($C$14,$C$4:$I$4),ROWS(F$6:F8)=_xlfn.XMATCH($C$12,$B$6:$B$10))</f>
        <v>1</v>
      </c>
      <c r="AL8" s="106" t="b">
        <f>AND(COLUMNS($C8:G8)&gt;=_xlfn.XMATCH($C$13,$C$4:$I$4),COLUMNS($C8:G8)&lt;=_xlfn.XMATCH($C$14,$C$4:$I$4),ROWS(G$6:G8)=_xlfn.XMATCH($C$12,$B$6:$B$10))</f>
        <v>1</v>
      </c>
      <c r="AM8" s="106" t="b">
        <f>AND(COLUMNS($C8:H8)&gt;=_xlfn.XMATCH($C$13,$C$4:$I$4),COLUMNS($C8:H8)&lt;=_xlfn.XMATCH($C$14,$C$4:$I$4),ROWS(H$6:H8)=_xlfn.XMATCH($C$12,$B$6:$B$10))</f>
        <v>1</v>
      </c>
      <c r="AN8" s="106" t="b">
        <f>AND(COLUMNS($C8:I8)&gt;=_xlfn.XMATCH($C$13,$C$4:$I$4),COLUMNS($C8:I8)&lt;=_xlfn.XMATCH($C$14,$C$4:$I$4),ROWS(I$6:I8)=_xlfn.XMATCH($C$12,$B$6:$B$10))</f>
        <v>0</v>
      </c>
    </row>
    <row r="9" spans="1:40" x14ac:dyDescent="0.25">
      <c r="B9" s="172" t="s">
        <v>194</v>
      </c>
      <c r="C9" s="106">
        <v>687</v>
      </c>
      <c r="D9" s="106">
        <v>1820</v>
      </c>
      <c r="E9" s="106">
        <v>1733</v>
      </c>
      <c r="F9" s="106">
        <v>4413</v>
      </c>
      <c r="G9" s="106">
        <v>9836</v>
      </c>
      <c r="H9" s="106">
        <v>8221</v>
      </c>
      <c r="I9" s="106">
        <v>6796</v>
      </c>
      <c r="AH9" s="106" t="b">
        <f>AND(COLUMNS($C9:C9)&gt;=_xlfn.XMATCH($C$13,$C$4:$I$4),COLUMNS($C9:C9)&lt;=_xlfn.XMATCH($C$14,$C$4:$I$4),ROWS(C$6:C9)=_xlfn.XMATCH($C$12,$B$6:$B$10))</f>
        <v>0</v>
      </c>
      <c r="AI9" s="106" t="b">
        <f>AND(COLUMNS($C9:D9)&gt;=_xlfn.XMATCH($C$13,$C$4:$I$4),COLUMNS($C9:D9)&lt;=_xlfn.XMATCH($C$14,$C$4:$I$4),ROWS(D$6:D9)=_xlfn.XMATCH($C$12,$B$6:$B$10))</f>
        <v>0</v>
      </c>
      <c r="AJ9" s="106" t="b">
        <f>AND(COLUMNS($C9:E9)&gt;=_xlfn.XMATCH($C$13,$C$4:$I$4),COLUMNS($C9:E9)&lt;=_xlfn.XMATCH($C$14,$C$4:$I$4),ROWS(E$6:E9)=_xlfn.XMATCH($C$12,$B$6:$B$10))</f>
        <v>0</v>
      </c>
      <c r="AK9" s="106" t="b">
        <f>AND(COLUMNS($C9:F9)&gt;=_xlfn.XMATCH($C$13,$C$4:$I$4),COLUMNS($C9:F9)&lt;=_xlfn.XMATCH($C$14,$C$4:$I$4),ROWS(F$6:F9)=_xlfn.XMATCH($C$12,$B$6:$B$10))</f>
        <v>0</v>
      </c>
      <c r="AL9" s="106" t="b">
        <f>AND(COLUMNS($C9:G9)&gt;=_xlfn.XMATCH($C$13,$C$4:$I$4),COLUMNS($C9:G9)&lt;=_xlfn.XMATCH($C$14,$C$4:$I$4),ROWS(G$6:G9)=_xlfn.XMATCH($C$12,$B$6:$B$10))</f>
        <v>0</v>
      </c>
      <c r="AM9" s="106" t="b">
        <f>AND(COLUMNS($C9:H9)&gt;=_xlfn.XMATCH($C$13,$C$4:$I$4),COLUMNS($C9:H9)&lt;=_xlfn.XMATCH($C$14,$C$4:$I$4),ROWS(H$6:H9)=_xlfn.XMATCH($C$12,$B$6:$B$10))</f>
        <v>0</v>
      </c>
      <c r="AN9" s="106" t="b">
        <f>AND(COLUMNS($C9:I9)&gt;=_xlfn.XMATCH($C$13,$C$4:$I$4),COLUMNS($C9:I9)&lt;=_xlfn.XMATCH($C$14,$C$4:$I$4),ROWS(I$6:I9)=_xlfn.XMATCH($C$12,$B$6:$B$10))</f>
        <v>0</v>
      </c>
    </row>
    <row r="10" spans="1:40" x14ac:dyDescent="0.25">
      <c r="B10" s="172" t="s">
        <v>193</v>
      </c>
      <c r="C10" s="106">
        <v>6931</v>
      </c>
      <c r="D10" s="106">
        <v>8670</v>
      </c>
      <c r="E10" s="106">
        <v>7259</v>
      </c>
      <c r="F10" s="106">
        <v>13564</v>
      </c>
      <c r="G10" s="106">
        <v>23508</v>
      </c>
      <c r="H10" s="106">
        <v>14370</v>
      </c>
      <c r="I10" s="106">
        <v>12722</v>
      </c>
      <c r="AH10" s="106" t="b">
        <f>AND(COLUMNS($C10:C10)&gt;=_xlfn.XMATCH($C$13,$C$4:$I$4),COLUMNS($C10:C10)&lt;=_xlfn.XMATCH($C$14,$C$4:$I$4),ROWS(C$6:C10)=_xlfn.XMATCH($C$12,$B$6:$B$10))</f>
        <v>0</v>
      </c>
      <c r="AI10" s="106" t="b">
        <f>AND(COLUMNS($C10:D10)&gt;=_xlfn.XMATCH($C$13,$C$4:$I$4),COLUMNS($C10:D10)&lt;=_xlfn.XMATCH($C$14,$C$4:$I$4),ROWS(D$6:D10)=_xlfn.XMATCH($C$12,$B$6:$B$10))</f>
        <v>0</v>
      </c>
      <c r="AJ10" s="106" t="b">
        <f>AND(COLUMNS($C10:E10)&gt;=_xlfn.XMATCH($C$13,$C$4:$I$4),COLUMNS($C10:E10)&lt;=_xlfn.XMATCH($C$14,$C$4:$I$4),ROWS(E$6:E10)=_xlfn.XMATCH($C$12,$B$6:$B$10))</f>
        <v>0</v>
      </c>
      <c r="AK10" s="106" t="b">
        <f>AND(COLUMNS($C10:F10)&gt;=_xlfn.XMATCH($C$13,$C$4:$I$4),COLUMNS($C10:F10)&lt;=_xlfn.XMATCH($C$14,$C$4:$I$4),ROWS(F$6:F10)=_xlfn.XMATCH($C$12,$B$6:$B$10))</f>
        <v>0</v>
      </c>
      <c r="AL10" s="106" t="b">
        <f>AND(COLUMNS($C10:G10)&gt;=_xlfn.XMATCH($C$13,$C$4:$I$4),COLUMNS($C10:G10)&lt;=_xlfn.XMATCH($C$14,$C$4:$I$4),ROWS(G$6:G10)=_xlfn.XMATCH($C$12,$B$6:$B$10))</f>
        <v>0</v>
      </c>
      <c r="AM10" s="106" t="b">
        <f>AND(COLUMNS($C10:H10)&gt;=_xlfn.XMATCH($C$13,$C$4:$I$4),COLUMNS($C10:H10)&lt;=_xlfn.XMATCH($C$14,$C$4:$I$4),ROWS(H$6:H10)=_xlfn.XMATCH($C$12,$B$6:$B$10))</f>
        <v>0</v>
      </c>
      <c r="AN10" s="106" t="b">
        <f>AND(COLUMNS($C10:I10)&gt;=_xlfn.XMATCH($C$13,$C$4:$I$4),COLUMNS($C10:I10)&lt;=_xlfn.XMATCH($C$14,$C$4:$I$4),ROWS(I$6:I10)=_xlfn.XMATCH($C$12,$B$6:$B$10))</f>
        <v>0</v>
      </c>
    </row>
    <row r="11" spans="1:40" ht="3.75" customHeight="1" x14ac:dyDescent="0.25"/>
    <row r="12" spans="1:40" x14ac:dyDescent="0.25">
      <c r="B12" s="125" t="s">
        <v>200</v>
      </c>
      <c r="C12" s="5" t="s">
        <v>195</v>
      </c>
    </row>
    <row r="13" spans="1:40" x14ac:dyDescent="0.25">
      <c r="B13" s="125" t="s">
        <v>197</v>
      </c>
      <c r="C13" s="5" t="s">
        <v>189</v>
      </c>
    </row>
    <row r="14" spans="1:40" x14ac:dyDescent="0.25">
      <c r="B14" s="125" t="s">
        <v>198</v>
      </c>
      <c r="C14" s="5" t="s">
        <v>210</v>
      </c>
    </row>
    <row r="15" spans="1:40" x14ac:dyDescent="0.25">
      <c r="B15" s="6" t="s">
        <v>199</v>
      </c>
      <c r="C15" s="116">
        <f>SUM(_xlfn.XLOOKUP(C12,B6:B10,_xlfn.XLOOKUP(C13,C4:I4,C6:I6):_xlfn.XLOOKUP(C14,C4:I4,C10:I10)))</f>
        <v>64230</v>
      </c>
    </row>
    <row r="16" spans="1:40" ht="3.75" customHeight="1" x14ac:dyDescent="0.25"/>
    <row r="17" spans="2:11" x14ac:dyDescent="0.25">
      <c r="B17" s="4" t="str">
        <f>"Formula in "&amp;ADDRESS(ROW(C15),COLUMN(C15),4)&amp;":"</f>
        <v>Formula in C15:</v>
      </c>
    </row>
    <row r="18" spans="2:11" ht="17.25" x14ac:dyDescent="0.3">
      <c r="B18" s="170" t="str">
        <f ca="1">_xlfn.IFNA(_xlfn.FORMULATEXT(C15),"")</f>
        <v>=SUM(XLOOKUP(C12,B6:B10,XLOOKUP(C13,C4:I4,C6:I6):XLOOKUP(C14,C4:I4,C10:I10)))</v>
      </c>
    </row>
    <row r="19" spans="2:11" x14ac:dyDescent="0.25">
      <c r="B19" s="175"/>
      <c r="C19" s="168"/>
      <c r="D19" s="168"/>
      <c r="E19" s="168"/>
      <c r="F19" s="168"/>
      <c r="G19" s="168"/>
      <c r="H19" s="168"/>
      <c r="I19" s="168"/>
      <c r="J19" s="168"/>
      <c r="K19" s="176"/>
    </row>
    <row r="20" spans="2:11" x14ac:dyDescent="0.25">
      <c r="B20" s="177"/>
      <c r="C20" s="169"/>
      <c r="D20" s="169"/>
      <c r="E20" s="169"/>
      <c r="F20" s="169"/>
      <c r="G20" s="169"/>
      <c r="H20" s="169"/>
      <c r="I20" s="169"/>
      <c r="J20" s="169"/>
      <c r="K20" s="178"/>
    </row>
    <row r="21" spans="2:11" ht="28.5" customHeight="1" x14ac:dyDescent="0.25">
      <c r="B21" s="179"/>
      <c r="C21" s="152"/>
      <c r="D21" s="152"/>
      <c r="E21" s="152"/>
      <c r="F21" s="152"/>
      <c r="G21" s="152"/>
      <c r="H21" s="152"/>
      <c r="I21" s="152"/>
      <c r="J21" s="152"/>
      <c r="K21" s="180"/>
    </row>
    <row r="22" spans="2:11" x14ac:dyDescent="0.25">
      <c r="B22" s="145" t="s">
        <v>217</v>
      </c>
      <c r="C22" s="146"/>
      <c r="D22" s="146"/>
      <c r="E22" s="146"/>
      <c r="F22" s="146"/>
      <c r="G22" s="146"/>
      <c r="H22" s="146"/>
      <c r="I22" s="146"/>
      <c r="J22" s="146"/>
      <c r="K22" s="147"/>
    </row>
    <row r="23" spans="2:11" x14ac:dyDescent="0.25">
      <c r="B23" s="174" t="s">
        <v>204</v>
      </c>
      <c r="C23" s="149"/>
      <c r="D23" s="149"/>
      <c r="E23" s="149"/>
      <c r="F23" s="149"/>
      <c r="G23" s="149"/>
      <c r="H23" s="149"/>
      <c r="I23" s="149"/>
      <c r="J23" s="149"/>
      <c r="K23" s="150"/>
    </row>
    <row r="24" spans="2:11" ht="21" x14ac:dyDescent="0.35">
      <c r="B24" s="151" t="s">
        <v>205</v>
      </c>
      <c r="C24" s="152"/>
      <c r="D24" s="152"/>
      <c r="E24" s="152"/>
      <c r="F24" s="152"/>
      <c r="G24" s="152"/>
      <c r="H24" s="152"/>
      <c r="I24" s="152"/>
      <c r="J24" s="152"/>
      <c r="K24" s="153"/>
    </row>
    <row r="25" spans="2:11" x14ac:dyDescent="0.25">
      <c r="B25" s="154" t="s">
        <v>206</v>
      </c>
      <c r="C25" s="149"/>
      <c r="D25" s="149"/>
      <c r="E25" s="149"/>
      <c r="F25" s="149"/>
      <c r="G25" s="149"/>
      <c r="H25" s="149"/>
      <c r="I25" s="149"/>
      <c r="J25" s="149"/>
      <c r="K25" s="150"/>
    </row>
    <row r="26" spans="2:11" x14ac:dyDescent="0.25">
      <c r="B26" s="267" t="s">
        <v>203</v>
      </c>
      <c r="C26" s="268"/>
      <c r="D26" s="268"/>
      <c r="E26" s="268"/>
      <c r="F26" s="268"/>
      <c r="G26" s="268"/>
      <c r="H26" s="268"/>
      <c r="I26" s="268"/>
      <c r="J26" s="268"/>
      <c r="K26" s="269"/>
    </row>
    <row r="27" spans="2:11" x14ac:dyDescent="0.25">
      <c r="B27" s="156" t="s">
        <v>213</v>
      </c>
      <c r="C27" s="149"/>
      <c r="D27" s="149"/>
      <c r="E27" s="149"/>
      <c r="F27" s="149"/>
      <c r="G27" s="149"/>
      <c r="H27" s="149"/>
      <c r="I27" s="149"/>
      <c r="J27" s="149"/>
      <c r="K27" s="150"/>
    </row>
    <row r="28" spans="2:11" x14ac:dyDescent="0.25">
      <c r="B28" s="163" t="s">
        <v>214</v>
      </c>
      <c r="C28" s="152"/>
      <c r="D28" s="152"/>
      <c r="E28" s="152"/>
      <c r="F28" s="152"/>
      <c r="G28" s="152"/>
      <c r="H28" s="152"/>
      <c r="I28" s="152"/>
      <c r="J28" s="152"/>
      <c r="K28" s="153"/>
    </row>
    <row r="29" spans="2:11" x14ac:dyDescent="0.25">
      <c r="B29" s="164" t="s">
        <v>215</v>
      </c>
      <c r="C29" s="165"/>
      <c r="D29" s="165"/>
      <c r="E29" s="165"/>
      <c r="F29" s="165"/>
      <c r="G29" s="165"/>
      <c r="H29" s="165"/>
      <c r="I29" s="165"/>
      <c r="J29" s="165"/>
      <c r="K29" s="166"/>
    </row>
  </sheetData>
  <mergeCells count="1">
    <mergeCell ref="B26:K26"/>
  </mergeCells>
  <conditionalFormatting sqref="C6:I10">
    <cfRule type="expression" dxfId="78" priority="1">
      <formula>AND(COLUMNS($C6:C6)&gt;=_xlfn.XMATCH($C$13,$C$4:$I$4),COLUMNS($C6:C6)&lt;=_xlfn.XMATCH($C$14,$C$4:$I$4),ROWS(C$6:C6)=_xlfn.XMATCH($C$12,$B$6:$B$10))</formula>
    </cfRule>
  </conditionalFormatting>
  <dataValidations count="2">
    <dataValidation type="list" allowBlank="1" showInputMessage="1" showErrorMessage="1" sqref="C12" xr:uid="{3B5E1317-3FF0-42F2-8115-CA80ABA3146A}">
      <formula1>$B$6:$B$10</formula1>
    </dataValidation>
    <dataValidation type="list" allowBlank="1" showInputMessage="1" showErrorMessage="1" sqref="C13:C14" xr:uid="{86592F50-8987-422C-82C7-E4343C8C6EE5}">
      <formula1>$C$4:$I$4</formula1>
    </dataValidation>
  </dataValidations>
  <pageMargins left="0.7" right="0.7" top="0.75" bottom="0.75" header="0.3" footer="0.3"/>
  <pageSetup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2704-6F88-4CB1-95DB-AF31C89B517E}">
  <sheetPr codeName="Sheet44">
    <tabColor rgb="FF0000FF"/>
  </sheetPr>
  <dimension ref="A1:D12"/>
  <sheetViews>
    <sheetView zoomScale="130" zoomScaleNormal="130" workbookViewId="0"/>
  </sheetViews>
  <sheetFormatPr defaultColWidth="8.85546875" defaultRowHeight="15" x14ac:dyDescent="0.25"/>
  <cols>
    <col min="1" max="1" width="4.140625" bestFit="1" customWidth="1"/>
    <col min="2" max="4" width="11.7109375" customWidth="1"/>
  </cols>
  <sheetData>
    <row r="1" spans="1:4" ht="5.25" customHeight="1" x14ac:dyDescent="0.25"/>
    <row r="2" spans="1:4" x14ac:dyDescent="0.25">
      <c r="A2" s="4" t="s">
        <v>207</v>
      </c>
      <c r="B2" s="4" t="s">
        <v>221</v>
      </c>
    </row>
    <row r="3" spans="1:4" x14ac:dyDescent="0.25">
      <c r="A3" s="4" t="s">
        <v>233</v>
      </c>
      <c r="B3" t="s">
        <v>222</v>
      </c>
    </row>
    <row r="4" spans="1:4" ht="5.25" customHeight="1" x14ac:dyDescent="0.25"/>
    <row r="5" spans="1:4" ht="30" x14ac:dyDescent="0.25">
      <c r="B5" s="124" t="s">
        <v>160</v>
      </c>
      <c r="C5" s="6" t="s">
        <v>9</v>
      </c>
      <c r="D5" s="6" t="s">
        <v>218</v>
      </c>
    </row>
    <row r="6" spans="1:4" ht="50.25" customHeight="1" x14ac:dyDescent="0.25">
      <c r="B6" s="5" t="s">
        <v>10</v>
      </c>
      <c r="C6" s="7">
        <f>_xlfn.XLOOKUP(B6,B9:B12,C9:C12)</f>
        <v>43.95</v>
      </c>
      <c r="D6" s="5"/>
    </row>
    <row r="8" spans="1:4" ht="30" x14ac:dyDescent="0.25">
      <c r="B8" s="124" t="s">
        <v>160</v>
      </c>
      <c r="C8" s="6" t="s">
        <v>9</v>
      </c>
      <c r="D8" s="6" t="s">
        <v>218</v>
      </c>
    </row>
    <row r="9" spans="1:4" ht="50.25" customHeight="1" x14ac:dyDescent="0.25">
      <c r="B9" s="5" t="s">
        <v>11</v>
      </c>
      <c r="C9" s="5">
        <v>26.95</v>
      </c>
      <c r="D9" s="5"/>
    </row>
    <row r="10" spans="1:4" ht="50.25" customHeight="1" x14ac:dyDescent="0.25">
      <c r="B10" s="5" t="s">
        <v>219</v>
      </c>
      <c r="C10" s="5">
        <v>12.95</v>
      </c>
      <c r="D10" s="5"/>
    </row>
    <row r="11" spans="1:4" ht="50.25" customHeight="1" x14ac:dyDescent="0.25">
      <c r="B11" s="5" t="s">
        <v>10</v>
      </c>
      <c r="C11" s="5">
        <v>43.95</v>
      </c>
      <c r="D11" s="5"/>
    </row>
    <row r="12" spans="1:4" ht="50.25" customHeight="1" x14ac:dyDescent="0.25">
      <c r="B12" s="5" t="s">
        <v>220</v>
      </c>
      <c r="C12" s="5">
        <v>37.950000000000003</v>
      </c>
      <c r="D12" s="5"/>
    </row>
  </sheetData>
  <dataValidations count="1">
    <dataValidation type="list" allowBlank="1" showInputMessage="1" showErrorMessage="1" sqref="B6" xr:uid="{26CD9277-72B2-43F5-9D05-21100A0C45F5}">
      <formula1>$B$9:$B$12</formula1>
    </dataValidation>
  </dataValidation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2D6C-2540-4BED-B95E-98846FB52F56}">
  <sheetPr codeName="Sheet45">
    <tabColor rgb="FFFF0000"/>
  </sheetPr>
  <dimension ref="A1:K12"/>
  <sheetViews>
    <sheetView zoomScale="130" zoomScaleNormal="130" workbookViewId="0"/>
  </sheetViews>
  <sheetFormatPr defaultColWidth="8.85546875" defaultRowHeight="15" x14ac:dyDescent="0.25"/>
  <cols>
    <col min="1" max="1" width="4.140625" bestFit="1" customWidth="1"/>
    <col min="2" max="4" width="11.7109375" customWidth="1"/>
  </cols>
  <sheetData>
    <row r="1" spans="1:11" ht="5.25" customHeight="1" x14ac:dyDescent="0.25"/>
    <row r="2" spans="1:11" x14ac:dyDescent="0.25">
      <c r="A2" s="4" t="s">
        <v>207</v>
      </c>
      <c r="B2" s="4" t="s">
        <v>221</v>
      </c>
    </row>
    <row r="3" spans="1:11" x14ac:dyDescent="0.25">
      <c r="A3" s="4" t="s">
        <v>233</v>
      </c>
      <c r="B3" t="s">
        <v>222</v>
      </c>
    </row>
    <row r="4" spans="1:11" ht="5.25" customHeight="1" x14ac:dyDescent="0.25"/>
    <row r="5" spans="1:11" ht="30" x14ac:dyDescent="0.25">
      <c r="B5" s="124" t="s">
        <v>160</v>
      </c>
      <c r="C5" s="6" t="s">
        <v>9</v>
      </c>
      <c r="D5" s="6" t="s">
        <v>218</v>
      </c>
    </row>
    <row r="6" spans="1:11" ht="50.25" customHeight="1" x14ac:dyDescent="0.25">
      <c r="B6" s="5" t="s">
        <v>10</v>
      </c>
      <c r="C6" s="7">
        <f>_xlfn.XLOOKUP(B6,B9:B12,C9:C12)</f>
        <v>43.95</v>
      </c>
      <c r="D6" s="5"/>
    </row>
    <row r="8" spans="1:11" ht="30" x14ac:dyDescent="0.25">
      <c r="B8" s="124" t="s">
        <v>160</v>
      </c>
      <c r="C8" s="6" t="s">
        <v>9</v>
      </c>
      <c r="D8" s="6" t="s">
        <v>218</v>
      </c>
      <c r="J8" t="s">
        <v>223</v>
      </c>
      <c r="K8" t="s">
        <v>224</v>
      </c>
    </row>
    <row r="9" spans="1:11" ht="50.25" customHeight="1" x14ac:dyDescent="0.25">
      <c r="B9" s="5" t="s">
        <v>11</v>
      </c>
      <c r="C9" s="5">
        <v>26.95</v>
      </c>
      <c r="D9" s="5"/>
      <c r="J9" t="str">
        <f>J8&amp;" "&amp;K8</f>
        <v>LookupPicture =XLOOKUP('Ch14(38-40)'!$B$6,'Ch14(38-40)'!$B$9:$B$12,'Ch14(38-40)'!$D$9:$D$12)</v>
      </c>
    </row>
    <row r="10" spans="1:11" ht="50.25" customHeight="1" x14ac:dyDescent="0.25">
      <c r="B10" s="5" t="s">
        <v>219</v>
      </c>
      <c r="C10" s="5">
        <v>12.95</v>
      </c>
      <c r="D10" s="5"/>
    </row>
    <row r="11" spans="1:11" ht="50.25" customHeight="1" x14ac:dyDescent="0.25">
      <c r="B11" s="5" t="s">
        <v>10</v>
      </c>
      <c r="C11" s="5">
        <v>43.95</v>
      </c>
      <c r="D11" s="5"/>
    </row>
    <row r="12" spans="1:11" ht="50.25" customHeight="1" x14ac:dyDescent="0.25">
      <c r="B12" s="5" t="s">
        <v>220</v>
      </c>
      <c r="C12" s="5">
        <v>37.950000000000003</v>
      </c>
      <c r="D12" s="5"/>
    </row>
  </sheetData>
  <dataValidations count="1">
    <dataValidation type="list" allowBlank="1" showInputMessage="1" showErrorMessage="1" sqref="B6" xr:uid="{49B42499-358B-4211-8CC3-28382445D21E}">
      <formula1>$B$9:$B$12</formula1>
    </dataValidation>
  </dataValidations>
  <pageMargins left="0.7" right="0.7" top="0.75" bottom="0.75" header="0.3" footer="0.3"/>
  <pageSetup orientation="portrait" horizontalDpi="200" verticalDpi="200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903-3855-473F-88DA-E24DEC2E6A22}">
  <sheetPr codeName="Sheet46">
    <tabColor rgb="FFFFFF00"/>
  </sheetPr>
  <dimension ref="B1:X16"/>
  <sheetViews>
    <sheetView showGridLines="0" zoomScaleNormal="100" workbookViewId="0"/>
  </sheetViews>
  <sheetFormatPr defaultColWidth="8.85546875" defaultRowHeight="15" x14ac:dyDescent="0.25"/>
  <cols>
    <col min="1" max="1" width="1.7109375" customWidth="1"/>
    <col min="15" max="15" width="3" customWidth="1"/>
    <col min="17" max="17" width="2.42578125" customWidth="1"/>
    <col min="20" max="20" width="11.140625" customWidth="1"/>
    <col min="24" max="24" width="29.140625" customWidth="1"/>
  </cols>
  <sheetData>
    <row r="1" spans="2:24" ht="15.75" thickBot="1" x14ac:dyDescent="0.3"/>
    <row r="2" spans="2:24" ht="19.5" thickBot="1" x14ac:dyDescent="0.35">
      <c r="B2" s="8"/>
      <c r="C2" s="10">
        <v>1</v>
      </c>
      <c r="D2" s="9"/>
      <c r="E2" s="9"/>
      <c r="F2" s="9"/>
      <c r="G2" s="11">
        <v>2</v>
      </c>
      <c r="H2" s="9"/>
      <c r="I2" s="9"/>
      <c r="J2" s="12">
        <v>3</v>
      </c>
      <c r="K2" s="9"/>
      <c r="L2" s="9"/>
      <c r="M2" s="13">
        <v>4</v>
      </c>
      <c r="N2" s="9"/>
      <c r="O2" s="14"/>
    </row>
    <row r="3" spans="2:24" ht="24.75" thickBot="1" x14ac:dyDescent="0.45">
      <c r="B3" s="204" t="s">
        <v>248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2:24" ht="34.5" customHeight="1" x14ac:dyDescent="0.4">
      <c r="B4" s="18">
        <v>1</v>
      </c>
      <c r="C4" s="185" t="s">
        <v>249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7"/>
    </row>
    <row r="5" spans="2:24" ht="58.5" customHeight="1" x14ac:dyDescent="0.25">
      <c r="B5" s="181">
        <v>2</v>
      </c>
      <c r="C5" s="270" t="s">
        <v>250</v>
      </c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2"/>
    </row>
    <row r="6" spans="2:24" ht="34.5" customHeight="1" x14ac:dyDescent="0.3">
      <c r="B6" s="19">
        <v>3</v>
      </c>
      <c r="C6" s="188" t="s">
        <v>251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7"/>
    </row>
    <row r="7" spans="2:24" ht="34.5" customHeight="1" thickBot="1" x14ac:dyDescent="0.35">
      <c r="B7" s="23">
        <v>4</v>
      </c>
      <c r="C7" s="189" t="s">
        <v>252</v>
      </c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1"/>
    </row>
    <row r="15" spans="2:24" ht="15.75" thickBot="1" x14ac:dyDescent="0.3"/>
    <row r="16" spans="2:24" ht="20.25" thickBot="1" x14ac:dyDescent="0.35">
      <c r="R16" s="201" t="s">
        <v>280</v>
      </c>
      <c r="S16" s="202"/>
      <c r="T16" s="202"/>
      <c r="U16" s="202"/>
      <c r="V16" s="202"/>
      <c r="W16" s="202"/>
      <c r="X16" s="203"/>
    </row>
  </sheetData>
  <mergeCells count="1">
    <mergeCell ref="C5:O5"/>
  </mergeCells>
  <pageMargins left="0.7" right="0.7" top="0.75" bottom="0.75" header="0.3" footer="0.3"/>
  <pageSetup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7802-9B35-42D3-908F-0BA4E55944E1}">
  <sheetPr codeName="Sheet47">
    <tabColor rgb="FF0000FF"/>
  </sheetPr>
  <dimension ref="A1:E11"/>
  <sheetViews>
    <sheetView zoomScale="115" zoomScaleNormal="115" workbookViewId="0"/>
  </sheetViews>
  <sheetFormatPr defaultColWidth="8.85546875" defaultRowHeight="15" x14ac:dyDescent="0.25"/>
  <cols>
    <col min="1" max="1" width="4.140625" bestFit="1" customWidth="1"/>
    <col min="2" max="2" width="17.42578125" customWidth="1"/>
    <col min="4" max="4" width="2.28515625" customWidth="1"/>
    <col min="5" max="5" width="23.42578125" bestFit="1" customWidth="1"/>
  </cols>
  <sheetData>
    <row r="1" spans="1:5" ht="5.25" customHeight="1" x14ac:dyDescent="0.25"/>
    <row r="2" spans="1:5" x14ac:dyDescent="0.25">
      <c r="A2" s="4" t="s">
        <v>207</v>
      </c>
      <c r="B2" s="4" t="s">
        <v>287</v>
      </c>
    </row>
    <row r="3" spans="1:5" x14ac:dyDescent="0.25">
      <c r="A3" s="4" t="s">
        <v>232</v>
      </c>
    </row>
    <row r="4" spans="1:5" x14ac:dyDescent="0.25">
      <c r="B4" s="125" t="s">
        <v>234</v>
      </c>
      <c r="C4" s="5" t="s">
        <v>91</v>
      </c>
      <c r="E4" s="4" t="str">
        <f>"Formula in "&amp;ADDRESS(ROW(C5),COLUMN(C5),4)&amp;":"</f>
        <v>Formula in C5:</v>
      </c>
    </row>
    <row r="5" spans="1:5" ht="17.25" x14ac:dyDescent="0.3">
      <c r="B5" s="6" t="s">
        <v>226</v>
      </c>
      <c r="C5" s="7"/>
      <c r="E5" s="170" t="str">
        <f ca="1">_xlfn.IFNA(_xlfn.FORMULATEXT(C5),"")</f>
        <v/>
      </c>
    </row>
    <row r="7" spans="1:5" x14ac:dyDescent="0.25">
      <c r="B7" s="110" t="s">
        <v>225</v>
      </c>
    </row>
    <row r="8" spans="1:5" x14ac:dyDescent="0.25">
      <c r="B8" s="5" t="s">
        <v>122</v>
      </c>
    </row>
    <row r="9" spans="1:5" x14ac:dyDescent="0.25">
      <c r="B9" s="5" t="s">
        <v>90</v>
      </c>
    </row>
    <row r="10" spans="1:5" x14ac:dyDescent="0.25">
      <c r="B10" s="5" t="s">
        <v>91</v>
      </c>
    </row>
    <row r="11" spans="1:5" x14ac:dyDescent="0.25">
      <c r="B11" s="5" t="s">
        <v>92</v>
      </c>
    </row>
  </sheetData>
  <conditionalFormatting sqref="B8:B11">
    <cfRule type="expression" dxfId="77" priority="1">
      <formula>B8=$C$4</formula>
    </cfRule>
  </conditionalFormatting>
  <dataValidations count="1">
    <dataValidation type="list" allowBlank="1" showInputMessage="1" showErrorMessage="1" sqref="C4" xr:uid="{3B915CDD-42E5-4664-B999-A1F4141C43C5}">
      <formula1>$B$8:$B$11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A3B5-AB64-4EFC-B218-D28112AC7AA7}">
  <sheetPr codeName="Sheet48">
    <tabColor rgb="FFFF0000"/>
  </sheetPr>
  <dimension ref="A1:E11"/>
  <sheetViews>
    <sheetView zoomScale="115" zoomScaleNormal="115" workbookViewId="0"/>
  </sheetViews>
  <sheetFormatPr defaultColWidth="8.85546875" defaultRowHeight="15" x14ac:dyDescent="0.25"/>
  <cols>
    <col min="1" max="1" width="4.140625" bestFit="1" customWidth="1"/>
    <col min="2" max="2" width="17.42578125" customWidth="1"/>
    <col min="4" max="4" width="2.28515625" customWidth="1"/>
    <col min="5" max="5" width="23.42578125" bestFit="1" customWidth="1"/>
  </cols>
  <sheetData>
    <row r="1" spans="1:5" ht="5.25" customHeight="1" x14ac:dyDescent="0.25"/>
    <row r="2" spans="1:5" x14ac:dyDescent="0.25">
      <c r="A2" s="4" t="s">
        <v>207</v>
      </c>
      <c r="B2" s="4" t="s">
        <v>287</v>
      </c>
    </row>
    <row r="3" spans="1:5" x14ac:dyDescent="0.25">
      <c r="A3" s="4" t="s">
        <v>232</v>
      </c>
    </row>
    <row r="4" spans="1:5" x14ac:dyDescent="0.25">
      <c r="B4" s="125" t="s">
        <v>234</v>
      </c>
      <c r="C4" s="5" t="s">
        <v>91</v>
      </c>
      <c r="E4" s="4" t="str">
        <f>"Formula in "&amp;ADDRESS(ROW(C5),COLUMN(C5),4)&amp;":"</f>
        <v>Formula in C5:</v>
      </c>
    </row>
    <row r="5" spans="1:5" ht="17.25" x14ac:dyDescent="0.3">
      <c r="B5" s="6" t="s">
        <v>226</v>
      </c>
      <c r="C5" s="7">
        <f>_xlfn.XMATCH(C4,B8:B11)</f>
        <v>3</v>
      </c>
      <c r="E5" s="170" t="str">
        <f ca="1">_xlfn.IFNA(_xlfn.FORMULATEXT(C5),"")</f>
        <v>=XMATCH(C4,B8:B11)</v>
      </c>
    </row>
    <row r="7" spans="1:5" x14ac:dyDescent="0.25">
      <c r="B7" s="110" t="s">
        <v>225</v>
      </c>
    </row>
    <row r="8" spans="1:5" x14ac:dyDescent="0.25">
      <c r="B8" s="5" t="s">
        <v>122</v>
      </c>
    </row>
    <row r="9" spans="1:5" x14ac:dyDescent="0.25">
      <c r="B9" s="5" t="s">
        <v>90</v>
      </c>
    </row>
    <row r="10" spans="1:5" x14ac:dyDescent="0.25">
      <c r="B10" s="5" t="s">
        <v>91</v>
      </c>
    </row>
    <row r="11" spans="1:5" x14ac:dyDescent="0.25">
      <c r="B11" s="5" t="s">
        <v>92</v>
      </c>
    </row>
  </sheetData>
  <conditionalFormatting sqref="B8:B11">
    <cfRule type="expression" dxfId="76" priority="1">
      <formula>B8=$C$4</formula>
    </cfRule>
  </conditionalFormatting>
  <dataValidations count="1">
    <dataValidation type="list" allowBlank="1" showInputMessage="1" showErrorMessage="1" sqref="C4" xr:uid="{6B94F92D-148D-4432-83FD-074199C8B1E2}">
      <formula1>$B$8:$B$11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3B11-C462-403F-A59E-8EB992E6B5E9}">
  <sheetPr codeName="Sheet49">
    <tabColor rgb="FF0000FF"/>
  </sheetPr>
  <dimension ref="A1:G12"/>
  <sheetViews>
    <sheetView zoomScaleNormal="100" workbookViewId="0"/>
  </sheetViews>
  <sheetFormatPr defaultColWidth="8.85546875" defaultRowHeight="15" x14ac:dyDescent="0.25"/>
  <cols>
    <col min="1" max="1" width="4" bestFit="1" customWidth="1"/>
    <col min="2" max="2" width="17.7109375" customWidth="1"/>
    <col min="3" max="3" width="1.42578125" customWidth="1"/>
    <col min="4" max="4" width="18.28515625" customWidth="1"/>
    <col min="6" max="6" width="1.42578125" customWidth="1"/>
  </cols>
  <sheetData>
    <row r="1" spans="1:7" ht="3.75" customHeight="1" x14ac:dyDescent="0.25"/>
    <row r="2" spans="1:7" x14ac:dyDescent="0.25">
      <c r="A2" s="4" t="s">
        <v>207</v>
      </c>
      <c r="B2" s="4" t="s">
        <v>236</v>
      </c>
    </row>
    <row r="3" spans="1:7" x14ac:dyDescent="0.25">
      <c r="A3" s="4" t="s">
        <v>235</v>
      </c>
    </row>
    <row r="4" spans="1:7" ht="3.75" customHeight="1" x14ac:dyDescent="0.25"/>
    <row r="5" spans="1:7" x14ac:dyDescent="0.25">
      <c r="B5" t="s">
        <v>238</v>
      </c>
      <c r="D5" t="s">
        <v>237</v>
      </c>
    </row>
    <row r="6" spans="1:7" ht="3.75" customHeight="1" x14ac:dyDescent="0.25"/>
    <row r="7" spans="1:7" x14ac:dyDescent="0.25">
      <c r="B7" s="110" t="s">
        <v>227</v>
      </c>
      <c r="D7" s="110" t="s">
        <v>228</v>
      </c>
      <c r="E7" s="110" t="s">
        <v>231</v>
      </c>
      <c r="G7" s="4" t="str">
        <f>"Formula in "&amp;ADDRESS(ROW(E8),COLUMN(E8),4)&amp;":"</f>
        <v>Formula in E8:</v>
      </c>
    </row>
    <row r="8" spans="1:7" x14ac:dyDescent="0.25">
      <c r="B8" s="5" t="s">
        <v>122</v>
      </c>
      <c r="D8" s="5" t="s">
        <v>229</v>
      </c>
      <c r="E8" s="5" t="b">
        <f>ISNUMBER(_xlfn.XMATCH(D8,$B$8:$B$11))</f>
        <v>0</v>
      </c>
      <c r="G8" s="74" t="str">
        <f ca="1">_xlfn.IFNA(_xlfn.FORMULATEXT(E8),"")</f>
        <v>=ISNUMBER(XMATCH(D8,$B$8:$B$11))</v>
      </c>
    </row>
    <row r="9" spans="1:7" x14ac:dyDescent="0.25">
      <c r="B9" s="5" t="s">
        <v>90</v>
      </c>
      <c r="D9" s="5" t="s">
        <v>90</v>
      </c>
      <c r="E9" s="5" t="b">
        <f t="shared" ref="E9:E12" si="0">ISNUMBER(_xlfn.XMATCH(D9,$B$8:$B$11))</f>
        <v>1</v>
      </c>
    </row>
    <row r="10" spans="1:7" x14ac:dyDescent="0.25">
      <c r="B10" s="5" t="s">
        <v>91</v>
      </c>
      <c r="D10" s="5" t="s">
        <v>128</v>
      </c>
      <c r="E10" s="5" t="b">
        <f t="shared" si="0"/>
        <v>0</v>
      </c>
    </row>
    <row r="11" spans="1:7" x14ac:dyDescent="0.25">
      <c r="B11" s="5" t="s">
        <v>92</v>
      </c>
      <c r="D11" s="5" t="s">
        <v>92</v>
      </c>
      <c r="E11" s="5" t="b">
        <f t="shared" si="0"/>
        <v>1</v>
      </c>
    </row>
    <row r="12" spans="1:7" x14ac:dyDescent="0.25">
      <c r="D12" s="183" t="s">
        <v>230</v>
      </c>
      <c r="E12" s="5" t="b">
        <f t="shared" si="0"/>
        <v>0</v>
      </c>
    </row>
  </sheetData>
  <conditionalFormatting sqref="E8:E12">
    <cfRule type="expression" dxfId="75" priority="2">
      <formula>E8&lt;&gt;""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9F5D-A8F9-4E9E-ADC6-A1ACBA836D6D}">
  <sheetPr codeName="Sheet50">
    <tabColor rgb="FFFF0000"/>
  </sheetPr>
  <dimension ref="A1:G29"/>
  <sheetViews>
    <sheetView zoomScaleNormal="100" workbookViewId="0"/>
  </sheetViews>
  <sheetFormatPr defaultColWidth="8.85546875" defaultRowHeight="15" x14ac:dyDescent="0.25"/>
  <cols>
    <col min="1" max="1" width="4" bestFit="1" customWidth="1"/>
    <col min="2" max="2" width="17.7109375" customWidth="1"/>
    <col min="3" max="3" width="1.42578125" customWidth="1"/>
    <col min="4" max="4" width="18.28515625" customWidth="1"/>
    <col min="6" max="6" width="1.42578125" customWidth="1"/>
  </cols>
  <sheetData>
    <row r="1" spans="1:7" ht="3.75" customHeight="1" x14ac:dyDescent="0.25"/>
    <row r="2" spans="1:7" x14ac:dyDescent="0.25">
      <c r="A2" s="4" t="s">
        <v>207</v>
      </c>
      <c r="B2" s="4" t="s">
        <v>236</v>
      </c>
    </row>
    <row r="3" spans="1:7" x14ac:dyDescent="0.25">
      <c r="A3" s="4" t="s">
        <v>235</v>
      </c>
    </row>
    <row r="4" spans="1:7" ht="3.75" customHeight="1" x14ac:dyDescent="0.25"/>
    <row r="5" spans="1:7" x14ac:dyDescent="0.25">
      <c r="B5" t="s">
        <v>238</v>
      </c>
      <c r="D5" t="s">
        <v>237</v>
      </c>
    </row>
    <row r="6" spans="1:7" ht="3.75" customHeight="1" x14ac:dyDescent="0.25"/>
    <row r="7" spans="1:7" x14ac:dyDescent="0.25">
      <c r="B7" s="110" t="s">
        <v>227</v>
      </c>
      <c r="D7" s="110" t="s">
        <v>228</v>
      </c>
      <c r="E7" s="110" t="s">
        <v>231</v>
      </c>
      <c r="G7" s="4" t="str">
        <f>"Formula in "&amp;ADDRESS(ROW(E8),COLUMN(E8),4)&amp;":"</f>
        <v>Formula in E8:</v>
      </c>
    </row>
    <row r="8" spans="1:7" x14ac:dyDescent="0.25">
      <c r="B8" s="5" t="s">
        <v>122</v>
      </c>
      <c r="D8" s="5" t="s">
        <v>229</v>
      </c>
      <c r="E8" s="5" t="b">
        <f>ISNUMBER(_xlfn.XMATCH(D8,$B$8:$B$11))</f>
        <v>0</v>
      </c>
      <c r="G8" s="74" t="str">
        <f ca="1">_xlfn.IFNA(_xlfn.FORMULATEXT(E8),"")</f>
        <v>=ISNUMBER(XMATCH(D8,$B$8:$B$11))</v>
      </c>
    </row>
    <row r="9" spans="1:7" x14ac:dyDescent="0.25">
      <c r="B9" s="5" t="s">
        <v>90</v>
      </c>
      <c r="D9" s="5" t="s">
        <v>90</v>
      </c>
      <c r="E9" s="5" t="b">
        <f t="shared" ref="E9:E12" si="0">ISNUMBER(_xlfn.XMATCH(D9,$B$8:$B$11))</f>
        <v>1</v>
      </c>
    </row>
    <row r="10" spans="1:7" x14ac:dyDescent="0.25">
      <c r="B10" s="5" t="s">
        <v>91</v>
      </c>
      <c r="D10" s="5" t="s">
        <v>128</v>
      </c>
      <c r="E10" s="5" t="b">
        <f t="shared" si="0"/>
        <v>0</v>
      </c>
    </row>
    <row r="11" spans="1:7" x14ac:dyDescent="0.25">
      <c r="B11" s="5" t="s">
        <v>92</v>
      </c>
      <c r="D11" s="5" t="s">
        <v>92</v>
      </c>
      <c r="E11" s="5" t="b">
        <f t="shared" si="0"/>
        <v>1</v>
      </c>
    </row>
    <row r="12" spans="1:7" x14ac:dyDescent="0.25">
      <c r="D12" s="183" t="s">
        <v>230</v>
      </c>
      <c r="E12" s="5" t="b">
        <f t="shared" si="0"/>
        <v>0</v>
      </c>
    </row>
    <row r="29" spans="2:2" x14ac:dyDescent="0.25">
      <c r="B29" t="str">
        <f ca="1">"Formula use to add conditional formatting with "&amp;ADDRESS(ROW(D8),COLUMN(D8),4)&amp;" as Active Cell: "&amp;_xlfn.FORMULATEXT(E8)</f>
        <v>Formula use to add conditional formatting with D8 as Active Cell: =ISNUMBER(XMATCH(D8,$B$8:$B$11))</v>
      </c>
    </row>
  </sheetData>
  <conditionalFormatting sqref="E8:E12">
    <cfRule type="expression" dxfId="74" priority="2">
      <formula>E8&lt;&gt;""</formula>
    </cfRule>
  </conditionalFormatting>
  <conditionalFormatting sqref="D8:D12">
    <cfRule type="expression" dxfId="73" priority="1">
      <formula>_xlfn.XMATCH(D8,$B$8:$B$11)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6785-F72E-4C5F-8BEC-0A25539EAE1B}">
  <sheetPr codeName="Sheet51">
    <tabColor rgb="FFFFFF00"/>
  </sheetPr>
  <dimension ref="D8:J9"/>
  <sheetViews>
    <sheetView showGridLines="0" zoomScale="160" zoomScaleNormal="160" workbookViewId="0"/>
  </sheetViews>
  <sheetFormatPr defaultColWidth="8.85546875" defaultRowHeight="15" x14ac:dyDescent="0.25"/>
  <cols>
    <col min="3" max="4" width="9.140625" customWidth="1"/>
    <col min="9" max="9" width="1.85546875" customWidth="1"/>
    <col min="10" max="10" width="4.42578125" customWidth="1"/>
  </cols>
  <sheetData>
    <row r="8" spans="4:10" ht="15.75" thickBot="1" x14ac:dyDescent="0.3"/>
    <row r="9" spans="4:10" ht="20.25" thickBot="1" x14ac:dyDescent="0.35">
      <c r="D9" s="201" t="s">
        <v>279</v>
      </c>
      <c r="E9" s="202"/>
      <c r="F9" s="202"/>
      <c r="G9" s="202"/>
      <c r="H9" s="202"/>
      <c r="I9" s="202"/>
      <c r="J9" s="203"/>
    </row>
  </sheetData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8AE7-B5F7-43F3-9410-2F2C31870447}">
  <sheetPr codeName="Sheet52">
    <tabColor rgb="FF0000FF"/>
  </sheetPr>
  <dimension ref="A1:D15"/>
  <sheetViews>
    <sheetView zoomScale="115" zoomScaleNormal="115" workbookViewId="0"/>
  </sheetViews>
  <sheetFormatPr defaultColWidth="8.85546875" defaultRowHeight="15" x14ac:dyDescent="0.25"/>
  <cols>
    <col min="1" max="1" width="4.140625" bestFit="1" customWidth="1"/>
    <col min="2" max="2" width="17.42578125" bestFit="1" customWidth="1"/>
    <col min="3" max="3" width="1.85546875" customWidth="1"/>
    <col min="4" max="4" width="17.85546875" customWidth="1"/>
    <col min="6" max="6" width="12.140625" customWidth="1"/>
    <col min="7" max="7" width="7.28515625" customWidth="1"/>
  </cols>
  <sheetData>
    <row r="1" spans="1:4" ht="3.75" customHeight="1" x14ac:dyDescent="0.25"/>
    <row r="2" spans="1:4" x14ac:dyDescent="0.25">
      <c r="A2" s="4" t="s">
        <v>207</v>
      </c>
      <c r="B2" s="4" t="s">
        <v>281</v>
      </c>
    </row>
    <row r="3" spans="1:4" x14ac:dyDescent="0.25">
      <c r="A3" s="4" t="s">
        <v>288</v>
      </c>
    </row>
    <row r="4" spans="1:4" ht="3.75" customHeight="1" x14ac:dyDescent="0.25">
      <c r="A4" s="4"/>
    </row>
    <row r="5" spans="1:4" x14ac:dyDescent="0.25">
      <c r="B5" s="110" t="s">
        <v>264</v>
      </c>
      <c r="D5" s="110" t="s">
        <v>263</v>
      </c>
    </row>
    <row r="6" spans="1:4" x14ac:dyDescent="0.25">
      <c r="B6" s="5" t="s">
        <v>253</v>
      </c>
      <c r="D6" s="7"/>
    </row>
    <row r="7" spans="1:4" x14ac:dyDescent="0.25">
      <c r="B7" s="5" t="s">
        <v>254</v>
      </c>
    </row>
    <row r="8" spans="1:4" x14ac:dyDescent="0.25">
      <c r="B8" s="5" t="s">
        <v>255</v>
      </c>
      <c r="D8" s="4" t="str">
        <f>"Formula in "&amp;ADDRESS(ROW(D6),COLUMN(D6),4)&amp;":"</f>
        <v>Formula in D6:</v>
      </c>
    </row>
    <row r="9" spans="1:4" ht="17.25" x14ac:dyDescent="0.3">
      <c r="B9" s="5" t="s">
        <v>256</v>
      </c>
      <c r="D9" s="170" t="str">
        <f ca="1">_xlfn.IFNA(_xlfn.FORMULATEXT(D6),"")</f>
        <v/>
      </c>
    </row>
    <row r="10" spans="1:4" x14ac:dyDescent="0.25">
      <c r="B10" s="5" t="s">
        <v>257</v>
      </c>
    </row>
    <row r="11" spans="1:4" x14ac:dyDescent="0.25">
      <c r="B11" s="5" t="s">
        <v>258</v>
      </c>
      <c r="D11" t="s">
        <v>282</v>
      </c>
    </row>
    <row r="12" spans="1:4" x14ac:dyDescent="0.25">
      <c r="B12" s="5" t="s">
        <v>259</v>
      </c>
    </row>
    <row r="13" spans="1:4" x14ac:dyDescent="0.25">
      <c r="B13" s="5" t="s">
        <v>260</v>
      </c>
    </row>
    <row r="14" spans="1:4" x14ac:dyDescent="0.25">
      <c r="B14" s="5" t="s">
        <v>261</v>
      </c>
    </row>
    <row r="15" spans="1:4" x14ac:dyDescent="0.25">
      <c r="B15" s="5" t="s">
        <v>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9ECD-4736-42F3-B5D2-00C3D9CF0F1E}">
  <sheetPr codeName="Sheet53">
    <tabColor rgb="FFFF0000"/>
  </sheetPr>
  <dimension ref="A1:D15"/>
  <sheetViews>
    <sheetView zoomScale="115" zoomScaleNormal="115" workbookViewId="0"/>
  </sheetViews>
  <sheetFormatPr defaultColWidth="8.85546875" defaultRowHeight="15" x14ac:dyDescent="0.25"/>
  <cols>
    <col min="1" max="1" width="4.140625" bestFit="1" customWidth="1"/>
    <col min="2" max="2" width="17.42578125" bestFit="1" customWidth="1"/>
    <col min="3" max="3" width="1.85546875" customWidth="1"/>
    <col min="4" max="4" width="17.85546875" customWidth="1"/>
    <col min="6" max="6" width="12.140625" customWidth="1"/>
    <col min="7" max="7" width="7.28515625" customWidth="1"/>
  </cols>
  <sheetData>
    <row r="1" spans="1:4" ht="3.75" customHeight="1" x14ac:dyDescent="0.25"/>
    <row r="2" spans="1:4" x14ac:dyDescent="0.25">
      <c r="A2" s="4" t="s">
        <v>207</v>
      </c>
      <c r="B2" s="4" t="s">
        <v>281</v>
      </c>
    </row>
    <row r="3" spans="1:4" x14ac:dyDescent="0.25">
      <c r="A3" s="4" t="s">
        <v>288</v>
      </c>
    </row>
    <row r="4" spans="1:4" ht="3.75" customHeight="1" x14ac:dyDescent="0.25">
      <c r="A4" s="4"/>
    </row>
    <row r="5" spans="1:4" x14ac:dyDescent="0.25">
      <c r="B5" s="110" t="s">
        <v>264</v>
      </c>
      <c r="D5" s="110" t="s">
        <v>263</v>
      </c>
    </row>
    <row r="6" spans="1:4" x14ac:dyDescent="0.25">
      <c r="B6" s="5" t="s">
        <v>253</v>
      </c>
      <c r="D6" s="7" t="str" cm="1">
        <f t="array" aca="1" ref="D6" ca="1">INDEX(B6:B15,RANDBETWEEN(1,10))</f>
        <v>Elsie Manning</v>
      </c>
    </row>
    <row r="7" spans="1:4" x14ac:dyDescent="0.25">
      <c r="B7" s="5" t="s">
        <v>254</v>
      </c>
    </row>
    <row r="8" spans="1:4" x14ac:dyDescent="0.25">
      <c r="B8" s="5" t="s">
        <v>255</v>
      </c>
      <c r="D8" s="4" t="str">
        <f>"Formula in "&amp;ADDRESS(ROW(D6),COLUMN(D6),4)&amp;":"</f>
        <v>Formula in D6:</v>
      </c>
    </row>
    <row r="9" spans="1:4" ht="17.25" x14ac:dyDescent="0.3">
      <c r="B9" s="5" t="s">
        <v>256</v>
      </c>
      <c r="D9" s="170" t="str">
        <f ca="1">_xlfn.IFNA(_xlfn.FORMULATEXT(D6),"")</f>
        <v>=INDEX(B6:B15,RANDBETWEEN(1,10))</v>
      </c>
    </row>
    <row r="10" spans="1:4" x14ac:dyDescent="0.25">
      <c r="B10" s="5" t="s">
        <v>257</v>
      </c>
    </row>
    <row r="11" spans="1:4" x14ac:dyDescent="0.25">
      <c r="B11" s="5" t="s">
        <v>258</v>
      </c>
      <c r="D11" t="s">
        <v>282</v>
      </c>
    </row>
    <row r="12" spans="1:4" x14ac:dyDescent="0.25">
      <c r="B12" s="5" t="s">
        <v>259</v>
      </c>
    </row>
    <row r="13" spans="1:4" x14ac:dyDescent="0.25">
      <c r="B13" s="5" t="s">
        <v>260</v>
      </c>
    </row>
    <row r="14" spans="1:4" x14ac:dyDescent="0.25">
      <c r="B14" s="5" t="s">
        <v>261</v>
      </c>
    </row>
    <row r="15" spans="1:4" x14ac:dyDescent="0.25">
      <c r="B15" s="5" t="s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4A44-52C8-48E2-8FCD-0A29200188DE}">
  <sheetPr codeName="Sheet54">
    <tabColor rgb="FF0000FF"/>
  </sheetPr>
  <dimension ref="A1:I38"/>
  <sheetViews>
    <sheetView zoomScale="115" zoomScaleNormal="115" workbookViewId="0"/>
  </sheetViews>
  <sheetFormatPr defaultColWidth="8.85546875" defaultRowHeight="15" x14ac:dyDescent="0.25"/>
  <cols>
    <col min="1" max="1" width="6.85546875" bestFit="1" customWidth="1"/>
    <col min="2" max="2" width="11.42578125" customWidth="1"/>
    <col min="3" max="3" width="10.7109375" bestFit="1" customWidth="1"/>
    <col min="4" max="4" width="10" customWidth="1"/>
    <col min="5" max="5" width="7.28515625" customWidth="1"/>
    <col min="6" max="6" width="14" customWidth="1"/>
    <col min="7" max="7" width="9" customWidth="1"/>
    <col min="8" max="8" width="10.85546875" customWidth="1"/>
    <col min="9" max="9" width="14.42578125" customWidth="1"/>
    <col min="10" max="10" width="5.85546875" customWidth="1"/>
    <col min="11" max="11" width="8.42578125" customWidth="1"/>
    <col min="12" max="12" width="10.42578125" customWidth="1"/>
    <col min="13" max="13" width="5.85546875" customWidth="1"/>
    <col min="15" max="15" width="10.7109375" bestFit="1" customWidth="1"/>
    <col min="16" max="16" width="6.28515625" bestFit="1" customWidth="1"/>
  </cols>
  <sheetData>
    <row r="1" spans="1:8" ht="3" customHeight="1" x14ac:dyDescent="0.25"/>
    <row r="2" spans="1:8" x14ac:dyDescent="0.25">
      <c r="A2" s="4" t="s">
        <v>289</v>
      </c>
      <c r="B2" s="4" t="s">
        <v>283</v>
      </c>
    </row>
    <row r="3" spans="1:8" ht="3" customHeight="1" x14ac:dyDescent="0.25"/>
    <row r="4" spans="1:8" x14ac:dyDescent="0.25">
      <c r="A4" s="4"/>
      <c r="B4" s="206" t="s">
        <v>6</v>
      </c>
      <c r="C4" s="207" t="s">
        <v>7</v>
      </c>
      <c r="D4" s="207" t="s">
        <v>267</v>
      </c>
      <c r="E4" s="207" t="s">
        <v>266</v>
      </c>
      <c r="F4" s="207" t="s">
        <v>268</v>
      </c>
      <c r="G4" s="207" t="s">
        <v>8</v>
      </c>
      <c r="H4" s="208" t="s">
        <v>9</v>
      </c>
    </row>
    <row r="5" spans="1:8" x14ac:dyDescent="0.25">
      <c r="B5" s="141" t="s">
        <v>16</v>
      </c>
      <c r="C5" s="5" t="s">
        <v>12</v>
      </c>
      <c r="D5" s="5" t="s">
        <v>269</v>
      </c>
      <c r="E5" s="5" t="s">
        <v>271</v>
      </c>
      <c r="F5" s="5" t="s">
        <v>273</v>
      </c>
      <c r="G5" s="5">
        <v>14.55</v>
      </c>
      <c r="H5" s="205">
        <v>26.95</v>
      </c>
    </row>
    <row r="6" spans="1:8" x14ac:dyDescent="0.25">
      <c r="B6" s="141" t="s">
        <v>15</v>
      </c>
      <c r="C6" s="5" t="s">
        <v>11</v>
      </c>
      <c r="D6" s="5" t="s">
        <v>270</v>
      </c>
      <c r="E6" s="5" t="s">
        <v>192</v>
      </c>
      <c r="F6" s="5" t="s">
        <v>272</v>
      </c>
      <c r="G6" s="5">
        <v>11.18</v>
      </c>
      <c r="H6" s="205">
        <v>27.95</v>
      </c>
    </row>
    <row r="7" spans="1:8" x14ac:dyDescent="0.25">
      <c r="B7" s="141" t="s">
        <v>19</v>
      </c>
      <c r="C7" s="5" t="s">
        <v>10</v>
      </c>
      <c r="D7" s="5" t="s">
        <v>270</v>
      </c>
      <c r="E7" s="5" t="s">
        <v>192</v>
      </c>
      <c r="F7" s="5" t="s">
        <v>272</v>
      </c>
      <c r="G7" s="5">
        <v>19.34</v>
      </c>
      <c r="H7" s="205">
        <v>43.95</v>
      </c>
    </row>
    <row r="8" spans="1:8" x14ac:dyDescent="0.25">
      <c r="B8" s="209" t="s">
        <v>17</v>
      </c>
      <c r="C8" s="210" t="s">
        <v>13</v>
      </c>
      <c r="D8" s="210" t="s">
        <v>269</v>
      </c>
      <c r="E8" s="210" t="s">
        <v>271</v>
      </c>
      <c r="F8" s="210" t="s">
        <v>274</v>
      </c>
      <c r="G8" s="210">
        <v>12.88</v>
      </c>
      <c r="H8" s="211">
        <v>29.95</v>
      </c>
    </row>
    <row r="9" spans="1:8" ht="3" customHeight="1" x14ac:dyDescent="0.25">
      <c r="B9" s="16"/>
      <c r="C9" s="16"/>
      <c r="D9" s="16"/>
      <c r="E9" s="16"/>
    </row>
    <row r="10" spans="1:8" x14ac:dyDescent="0.25">
      <c r="B10" s="30" t="str">
        <f>"Extract &amp; rearrange columns so results spills from cell "&amp;ADDRESS(ROW(B13),COLUMN(B13),4)&amp;":"</f>
        <v>Extract &amp; rearrange columns so results spills from cell B13:</v>
      </c>
      <c r="C10" s="16"/>
      <c r="D10" s="16"/>
      <c r="E10" s="16"/>
    </row>
    <row r="11" spans="1:8" ht="3" customHeight="1" x14ac:dyDescent="0.25"/>
    <row r="12" spans="1:8" x14ac:dyDescent="0.25">
      <c r="B12" s="110" t="s">
        <v>7</v>
      </c>
      <c r="C12" s="110" t="s">
        <v>6</v>
      </c>
      <c r="D12" s="110" t="s">
        <v>9</v>
      </c>
    </row>
    <row r="17" spans="2:9" ht="3" customHeight="1" x14ac:dyDescent="0.25"/>
    <row r="18" spans="2:9" x14ac:dyDescent="0.25">
      <c r="B18" s="4" t="str">
        <f>"Formula in "&amp;ADDRESS(ROW(B13),COLUMN(B13),4)&amp;":"</f>
        <v>Formula in B13:</v>
      </c>
    </row>
    <row r="19" spans="2:9" ht="17.25" x14ac:dyDescent="0.3">
      <c r="B19" s="170" t="str">
        <f ca="1">_xlfn.IFNA(_xlfn.FORMULATEXT(B13),"")</f>
        <v/>
      </c>
      <c r="C19" s="170"/>
      <c r="D19" s="170"/>
      <c r="E19" s="170"/>
      <c r="F19" s="170"/>
      <c r="G19" s="170"/>
      <c r="H19" s="170"/>
      <c r="I19" s="170"/>
    </row>
    <row r="20" spans="2:9" ht="4.5" customHeight="1" x14ac:dyDescent="0.25"/>
    <row r="21" spans="2:9" x14ac:dyDescent="0.25">
      <c r="B21" s="145" t="s">
        <v>319</v>
      </c>
      <c r="C21" s="195"/>
      <c r="D21" s="195"/>
      <c r="E21" s="195"/>
      <c r="F21" s="195"/>
      <c r="G21" s="195"/>
      <c r="H21" s="195"/>
      <c r="I21" s="196"/>
    </row>
    <row r="22" spans="2:9" x14ac:dyDescent="0.25">
      <c r="B22" s="198" t="s">
        <v>284</v>
      </c>
      <c r="C22" s="149"/>
      <c r="D22" s="149"/>
      <c r="E22" s="149"/>
      <c r="F22" s="149"/>
      <c r="G22" s="149"/>
      <c r="H22" s="149"/>
      <c r="I22" s="150"/>
    </row>
    <row r="23" spans="2:9" x14ac:dyDescent="0.25">
      <c r="B23" s="193" t="s">
        <v>317</v>
      </c>
      <c r="C23" s="169"/>
      <c r="D23" s="169"/>
      <c r="E23" s="169"/>
      <c r="F23" s="169"/>
      <c r="G23" s="169"/>
      <c r="H23" s="169"/>
      <c r="I23" s="194"/>
    </row>
    <row r="24" spans="2:9" x14ac:dyDescent="0.25">
      <c r="B24" s="151" t="s">
        <v>318</v>
      </c>
      <c r="C24" s="199"/>
      <c r="D24" s="199"/>
      <c r="E24" s="199"/>
      <c r="F24" s="199"/>
      <c r="G24" s="199"/>
      <c r="H24" s="199"/>
      <c r="I24" s="200"/>
    </row>
    <row r="25" spans="2:9" x14ac:dyDescent="0.25">
      <c r="B25" s="198" t="s">
        <v>276</v>
      </c>
      <c r="C25" s="149"/>
      <c r="D25" s="149"/>
      <c r="E25" s="149"/>
      <c r="F25" s="149"/>
      <c r="G25" s="149"/>
      <c r="H25" s="149"/>
      <c r="I25" s="150"/>
    </row>
    <row r="26" spans="2:9" x14ac:dyDescent="0.25">
      <c r="B26" s="151" t="s">
        <v>320</v>
      </c>
      <c r="C26" s="199"/>
      <c r="D26" s="199"/>
      <c r="E26" s="199"/>
      <c r="F26" s="199"/>
      <c r="G26" s="199"/>
      <c r="H26" s="199"/>
      <c r="I26" s="200"/>
    </row>
    <row r="27" spans="2:9" x14ac:dyDescent="0.25">
      <c r="B27" s="198" t="s">
        <v>321</v>
      </c>
      <c r="C27" s="149"/>
      <c r="D27" s="149"/>
      <c r="E27" s="149"/>
      <c r="F27" s="149"/>
      <c r="G27" s="149"/>
      <c r="H27" s="149"/>
      <c r="I27" s="150"/>
    </row>
    <row r="28" spans="2:9" x14ac:dyDescent="0.25">
      <c r="B28" s="193" t="s">
        <v>322</v>
      </c>
      <c r="C28" s="169"/>
      <c r="D28" s="169"/>
      <c r="E28" s="169"/>
      <c r="F28" s="169"/>
      <c r="G28" s="169"/>
      <c r="H28" s="169"/>
      <c r="I28" s="194"/>
    </row>
    <row r="29" spans="2:9" x14ac:dyDescent="0.25">
      <c r="B29" s="151" t="s">
        <v>285</v>
      </c>
      <c r="C29" s="199"/>
      <c r="D29" s="199"/>
      <c r="E29" s="199"/>
      <c r="F29" s="199"/>
      <c r="G29" s="199"/>
      <c r="H29" s="199"/>
      <c r="I29" s="200"/>
    </row>
    <row r="30" spans="2:9" x14ac:dyDescent="0.25">
      <c r="B30" s="174" t="s">
        <v>278</v>
      </c>
      <c r="C30" s="168"/>
      <c r="D30" s="168"/>
      <c r="E30" s="168"/>
      <c r="F30" s="168"/>
      <c r="G30" s="168"/>
      <c r="H30" s="168"/>
      <c r="I30" s="197"/>
    </row>
    <row r="31" spans="2:9" x14ac:dyDescent="0.25">
      <c r="B31" s="192" t="s">
        <v>286</v>
      </c>
      <c r="C31" s="158"/>
      <c r="D31" s="158"/>
      <c r="E31" s="158"/>
      <c r="F31" s="158"/>
      <c r="G31" s="158"/>
      <c r="H31" s="158"/>
      <c r="I31" s="159"/>
    </row>
    <row r="32" spans="2:9" x14ac:dyDescent="0.25">
      <c r="B32" s="164" t="s">
        <v>277</v>
      </c>
      <c r="C32" s="165"/>
      <c r="D32" s="165"/>
      <c r="E32" s="165"/>
      <c r="F32" s="165"/>
      <c r="G32" s="165"/>
      <c r="H32" s="165"/>
      <c r="I32" s="166"/>
    </row>
    <row r="34" spans="1:6" x14ac:dyDescent="0.25">
      <c r="B34" s="4" t="s">
        <v>275</v>
      </c>
    </row>
    <row r="35" spans="1:6" ht="6" customHeight="1" x14ac:dyDescent="0.25"/>
    <row r="36" spans="1:6" x14ac:dyDescent="0.25">
      <c r="A36" s="4" t="s">
        <v>207</v>
      </c>
      <c r="B36" s="110" t="s">
        <v>7</v>
      </c>
      <c r="C36" s="110" t="s">
        <v>6</v>
      </c>
      <c r="D36" s="110" t="s">
        <v>9</v>
      </c>
      <c r="F36" s="4" t="str">
        <f>"Formula in "&amp;ADDRESS(ROW(B37),COLUMN(B37),4)&amp;":"</f>
        <v>Formula in B37:</v>
      </c>
    </row>
    <row r="37" spans="1:6" x14ac:dyDescent="0.25">
      <c r="A37" s="4" t="s">
        <v>265</v>
      </c>
      <c r="F37" s="74" t="str">
        <f ca="1">_xlfn.IFNA(_xlfn.FORMULATEXT(B37),"")</f>
        <v/>
      </c>
    </row>
    <row r="38" spans="1:6" x14ac:dyDescent="0.25">
      <c r="F38" t="str">
        <f>"Spills down to rows. Copied across columns to range "&amp;ADDRESS(ROW(B37),COLUMN(B37),4)&amp;":"&amp;ADDRESS(ROW(D37),COLUMN(D37),4)</f>
        <v>Spills down to rows. Copied across columns to range B37:D37</v>
      </c>
    </row>
  </sheetData>
  <conditionalFormatting sqref="B13:D16">
    <cfRule type="expression" dxfId="72" priority="2">
      <formula>B13&lt;&gt;""</formula>
    </cfRule>
  </conditionalFormatting>
  <conditionalFormatting sqref="B37:D40">
    <cfRule type="expression" dxfId="71" priority="1">
      <formula>B37&lt;&gt;""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5275-A7EC-476A-90CF-5C81B573601E}">
  <sheetPr codeName="Sheet55">
    <tabColor rgb="FFFF0000"/>
  </sheetPr>
  <dimension ref="A1:I41"/>
  <sheetViews>
    <sheetView zoomScale="115" zoomScaleNormal="115" workbookViewId="0"/>
  </sheetViews>
  <sheetFormatPr defaultColWidth="8.85546875" defaultRowHeight="15" x14ac:dyDescent="0.25"/>
  <cols>
    <col min="1" max="1" width="6.85546875" customWidth="1"/>
    <col min="2" max="2" width="11.42578125" customWidth="1"/>
    <col min="3" max="3" width="10.7109375" bestFit="1" customWidth="1"/>
    <col min="4" max="4" width="10" customWidth="1"/>
    <col min="5" max="5" width="7.28515625" customWidth="1"/>
    <col min="6" max="6" width="14" customWidth="1"/>
    <col min="7" max="7" width="9" customWidth="1"/>
    <col min="8" max="8" width="10.85546875" customWidth="1"/>
    <col min="9" max="9" width="14.42578125" customWidth="1"/>
    <col min="10" max="10" width="5.85546875" customWidth="1"/>
    <col min="11" max="11" width="8.42578125" customWidth="1"/>
    <col min="12" max="12" width="10.42578125" customWidth="1"/>
    <col min="13" max="13" width="5.85546875" customWidth="1"/>
    <col min="15" max="15" width="10.7109375" bestFit="1" customWidth="1"/>
    <col min="16" max="16" width="6.28515625" bestFit="1" customWidth="1"/>
  </cols>
  <sheetData>
    <row r="1" spans="1:8" ht="3" customHeight="1" x14ac:dyDescent="0.25"/>
    <row r="2" spans="1:8" x14ac:dyDescent="0.25">
      <c r="A2" s="4" t="s">
        <v>289</v>
      </c>
      <c r="B2" s="4" t="s">
        <v>283</v>
      </c>
    </row>
    <row r="3" spans="1:8" ht="3" customHeight="1" x14ac:dyDescent="0.25"/>
    <row r="4" spans="1:8" x14ac:dyDescent="0.25">
      <c r="A4" s="4"/>
      <c r="B4" s="206" t="s">
        <v>6</v>
      </c>
      <c r="C4" s="207" t="s">
        <v>7</v>
      </c>
      <c r="D4" s="207" t="s">
        <v>267</v>
      </c>
      <c r="E4" s="207" t="s">
        <v>266</v>
      </c>
      <c r="F4" s="207" t="s">
        <v>268</v>
      </c>
      <c r="G4" s="207" t="s">
        <v>8</v>
      </c>
      <c r="H4" s="208" t="s">
        <v>9</v>
      </c>
    </row>
    <row r="5" spans="1:8" x14ac:dyDescent="0.25">
      <c r="B5" s="141" t="s">
        <v>16</v>
      </c>
      <c r="C5" s="5" t="s">
        <v>12</v>
      </c>
      <c r="D5" s="5" t="s">
        <v>269</v>
      </c>
      <c r="E5" s="5" t="s">
        <v>271</v>
      </c>
      <c r="F5" s="5" t="s">
        <v>273</v>
      </c>
      <c r="G5" s="5">
        <v>14.55</v>
      </c>
      <c r="H5" s="205">
        <v>26.95</v>
      </c>
    </row>
    <row r="6" spans="1:8" x14ac:dyDescent="0.25">
      <c r="B6" s="141" t="s">
        <v>15</v>
      </c>
      <c r="C6" s="5" t="s">
        <v>11</v>
      </c>
      <c r="D6" s="5" t="s">
        <v>270</v>
      </c>
      <c r="E6" s="5" t="s">
        <v>192</v>
      </c>
      <c r="F6" s="5" t="s">
        <v>272</v>
      </c>
      <c r="G6" s="5">
        <v>11.18</v>
      </c>
      <c r="H6" s="205">
        <v>27.95</v>
      </c>
    </row>
    <row r="7" spans="1:8" x14ac:dyDescent="0.25">
      <c r="B7" s="141" t="s">
        <v>19</v>
      </c>
      <c r="C7" s="5" t="s">
        <v>10</v>
      </c>
      <c r="D7" s="5" t="s">
        <v>270</v>
      </c>
      <c r="E7" s="5" t="s">
        <v>192</v>
      </c>
      <c r="F7" s="5" t="s">
        <v>272</v>
      </c>
      <c r="G7" s="5">
        <v>19.34</v>
      </c>
      <c r="H7" s="205">
        <v>43.95</v>
      </c>
    </row>
    <row r="8" spans="1:8" x14ac:dyDescent="0.25">
      <c r="B8" s="209" t="s">
        <v>17</v>
      </c>
      <c r="C8" s="210" t="s">
        <v>13</v>
      </c>
      <c r="D8" s="210" t="s">
        <v>269</v>
      </c>
      <c r="E8" s="210" t="s">
        <v>271</v>
      </c>
      <c r="F8" s="210" t="s">
        <v>274</v>
      </c>
      <c r="G8" s="210">
        <v>12.88</v>
      </c>
      <c r="H8" s="211">
        <v>29.95</v>
      </c>
    </row>
    <row r="9" spans="1:8" ht="3" customHeight="1" x14ac:dyDescent="0.25">
      <c r="B9" s="16"/>
      <c r="C9" s="16"/>
      <c r="D9" s="16"/>
      <c r="E9" s="16"/>
    </row>
    <row r="10" spans="1:8" x14ac:dyDescent="0.25">
      <c r="B10" s="30" t="str">
        <f>"Extract &amp; rearrange columns so results spills from cell "&amp;ADDRESS(ROW(B13),COLUMN(B13),4)&amp;":"</f>
        <v>Extract &amp; rearrange columns so results spills from cell B13:</v>
      </c>
      <c r="C10" s="16"/>
      <c r="D10" s="16"/>
      <c r="E10" s="16"/>
    </row>
    <row r="11" spans="1:8" ht="3" customHeight="1" x14ac:dyDescent="0.25"/>
    <row r="12" spans="1:8" x14ac:dyDescent="0.25">
      <c r="B12" s="110" t="s">
        <v>7</v>
      </c>
      <c r="C12" s="110" t="s">
        <v>6</v>
      </c>
      <c r="D12" s="110" t="s">
        <v>9</v>
      </c>
    </row>
    <row r="13" spans="1:8" x14ac:dyDescent="0.25">
      <c r="B13" t="str" cm="1">
        <f t="array" ref="B13:D16">INDEX(pt_an[],_xlfn.SEQUENCE(ROWS(pt_an[])),_xlfn.XMATCH(B12:D12,pt_an[#Headers]))</f>
        <v>Aspen</v>
      </c>
      <c r="C13" t="str">
        <v>A25C-4884</v>
      </c>
      <c r="D13">
        <v>26.95</v>
      </c>
    </row>
    <row r="14" spans="1:8" x14ac:dyDescent="0.25">
      <c r="B14" t="str">
        <v>Carlota</v>
      </c>
      <c r="C14" t="str">
        <v>C20G-4398</v>
      </c>
      <c r="D14">
        <v>27.95</v>
      </c>
    </row>
    <row r="15" spans="1:8" x14ac:dyDescent="0.25">
      <c r="B15" t="str">
        <v>Quad</v>
      </c>
      <c r="C15" t="str">
        <v>Q22G-9634</v>
      </c>
      <c r="D15">
        <v>43.95</v>
      </c>
    </row>
    <row r="16" spans="1:8" x14ac:dyDescent="0.25">
      <c r="B16" t="str">
        <v>Yanaki</v>
      </c>
      <c r="C16" t="str">
        <v>Y30C-4942</v>
      </c>
      <c r="D16">
        <v>29.95</v>
      </c>
    </row>
    <row r="17" spans="2:9" ht="3" customHeight="1" x14ac:dyDescent="0.25"/>
    <row r="18" spans="2:9" x14ac:dyDescent="0.25">
      <c r="B18" s="4" t="str">
        <f>"Formula in "&amp;ADDRESS(ROW(B13),COLUMN(B13),4)&amp;":"</f>
        <v>Formula in B13:</v>
      </c>
    </row>
    <row r="19" spans="2:9" ht="17.25" x14ac:dyDescent="0.3">
      <c r="B19" s="170" t="str">
        <f ca="1">_xlfn.IFNA(_xlfn.FORMULATEXT(B13),"")</f>
        <v>=INDEX(pt_an,SEQUENCE(ROWS(pt_an)),XMATCH(B12:D12,pt_an[#Headers]))</v>
      </c>
      <c r="C19" s="170"/>
      <c r="D19" s="170"/>
      <c r="E19" s="170"/>
      <c r="F19" s="170"/>
      <c r="G19" s="170"/>
      <c r="H19" s="170"/>
      <c r="I19" s="170"/>
    </row>
    <row r="20" spans="2:9" ht="4.5" customHeight="1" x14ac:dyDescent="0.25"/>
    <row r="21" spans="2:9" x14ac:dyDescent="0.25">
      <c r="B21" s="145" t="s">
        <v>323</v>
      </c>
      <c r="C21" s="195"/>
      <c r="D21" s="195"/>
      <c r="E21" s="195"/>
      <c r="F21" s="195"/>
      <c r="G21" s="195"/>
      <c r="H21" s="195"/>
      <c r="I21" s="196"/>
    </row>
    <row r="22" spans="2:9" x14ac:dyDescent="0.25">
      <c r="B22" s="198" t="s">
        <v>324</v>
      </c>
      <c r="C22" s="149"/>
      <c r="D22" s="149"/>
      <c r="E22" s="149"/>
      <c r="F22" s="149"/>
      <c r="G22" s="149"/>
      <c r="H22" s="149"/>
      <c r="I22" s="150"/>
    </row>
    <row r="23" spans="2:9" x14ac:dyDescent="0.25">
      <c r="B23" s="193" t="s">
        <v>325</v>
      </c>
      <c r="C23" s="169"/>
      <c r="D23" s="169"/>
      <c r="E23" s="169"/>
      <c r="F23" s="169"/>
      <c r="G23" s="169"/>
      <c r="H23" s="169"/>
      <c r="I23" s="194"/>
    </row>
    <row r="24" spans="2:9" x14ac:dyDescent="0.25">
      <c r="B24" s="151" t="s">
        <v>326</v>
      </c>
      <c r="C24" s="199"/>
      <c r="D24" s="199"/>
      <c r="E24" s="199"/>
      <c r="F24" s="199"/>
      <c r="G24" s="199"/>
      <c r="H24" s="199"/>
      <c r="I24" s="200"/>
    </row>
    <row r="25" spans="2:9" x14ac:dyDescent="0.25">
      <c r="B25" s="198" t="s">
        <v>276</v>
      </c>
      <c r="C25" s="149"/>
      <c r="D25" s="149"/>
      <c r="E25" s="149"/>
      <c r="F25" s="149"/>
      <c r="G25" s="149"/>
      <c r="H25" s="149"/>
      <c r="I25" s="150"/>
    </row>
    <row r="26" spans="2:9" x14ac:dyDescent="0.25">
      <c r="B26" s="151" t="s">
        <v>327</v>
      </c>
      <c r="C26" s="199"/>
      <c r="D26" s="199"/>
      <c r="E26" s="199"/>
      <c r="F26" s="199"/>
      <c r="G26" s="199"/>
      <c r="H26" s="199"/>
      <c r="I26" s="200"/>
    </row>
    <row r="27" spans="2:9" x14ac:dyDescent="0.25">
      <c r="B27" s="198" t="s">
        <v>321</v>
      </c>
      <c r="C27" s="149"/>
      <c r="D27" s="149"/>
      <c r="E27" s="149"/>
      <c r="F27" s="149"/>
      <c r="G27" s="149"/>
      <c r="H27" s="149"/>
      <c r="I27" s="150"/>
    </row>
    <row r="28" spans="2:9" x14ac:dyDescent="0.25">
      <c r="B28" s="193" t="s">
        <v>328</v>
      </c>
      <c r="C28" s="169"/>
      <c r="D28" s="169"/>
      <c r="E28" s="169"/>
      <c r="F28" s="169"/>
      <c r="G28" s="169"/>
      <c r="H28" s="169"/>
      <c r="I28" s="194"/>
    </row>
    <row r="29" spans="2:9" x14ac:dyDescent="0.25">
      <c r="B29" s="151" t="s">
        <v>285</v>
      </c>
      <c r="C29" s="199"/>
      <c r="D29" s="199"/>
      <c r="E29" s="199"/>
      <c r="F29" s="199"/>
      <c r="G29" s="199"/>
      <c r="H29" s="199"/>
      <c r="I29" s="200"/>
    </row>
    <row r="30" spans="2:9" x14ac:dyDescent="0.25">
      <c r="B30" s="174" t="s">
        <v>278</v>
      </c>
      <c r="C30" s="168"/>
      <c r="D30" s="168"/>
      <c r="E30" s="168"/>
      <c r="F30" s="168"/>
      <c r="G30" s="168"/>
      <c r="H30" s="168"/>
      <c r="I30" s="197"/>
    </row>
    <row r="31" spans="2:9" x14ac:dyDescent="0.25">
      <c r="B31" s="192" t="s">
        <v>286</v>
      </c>
      <c r="C31" s="158"/>
      <c r="D31" s="158"/>
      <c r="E31" s="158"/>
      <c r="F31" s="158"/>
      <c r="G31" s="158"/>
      <c r="H31" s="158"/>
      <c r="I31" s="159"/>
    </row>
    <row r="32" spans="2:9" x14ac:dyDescent="0.25">
      <c r="B32" s="164" t="s">
        <v>277</v>
      </c>
      <c r="C32" s="165"/>
      <c r="D32" s="165"/>
      <c r="E32" s="165"/>
      <c r="F32" s="165"/>
      <c r="G32" s="165"/>
      <c r="H32" s="165"/>
      <c r="I32" s="166"/>
    </row>
    <row r="34" spans="1:6" x14ac:dyDescent="0.25">
      <c r="B34" s="4" t="s">
        <v>275</v>
      </c>
    </row>
    <row r="35" spans="1:6" ht="6" customHeight="1" x14ac:dyDescent="0.25"/>
    <row r="36" spans="1:6" x14ac:dyDescent="0.25">
      <c r="A36" s="4" t="s">
        <v>207</v>
      </c>
      <c r="B36" s="110" t="s">
        <v>7</v>
      </c>
      <c r="C36" s="110" t="s">
        <v>6</v>
      </c>
      <c r="D36" s="110" t="s">
        <v>9</v>
      </c>
      <c r="F36" s="4" t="str">
        <f>"Formula in "&amp;ADDRESS(ROW(B37),COLUMN(B37),4)&amp;":"</f>
        <v>Formula in B37:</v>
      </c>
    </row>
    <row r="37" spans="1:6" x14ac:dyDescent="0.25">
      <c r="A37" s="4" t="s">
        <v>265</v>
      </c>
      <c r="B37" s="7" t="str" cm="1">
        <f t="array" ref="B37:B40">_xlfn.XLOOKUP(B36,$B$4:$H$4,$B$5:$H$8)</f>
        <v>Aspen</v>
      </c>
      <c r="C37" s="7" t="str" cm="1">
        <f t="array" ref="C37:C40">_xlfn.XLOOKUP(C36,$B$4:$H$4,$B$5:$H$8)</f>
        <v>A25C-4884</v>
      </c>
      <c r="D37" s="7" cm="1">
        <f t="array" ref="D37:D40">_xlfn.XLOOKUP(D36,$B$4:$H$4,$B$5:$H$8)</f>
        <v>26.95</v>
      </c>
      <c r="F37" s="74" t="str">
        <f ca="1">_xlfn.IFNA(_xlfn.FORMULATEXT(B37),"")</f>
        <v>=XLOOKUP(B36,$B$4:$H$4,$B$5:$H$8)</v>
      </c>
    </row>
    <row r="38" spans="1:6" x14ac:dyDescent="0.25">
      <c r="B38" s="7" t="str">
        <v>Carlota</v>
      </c>
      <c r="C38" s="7" t="str">
        <v>C20G-4398</v>
      </c>
      <c r="D38" s="7">
        <v>27.95</v>
      </c>
      <c r="F38" t="str">
        <f>"Spills down to rows. Copied across columns to range "&amp;ADDRESS(ROW(B37),COLUMN(B37),4)&amp;":"&amp;ADDRESS(ROW(D37),COLUMN(D37),4)</f>
        <v>Spills down to rows. Copied across columns to range B37:D37</v>
      </c>
    </row>
    <row r="39" spans="1:6" x14ac:dyDescent="0.25">
      <c r="B39" s="7" t="str">
        <v>Quad</v>
      </c>
      <c r="C39" s="7" t="str">
        <v>Q22G-9634</v>
      </c>
      <c r="D39" s="7">
        <v>43.95</v>
      </c>
    </row>
    <row r="40" spans="1:6" x14ac:dyDescent="0.25">
      <c r="B40" s="7" t="str">
        <v>Yanaki</v>
      </c>
      <c r="C40" s="7" t="str">
        <v>Y30C-4942</v>
      </c>
      <c r="D40" s="7">
        <v>29.95</v>
      </c>
    </row>
    <row r="41" spans="1:6" x14ac:dyDescent="0.25">
      <c r="B41" s="7"/>
      <c r="C41" s="7"/>
      <c r="D41" s="7"/>
    </row>
  </sheetData>
  <conditionalFormatting sqref="B13:D16">
    <cfRule type="expression" dxfId="59" priority="1">
      <formula>B13&lt;&gt;""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B6F-618F-4BF5-BE76-336807F1ADA8}">
  <sheetPr codeName="Sheet56">
    <tabColor rgb="FF0000FF"/>
  </sheetPr>
  <dimension ref="A1:R23"/>
  <sheetViews>
    <sheetView zoomScale="145" zoomScaleNormal="145" workbookViewId="0"/>
  </sheetViews>
  <sheetFormatPr defaultColWidth="8.85546875" defaultRowHeight="15" x14ac:dyDescent="0.25"/>
  <cols>
    <col min="1" max="1" width="4" bestFit="1" customWidth="1"/>
    <col min="2" max="2" width="15" bestFit="1" customWidth="1"/>
    <col min="3" max="3" width="8.7109375" bestFit="1" customWidth="1"/>
    <col min="4" max="4" width="11.7109375" bestFit="1" customWidth="1"/>
    <col min="5" max="5" width="6.42578125" bestFit="1" customWidth="1"/>
    <col min="6" max="6" width="1.140625" customWidth="1"/>
    <col min="7" max="7" width="10.42578125" bestFit="1" customWidth="1"/>
    <col min="8" max="8" width="11.7109375" bestFit="1" customWidth="1"/>
    <col min="9" max="9" width="6.42578125" bestFit="1" customWidth="1"/>
    <col min="10" max="10" width="1.140625" customWidth="1"/>
    <col min="13" max="13" width="10.85546875" customWidth="1"/>
    <col min="18" max="18" width="28.7109375" bestFit="1" customWidth="1"/>
  </cols>
  <sheetData>
    <row r="1" spans="1:18" ht="3.75" customHeight="1" x14ac:dyDescent="0.25"/>
    <row r="2" spans="1:18" x14ac:dyDescent="0.25">
      <c r="A2" s="4" t="s">
        <v>207</v>
      </c>
      <c r="B2" s="4" t="s">
        <v>312</v>
      </c>
    </row>
    <row r="3" spans="1:18" x14ac:dyDescent="0.25">
      <c r="A3" s="4" t="s">
        <v>290</v>
      </c>
      <c r="B3" t="s">
        <v>291</v>
      </c>
      <c r="R3" s="4" t="s">
        <v>315</v>
      </c>
    </row>
    <row r="4" spans="1:18" ht="3.75" customHeight="1" x14ac:dyDescent="0.25"/>
    <row r="5" spans="1:18" x14ac:dyDescent="0.25">
      <c r="B5" s="110" t="s">
        <v>293</v>
      </c>
      <c r="C5" s="110" t="s">
        <v>294</v>
      </c>
      <c r="D5" s="110" t="s">
        <v>4</v>
      </c>
      <c r="E5" s="110" t="s">
        <v>295</v>
      </c>
      <c r="G5" s="138" t="s">
        <v>293</v>
      </c>
      <c r="R5" s="4" t="s">
        <v>293</v>
      </c>
    </row>
    <row r="6" spans="1:18" x14ac:dyDescent="0.25">
      <c r="B6" s="5" t="s">
        <v>296</v>
      </c>
      <c r="C6" s="5" t="s">
        <v>299</v>
      </c>
      <c r="D6" s="5" t="s">
        <v>121</v>
      </c>
      <c r="E6" s="5">
        <v>1.7</v>
      </c>
      <c r="G6" s="5" t="s">
        <v>311</v>
      </c>
      <c r="R6" t="str" cm="1">
        <f t="array" ref="R6:R9">_xlfn.UNIQUE(B6:B17)</f>
        <v>Sioux Chin</v>
      </c>
    </row>
    <row r="7" spans="1:18" x14ac:dyDescent="0.25">
      <c r="B7" s="5" t="s">
        <v>297</v>
      </c>
      <c r="C7" s="5" t="s">
        <v>303</v>
      </c>
      <c r="D7" s="5" t="s">
        <v>308</v>
      </c>
      <c r="E7" s="5">
        <v>3.1</v>
      </c>
      <c r="R7" t="str">
        <v>Chantel Mimms</v>
      </c>
    </row>
    <row r="8" spans="1:18" x14ac:dyDescent="0.25">
      <c r="B8" s="5" t="s">
        <v>298</v>
      </c>
      <c r="C8" s="5" t="s">
        <v>307</v>
      </c>
      <c r="D8" s="5" t="s">
        <v>308</v>
      </c>
      <c r="E8" s="5">
        <v>2.1</v>
      </c>
      <c r="G8" s="110" t="s">
        <v>294</v>
      </c>
      <c r="H8" s="110" t="s">
        <v>4</v>
      </c>
      <c r="I8" s="110" t="s">
        <v>295</v>
      </c>
      <c r="K8" s="4" t="str">
        <f>"Formula in "&amp;ADDRESS(ROW(G9),COLUMN(G9),4)&amp;":"</f>
        <v>Formula in G9:</v>
      </c>
      <c r="R8" t="str">
        <v>Dylan Franks</v>
      </c>
    </row>
    <row r="9" spans="1:18" ht="17.25" x14ac:dyDescent="0.3">
      <c r="B9" s="5" t="s">
        <v>296</v>
      </c>
      <c r="C9" s="5" t="s">
        <v>300</v>
      </c>
      <c r="D9" s="5" t="s">
        <v>121</v>
      </c>
      <c r="E9" s="5">
        <v>4</v>
      </c>
      <c r="K9" s="170" t="str">
        <f ca="1">_xlfn.IFNA(_xlfn.FORMULATEXT(G9),"")</f>
        <v/>
      </c>
      <c r="R9" t="str">
        <v>Gigi Dmitri</v>
      </c>
    </row>
    <row r="10" spans="1:18" x14ac:dyDescent="0.25">
      <c r="B10" s="5" t="s">
        <v>297</v>
      </c>
      <c r="C10" s="5" t="s">
        <v>304</v>
      </c>
      <c r="D10" s="5" t="s">
        <v>308</v>
      </c>
      <c r="E10" s="5">
        <v>3.8</v>
      </c>
    </row>
    <row r="11" spans="1:18" x14ac:dyDescent="0.25">
      <c r="B11" s="5" t="s">
        <v>298</v>
      </c>
      <c r="C11" s="5" t="s">
        <v>306</v>
      </c>
      <c r="D11" s="5" t="s">
        <v>309</v>
      </c>
      <c r="E11" s="5">
        <v>2</v>
      </c>
    </row>
    <row r="12" spans="1:18" x14ac:dyDescent="0.25">
      <c r="B12" s="5" t="s">
        <v>296</v>
      </c>
      <c r="C12" s="5" t="s">
        <v>301</v>
      </c>
      <c r="D12" s="5" t="s">
        <v>310</v>
      </c>
      <c r="E12" s="5">
        <v>2.6</v>
      </c>
    </row>
    <row r="13" spans="1:18" x14ac:dyDescent="0.25">
      <c r="B13" s="5" t="s">
        <v>297</v>
      </c>
      <c r="C13" s="5" t="s">
        <v>305</v>
      </c>
      <c r="D13" s="5" t="s">
        <v>308</v>
      </c>
      <c r="E13" s="5">
        <v>3.3</v>
      </c>
    </row>
    <row r="14" spans="1:18" x14ac:dyDescent="0.25">
      <c r="B14" s="5" t="s">
        <v>298</v>
      </c>
      <c r="C14" s="5" t="s">
        <v>303</v>
      </c>
      <c r="D14" s="5" t="s">
        <v>308</v>
      </c>
      <c r="E14" s="5">
        <v>1.9</v>
      </c>
      <c r="G14" s="110" t="s">
        <v>294</v>
      </c>
      <c r="H14" s="110" t="s">
        <v>4</v>
      </c>
      <c r="I14" s="110" t="s">
        <v>295</v>
      </c>
    </row>
    <row r="15" spans="1:18" x14ac:dyDescent="0.25">
      <c r="B15" s="5" t="s">
        <v>311</v>
      </c>
      <c r="C15" s="5" t="s">
        <v>305</v>
      </c>
      <c r="D15" s="5" t="s">
        <v>308</v>
      </c>
      <c r="E15" s="5">
        <v>2.6</v>
      </c>
      <c r="G15" t="str" cm="1">
        <f t="array" ref="G15">IF(ROWS(G$15:G15)&gt;COUNTIFS($B$6:$B$17,$G$6),"",INDEX(C$6:C$17,_xlfn.AGGREGATE(15,6,(ROW($B$6:$B$17)-ROW($B$6)+1)/($B$6:$B$17=$G$6),ROWS(G$15:G15))))</f>
        <v>Busn 210</v>
      </c>
      <c r="H15" t="str" cm="1">
        <f t="array" ref="H15">IF(ROWS(H$15:H15)&gt;COUNTIFS($B$6:$B$17,$G$6),"",INDEX(D$6:D$17,_xlfn.AGGREGATE(15,6,(ROW($B$6:$B$17)-ROW($B$6)+1)/($B$6:$B$17=$G$6),ROWS(H$15:H15))))</f>
        <v>Business</v>
      </c>
      <c r="I15" cm="1">
        <f t="array" ref="I15">IF(ROWS(I$15:I15)&gt;COUNTIFS($B$6:$B$17,$G$6),"",INDEX(E$6:E$17,_xlfn.AGGREGATE(15,6,(ROW($B$6:$B$17)-ROW($B$6)+1)/($B$6:$B$17=$G$6),ROWS(I$15:I15))))</f>
        <v>2.6</v>
      </c>
    </row>
    <row r="16" spans="1:18" ht="15" customHeight="1" x14ac:dyDescent="0.25">
      <c r="B16" s="5" t="s">
        <v>297</v>
      </c>
      <c r="C16" s="5" t="s">
        <v>306</v>
      </c>
      <c r="D16" s="5" t="s">
        <v>309</v>
      </c>
      <c r="E16" s="5">
        <v>3.1</v>
      </c>
      <c r="G16" t="str" cm="1">
        <f t="array" ref="G16">IF(ROWS(G$15:G16)&gt;COUNTIFS($B$6:$B$17,$G$6),"",INDEX(C$6:C$17,_xlfn.AGGREGATE(15,6,(ROW($B$6:$B$17)-ROW($B$6)+1)/($B$6:$B$17=$G$6),ROWS(G$15:G16))))</f>
        <v>Econ 202</v>
      </c>
      <c r="H16" t="str" cm="1">
        <f t="array" ref="H16">IF(ROWS(H$15:H16)&gt;COUNTIFS($B$6:$B$17,$G$6),"",INDEX(D$6:D$17,_xlfn.AGGREGATE(15,6,(ROW($B$6:$B$17)-ROW($B$6)+1)/($B$6:$B$17=$G$6),ROWS(H$15:H16))))</f>
        <v>Economics</v>
      </c>
      <c r="I16" cm="1">
        <f t="array" ref="I16">IF(ROWS(I$15:I16)&gt;COUNTIFS($B$6:$B$17,$G$6),"",INDEX(E$6:E$17,_xlfn.AGGREGATE(15,6,(ROW($B$6:$B$17)-ROW($B$6)+1)/($B$6:$B$17=$G$6),ROWS(I$15:I16))))</f>
        <v>2</v>
      </c>
    </row>
    <row r="17" spans="2:13" ht="15" customHeight="1" x14ac:dyDescent="0.25">
      <c r="B17" s="5" t="s">
        <v>311</v>
      </c>
      <c r="C17" s="5" t="s">
        <v>302</v>
      </c>
      <c r="D17" s="5" t="s">
        <v>310</v>
      </c>
      <c r="E17" s="5">
        <v>2</v>
      </c>
      <c r="G17" t="str" cm="1">
        <f t="array" ref="G17">IF(ROWS(G$15:G17)&gt;COUNTIFS($B$6:$B$17,$G$6),"",INDEX(C$6:C$17,_xlfn.AGGREGATE(15,6,(ROW($B$6:$B$17)-ROW($B$6)+1)/($B$6:$B$17=$G$6),ROWS(G$15:G17))))</f>
        <v/>
      </c>
      <c r="H17" t="str" cm="1">
        <f t="array" ref="H17">IF(ROWS(H$15:H17)&gt;COUNTIFS($B$6:$B$17,$G$6),"",INDEX(D$6:D$17,_xlfn.AGGREGATE(15,6,(ROW($B$6:$B$17)-ROW($B$6)+1)/($B$6:$B$17=$G$6),ROWS(H$15:H17))))</f>
        <v/>
      </c>
      <c r="I17" t="str" cm="1">
        <f t="array" ref="I17">IF(ROWS(I$15:I17)&gt;COUNTIFS($B$6:$B$17,$G$6),"",INDEX(E$6:E$17,_xlfn.AGGREGATE(15,6,(ROW($B$6:$B$17)-ROW($B$6)+1)/($B$6:$B$17=$G$6),ROWS(I$15:I17))))</f>
        <v/>
      </c>
    </row>
    <row r="18" spans="2:13" ht="4.5" customHeight="1" x14ac:dyDescent="0.25">
      <c r="G18" t="str" cm="1">
        <f t="array" ref="G18">IF(ROWS(G$15:G18)&gt;COUNTIFS($B$6:$B$17,$G$6),"",INDEX(C$6:C$17,_xlfn.AGGREGATE(15,6,(ROW($B$6:$B$17)-ROW($B$6)+1)/($B$6:$B$17=$G$6),ROWS(G$15:G18))))</f>
        <v/>
      </c>
      <c r="H18" t="str" cm="1">
        <f t="array" ref="H18">IF(ROWS(H$15:H18)&gt;COUNTIFS($B$6:$B$17,$G$6),"",INDEX(D$6:D$17,_xlfn.AGGREGATE(15,6,(ROW($B$6:$B$17)-ROW($B$6)+1)/($B$6:$B$17=$G$6),ROWS(H$15:H18))))</f>
        <v/>
      </c>
      <c r="I18" t="str" cm="1">
        <f t="array" ref="I18">IF(ROWS(I$15:I18)&gt;COUNTIFS($B$6:$B$17,$G$6),"",INDEX(E$6:E$17,_xlfn.AGGREGATE(15,6,(ROW($B$6:$B$17)-ROW($B$6)+1)/($B$6:$B$17=$G$6),ROWS(I$15:I18))))</f>
        <v/>
      </c>
    </row>
    <row r="19" spans="2:13" ht="15" customHeight="1" x14ac:dyDescent="0.25">
      <c r="G19" s="4" t="str">
        <f>"Formula 'before we had FILTER' in "&amp;ADDRESS(ROW(G15),COLUMN(G15),4)&amp;":"</f>
        <v>Formula 'before we had FILTER' in G15:</v>
      </c>
      <c r="K19" s="216"/>
      <c r="L19" s="216"/>
      <c r="M19" s="216"/>
    </row>
    <row r="20" spans="2:13" ht="15" customHeight="1" x14ac:dyDescent="0.25">
      <c r="G20" s="273" t="s">
        <v>313</v>
      </c>
      <c r="H20" s="274"/>
      <c r="I20" s="274"/>
      <c r="J20" s="274"/>
      <c r="K20" s="274"/>
      <c r="L20" s="274"/>
      <c r="M20" s="275"/>
    </row>
    <row r="21" spans="2:13" ht="15" customHeight="1" x14ac:dyDescent="0.25">
      <c r="G21" s="276"/>
      <c r="H21" s="277"/>
      <c r="I21" s="277"/>
      <c r="J21" s="277"/>
      <c r="K21" s="277"/>
      <c r="L21" s="277"/>
      <c r="M21" s="278"/>
    </row>
    <row r="22" spans="2:13" ht="15" customHeight="1" x14ac:dyDescent="0.25">
      <c r="G22" s="276"/>
      <c r="H22" s="277"/>
      <c r="I22" s="277"/>
      <c r="J22" s="277"/>
      <c r="K22" s="277"/>
      <c r="L22" s="277"/>
      <c r="M22" s="278"/>
    </row>
    <row r="23" spans="2:13" ht="8.25" customHeight="1" x14ac:dyDescent="0.25">
      <c r="G23" s="279"/>
      <c r="H23" s="280"/>
      <c r="I23" s="280"/>
      <c r="J23" s="280"/>
      <c r="K23" s="280"/>
      <c r="L23" s="280"/>
      <c r="M23" s="281"/>
    </row>
  </sheetData>
  <mergeCells count="1">
    <mergeCell ref="G20:M23"/>
  </mergeCells>
  <conditionalFormatting sqref="G9:I12">
    <cfRule type="expression" dxfId="47" priority="3">
      <formula>G9&lt;&gt;""</formula>
    </cfRule>
  </conditionalFormatting>
  <conditionalFormatting sqref="G15:I18">
    <cfRule type="expression" dxfId="46" priority="2">
      <formula>G15&lt;&gt;""</formula>
    </cfRule>
  </conditionalFormatting>
  <conditionalFormatting sqref="B6:E17">
    <cfRule type="expression" dxfId="45" priority="1">
      <formula>$B6=$G$6</formula>
    </cfRule>
  </conditionalFormatting>
  <dataValidations count="1">
    <dataValidation type="list" allowBlank="1" showInputMessage="1" showErrorMessage="1" sqref="G6" xr:uid="{8080890D-48B7-4C6E-B71B-7979EA120AC5}">
      <formula1>_xlfn.ANCHORARRAY($R$6)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DE02-9BA0-4C24-880A-94962DCDB0D6}">
  <sheetPr codeName="Sheet57">
    <tabColor rgb="FFFF0000"/>
  </sheetPr>
  <dimension ref="A1:R23"/>
  <sheetViews>
    <sheetView zoomScale="145" zoomScaleNormal="145" workbookViewId="0"/>
  </sheetViews>
  <sheetFormatPr defaultColWidth="8.85546875" defaultRowHeight="15" x14ac:dyDescent="0.25"/>
  <cols>
    <col min="1" max="1" width="4" bestFit="1" customWidth="1"/>
    <col min="2" max="2" width="15" bestFit="1" customWidth="1"/>
    <col min="3" max="3" width="8.7109375" bestFit="1" customWidth="1"/>
    <col min="4" max="4" width="11.7109375" bestFit="1" customWidth="1"/>
    <col min="5" max="5" width="6.42578125" bestFit="1" customWidth="1"/>
    <col min="6" max="6" width="1.140625" customWidth="1"/>
    <col min="7" max="7" width="10.42578125" bestFit="1" customWidth="1"/>
    <col min="8" max="8" width="11.7109375" bestFit="1" customWidth="1"/>
    <col min="9" max="9" width="6.42578125" bestFit="1" customWidth="1"/>
    <col min="10" max="10" width="1.140625" customWidth="1"/>
    <col min="13" max="13" width="10.85546875" customWidth="1"/>
    <col min="18" max="18" width="28.7109375" bestFit="1" customWidth="1"/>
  </cols>
  <sheetData>
    <row r="1" spans="1:18" ht="3.75" customHeight="1" x14ac:dyDescent="0.25"/>
    <row r="2" spans="1:18" x14ac:dyDescent="0.25">
      <c r="A2" s="4" t="s">
        <v>207</v>
      </c>
      <c r="B2" s="4" t="s">
        <v>312</v>
      </c>
    </row>
    <row r="3" spans="1:18" x14ac:dyDescent="0.25">
      <c r="A3" s="4" t="s">
        <v>290</v>
      </c>
      <c r="B3" t="s">
        <v>291</v>
      </c>
      <c r="R3" s="4" t="s">
        <v>315</v>
      </c>
    </row>
    <row r="4" spans="1:18" ht="3.75" customHeight="1" x14ac:dyDescent="0.25"/>
    <row r="5" spans="1:18" x14ac:dyDescent="0.25">
      <c r="B5" s="110" t="s">
        <v>293</v>
      </c>
      <c r="C5" s="110" t="s">
        <v>294</v>
      </c>
      <c r="D5" s="110" t="s">
        <v>4</v>
      </c>
      <c r="E5" s="110" t="s">
        <v>295</v>
      </c>
      <c r="G5" s="138" t="s">
        <v>293</v>
      </c>
      <c r="R5" s="4" t="s">
        <v>293</v>
      </c>
    </row>
    <row r="6" spans="1:18" x14ac:dyDescent="0.25">
      <c r="B6" s="5" t="s">
        <v>296</v>
      </c>
      <c r="C6" s="5" t="s">
        <v>299</v>
      </c>
      <c r="D6" s="5" t="s">
        <v>121</v>
      </c>
      <c r="E6" s="5">
        <v>1.7</v>
      </c>
      <c r="G6" s="5" t="s">
        <v>311</v>
      </c>
      <c r="R6" t="str" cm="1">
        <f t="array" ref="R6:R9">_xlfn.UNIQUE(B6:B17)</f>
        <v>Sioux Chin</v>
      </c>
    </row>
    <row r="7" spans="1:18" x14ac:dyDescent="0.25">
      <c r="B7" s="5" t="s">
        <v>297</v>
      </c>
      <c r="C7" s="5" t="s">
        <v>303</v>
      </c>
      <c r="D7" s="5" t="s">
        <v>308</v>
      </c>
      <c r="E7" s="5">
        <v>3.1</v>
      </c>
      <c r="R7" t="str">
        <v>Chantel Mimms</v>
      </c>
    </row>
    <row r="8" spans="1:18" x14ac:dyDescent="0.25">
      <c r="B8" s="5" t="s">
        <v>298</v>
      </c>
      <c r="C8" s="5" t="s">
        <v>307</v>
      </c>
      <c r="D8" s="5" t="s">
        <v>308</v>
      </c>
      <c r="E8" s="5">
        <v>2.1</v>
      </c>
      <c r="G8" s="110" t="s">
        <v>294</v>
      </c>
      <c r="H8" s="110" t="s">
        <v>4</v>
      </c>
      <c r="I8" s="110" t="s">
        <v>295</v>
      </c>
      <c r="K8" s="4" t="str">
        <f>"Formula in "&amp;ADDRESS(ROW(G9),COLUMN(G9),4)&amp;":"</f>
        <v>Formula in G9:</v>
      </c>
      <c r="R8" t="str">
        <v>Dylan Franks</v>
      </c>
    </row>
    <row r="9" spans="1:18" ht="17.25" x14ac:dyDescent="0.3">
      <c r="B9" s="5" t="s">
        <v>296</v>
      </c>
      <c r="C9" s="5" t="s">
        <v>300</v>
      </c>
      <c r="D9" s="5" t="s">
        <v>121</v>
      </c>
      <c r="E9" s="5">
        <v>4</v>
      </c>
      <c r="G9" t="str" cm="1">
        <f t="array" ref="G9:I10">_xlfn._xlws.FILTER(C6:E17,B6:B17=G6)</f>
        <v>Busn 210</v>
      </c>
      <c r="H9" t="str">
        <v>Business</v>
      </c>
      <c r="I9">
        <v>2.6</v>
      </c>
      <c r="K9" s="170" t="str">
        <f ca="1">_xlfn.IFNA(_xlfn.FORMULATEXT(G9),"")</f>
        <v>=FILTER(C6:E17,B6:B17=G6)</v>
      </c>
      <c r="R9" t="str">
        <v>Gigi Dmitri</v>
      </c>
    </row>
    <row r="10" spans="1:18" x14ac:dyDescent="0.25">
      <c r="B10" s="5" t="s">
        <v>297</v>
      </c>
      <c r="C10" s="5" t="s">
        <v>304</v>
      </c>
      <c r="D10" s="5" t="s">
        <v>308</v>
      </c>
      <c r="E10" s="5">
        <v>3.8</v>
      </c>
      <c r="G10" t="str">
        <v>Econ 202</v>
      </c>
      <c r="H10" t="str">
        <v>Economics</v>
      </c>
      <c r="I10">
        <v>2</v>
      </c>
    </row>
    <row r="11" spans="1:18" x14ac:dyDescent="0.25">
      <c r="B11" s="5" t="s">
        <v>298</v>
      </c>
      <c r="C11" s="5" t="s">
        <v>306</v>
      </c>
      <c r="D11" s="5" t="s">
        <v>309</v>
      </c>
      <c r="E11" s="5">
        <v>2</v>
      </c>
    </row>
    <row r="12" spans="1:18" x14ac:dyDescent="0.25">
      <c r="B12" s="5" t="s">
        <v>296</v>
      </c>
      <c r="C12" s="5" t="s">
        <v>301</v>
      </c>
      <c r="D12" s="5" t="s">
        <v>310</v>
      </c>
      <c r="E12" s="5">
        <v>2.6</v>
      </c>
    </row>
    <row r="13" spans="1:18" x14ac:dyDescent="0.25">
      <c r="B13" s="5" t="s">
        <v>297</v>
      </c>
      <c r="C13" s="5" t="s">
        <v>305</v>
      </c>
      <c r="D13" s="5" t="s">
        <v>308</v>
      </c>
      <c r="E13" s="5">
        <v>3.3</v>
      </c>
    </row>
    <row r="14" spans="1:18" x14ac:dyDescent="0.25">
      <c r="B14" s="5" t="s">
        <v>298</v>
      </c>
      <c r="C14" s="5" t="s">
        <v>303</v>
      </c>
      <c r="D14" s="5" t="s">
        <v>308</v>
      </c>
      <c r="E14" s="5">
        <v>1.9</v>
      </c>
      <c r="G14" s="110" t="s">
        <v>294</v>
      </c>
      <c r="H14" s="110" t="s">
        <v>4</v>
      </c>
      <c r="I14" s="110" t="s">
        <v>295</v>
      </c>
    </row>
    <row r="15" spans="1:18" x14ac:dyDescent="0.25">
      <c r="B15" s="5" t="s">
        <v>311</v>
      </c>
      <c r="C15" s="5" t="s">
        <v>305</v>
      </c>
      <c r="D15" s="5" t="s">
        <v>308</v>
      </c>
      <c r="E15" s="5">
        <v>2.6</v>
      </c>
      <c r="G15" t="str" cm="1">
        <f t="array" ref="G15">IF(ROWS(G$15:G15)&gt;COUNTIFS($B$6:$B$17,$G$6),"",INDEX(C$6:C$17,_xlfn.AGGREGATE(15,6,(ROW($B$6:$B$17)-ROW($B$6)+1)/($B$6:$B$17=$G$6),ROWS(G$15:G15))))</f>
        <v>Busn 210</v>
      </c>
      <c r="H15" t="str" cm="1">
        <f t="array" ref="H15">IF(ROWS(H$15:H15)&gt;COUNTIFS($B$6:$B$17,$G$6),"",INDEX(D$6:D$17,_xlfn.AGGREGATE(15,6,(ROW($B$6:$B$17)-ROW($B$6)+1)/($B$6:$B$17=$G$6),ROWS(H$15:H15))))</f>
        <v>Business</v>
      </c>
      <c r="I15" cm="1">
        <f t="array" ref="I15">IF(ROWS(I$15:I15)&gt;COUNTIFS($B$6:$B$17,$G$6),"",INDEX(E$6:E$17,_xlfn.AGGREGATE(15,6,(ROW($B$6:$B$17)-ROW($B$6)+1)/($B$6:$B$17=$G$6),ROWS(I$15:I15))))</f>
        <v>2.6</v>
      </c>
    </row>
    <row r="16" spans="1:18" ht="15" customHeight="1" x14ac:dyDescent="0.25">
      <c r="B16" s="5" t="s">
        <v>297</v>
      </c>
      <c r="C16" s="5" t="s">
        <v>306</v>
      </c>
      <c r="D16" s="5" t="s">
        <v>309</v>
      </c>
      <c r="E16" s="5">
        <v>3.1</v>
      </c>
      <c r="G16" t="str" cm="1">
        <f t="array" ref="G16">IF(ROWS(G$15:G16)&gt;COUNTIFS($B$6:$B$17,$G$6),"",INDEX(C$6:C$17,_xlfn.AGGREGATE(15,6,(ROW($B$6:$B$17)-ROW($B$6)+1)/($B$6:$B$17=$G$6),ROWS(G$15:G16))))</f>
        <v>Econ 202</v>
      </c>
      <c r="H16" t="str" cm="1">
        <f t="array" ref="H16">IF(ROWS(H$15:H16)&gt;COUNTIFS($B$6:$B$17,$G$6),"",INDEX(D$6:D$17,_xlfn.AGGREGATE(15,6,(ROW($B$6:$B$17)-ROW($B$6)+1)/($B$6:$B$17=$G$6),ROWS(H$15:H16))))</f>
        <v>Economics</v>
      </c>
      <c r="I16" cm="1">
        <f t="array" ref="I16">IF(ROWS(I$15:I16)&gt;COUNTIFS($B$6:$B$17,$G$6),"",INDEX(E$6:E$17,_xlfn.AGGREGATE(15,6,(ROW($B$6:$B$17)-ROW($B$6)+1)/($B$6:$B$17=$G$6),ROWS(I$15:I16))))</f>
        <v>2</v>
      </c>
    </row>
    <row r="17" spans="2:13" ht="15" customHeight="1" x14ac:dyDescent="0.25">
      <c r="B17" s="5" t="s">
        <v>311</v>
      </c>
      <c r="C17" s="5" t="s">
        <v>302</v>
      </c>
      <c r="D17" s="5" t="s">
        <v>310</v>
      </c>
      <c r="E17" s="5">
        <v>2</v>
      </c>
      <c r="G17" t="str" cm="1">
        <f t="array" ref="G17">IF(ROWS(G$15:G17)&gt;COUNTIFS($B$6:$B$17,$G$6),"",INDEX(C$6:C$17,_xlfn.AGGREGATE(15,6,(ROW($B$6:$B$17)-ROW($B$6)+1)/($B$6:$B$17=$G$6),ROWS(G$15:G17))))</f>
        <v/>
      </c>
      <c r="H17" t="str" cm="1">
        <f t="array" ref="H17">IF(ROWS(H$15:H17)&gt;COUNTIFS($B$6:$B$17,$G$6),"",INDEX(D$6:D$17,_xlfn.AGGREGATE(15,6,(ROW($B$6:$B$17)-ROW($B$6)+1)/($B$6:$B$17=$G$6),ROWS(H$15:H17))))</f>
        <v/>
      </c>
      <c r="I17" t="str" cm="1">
        <f t="array" ref="I17">IF(ROWS(I$15:I17)&gt;COUNTIFS($B$6:$B$17,$G$6),"",INDEX(E$6:E$17,_xlfn.AGGREGATE(15,6,(ROW($B$6:$B$17)-ROW($B$6)+1)/($B$6:$B$17=$G$6),ROWS(I$15:I17))))</f>
        <v/>
      </c>
    </row>
    <row r="18" spans="2:13" ht="4.5" customHeight="1" x14ac:dyDescent="0.25">
      <c r="G18" t="str" cm="1">
        <f t="array" ref="G18">IF(ROWS(G$15:G18)&gt;COUNTIFS($B$6:$B$17,$G$6),"",INDEX(C$6:C$17,_xlfn.AGGREGATE(15,6,(ROW($B$6:$B$17)-ROW($B$6)+1)/($B$6:$B$17=$G$6),ROWS(G$15:G18))))</f>
        <v/>
      </c>
      <c r="H18" t="str" cm="1">
        <f t="array" ref="H18">IF(ROWS(H$15:H18)&gt;COUNTIFS($B$6:$B$17,$G$6),"",INDEX(D$6:D$17,_xlfn.AGGREGATE(15,6,(ROW($B$6:$B$17)-ROW($B$6)+1)/($B$6:$B$17=$G$6),ROWS(H$15:H18))))</f>
        <v/>
      </c>
      <c r="I18" t="str" cm="1">
        <f t="array" ref="I18">IF(ROWS(I$15:I18)&gt;COUNTIFS($B$6:$B$17,$G$6),"",INDEX(E$6:E$17,_xlfn.AGGREGATE(15,6,(ROW($B$6:$B$17)-ROW($B$6)+1)/($B$6:$B$17=$G$6),ROWS(I$15:I18))))</f>
        <v/>
      </c>
    </row>
    <row r="19" spans="2:13" ht="15" customHeight="1" x14ac:dyDescent="0.25">
      <c r="G19" s="4" t="str">
        <f>"Formula 'before we had FILTER' in "&amp;ADDRESS(ROW(G15),COLUMN(G15),4)&amp;":"</f>
        <v>Formula 'before we had FILTER' in G15:</v>
      </c>
      <c r="K19" s="216"/>
      <c r="L19" s="216"/>
      <c r="M19" s="216"/>
    </row>
    <row r="20" spans="2:13" ht="15" customHeight="1" x14ac:dyDescent="0.25">
      <c r="G20" s="273" t="s">
        <v>313</v>
      </c>
      <c r="H20" s="274"/>
      <c r="I20" s="274"/>
      <c r="J20" s="274"/>
      <c r="K20" s="274"/>
      <c r="L20" s="274"/>
      <c r="M20" s="275"/>
    </row>
    <row r="21" spans="2:13" ht="15" customHeight="1" x14ac:dyDescent="0.25">
      <c r="G21" s="276"/>
      <c r="H21" s="277"/>
      <c r="I21" s="277"/>
      <c r="J21" s="277"/>
      <c r="K21" s="277"/>
      <c r="L21" s="277"/>
      <c r="M21" s="278"/>
    </row>
    <row r="22" spans="2:13" ht="15" customHeight="1" x14ac:dyDescent="0.25">
      <c r="G22" s="276"/>
      <c r="H22" s="277"/>
      <c r="I22" s="277"/>
      <c r="J22" s="277"/>
      <c r="K22" s="277"/>
      <c r="L22" s="277"/>
      <c r="M22" s="278"/>
    </row>
    <row r="23" spans="2:13" ht="8.25" customHeight="1" x14ac:dyDescent="0.25">
      <c r="G23" s="279"/>
      <c r="H23" s="280"/>
      <c r="I23" s="280"/>
      <c r="J23" s="280"/>
      <c r="K23" s="280"/>
      <c r="L23" s="280"/>
      <c r="M23" s="281"/>
    </row>
  </sheetData>
  <mergeCells count="1">
    <mergeCell ref="G20:M23"/>
  </mergeCells>
  <conditionalFormatting sqref="G9:I12">
    <cfRule type="expression" dxfId="44" priority="3">
      <formula>G9&lt;&gt;""</formula>
    </cfRule>
  </conditionalFormatting>
  <conditionalFormatting sqref="G15:I18">
    <cfRule type="expression" dxfId="43" priority="2">
      <formula>G15&lt;&gt;""</formula>
    </cfRule>
  </conditionalFormatting>
  <conditionalFormatting sqref="B6:E17">
    <cfRule type="expression" dxfId="42" priority="1">
      <formula>$B6=$G$6</formula>
    </cfRule>
  </conditionalFormatting>
  <dataValidations count="1">
    <dataValidation type="list" allowBlank="1" showInputMessage="1" showErrorMessage="1" sqref="G6" xr:uid="{47E93782-545B-4185-9B4F-272F1858BCBA}">
      <formula1>_xlfn.ANCHORARRAY($R$6)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4971-7E41-4555-84C3-5ECF7E971E17}">
  <sheetPr codeName="Sheet58">
    <tabColor rgb="FF0000FF"/>
  </sheetPr>
  <dimension ref="A1:R33"/>
  <sheetViews>
    <sheetView zoomScale="115" zoomScaleNormal="115" workbookViewId="0"/>
  </sheetViews>
  <sheetFormatPr defaultColWidth="8.85546875" defaultRowHeight="15" x14ac:dyDescent="0.25"/>
  <cols>
    <col min="1" max="1" width="3.42578125" customWidth="1"/>
    <col min="2" max="2" width="14.28515625" customWidth="1"/>
    <col min="3" max="3" width="8.7109375" bestFit="1" customWidth="1"/>
    <col min="4" max="4" width="11.7109375" bestFit="1" customWidth="1"/>
    <col min="5" max="5" width="6.42578125" bestFit="1" customWidth="1"/>
    <col min="6" max="6" width="1.140625" customWidth="1"/>
    <col min="7" max="7" width="10.42578125" bestFit="1" customWidth="1"/>
    <col min="8" max="8" width="11.7109375" bestFit="1" customWidth="1"/>
    <col min="9" max="9" width="6.42578125" bestFit="1" customWidth="1"/>
    <col min="10" max="10" width="1.140625" customWidth="1"/>
    <col min="11" max="11" width="13" customWidth="1"/>
    <col min="13" max="13" width="10.85546875" customWidth="1"/>
    <col min="14" max="14" width="13.42578125" customWidth="1"/>
    <col min="16" max="16" width="15" bestFit="1" customWidth="1"/>
    <col min="18" max="18" width="11.7109375" bestFit="1" customWidth="1"/>
  </cols>
  <sheetData>
    <row r="1" spans="1:18" ht="3.75" customHeight="1" x14ac:dyDescent="0.25"/>
    <row r="2" spans="1:18" x14ac:dyDescent="0.25">
      <c r="A2" s="4" t="s">
        <v>207</v>
      </c>
      <c r="B2" s="4" t="s">
        <v>312</v>
      </c>
    </row>
    <row r="3" spans="1:18" x14ac:dyDescent="0.25">
      <c r="A3" s="4" t="s">
        <v>316</v>
      </c>
      <c r="B3" t="s">
        <v>291</v>
      </c>
      <c r="P3" s="4" t="s">
        <v>315</v>
      </c>
    </row>
    <row r="4" spans="1:18" ht="3.75" customHeight="1" x14ac:dyDescent="0.25"/>
    <row r="5" spans="1:18" x14ac:dyDescent="0.25">
      <c r="B5" s="110" t="s">
        <v>293</v>
      </c>
      <c r="C5" s="110" t="s">
        <v>294</v>
      </c>
      <c r="D5" s="110" t="s">
        <v>4</v>
      </c>
      <c r="E5" s="110" t="s">
        <v>295</v>
      </c>
      <c r="G5" s="138" t="s">
        <v>293</v>
      </c>
      <c r="H5" s="138" t="s">
        <v>4</v>
      </c>
      <c r="P5" s="4" t="s">
        <v>293</v>
      </c>
      <c r="R5" s="4" t="s">
        <v>4</v>
      </c>
    </row>
    <row r="6" spans="1:18" x14ac:dyDescent="0.25">
      <c r="B6" s="5" t="s">
        <v>296</v>
      </c>
      <c r="C6" s="5" t="s">
        <v>299</v>
      </c>
      <c r="D6" s="5" t="s">
        <v>121</v>
      </c>
      <c r="E6" s="5">
        <v>1.7</v>
      </c>
      <c r="G6" s="5" t="s">
        <v>296</v>
      </c>
      <c r="H6" s="5" t="s">
        <v>121</v>
      </c>
      <c r="P6" t="str" cm="1">
        <f t="array" ref="P6:P9">_xlfn.UNIQUE(B6:B17)</f>
        <v>Sioux Chin</v>
      </c>
      <c r="R6" t="str" cm="1">
        <f t="array" ref="R6:R9">_xlfn.UNIQUE(D6:D17)</f>
        <v>Accounting</v>
      </c>
    </row>
    <row r="7" spans="1:18" x14ac:dyDescent="0.25">
      <c r="B7" s="5" t="s">
        <v>297</v>
      </c>
      <c r="C7" s="5" t="s">
        <v>303</v>
      </c>
      <c r="D7" s="5" t="s">
        <v>308</v>
      </c>
      <c r="E7" s="5">
        <v>3.1</v>
      </c>
      <c r="P7" t="str">
        <v>Chantel Mimms</v>
      </c>
      <c r="R7" t="str">
        <v>Business</v>
      </c>
    </row>
    <row r="8" spans="1:18" x14ac:dyDescent="0.25">
      <c r="B8" s="5" t="s">
        <v>298</v>
      </c>
      <c r="C8" s="5" t="s">
        <v>307</v>
      </c>
      <c r="D8" s="5" t="s">
        <v>308</v>
      </c>
      <c r="E8" s="5">
        <v>2.1</v>
      </c>
      <c r="G8" s="4" t="str">
        <f>"Formula in "&amp;ADDRESS(ROW(G12),COLUMN(G12),4)&amp;":"</f>
        <v>Formula in G12:</v>
      </c>
      <c r="P8" t="str">
        <v>Dylan Franks</v>
      </c>
      <c r="R8" t="str">
        <v>English</v>
      </c>
    </row>
    <row r="9" spans="1:18" ht="17.25" x14ac:dyDescent="0.3">
      <c r="B9" s="5" t="s">
        <v>296</v>
      </c>
      <c r="C9" s="5" t="s">
        <v>300</v>
      </c>
      <c r="D9" s="5" t="s">
        <v>121</v>
      </c>
      <c r="E9" s="5">
        <v>4</v>
      </c>
      <c r="G9" s="170" t="str">
        <f ca="1">_xlfn.IFNA(_xlfn.FORMULATEXT(G12),"")</f>
        <v/>
      </c>
      <c r="P9" t="str">
        <v>Gigi Dmitri</v>
      </c>
      <c r="R9" t="str">
        <v>Economics</v>
      </c>
    </row>
    <row r="10" spans="1:18" x14ac:dyDescent="0.25">
      <c r="B10" s="5" t="s">
        <v>297</v>
      </c>
      <c r="C10" s="5" t="s">
        <v>304</v>
      </c>
      <c r="D10" s="5" t="s">
        <v>308</v>
      </c>
      <c r="E10" s="5">
        <v>3.8</v>
      </c>
    </row>
    <row r="11" spans="1:18" x14ac:dyDescent="0.25">
      <c r="B11" s="5" t="s">
        <v>298</v>
      </c>
      <c r="C11" s="5" t="s">
        <v>306</v>
      </c>
      <c r="D11" s="5" t="s">
        <v>309</v>
      </c>
      <c r="E11" s="5">
        <v>2</v>
      </c>
      <c r="G11" s="110" t="s">
        <v>294</v>
      </c>
      <c r="H11" s="110" t="s">
        <v>4</v>
      </c>
      <c r="I11" s="110" t="s">
        <v>295</v>
      </c>
    </row>
    <row r="12" spans="1:18" x14ac:dyDescent="0.25">
      <c r="B12" s="5" t="s">
        <v>296</v>
      </c>
      <c r="C12" s="5" t="s">
        <v>301</v>
      </c>
      <c r="D12" s="5" t="s">
        <v>310</v>
      </c>
      <c r="E12" s="5">
        <v>2.6</v>
      </c>
    </row>
    <row r="13" spans="1:18" x14ac:dyDescent="0.25">
      <c r="B13" s="5" t="s">
        <v>297</v>
      </c>
      <c r="C13" s="5" t="s">
        <v>305</v>
      </c>
      <c r="D13" s="5" t="s">
        <v>308</v>
      </c>
      <c r="E13" s="5">
        <v>3.3</v>
      </c>
    </row>
    <row r="14" spans="1:18" x14ac:dyDescent="0.25">
      <c r="B14" s="5" t="s">
        <v>298</v>
      </c>
      <c r="C14" s="5" t="s">
        <v>303</v>
      </c>
      <c r="D14" s="5" t="s">
        <v>308</v>
      </c>
      <c r="E14" s="5">
        <v>1.9</v>
      </c>
    </row>
    <row r="15" spans="1:18" x14ac:dyDescent="0.25">
      <c r="B15" s="5" t="s">
        <v>311</v>
      </c>
      <c r="C15" s="5" t="s">
        <v>305</v>
      </c>
      <c r="D15" s="5" t="s">
        <v>308</v>
      </c>
      <c r="E15" s="5">
        <v>2.6</v>
      </c>
    </row>
    <row r="16" spans="1:18" ht="15" customHeight="1" x14ac:dyDescent="0.25">
      <c r="B16" s="5" t="s">
        <v>297</v>
      </c>
      <c r="C16" s="5" t="s">
        <v>306</v>
      </c>
      <c r="D16" s="5" t="s">
        <v>309</v>
      </c>
      <c r="E16" s="5">
        <v>3.1</v>
      </c>
    </row>
    <row r="17" spans="2:14" ht="15" customHeight="1" x14ac:dyDescent="0.25">
      <c r="B17" s="5" t="s">
        <v>311</v>
      </c>
      <c r="C17" s="5" t="s">
        <v>302</v>
      </c>
      <c r="D17" s="5" t="s">
        <v>310</v>
      </c>
      <c r="E17" s="5">
        <v>2</v>
      </c>
    </row>
    <row r="19" spans="2:14" ht="15" customHeight="1" x14ac:dyDescent="0.25"/>
    <row r="20" spans="2:14" ht="15" customHeight="1" x14ac:dyDescent="0.25"/>
    <row r="22" spans="2:14" x14ac:dyDescent="0.25">
      <c r="G22" s="110" t="s">
        <v>294</v>
      </c>
      <c r="H22" s="110" t="s">
        <v>4</v>
      </c>
      <c r="I22" s="110" t="s">
        <v>295</v>
      </c>
    </row>
    <row r="23" spans="2:14" x14ac:dyDescent="0.25">
      <c r="G23" t="str" cm="1">
        <f t="array" ref="G23">IF(ROWS(G$23:G23)&gt;COUNTIFS($B$6:$B$17,$G$6,$D$6:$D$17,$H$6),"",INDEX(C$6:C$17,_xlfn.AGGREGATE(15,6,(ROW($B$6:$B$17)-ROW($B$6)+1)/($B$6:$B$17&amp;$D$6:$D$17=$G$6&amp;$H$6),ROWS(G$23:G23))))</f>
        <v>Acc 121</v>
      </c>
      <c r="H23" t="str" cm="1">
        <f t="array" ref="H23">IF(ROWS(H$23:H23)&gt;COUNTIFS($B$6:$B$17,$G$6,$D$6:$D$17,$H$6),"",INDEX(D$6:D$17,_xlfn.AGGREGATE(15,6,(ROW($B$6:$B$17)-ROW($B$6)+1)/($B$6:$B$17&amp;$D$6:$D$17=$G$6&amp;$H$6),ROWS(H$23:H23))))</f>
        <v>Accounting</v>
      </c>
      <c r="I23" cm="1">
        <f t="array" ref="I23">IF(ROWS(I$23:I23)&gt;COUNTIFS($B$6:$B$17,$G$6,$D$6:$D$17,$H$6),"",INDEX(E$6:E$17,_xlfn.AGGREGATE(15,6,(ROW($B$6:$B$17)-ROW($B$6)+1)/($B$6:$B$17&amp;$D$6:$D$17=$G$6&amp;$H$6),ROWS(I$23:I23))))</f>
        <v>1.7</v>
      </c>
    </row>
    <row r="24" spans="2:14" x14ac:dyDescent="0.25">
      <c r="G24" t="str" cm="1">
        <f t="array" ref="G24">IF(ROWS(G$23:G24)&gt;COUNTIFS($B$6:$B$17,$G$6,$D$6:$D$17,$H$6),"",INDEX(C$6:C$17,_xlfn.AGGREGATE(15,6,(ROW($B$6:$B$17)-ROW($B$6)+1)/($B$6:$B$17&amp;$D$6:$D$17=$G$6&amp;$H$6),ROWS(G$23:G24))))</f>
        <v>Acc 201</v>
      </c>
      <c r="H24" t="str" cm="1">
        <f t="array" ref="H24">IF(ROWS(H$23:H24)&gt;COUNTIFS($B$6:$B$17,$G$6,$D$6:$D$17,$H$6),"",INDEX(D$6:D$17,_xlfn.AGGREGATE(15,6,(ROW($B$6:$B$17)-ROW($B$6)+1)/($B$6:$B$17&amp;$D$6:$D$17=$G$6&amp;$H$6),ROWS(H$23:H24))))</f>
        <v>Accounting</v>
      </c>
      <c r="I24" cm="1">
        <f t="array" ref="I24">IF(ROWS(I$23:I24)&gt;COUNTIFS($B$6:$B$17,$G$6,$D$6:$D$17,$H$6),"",INDEX(E$6:E$17,_xlfn.AGGREGATE(15,6,(ROW($B$6:$B$17)-ROW($B$6)+1)/($B$6:$B$17&amp;$D$6:$D$17=$G$6&amp;$H$6),ROWS(I$23:I24))))</f>
        <v>4</v>
      </c>
    </row>
    <row r="25" spans="2:14" x14ac:dyDescent="0.25">
      <c r="G25" t="str" cm="1">
        <f t="array" ref="G25">IF(ROWS(G$23:G25)&gt;COUNTIFS($B$6:$B$17,$G$6,$D$6:$D$17,$H$6),"",INDEX(C$6:C$17,_xlfn.AGGREGATE(15,6,(ROW($B$6:$B$17)-ROW($B$6)+1)/($B$6:$B$17&amp;$D$6:$D$17=$G$6&amp;$H$6),ROWS(G$23:G25))))</f>
        <v/>
      </c>
      <c r="H25" t="str" cm="1">
        <f t="array" ref="H25">IF(ROWS(H$23:H25)&gt;COUNTIFS($B$6:$B$17,$G$6,$D$6:$D$17,$H$6),"",INDEX(D$6:D$17,_xlfn.AGGREGATE(15,6,(ROW($B$6:$B$17)-ROW($B$6)+1)/($B$6:$B$17&amp;$D$6:$D$17=$G$6&amp;$H$6),ROWS(H$23:H25))))</f>
        <v/>
      </c>
      <c r="I25" t="str" cm="1">
        <f t="array" ref="I25">IF(ROWS(I$23:I25)&gt;COUNTIFS($B$6:$B$17,$G$6,$D$6:$D$17,$H$6),"",INDEX(E$6:E$17,_xlfn.AGGREGATE(15,6,(ROW($B$6:$B$17)-ROW($B$6)+1)/($B$6:$B$17&amp;$D$6:$D$17=$G$6&amp;$H$6),ROWS(I$23:I25))))</f>
        <v/>
      </c>
    </row>
    <row r="26" spans="2:14" x14ac:dyDescent="0.25">
      <c r="G26" t="str" cm="1">
        <f t="array" ref="G26">IF(ROWS(G$23:G26)&gt;COUNTIFS($B$6:$B$17,$G$6,$D$6:$D$17,$H$6),"",INDEX(C$6:C$17,_xlfn.AGGREGATE(15,6,(ROW($B$6:$B$17)-ROW($B$6)+1)/($B$6:$B$17&amp;$D$6:$D$17=$G$6&amp;$H$6),ROWS(G$23:G26))))</f>
        <v/>
      </c>
      <c r="H26" t="str" cm="1">
        <f t="array" ref="H26">IF(ROWS(H$23:H26)&gt;COUNTIFS($B$6:$B$17,$G$6,$D$6:$D$17,$H$6),"",INDEX(D$6:D$17,_xlfn.AGGREGATE(15,6,(ROW($B$6:$B$17)-ROW($B$6)+1)/($B$6:$B$17&amp;$D$6:$D$17=$G$6&amp;$H$6),ROWS(H$23:H26))))</f>
        <v/>
      </c>
      <c r="I26" t="str" cm="1">
        <f t="array" ref="I26">IF(ROWS(I$23:I26)&gt;COUNTIFS($B$6:$B$17,$G$6,$D$6:$D$17,$H$6),"",INDEX(E$6:E$17,_xlfn.AGGREGATE(15,6,(ROW($B$6:$B$17)-ROW($B$6)+1)/($B$6:$B$17&amp;$D$6:$D$17=$G$6&amp;$H$6),ROWS(I$23:I26))))</f>
        <v/>
      </c>
    </row>
    <row r="27" spans="2:14" ht="17.25" x14ac:dyDescent="0.25">
      <c r="G27" s="4" t="str">
        <f>"Formula in "&amp;ADDRESS(ROW(G23),COLUMN(G23),4)&amp;":"</f>
        <v>Formula in G23:</v>
      </c>
      <c r="K27" s="216"/>
      <c r="L27" s="216"/>
      <c r="M27" s="216"/>
      <c r="N27" s="216"/>
    </row>
    <row r="28" spans="2:14" x14ac:dyDescent="0.25">
      <c r="G28" s="273" t="s">
        <v>314</v>
      </c>
      <c r="H28" s="274"/>
      <c r="I28" s="274"/>
      <c r="J28" s="274"/>
      <c r="K28" s="274"/>
      <c r="L28" s="274"/>
      <c r="M28" s="274"/>
      <c r="N28" s="275"/>
    </row>
    <row r="29" spans="2:14" x14ac:dyDescent="0.25">
      <c r="G29" s="276"/>
      <c r="H29" s="277"/>
      <c r="I29" s="277"/>
      <c r="J29" s="277"/>
      <c r="K29" s="277"/>
      <c r="L29" s="277"/>
      <c r="M29" s="277"/>
      <c r="N29" s="278"/>
    </row>
    <row r="30" spans="2:14" x14ac:dyDescent="0.25">
      <c r="G30" s="276"/>
      <c r="H30" s="277"/>
      <c r="I30" s="277"/>
      <c r="J30" s="277"/>
      <c r="K30" s="277"/>
      <c r="L30" s="277"/>
      <c r="M30" s="277"/>
      <c r="N30" s="278"/>
    </row>
    <row r="31" spans="2:14" x14ac:dyDescent="0.25">
      <c r="G31" s="276"/>
      <c r="H31" s="277"/>
      <c r="I31" s="277"/>
      <c r="J31" s="277"/>
      <c r="K31" s="277"/>
      <c r="L31" s="277"/>
      <c r="M31" s="277"/>
      <c r="N31" s="278"/>
    </row>
    <row r="32" spans="2:14" x14ac:dyDescent="0.25">
      <c r="G32" s="276"/>
      <c r="H32" s="277"/>
      <c r="I32" s="277"/>
      <c r="J32" s="277"/>
      <c r="K32" s="277"/>
      <c r="L32" s="277"/>
      <c r="M32" s="277"/>
      <c r="N32" s="278"/>
    </row>
    <row r="33" spans="7:14" x14ac:dyDescent="0.25">
      <c r="G33" s="279"/>
      <c r="H33" s="280"/>
      <c r="I33" s="280"/>
      <c r="J33" s="280"/>
      <c r="K33" s="280"/>
      <c r="L33" s="280"/>
      <c r="M33" s="280"/>
      <c r="N33" s="281"/>
    </row>
  </sheetData>
  <mergeCells count="1">
    <mergeCell ref="G28:N33"/>
  </mergeCells>
  <conditionalFormatting sqref="G12:I15">
    <cfRule type="expression" dxfId="41" priority="3">
      <formula>G12&lt;&gt;""</formula>
    </cfRule>
  </conditionalFormatting>
  <conditionalFormatting sqref="G23:I26">
    <cfRule type="expression" dxfId="40" priority="2">
      <formula>G23&lt;&gt;""</formula>
    </cfRule>
  </conditionalFormatting>
  <conditionalFormatting sqref="B6:E17">
    <cfRule type="expression" dxfId="39" priority="1">
      <formula>$B6&amp;$D6=$G$6&amp;$H$6</formula>
    </cfRule>
  </conditionalFormatting>
  <dataValidations count="2">
    <dataValidation type="list" allowBlank="1" showInputMessage="1" showErrorMessage="1" sqref="G6" xr:uid="{F2E7FB88-F577-4000-8A04-81BABBA1BD1C}">
      <formula1>_xlfn.ANCHORARRAY($P$6)</formula1>
    </dataValidation>
    <dataValidation type="list" allowBlank="1" showInputMessage="1" showErrorMessage="1" sqref="H6" xr:uid="{2D213034-1F96-47F0-82DD-CD33C592C1BA}">
      <formula1>_xlfn.ANCHORARRAY($R$6)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27D5-D1A0-473E-88FE-278436E68033}">
  <sheetPr codeName="Sheet59">
    <tabColor rgb="FFFF0000"/>
  </sheetPr>
  <dimension ref="A1:R33"/>
  <sheetViews>
    <sheetView zoomScale="115" zoomScaleNormal="115" workbookViewId="0"/>
  </sheetViews>
  <sheetFormatPr defaultColWidth="8.85546875" defaultRowHeight="15" x14ac:dyDescent="0.25"/>
  <cols>
    <col min="1" max="1" width="3.42578125" customWidth="1"/>
    <col min="2" max="2" width="14.28515625" customWidth="1"/>
    <col min="3" max="3" width="8.7109375" bestFit="1" customWidth="1"/>
    <col min="4" max="4" width="11.7109375" bestFit="1" customWidth="1"/>
    <col min="5" max="5" width="6.42578125" bestFit="1" customWidth="1"/>
    <col min="6" max="6" width="1.140625" customWidth="1"/>
    <col min="7" max="7" width="10.42578125" bestFit="1" customWidth="1"/>
    <col min="8" max="8" width="11.7109375" bestFit="1" customWidth="1"/>
    <col min="9" max="9" width="6.42578125" bestFit="1" customWidth="1"/>
    <col min="10" max="10" width="1.140625" customWidth="1"/>
    <col min="11" max="11" width="13" customWidth="1"/>
    <col min="13" max="13" width="10.85546875" customWidth="1"/>
    <col min="14" max="14" width="13.42578125" customWidth="1"/>
    <col min="16" max="16" width="15" bestFit="1" customWidth="1"/>
    <col min="18" max="18" width="11.7109375" bestFit="1" customWidth="1"/>
  </cols>
  <sheetData>
    <row r="1" spans="1:18" ht="3.75" customHeight="1" x14ac:dyDescent="0.25"/>
    <row r="2" spans="1:18" x14ac:dyDescent="0.25">
      <c r="A2" s="4" t="s">
        <v>207</v>
      </c>
      <c r="B2" s="4" t="s">
        <v>312</v>
      </c>
    </row>
    <row r="3" spans="1:18" x14ac:dyDescent="0.25">
      <c r="A3" s="4" t="s">
        <v>316</v>
      </c>
      <c r="B3" t="s">
        <v>291</v>
      </c>
      <c r="P3" s="4" t="s">
        <v>315</v>
      </c>
    </row>
    <row r="4" spans="1:18" ht="3.75" customHeight="1" x14ac:dyDescent="0.25"/>
    <row r="5" spans="1:18" x14ac:dyDescent="0.25">
      <c r="B5" s="110" t="s">
        <v>293</v>
      </c>
      <c r="C5" s="110" t="s">
        <v>294</v>
      </c>
      <c r="D5" s="110" t="s">
        <v>4</v>
      </c>
      <c r="E5" s="110" t="s">
        <v>295</v>
      </c>
      <c r="G5" s="138" t="s">
        <v>293</v>
      </c>
      <c r="H5" s="138" t="s">
        <v>4</v>
      </c>
      <c r="P5" s="4" t="s">
        <v>293</v>
      </c>
      <c r="R5" s="4" t="s">
        <v>4</v>
      </c>
    </row>
    <row r="6" spans="1:18" x14ac:dyDescent="0.25">
      <c r="B6" s="5" t="s">
        <v>296</v>
      </c>
      <c r="C6" s="5" t="s">
        <v>299</v>
      </c>
      <c r="D6" s="5" t="s">
        <v>121</v>
      </c>
      <c r="E6" s="5">
        <v>1.7</v>
      </c>
      <c r="G6" s="5" t="s">
        <v>296</v>
      </c>
      <c r="H6" s="5" t="s">
        <v>121</v>
      </c>
      <c r="P6" t="str" cm="1">
        <f t="array" ref="P6:P9">_xlfn.UNIQUE(B6:B17)</f>
        <v>Sioux Chin</v>
      </c>
      <c r="R6" t="str" cm="1">
        <f t="array" ref="R6:R9">_xlfn.UNIQUE(D6:D17)</f>
        <v>Accounting</v>
      </c>
    </row>
    <row r="7" spans="1:18" x14ac:dyDescent="0.25">
      <c r="B7" s="5" t="s">
        <v>297</v>
      </c>
      <c r="C7" s="5" t="s">
        <v>303</v>
      </c>
      <c r="D7" s="5" t="s">
        <v>308</v>
      </c>
      <c r="E7" s="5">
        <v>3.1</v>
      </c>
      <c r="P7" t="str">
        <v>Chantel Mimms</v>
      </c>
      <c r="R7" t="str">
        <v>Business</v>
      </c>
    </row>
    <row r="8" spans="1:18" x14ac:dyDescent="0.25">
      <c r="B8" s="5" t="s">
        <v>298</v>
      </c>
      <c r="C8" s="5" t="s">
        <v>307</v>
      </c>
      <c r="D8" s="5" t="s">
        <v>308</v>
      </c>
      <c r="E8" s="5">
        <v>2.1</v>
      </c>
      <c r="G8" s="4" t="str">
        <f>"Formula in "&amp;ADDRESS(ROW(G12),COLUMN(G12),4)&amp;":"</f>
        <v>Formula in G12:</v>
      </c>
      <c r="P8" t="str">
        <v>Dylan Franks</v>
      </c>
      <c r="R8" t="str">
        <v>English</v>
      </c>
    </row>
    <row r="9" spans="1:18" ht="17.25" x14ac:dyDescent="0.3">
      <c r="B9" s="5" t="s">
        <v>296</v>
      </c>
      <c r="C9" s="5" t="s">
        <v>300</v>
      </c>
      <c r="D9" s="5" t="s">
        <v>121</v>
      </c>
      <c r="E9" s="5">
        <v>4</v>
      </c>
      <c r="G9" s="170" t="str">
        <f ca="1">_xlfn.IFNA(_xlfn.FORMULATEXT(G12),"")</f>
        <v>=FILTER(C6:E17,B6:B17&amp;D6:D17=G6&amp;H6)</v>
      </c>
      <c r="P9" t="str">
        <v>Gigi Dmitri</v>
      </c>
      <c r="R9" t="str">
        <v>Economics</v>
      </c>
    </row>
    <row r="10" spans="1:18" x14ac:dyDescent="0.25">
      <c r="B10" s="5" t="s">
        <v>297</v>
      </c>
      <c r="C10" s="5" t="s">
        <v>304</v>
      </c>
      <c r="D10" s="5" t="s">
        <v>308</v>
      </c>
      <c r="E10" s="5">
        <v>3.8</v>
      </c>
    </row>
    <row r="11" spans="1:18" x14ac:dyDescent="0.25">
      <c r="B11" s="5" t="s">
        <v>298</v>
      </c>
      <c r="C11" s="5" t="s">
        <v>306</v>
      </c>
      <c r="D11" s="5" t="s">
        <v>309</v>
      </c>
      <c r="E11" s="5">
        <v>2</v>
      </c>
      <c r="G11" s="110" t="s">
        <v>294</v>
      </c>
      <c r="H11" s="110" t="s">
        <v>4</v>
      </c>
      <c r="I11" s="110" t="s">
        <v>295</v>
      </c>
    </row>
    <row r="12" spans="1:18" x14ac:dyDescent="0.25">
      <c r="B12" s="5" t="s">
        <v>296</v>
      </c>
      <c r="C12" s="5" t="s">
        <v>301</v>
      </c>
      <c r="D12" s="5" t="s">
        <v>310</v>
      </c>
      <c r="E12" s="5">
        <v>2.6</v>
      </c>
      <c r="G12" t="str" cm="1">
        <f t="array" ref="G12:I13">_xlfn._xlws.FILTER(C6:E17,B6:B17&amp;D6:D17=G6&amp;H6)</f>
        <v>Acc 121</v>
      </c>
      <c r="H12" t="str">
        <v>Accounting</v>
      </c>
      <c r="I12">
        <v>1.7</v>
      </c>
    </row>
    <row r="13" spans="1:18" x14ac:dyDescent="0.25">
      <c r="B13" s="5" t="s">
        <v>297</v>
      </c>
      <c r="C13" s="5" t="s">
        <v>305</v>
      </c>
      <c r="D13" s="5" t="s">
        <v>308</v>
      </c>
      <c r="E13" s="5">
        <v>3.3</v>
      </c>
      <c r="G13" t="str">
        <v>Acc 201</v>
      </c>
      <c r="H13" t="str">
        <v>Accounting</v>
      </c>
      <c r="I13">
        <v>4</v>
      </c>
    </row>
    <row r="14" spans="1:18" x14ac:dyDescent="0.25">
      <c r="B14" s="5" t="s">
        <v>298</v>
      </c>
      <c r="C14" s="5" t="s">
        <v>303</v>
      </c>
      <c r="D14" s="5" t="s">
        <v>308</v>
      </c>
      <c r="E14" s="5">
        <v>1.9</v>
      </c>
    </row>
    <row r="15" spans="1:18" x14ac:dyDescent="0.25">
      <c r="B15" s="5" t="s">
        <v>311</v>
      </c>
      <c r="C15" s="5" t="s">
        <v>305</v>
      </c>
      <c r="D15" s="5" t="s">
        <v>308</v>
      </c>
      <c r="E15" s="5">
        <v>2.6</v>
      </c>
    </row>
    <row r="16" spans="1:18" ht="15" customHeight="1" x14ac:dyDescent="0.25">
      <c r="B16" s="5" t="s">
        <v>297</v>
      </c>
      <c r="C16" s="5" t="s">
        <v>306</v>
      </c>
      <c r="D16" s="5" t="s">
        <v>309</v>
      </c>
      <c r="E16" s="5">
        <v>3.1</v>
      </c>
    </row>
    <row r="17" spans="2:14" ht="15" customHeight="1" x14ac:dyDescent="0.25">
      <c r="B17" s="5" t="s">
        <v>311</v>
      </c>
      <c r="C17" s="5" t="s">
        <v>302</v>
      </c>
      <c r="D17" s="5" t="s">
        <v>310</v>
      </c>
      <c r="E17" s="5">
        <v>2</v>
      </c>
    </row>
    <row r="19" spans="2:14" ht="15" customHeight="1" x14ac:dyDescent="0.25"/>
    <row r="20" spans="2:14" ht="15" customHeight="1" x14ac:dyDescent="0.25"/>
    <row r="22" spans="2:14" x14ac:dyDescent="0.25">
      <c r="G22" s="110" t="s">
        <v>294</v>
      </c>
      <c r="H22" s="110" t="s">
        <v>4</v>
      </c>
      <c r="I22" s="110" t="s">
        <v>295</v>
      </c>
    </row>
    <row r="23" spans="2:14" x14ac:dyDescent="0.25">
      <c r="G23" t="str" cm="1">
        <f t="array" ref="G23">IF(ROWS(G$23:G23)&gt;COUNTIFS($B$6:$B$17,$G$6,$D$6:$D$17,$H$6),"",INDEX(C$6:C$17,_xlfn.AGGREGATE(15,6,(ROW($B$6:$B$17)-ROW($B$6)+1)/($B$6:$B$17&amp;$D$6:$D$17=$G$6&amp;$H$6),ROWS(G$23:G23))))</f>
        <v>Acc 121</v>
      </c>
      <c r="H23" t="str" cm="1">
        <f t="array" ref="H23">IF(ROWS(H$23:H23)&gt;COUNTIFS($B$6:$B$17,$G$6,$D$6:$D$17,$H$6),"",INDEX(D$6:D$17,_xlfn.AGGREGATE(15,6,(ROW($B$6:$B$17)-ROW($B$6)+1)/($B$6:$B$17&amp;$D$6:$D$17=$G$6&amp;$H$6),ROWS(H$23:H23))))</f>
        <v>Accounting</v>
      </c>
      <c r="I23" cm="1">
        <f t="array" ref="I23">IF(ROWS(I$23:I23)&gt;COUNTIFS($B$6:$B$17,$G$6,$D$6:$D$17,$H$6),"",INDEX(E$6:E$17,_xlfn.AGGREGATE(15,6,(ROW($B$6:$B$17)-ROW($B$6)+1)/($B$6:$B$17&amp;$D$6:$D$17=$G$6&amp;$H$6),ROWS(I$23:I23))))</f>
        <v>1.7</v>
      </c>
    </row>
    <row r="24" spans="2:14" x14ac:dyDescent="0.25">
      <c r="G24" t="str" cm="1">
        <f t="array" ref="G24">IF(ROWS(G$23:G24)&gt;COUNTIFS($B$6:$B$17,$G$6,$D$6:$D$17,$H$6),"",INDEX(C$6:C$17,_xlfn.AGGREGATE(15,6,(ROW($B$6:$B$17)-ROW($B$6)+1)/($B$6:$B$17&amp;$D$6:$D$17=$G$6&amp;$H$6),ROWS(G$23:G24))))</f>
        <v>Acc 201</v>
      </c>
      <c r="H24" t="str" cm="1">
        <f t="array" ref="H24">IF(ROWS(H$23:H24)&gt;COUNTIFS($B$6:$B$17,$G$6,$D$6:$D$17,$H$6),"",INDEX(D$6:D$17,_xlfn.AGGREGATE(15,6,(ROW($B$6:$B$17)-ROW($B$6)+1)/($B$6:$B$17&amp;$D$6:$D$17=$G$6&amp;$H$6),ROWS(H$23:H24))))</f>
        <v>Accounting</v>
      </c>
      <c r="I24" cm="1">
        <f t="array" ref="I24">IF(ROWS(I$23:I24)&gt;COUNTIFS($B$6:$B$17,$G$6,$D$6:$D$17,$H$6),"",INDEX(E$6:E$17,_xlfn.AGGREGATE(15,6,(ROW($B$6:$B$17)-ROW($B$6)+1)/($B$6:$B$17&amp;$D$6:$D$17=$G$6&amp;$H$6),ROWS(I$23:I24))))</f>
        <v>4</v>
      </c>
    </row>
    <row r="25" spans="2:14" x14ac:dyDescent="0.25">
      <c r="G25" t="str" cm="1">
        <f t="array" ref="G25">IF(ROWS(G$23:G25)&gt;COUNTIFS($B$6:$B$17,$G$6,$D$6:$D$17,$H$6),"",INDEX(C$6:C$17,_xlfn.AGGREGATE(15,6,(ROW($B$6:$B$17)-ROW($B$6)+1)/($B$6:$B$17&amp;$D$6:$D$17=$G$6&amp;$H$6),ROWS(G$23:G25))))</f>
        <v/>
      </c>
      <c r="H25" t="str" cm="1">
        <f t="array" ref="H25">IF(ROWS(H$23:H25)&gt;COUNTIFS($B$6:$B$17,$G$6,$D$6:$D$17,$H$6),"",INDEX(D$6:D$17,_xlfn.AGGREGATE(15,6,(ROW($B$6:$B$17)-ROW($B$6)+1)/($B$6:$B$17&amp;$D$6:$D$17=$G$6&amp;$H$6),ROWS(H$23:H25))))</f>
        <v/>
      </c>
      <c r="I25" t="str" cm="1">
        <f t="array" ref="I25">IF(ROWS(I$23:I25)&gt;COUNTIFS($B$6:$B$17,$G$6,$D$6:$D$17,$H$6),"",INDEX(E$6:E$17,_xlfn.AGGREGATE(15,6,(ROW($B$6:$B$17)-ROW($B$6)+1)/($B$6:$B$17&amp;$D$6:$D$17=$G$6&amp;$H$6),ROWS(I$23:I25))))</f>
        <v/>
      </c>
    </row>
    <row r="26" spans="2:14" x14ac:dyDescent="0.25">
      <c r="G26" t="str" cm="1">
        <f t="array" ref="G26">IF(ROWS(G$23:G26)&gt;COUNTIFS($B$6:$B$17,$G$6,$D$6:$D$17,$H$6),"",INDEX(C$6:C$17,_xlfn.AGGREGATE(15,6,(ROW($B$6:$B$17)-ROW($B$6)+1)/($B$6:$B$17&amp;$D$6:$D$17=$G$6&amp;$H$6),ROWS(G$23:G26))))</f>
        <v/>
      </c>
      <c r="H26" t="str" cm="1">
        <f t="array" ref="H26">IF(ROWS(H$23:H26)&gt;COUNTIFS($B$6:$B$17,$G$6,$D$6:$D$17,$H$6),"",INDEX(D$6:D$17,_xlfn.AGGREGATE(15,6,(ROW($B$6:$B$17)-ROW($B$6)+1)/($B$6:$B$17&amp;$D$6:$D$17=$G$6&amp;$H$6),ROWS(H$23:H26))))</f>
        <v/>
      </c>
      <c r="I26" t="str" cm="1">
        <f t="array" ref="I26">IF(ROWS(I$23:I26)&gt;COUNTIFS($B$6:$B$17,$G$6,$D$6:$D$17,$H$6),"",INDEX(E$6:E$17,_xlfn.AGGREGATE(15,6,(ROW($B$6:$B$17)-ROW($B$6)+1)/($B$6:$B$17&amp;$D$6:$D$17=$G$6&amp;$H$6),ROWS(I$23:I26))))</f>
        <v/>
      </c>
    </row>
    <row r="27" spans="2:14" ht="17.25" x14ac:dyDescent="0.25">
      <c r="G27" s="4" t="str">
        <f>"Formula in "&amp;ADDRESS(ROW(G23),COLUMN(G23),4)&amp;":"</f>
        <v>Formula in G23:</v>
      </c>
      <c r="K27" s="216"/>
      <c r="L27" s="216"/>
      <c r="M27" s="216"/>
      <c r="N27" s="216"/>
    </row>
    <row r="28" spans="2:14" x14ac:dyDescent="0.25">
      <c r="G28" s="273" t="s">
        <v>314</v>
      </c>
      <c r="H28" s="274"/>
      <c r="I28" s="274"/>
      <c r="J28" s="274"/>
      <c r="K28" s="274"/>
      <c r="L28" s="274"/>
      <c r="M28" s="274"/>
      <c r="N28" s="275"/>
    </row>
    <row r="29" spans="2:14" x14ac:dyDescent="0.25">
      <c r="G29" s="276"/>
      <c r="H29" s="277"/>
      <c r="I29" s="277"/>
      <c r="J29" s="277"/>
      <c r="K29" s="277"/>
      <c r="L29" s="277"/>
      <c r="M29" s="277"/>
      <c r="N29" s="278"/>
    </row>
    <row r="30" spans="2:14" x14ac:dyDescent="0.25">
      <c r="G30" s="276"/>
      <c r="H30" s="277"/>
      <c r="I30" s="277"/>
      <c r="J30" s="277"/>
      <c r="K30" s="277"/>
      <c r="L30" s="277"/>
      <c r="M30" s="277"/>
      <c r="N30" s="278"/>
    </row>
    <row r="31" spans="2:14" x14ac:dyDescent="0.25">
      <c r="G31" s="276"/>
      <c r="H31" s="277"/>
      <c r="I31" s="277"/>
      <c r="J31" s="277"/>
      <c r="K31" s="277"/>
      <c r="L31" s="277"/>
      <c r="M31" s="277"/>
      <c r="N31" s="278"/>
    </row>
    <row r="32" spans="2:14" x14ac:dyDescent="0.25">
      <c r="G32" s="276"/>
      <c r="H32" s="277"/>
      <c r="I32" s="277"/>
      <c r="J32" s="277"/>
      <c r="K32" s="277"/>
      <c r="L32" s="277"/>
      <c r="M32" s="277"/>
      <c r="N32" s="278"/>
    </row>
    <row r="33" spans="7:14" x14ac:dyDescent="0.25">
      <c r="G33" s="279"/>
      <c r="H33" s="280"/>
      <c r="I33" s="280"/>
      <c r="J33" s="280"/>
      <c r="K33" s="280"/>
      <c r="L33" s="280"/>
      <c r="M33" s="280"/>
      <c r="N33" s="281"/>
    </row>
  </sheetData>
  <mergeCells count="1">
    <mergeCell ref="G28:N33"/>
  </mergeCells>
  <conditionalFormatting sqref="G12:I15">
    <cfRule type="expression" dxfId="38" priority="3">
      <formula>G12&lt;&gt;""</formula>
    </cfRule>
  </conditionalFormatting>
  <conditionalFormatting sqref="G23:I26">
    <cfRule type="expression" dxfId="37" priority="2">
      <formula>G23&lt;&gt;""</formula>
    </cfRule>
  </conditionalFormatting>
  <conditionalFormatting sqref="B6:E17">
    <cfRule type="expression" dxfId="36" priority="1">
      <formula>$B6&amp;$D6=$G$6&amp;$H$6</formula>
    </cfRule>
  </conditionalFormatting>
  <dataValidations count="2">
    <dataValidation type="list" allowBlank="1" showInputMessage="1" showErrorMessage="1" sqref="H6" xr:uid="{5C181FD8-8941-40DD-946F-72BEFEC5BFDC}">
      <formula1>_xlfn.ANCHORARRAY($R$6)</formula1>
    </dataValidation>
    <dataValidation type="list" allowBlank="1" showInputMessage="1" showErrorMessage="1" sqref="G6" xr:uid="{20EEEA20-5B76-4F3E-A066-BF73794B2F9C}">
      <formula1>_xlfn.ANCHORARRAY($P$6)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196F-B9F7-48D3-99E0-BC94FF3D0B3A}">
  <sheetPr codeName="Sheet60">
    <tabColor rgb="FFFFFF00"/>
  </sheetPr>
  <dimension ref="C13:D14"/>
  <sheetViews>
    <sheetView showGridLines="0" zoomScale="160" zoomScaleNormal="160" workbookViewId="0"/>
  </sheetViews>
  <sheetFormatPr defaultColWidth="8.85546875" defaultRowHeight="15" x14ac:dyDescent="0.25"/>
  <cols>
    <col min="4" max="4" width="78.85546875" customWidth="1"/>
  </cols>
  <sheetData>
    <row r="13" spans="3:4" ht="15.75" thickBot="1" x14ac:dyDescent="0.3"/>
    <row r="14" spans="3:4" ht="54.75" customHeight="1" thickBot="1" x14ac:dyDescent="0.3">
      <c r="C14" s="219"/>
      <c r="D14" s="218" t="s">
        <v>331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7CF5-C5DC-4785-B111-3CC086798A8F}">
  <sheetPr codeName="Sheet61">
    <tabColor rgb="FF0000FF"/>
  </sheetPr>
  <dimension ref="A1:I13"/>
  <sheetViews>
    <sheetView zoomScale="115" zoomScaleNormal="115" workbookViewId="0"/>
  </sheetViews>
  <sheetFormatPr defaultColWidth="8.85546875" defaultRowHeight="15" x14ac:dyDescent="0.25"/>
  <cols>
    <col min="1" max="1" width="6.85546875" bestFit="1" customWidth="1"/>
    <col min="2" max="2" width="10.7109375" customWidth="1"/>
    <col min="4" max="4" width="1.28515625" customWidth="1"/>
    <col min="6" max="9" width="7.42578125" customWidth="1"/>
    <col min="10" max="10" width="25.42578125" customWidth="1"/>
  </cols>
  <sheetData>
    <row r="1" spans="1:9" ht="6.75" customHeight="1" x14ac:dyDescent="0.25"/>
    <row r="2" spans="1:9" x14ac:dyDescent="0.25">
      <c r="A2" s="4" t="s">
        <v>411</v>
      </c>
      <c r="B2" s="4" t="s">
        <v>334</v>
      </c>
    </row>
    <row r="3" spans="1:9" x14ac:dyDescent="0.25">
      <c r="A3" s="4"/>
      <c r="B3" s="74" t="s">
        <v>365</v>
      </c>
    </row>
    <row r="4" spans="1:9" ht="7.5" customHeight="1" x14ac:dyDescent="0.25">
      <c r="A4" s="4"/>
    </row>
    <row r="5" spans="1:9" x14ac:dyDescent="0.25">
      <c r="B5" s="110" t="s">
        <v>329</v>
      </c>
      <c r="C5" s="5">
        <v>27</v>
      </c>
      <c r="E5" s="4" t="s">
        <v>333</v>
      </c>
    </row>
    <row r="6" spans="1:9" ht="17.25" x14ac:dyDescent="0.3">
      <c r="B6" s="110" t="s">
        <v>332</v>
      </c>
      <c r="C6" s="7"/>
      <c r="E6" s="170" t="str">
        <f ca="1">_xlfn.IFNA("In "&amp;ADDRESS(ROW(C6),COLUMN(C6),4)&amp;":"&amp;_xlfn.FORMULATEXT(C6),"")</f>
        <v/>
      </c>
    </row>
    <row r="7" spans="1:9" ht="17.25" x14ac:dyDescent="0.3">
      <c r="B7" s="110" t="s">
        <v>332</v>
      </c>
      <c r="C7" s="7"/>
      <c r="E7" s="170" t="str">
        <f ca="1">_xlfn.IFNA("In "&amp;ADDRESS(ROW(C7),COLUMN(C7),4)&amp;":"&amp;_xlfn.FORMULATEXT(C7),"")</f>
        <v/>
      </c>
    </row>
    <row r="9" spans="1:9" x14ac:dyDescent="0.25">
      <c r="B9" s="110" t="s">
        <v>329</v>
      </c>
      <c r="E9" s="110" t="s">
        <v>332</v>
      </c>
      <c r="F9" s="40">
        <v>0</v>
      </c>
      <c r="G9" s="40">
        <v>0.15</v>
      </c>
      <c r="H9" s="40">
        <v>0.25</v>
      </c>
      <c r="I9" s="40">
        <v>0.5</v>
      </c>
    </row>
    <row r="10" spans="1:9" x14ac:dyDescent="0.25">
      <c r="B10" s="5">
        <v>0</v>
      </c>
    </row>
    <row r="11" spans="1:9" x14ac:dyDescent="0.25">
      <c r="B11" s="5">
        <v>25</v>
      </c>
    </row>
    <row r="12" spans="1:9" x14ac:dyDescent="0.25">
      <c r="B12" s="5">
        <v>45</v>
      </c>
    </row>
    <row r="13" spans="1:9" x14ac:dyDescent="0.25">
      <c r="B13" s="5">
        <v>75</v>
      </c>
    </row>
  </sheetData>
  <pageMargins left="0.7" right="0.7" top="0.75" bottom="0.75" header="0.3" footer="0.3"/>
  <pageSetup orientation="portrait" horizontalDpi="200" verticalDpi="2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09FD-C71D-42C4-AC7C-C4E20AED91D8}">
  <sheetPr codeName="Sheet62">
    <tabColor rgb="FFFF0000"/>
  </sheetPr>
  <dimension ref="A1:I13"/>
  <sheetViews>
    <sheetView zoomScale="115" zoomScaleNormal="115" workbookViewId="0"/>
  </sheetViews>
  <sheetFormatPr defaultColWidth="8.85546875" defaultRowHeight="15" x14ac:dyDescent="0.25"/>
  <cols>
    <col min="1" max="1" width="6.85546875" bestFit="1" customWidth="1"/>
    <col min="2" max="2" width="10.7109375" customWidth="1"/>
    <col min="4" max="4" width="1.28515625" customWidth="1"/>
    <col min="6" max="9" width="7.42578125" customWidth="1"/>
    <col min="10" max="10" width="25.42578125" customWidth="1"/>
  </cols>
  <sheetData>
    <row r="1" spans="1:9" ht="6.75" customHeight="1" x14ac:dyDescent="0.25"/>
    <row r="2" spans="1:9" x14ac:dyDescent="0.25">
      <c r="A2" s="4" t="s">
        <v>411</v>
      </c>
      <c r="B2" s="4" t="s">
        <v>334</v>
      </c>
    </row>
    <row r="3" spans="1:9" x14ac:dyDescent="0.25">
      <c r="A3" s="4"/>
      <c r="B3" s="74" t="s">
        <v>365</v>
      </c>
    </row>
    <row r="4" spans="1:9" ht="7.5" customHeight="1" x14ac:dyDescent="0.25">
      <c r="A4" s="4"/>
    </row>
    <row r="5" spans="1:9" x14ac:dyDescent="0.25">
      <c r="B5" s="110" t="s">
        <v>329</v>
      </c>
      <c r="C5" s="5">
        <v>27</v>
      </c>
      <c r="E5" s="4" t="s">
        <v>333</v>
      </c>
    </row>
    <row r="6" spans="1:9" ht="17.25" x14ac:dyDescent="0.3">
      <c r="B6" s="110" t="s">
        <v>332</v>
      </c>
      <c r="C6" s="7">
        <f>LOOKUP(C5,B10:B13,F9:I9)</f>
        <v>0.15</v>
      </c>
      <c r="E6" s="170" t="str">
        <f ca="1">_xlfn.IFNA("In "&amp;ADDRESS(ROW(C6),COLUMN(C6),4)&amp;":"&amp;_xlfn.FORMULATEXT(C6),"")</f>
        <v>In C6:=LOOKUP(C5,B10:B13,F9:I9)</v>
      </c>
    </row>
    <row r="7" spans="1:9" ht="17.25" x14ac:dyDescent="0.3">
      <c r="B7" s="110" t="s">
        <v>332</v>
      </c>
      <c r="C7" s="7" t="e">
        <f>_xlfn.XLOOKUP(C5,B10:B13,F9:I9,,-1)</f>
        <v>#VALUE!</v>
      </c>
      <c r="E7" s="170" t="str">
        <f ca="1">_xlfn.IFNA("In "&amp;ADDRESS(ROW(C7),COLUMN(C7),4)&amp;":"&amp;_xlfn.FORMULATEXT(C7),"")</f>
        <v>In C7:=XLOOKUP(C5,B10:B13,F9:I9,,-1)</v>
      </c>
    </row>
    <row r="9" spans="1:9" x14ac:dyDescent="0.25">
      <c r="B9" s="110" t="s">
        <v>329</v>
      </c>
      <c r="E9" s="110" t="s">
        <v>332</v>
      </c>
      <c r="F9" s="40">
        <v>0</v>
      </c>
      <c r="G9" s="40">
        <v>0.15</v>
      </c>
      <c r="H9" s="40">
        <v>0.25</v>
      </c>
      <c r="I9" s="40">
        <v>0.5</v>
      </c>
    </row>
    <row r="10" spans="1:9" x14ac:dyDescent="0.25">
      <c r="B10" s="5">
        <v>0</v>
      </c>
    </row>
    <row r="11" spans="1:9" x14ac:dyDescent="0.25">
      <c r="B11" s="5">
        <v>25</v>
      </c>
    </row>
    <row r="12" spans="1:9" x14ac:dyDescent="0.25">
      <c r="B12" s="5">
        <v>45</v>
      </c>
    </row>
    <row r="13" spans="1:9" x14ac:dyDescent="0.25">
      <c r="B13" s="5">
        <v>75</v>
      </c>
    </row>
  </sheetData>
  <pageMargins left="0.7" right="0.7" top="0.75" bottom="0.75" header="0.3" footer="0.3"/>
  <pageSetup orientation="portrait" horizontalDpi="200" verticalDpi="2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99DC-815E-45C1-89F6-AFD077639AD1}">
  <sheetPr codeName="Sheet63">
    <tabColor rgb="FF0000FF"/>
  </sheetPr>
  <dimension ref="A1:G26"/>
  <sheetViews>
    <sheetView zoomScale="130" zoomScaleNormal="130" workbookViewId="0"/>
  </sheetViews>
  <sheetFormatPr defaultColWidth="8.85546875" defaultRowHeight="15" x14ac:dyDescent="0.25"/>
  <cols>
    <col min="1" max="1" width="4" bestFit="1" customWidth="1"/>
    <col min="2" max="2" width="11.28515625" customWidth="1"/>
    <col min="3" max="3" width="10.28515625" customWidth="1"/>
    <col min="4" max="4" width="6.28515625" customWidth="1"/>
    <col min="5" max="5" width="15.42578125" customWidth="1"/>
    <col min="6" max="6" width="17.42578125" customWidth="1"/>
    <col min="7" max="7" width="28.42578125" customWidth="1"/>
    <col min="8" max="8" width="7.42578125" customWidth="1"/>
  </cols>
  <sheetData>
    <row r="1" spans="1:7" ht="6.75" customHeight="1" x14ac:dyDescent="0.25"/>
    <row r="2" spans="1:7" x14ac:dyDescent="0.25">
      <c r="A2" s="4" t="s">
        <v>207</v>
      </c>
      <c r="B2" s="4" t="s">
        <v>409</v>
      </c>
    </row>
    <row r="3" spans="1:7" x14ac:dyDescent="0.25">
      <c r="A3" s="4" t="s">
        <v>368</v>
      </c>
      <c r="B3" t="s">
        <v>366</v>
      </c>
    </row>
    <row r="5" spans="1:7" ht="26.25" x14ac:dyDescent="0.25">
      <c r="B5" s="221" t="s">
        <v>356</v>
      </c>
      <c r="C5" s="221" t="s">
        <v>357</v>
      </c>
      <c r="D5" s="221" t="s">
        <v>29</v>
      </c>
      <c r="E5" s="221" t="s">
        <v>358</v>
      </c>
      <c r="F5" s="221" t="s">
        <v>359</v>
      </c>
      <c r="G5" s="221" t="s">
        <v>360</v>
      </c>
    </row>
    <row r="6" spans="1:7" x14ac:dyDescent="0.25">
      <c r="B6" s="114">
        <v>0</v>
      </c>
      <c r="C6" s="35">
        <f t="shared" ref="C6:C12" si="0">E7</f>
        <v>222</v>
      </c>
      <c r="D6" s="217">
        <v>0</v>
      </c>
      <c r="E6" s="35">
        <v>0</v>
      </c>
      <c r="F6" s="114">
        <v>0</v>
      </c>
      <c r="G6" s="5"/>
    </row>
    <row r="7" spans="1:7" x14ac:dyDescent="0.25">
      <c r="B7" s="114">
        <f t="shared" ref="B7:B13" si="1">E7+0.01</f>
        <v>222.01</v>
      </c>
      <c r="C7" s="35">
        <f t="shared" si="0"/>
        <v>588</v>
      </c>
      <c r="D7" s="217">
        <v>0.1</v>
      </c>
      <c r="E7" s="35">
        <v>222</v>
      </c>
      <c r="F7" s="114">
        <f t="shared" ref="F7:F13" si="2">ROUND((E7-E6)*D6,2)+F6</f>
        <v>0</v>
      </c>
      <c r="G7" s="5" t="str">
        <f>DOLLAR(F7)&amp;" +(TP - "&amp;DOLLAR(C6,0)&amp;") *"&amp;TEXT(D7,"0%")</f>
        <v>$0.00 +(TP - $222) *10%</v>
      </c>
    </row>
    <row r="8" spans="1:7" x14ac:dyDescent="0.25">
      <c r="B8" s="114">
        <f t="shared" si="1"/>
        <v>588.01</v>
      </c>
      <c r="C8" s="35">
        <f t="shared" si="0"/>
        <v>1711</v>
      </c>
      <c r="D8" s="217">
        <v>0.12</v>
      </c>
      <c r="E8" s="35">
        <v>588</v>
      </c>
      <c r="F8" s="114">
        <f t="shared" si="2"/>
        <v>36.6</v>
      </c>
      <c r="G8" s="5" t="str">
        <f t="shared" ref="G8:G13" si="3">DOLLAR(F8)&amp;" +(TP - "&amp;DOLLAR(C7,0)&amp;") *"&amp;TEXT(D8,"0%")</f>
        <v>$36.60 +(TP - $588) *12%</v>
      </c>
    </row>
    <row r="9" spans="1:7" x14ac:dyDescent="0.25">
      <c r="B9" s="114">
        <f t="shared" si="1"/>
        <v>1711.01</v>
      </c>
      <c r="C9" s="35">
        <f t="shared" si="0"/>
        <v>3395</v>
      </c>
      <c r="D9" s="217">
        <v>0.22</v>
      </c>
      <c r="E9" s="35">
        <v>1711</v>
      </c>
      <c r="F9" s="114">
        <f t="shared" si="2"/>
        <v>171.35999999999999</v>
      </c>
      <c r="G9" s="5" t="str">
        <f t="shared" si="3"/>
        <v>$171.36 +(TP - $1,711) *22%</v>
      </c>
    </row>
    <row r="10" spans="1:7" x14ac:dyDescent="0.25">
      <c r="B10" s="114">
        <f t="shared" si="1"/>
        <v>3395.01</v>
      </c>
      <c r="C10" s="35">
        <f t="shared" si="0"/>
        <v>6280</v>
      </c>
      <c r="D10" s="217">
        <v>0.24</v>
      </c>
      <c r="E10" s="35">
        <v>3395</v>
      </c>
      <c r="F10" s="114">
        <f t="shared" si="2"/>
        <v>541.84</v>
      </c>
      <c r="G10" s="5" t="str">
        <f t="shared" si="3"/>
        <v>$541.84 +(TP - $3,395) *24%</v>
      </c>
    </row>
    <row r="11" spans="1:7" x14ac:dyDescent="0.25">
      <c r="B11" s="114">
        <f t="shared" si="1"/>
        <v>6280.01</v>
      </c>
      <c r="C11" s="35">
        <f t="shared" si="0"/>
        <v>7914</v>
      </c>
      <c r="D11" s="217">
        <v>0.32</v>
      </c>
      <c r="E11" s="35">
        <v>6280</v>
      </c>
      <c r="F11" s="114">
        <f t="shared" si="2"/>
        <v>1234.24</v>
      </c>
      <c r="G11" s="5" t="str">
        <f t="shared" si="3"/>
        <v>$1,234.24 +(TP - $6,280) *32%</v>
      </c>
    </row>
    <row r="12" spans="1:7" x14ac:dyDescent="0.25">
      <c r="B12" s="114">
        <f t="shared" si="1"/>
        <v>7914.01</v>
      </c>
      <c r="C12" s="35">
        <f t="shared" si="0"/>
        <v>11761</v>
      </c>
      <c r="D12" s="217">
        <v>0.35</v>
      </c>
      <c r="E12" s="35">
        <v>7914</v>
      </c>
      <c r="F12" s="114">
        <f t="shared" si="2"/>
        <v>1757.12</v>
      </c>
      <c r="G12" s="5" t="str">
        <f t="shared" si="3"/>
        <v>$1,757.12 +(TP - $7,914) *35%</v>
      </c>
    </row>
    <row r="13" spans="1:7" x14ac:dyDescent="0.25">
      <c r="B13" s="114">
        <f t="shared" si="1"/>
        <v>11761.01</v>
      </c>
      <c r="C13" s="35" t="s">
        <v>361</v>
      </c>
      <c r="D13" s="217">
        <v>0.37</v>
      </c>
      <c r="E13" s="35">
        <v>11761</v>
      </c>
      <c r="F13" s="114">
        <f t="shared" si="2"/>
        <v>3103.5699999999997</v>
      </c>
      <c r="G13" s="5" t="str">
        <f t="shared" si="3"/>
        <v>$3,103.57 +(TP - $11,761) *37%</v>
      </c>
    </row>
    <row r="15" spans="1:7" ht="17.25" x14ac:dyDescent="0.3">
      <c r="B15" s="170" t="str">
        <f>"If we make calculation manually: "&amp;DOLLAR(F10)&amp;" + ("&amp;DOLLAR(F20)&amp;" - "&amp;DOLLAR(C9,0)&amp;") * "&amp;TEXT(D10,"0%")&amp;" = "&amp;DOLLAR(LOOKUP(F20,B6:F13)+(F20-LOOKUP(F20,B6:E13))*LOOKUP(F20,B6:D13))</f>
        <v>If we make calculation manually: $541.84 + ($3,690.80 - $3,395) * 24% = $612.83</v>
      </c>
      <c r="C15" s="220"/>
      <c r="D15" s="220"/>
      <c r="E15" s="220"/>
      <c r="F15" s="220"/>
    </row>
    <row r="16" spans="1:7" x14ac:dyDescent="0.25">
      <c r="B16" s="220"/>
      <c r="C16" s="220"/>
      <c r="D16" s="220"/>
      <c r="E16" s="220"/>
      <c r="F16" s="220"/>
    </row>
    <row r="17" spans="2:7" x14ac:dyDescent="0.25">
      <c r="B17" s="134" t="s">
        <v>144</v>
      </c>
      <c r="C17" s="135"/>
      <c r="D17" s="165"/>
      <c r="E17" s="166"/>
      <c r="F17" s="114">
        <v>4010</v>
      </c>
    </row>
    <row r="18" spans="2:7" x14ac:dyDescent="0.25">
      <c r="B18" s="134" t="s">
        <v>364</v>
      </c>
      <c r="C18" s="135"/>
      <c r="D18" s="165"/>
      <c r="E18" s="166"/>
      <c r="F18" s="222">
        <v>79.8</v>
      </c>
    </row>
    <row r="19" spans="2:7" x14ac:dyDescent="0.25">
      <c r="B19" s="134" t="s">
        <v>362</v>
      </c>
      <c r="C19" s="135"/>
      <c r="D19" s="165"/>
      <c r="E19" s="166"/>
      <c r="F19" s="5">
        <v>4</v>
      </c>
    </row>
    <row r="20" spans="2:7" x14ac:dyDescent="0.25">
      <c r="B20" s="134" t="s">
        <v>367</v>
      </c>
      <c r="C20" s="135"/>
      <c r="D20" s="165"/>
      <c r="E20" s="166"/>
      <c r="F20" s="224">
        <f>F17-F18*F19</f>
        <v>3690.8</v>
      </c>
    </row>
    <row r="21" spans="2:7" x14ac:dyDescent="0.25">
      <c r="B21" s="134" t="s">
        <v>363</v>
      </c>
      <c r="C21" s="135"/>
      <c r="D21" s="165"/>
      <c r="E21" s="166"/>
      <c r="F21" s="223"/>
    </row>
    <row r="22" spans="2:7" x14ac:dyDescent="0.25">
      <c r="B22" s="134" t="s">
        <v>363</v>
      </c>
      <c r="C22" s="135"/>
      <c r="D22" s="165"/>
      <c r="E22" s="166"/>
      <c r="F22" s="223"/>
    </row>
    <row r="23" spans="2:7" x14ac:dyDescent="0.25">
      <c r="B23" s="220"/>
      <c r="C23" s="220"/>
      <c r="D23" s="220"/>
      <c r="E23" s="220"/>
      <c r="F23" s="220"/>
    </row>
    <row r="24" spans="2:7" ht="20.25" customHeight="1" x14ac:dyDescent="0.3">
      <c r="B24" s="256" t="str">
        <f ca="1">_xlfn.IFNA("Formula in "&amp;ADDRESS(ROW(F21),COLUMN(F21),4)&amp;":"&amp;_xlfn.FORMULATEXT(F21),"")</f>
        <v/>
      </c>
      <c r="C24" s="257"/>
      <c r="D24" s="257"/>
      <c r="E24" s="257"/>
      <c r="F24" s="257"/>
      <c r="G24" s="258"/>
    </row>
    <row r="25" spans="2:7" ht="37.5" customHeight="1" x14ac:dyDescent="0.25">
      <c r="B25" s="282" t="str">
        <f ca="1">_xlfn.IFNA("Formula in "&amp;ADDRESS(ROW(F22),COLUMN(F22),4)&amp;":"&amp;SUBSTITUTE(_xlfn.FORMULATEXT(F22),"*",CHAR(10)&amp;"*"),"")</f>
        <v/>
      </c>
      <c r="C25" s="283"/>
      <c r="D25" s="283"/>
      <c r="E25" s="283"/>
      <c r="F25" s="283"/>
      <c r="G25" s="284"/>
    </row>
    <row r="26" spans="2:7" x14ac:dyDescent="0.25">
      <c r="C26" s="220"/>
      <c r="D26" s="220"/>
      <c r="E26" s="220"/>
      <c r="F26" s="220"/>
    </row>
  </sheetData>
  <mergeCells count="1">
    <mergeCell ref="B25:G25"/>
  </mergeCells>
  <conditionalFormatting sqref="B6:G13">
    <cfRule type="expression" dxfId="35" priority="1">
      <formula>LOOKUP($F$20,$B$6:$B$13)=$B6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788-EC99-4A1A-B3C6-AFDC270B3E1F}">
  <sheetPr codeName="Sheet64">
    <tabColor rgb="FFFF0000"/>
  </sheetPr>
  <dimension ref="A1:G26"/>
  <sheetViews>
    <sheetView zoomScale="130" zoomScaleNormal="130" workbookViewId="0"/>
  </sheetViews>
  <sheetFormatPr defaultColWidth="8.85546875" defaultRowHeight="15" x14ac:dyDescent="0.25"/>
  <cols>
    <col min="1" max="1" width="4" bestFit="1" customWidth="1"/>
    <col min="2" max="2" width="11.28515625" customWidth="1"/>
    <col min="3" max="3" width="10.28515625" customWidth="1"/>
    <col min="4" max="4" width="6.28515625" customWidth="1"/>
    <col min="5" max="5" width="15.42578125" customWidth="1"/>
    <col min="6" max="6" width="17.42578125" customWidth="1"/>
    <col min="7" max="7" width="28.42578125" customWidth="1"/>
    <col min="8" max="8" width="7.42578125" customWidth="1"/>
  </cols>
  <sheetData>
    <row r="1" spans="1:7" ht="6.75" customHeight="1" x14ac:dyDescent="0.25"/>
    <row r="2" spans="1:7" x14ac:dyDescent="0.25">
      <c r="A2" s="4" t="s">
        <v>207</v>
      </c>
      <c r="B2" s="4" t="s">
        <v>409</v>
      </c>
    </row>
    <row r="3" spans="1:7" x14ac:dyDescent="0.25">
      <c r="A3" s="4" t="s">
        <v>368</v>
      </c>
      <c r="B3" t="s">
        <v>366</v>
      </c>
    </row>
    <row r="5" spans="1:7" ht="26.25" x14ac:dyDescent="0.25">
      <c r="B5" s="221" t="s">
        <v>356</v>
      </c>
      <c r="C5" s="221" t="s">
        <v>357</v>
      </c>
      <c r="D5" s="221" t="s">
        <v>29</v>
      </c>
      <c r="E5" s="221" t="s">
        <v>358</v>
      </c>
      <c r="F5" s="221" t="s">
        <v>359</v>
      </c>
      <c r="G5" s="221" t="s">
        <v>360</v>
      </c>
    </row>
    <row r="6" spans="1:7" x14ac:dyDescent="0.25">
      <c r="B6" s="114">
        <v>0</v>
      </c>
      <c r="C6" s="35">
        <f t="shared" ref="C6:C12" si="0">E7</f>
        <v>222</v>
      </c>
      <c r="D6" s="217">
        <v>0</v>
      </c>
      <c r="E6" s="35">
        <v>0</v>
      </c>
      <c r="F6" s="114">
        <v>0</v>
      </c>
      <c r="G6" s="5"/>
    </row>
    <row r="7" spans="1:7" x14ac:dyDescent="0.25">
      <c r="B7" s="114">
        <f t="shared" ref="B7:B13" si="1">E7+0.01</f>
        <v>222.01</v>
      </c>
      <c r="C7" s="35">
        <f t="shared" si="0"/>
        <v>588</v>
      </c>
      <c r="D7" s="217">
        <v>0.1</v>
      </c>
      <c r="E7" s="35">
        <v>222</v>
      </c>
      <c r="F7" s="114">
        <f t="shared" ref="F7:F13" si="2">ROUND((E7-E6)*D6,2)+F6</f>
        <v>0</v>
      </c>
      <c r="G7" s="5" t="str">
        <f>DOLLAR(F7)&amp;" +(TP - "&amp;DOLLAR(C6,0)&amp;") *"&amp;TEXT(D7,"0%")</f>
        <v>$0.00 +(TP - $222) *10%</v>
      </c>
    </row>
    <row r="8" spans="1:7" x14ac:dyDescent="0.25">
      <c r="B8" s="114">
        <f t="shared" si="1"/>
        <v>588.01</v>
      </c>
      <c r="C8" s="35">
        <f t="shared" si="0"/>
        <v>1711</v>
      </c>
      <c r="D8" s="217">
        <v>0.12</v>
      </c>
      <c r="E8" s="35">
        <v>588</v>
      </c>
      <c r="F8" s="114">
        <f t="shared" si="2"/>
        <v>36.6</v>
      </c>
      <c r="G8" s="5" t="str">
        <f t="shared" ref="G8:G13" si="3">DOLLAR(F8)&amp;" +(TP - "&amp;DOLLAR(C7,0)&amp;") *"&amp;TEXT(D8,"0%")</f>
        <v>$36.60 +(TP - $588) *12%</v>
      </c>
    </row>
    <row r="9" spans="1:7" x14ac:dyDescent="0.25">
      <c r="B9" s="114">
        <f t="shared" si="1"/>
        <v>1711.01</v>
      </c>
      <c r="C9" s="35">
        <f t="shared" si="0"/>
        <v>3395</v>
      </c>
      <c r="D9" s="217">
        <v>0.22</v>
      </c>
      <c r="E9" s="35">
        <v>1711</v>
      </c>
      <c r="F9" s="114">
        <f t="shared" si="2"/>
        <v>171.35999999999999</v>
      </c>
      <c r="G9" s="5" t="str">
        <f t="shared" si="3"/>
        <v>$171.36 +(TP - $1,711) *22%</v>
      </c>
    </row>
    <row r="10" spans="1:7" x14ac:dyDescent="0.25">
      <c r="B10" s="114">
        <f t="shared" si="1"/>
        <v>3395.01</v>
      </c>
      <c r="C10" s="35">
        <f t="shared" si="0"/>
        <v>6280</v>
      </c>
      <c r="D10" s="217">
        <v>0.24</v>
      </c>
      <c r="E10" s="35">
        <v>3395</v>
      </c>
      <c r="F10" s="114">
        <f t="shared" si="2"/>
        <v>541.84</v>
      </c>
      <c r="G10" s="5" t="str">
        <f t="shared" si="3"/>
        <v>$541.84 +(TP - $3,395) *24%</v>
      </c>
    </row>
    <row r="11" spans="1:7" x14ac:dyDescent="0.25">
      <c r="B11" s="114">
        <f t="shared" si="1"/>
        <v>6280.01</v>
      </c>
      <c r="C11" s="35">
        <f t="shared" si="0"/>
        <v>7914</v>
      </c>
      <c r="D11" s="217">
        <v>0.32</v>
      </c>
      <c r="E11" s="35">
        <v>6280</v>
      </c>
      <c r="F11" s="114">
        <f t="shared" si="2"/>
        <v>1234.24</v>
      </c>
      <c r="G11" s="5" t="str">
        <f t="shared" si="3"/>
        <v>$1,234.24 +(TP - $6,280) *32%</v>
      </c>
    </row>
    <row r="12" spans="1:7" x14ac:dyDescent="0.25">
      <c r="B12" s="114">
        <f t="shared" si="1"/>
        <v>7914.01</v>
      </c>
      <c r="C12" s="35">
        <f t="shared" si="0"/>
        <v>11761</v>
      </c>
      <c r="D12" s="217">
        <v>0.35</v>
      </c>
      <c r="E12" s="35">
        <v>7914</v>
      </c>
      <c r="F12" s="114">
        <f t="shared" si="2"/>
        <v>1757.12</v>
      </c>
      <c r="G12" s="5" t="str">
        <f t="shared" si="3"/>
        <v>$1,757.12 +(TP - $7,914) *35%</v>
      </c>
    </row>
    <row r="13" spans="1:7" x14ac:dyDescent="0.25">
      <c r="B13" s="114">
        <f t="shared" si="1"/>
        <v>11761.01</v>
      </c>
      <c r="C13" s="35" t="s">
        <v>361</v>
      </c>
      <c r="D13" s="217">
        <v>0.37</v>
      </c>
      <c r="E13" s="35">
        <v>11761</v>
      </c>
      <c r="F13" s="114">
        <f t="shared" si="2"/>
        <v>3103.5699999999997</v>
      </c>
      <c r="G13" s="5" t="str">
        <f t="shared" si="3"/>
        <v>$3,103.57 +(TP - $11,761) *37%</v>
      </c>
    </row>
    <row r="15" spans="1:7" ht="17.25" x14ac:dyDescent="0.3">
      <c r="B15" s="170" t="str">
        <f>"If we make calculation manually: "&amp;DOLLAR(F10)&amp;" + ("&amp;DOLLAR(F20)&amp;" - "&amp;DOLLAR(C9,0)&amp;") * "&amp;TEXT(D10,"0%")&amp;" = "&amp;DOLLAR(LOOKUP(F20,B6:F13)+(F20-LOOKUP(F20,B6:E13))*LOOKUP(F20,B6:D13))</f>
        <v>If we make calculation manually: $541.84 + ($3,690.80 - $3,395) * 24% = $612.83</v>
      </c>
      <c r="C15" s="220"/>
      <c r="D15" s="220"/>
      <c r="E15" s="220"/>
      <c r="F15" s="220"/>
    </row>
    <row r="16" spans="1:7" x14ac:dyDescent="0.25">
      <c r="B16" s="220"/>
      <c r="C16" s="220"/>
      <c r="D16" s="220"/>
      <c r="E16" s="220"/>
      <c r="F16" s="220"/>
    </row>
    <row r="17" spans="2:7" x14ac:dyDescent="0.25">
      <c r="B17" s="134" t="s">
        <v>144</v>
      </c>
      <c r="C17" s="135"/>
      <c r="D17" s="165"/>
      <c r="E17" s="166"/>
      <c r="F17" s="114">
        <v>4010</v>
      </c>
    </row>
    <row r="18" spans="2:7" x14ac:dyDescent="0.25">
      <c r="B18" s="134" t="s">
        <v>364</v>
      </c>
      <c r="C18" s="135"/>
      <c r="D18" s="165"/>
      <c r="E18" s="166"/>
      <c r="F18" s="222">
        <v>79.8</v>
      </c>
    </row>
    <row r="19" spans="2:7" x14ac:dyDescent="0.25">
      <c r="B19" s="134" t="s">
        <v>362</v>
      </c>
      <c r="C19" s="135"/>
      <c r="D19" s="165"/>
      <c r="E19" s="166"/>
      <c r="F19" s="5">
        <v>4</v>
      </c>
    </row>
    <row r="20" spans="2:7" x14ac:dyDescent="0.25">
      <c r="B20" s="134" t="s">
        <v>367</v>
      </c>
      <c r="C20" s="135"/>
      <c r="D20" s="165"/>
      <c r="E20" s="166"/>
      <c r="F20" s="224">
        <f>F17-F18*F19</f>
        <v>3690.8</v>
      </c>
    </row>
    <row r="21" spans="2:7" x14ac:dyDescent="0.25">
      <c r="B21" s="134" t="s">
        <v>363</v>
      </c>
      <c r="C21" s="135"/>
      <c r="D21" s="165"/>
      <c r="E21" s="166"/>
      <c r="F21" s="223">
        <f>LOOKUP(F20,B6:F13)+(F20-LOOKUP(F20,B6:E13))*LOOKUP(F20,B6:D13)</f>
        <v>612.83200000000011</v>
      </c>
    </row>
    <row r="22" spans="2:7" x14ac:dyDescent="0.25">
      <c r="B22" s="134" t="s">
        <v>363</v>
      </c>
      <c r="C22" s="135"/>
      <c r="D22" s="165"/>
      <c r="E22" s="166"/>
      <c r="F22" s="223">
        <f>_xlfn.XLOOKUP(F20,B6:B13,F6:F13,,-1)+(F20-_xlfn.XLOOKUP(F20,B6:B13,E6:E13,,-1))*_xlfn.XLOOKUP(F20,B6:B13,D6:D13,,-1)</f>
        <v>612.83200000000011</v>
      </c>
    </row>
    <row r="23" spans="2:7" x14ac:dyDescent="0.25">
      <c r="B23" s="220"/>
      <c r="C23" s="220"/>
      <c r="D23" s="220"/>
      <c r="E23" s="220"/>
      <c r="F23" s="220"/>
    </row>
    <row r="24" spans="2:7" ht="20.25" customHeight="1" x14ac:dyDescent="0.3">
      <c r="B24" s="235" t="str">
        <f ca="1">_xlfn.IFNA("Formula in "&amp;ADDRESS(ROW(F21),COLUMN(F21),4)&amp;":"&amp;_xlfn.FORMULATEXT(F21),"")</f>
        <v>Formula in F21:=LOOKUP(F20,B6:F13)+(F20-LOOKUP(F20,B6:E13))*LOOKUP(F20,B6:D13)</v>
      </c>
      <c r="C24" s="236"/>
      <c r="D24" s="236"/>
      <c r="E24" s="236"/>
      <c r="F24" s="236"/>
      <c r="G24" s="237"/>
    </row>
    <row r="25" spans="2:7" ht="37.5" customHeight="1" x14ac:dyDescent="0.25">
      <c r="B25" s="282" t="str">
        <f ca="1">_xlfn.IFNA("Formula in "&amp;ADDRESS(ROW(F22),COLUMN(F22),4)&amp;":"&amp;SUBSTITUTE(_xlfn.FORMULATEXT(F22),"*",CHAR(10)&amp;"*"),"")</f>
        <v>Formula in F22:=XLOOKUP(F20,B6:B13,F6:F13,,-1)+(F20-XLOOKUP(F20,B6:B13,E6:E13,,-1))
*XLOOKUP(F20,B6:B13,D6:D13,,-1)</v>
      </c>
      <c r="C25" s="283"/>
      <c r="D25" s="283"/>
      <c r="E25" s="283"/>
      <c r="F25" s="283"/>
      <c r="G25" s="284"/>
    </row>
    <row r="26" spans="2:7" x14ac:dyDescent="0.25">
      <c r="C26" s="220"/>
      <c r="D26" s="220"/>
      <c r="E26" s="220"/>
      <c r="F26" s="220"/>
    </row>
  </sheetData>
  <mergeCells count="1">
    <mergeCell ref="B25:G25"/>
  </mergeCells>
  <conditionalFormatting sqref="B6:G13">
    <cfRule type="expression" dxfId="34" priority="1">
      <formula>LOOKUP($F$20,$B$6:$B$13)=$B6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B714-7276-4203-BE53-8A3996CE5478}">
  <sheetPr codeName="Sheet65">
    <tabColor rgb="FF0000FF"/>
  </sheetPr>
  <dimension ref="A1:U24"/>
  <sheetViews>
    <sheetView zoomScale="145" zoomScaleNormal="145" workbookViewId="0"/>
  </sheetViews>
  <sheetFormatPr defaultColWidth="8.85546875" defaultRowHeight="15" x14ac:dyDescent="0.25"/>
  <cols>
    <col min="1" max="1" width="4" customWidth="1"/>
    <col min="2" max="2" width="8" customWidth="1"/>
    <col min="3" max="3" width="6.42578125" customWidth="1"/>
    <col min="4" max="4" width="9.7109375" customWidth="1"/>
    <col min="7" max="7" width="0.7109375" customWidth="1"/>
    <col min="8" max="8" width="7.42578125" customWidth="1"/>
    <col min="9" max="9" width="0.7109375" customWidth="1"/>
    <col min="10" max="10" width="9.28515625" customWidth="1"/>
    <col min="11" max="11" width="10.85546875" customWidth="1"/>
    <col min="12" max="12" width="1.42578125" customWidth="1"/>
    <col min="13" max="13" width="7.85546875" customWidth="1"/>
    <col min="14" max="14" width="5.7109375" customWidth="1"/>
    <col min="15" max="15" width="8.7109375" customWidth="1"/>
    <col min="21" max="21" width="11.42578125" bestFit="1" customWidth="1"/>
  </cols>
  <sheetData>
    <row r="1" spans="1:21" ht="3.75" customHeight="1" x14ac:dyDescent="0.25"/>
    <row r="2" spans="1:21" x14ac:dyDescent="0.25">
      <c r="A2" s="4" t="s">
        <v>207</v>
      </c>
      <c r="B2" s="4" t="s">
        <v>370</v>
      </c>
      <c r="D2" s="4"/>
    </row>
    <row r="3" spans="1:21" x14ac:dyDescent="0.25">
      <c r="A3" s="4" t="s">
        <v>382</v>
      </c>
      <c r="B3" t="s">
        <v>378</v>
      </c>
      <c r="J3" s="154" t="s">
        <v>372</v>
      </c>
      <c r="K3" s="150"/>
      <c r="M3" s="154" t="s">
        <v>375</v>
      </c>
      <c r="N3" s="149"/>
      <c r="O3" s="150"/>
    </row>
    <row r="4" spans="1:21" x14ac:dyDescent="0.25">
      <c r="A4" s="4"/>
      <c r="J4" s="226" t="s">
        <v>373</v>
      </c>
      <c r="K4" s="194"/>
      <c r="M4" s="226" t="s">
        <v>374</v>
      </c>
      <c r="N4" s="169"/>
      <c r="O4" s="194"/>
    </row>
    <row r="5" spans="1:21" x14ac:dyDescent="0.25">
      <c r="A5" s="4"/>
      <c r="B5" s="228" t="s">
        <v>377</v>
      </c>
      <c r="C5" s="158"/>
      <c r="D5" s="158"/>
      <c r="E5" s="158"/>
      <c r="F5" s="229"/>
      <c r="J5" s="227" t="s">
        <v>371</v>
      </c>
      <c r="K5" s="153"/>
      <c r="M5" s="227" t="s">
        <v>376</v>
      </c>
      <c r="N5" s="152"/>
      <c r="O5" s="153"/>
      <c r="U5" s="232" t="s">
        <v>405</v>
      </c>
    </row>
    <row r="6" spans="1:21" ht="3.75" customHeight="1" x14ac:dyDescent="0.25"/>
    <row r="7" spans="1:21" ht="30" x14ac:dyDescent="0.25">
      <c r="B7" s="110" t="s">
        <v>7</v>
      </c>
      <c r="C7" s="110" t="s">
        <v>9</v>
      </c>
      <c r="D7" s="110" t="s">
        <v>379</v>
      </c>
      <c r="E7" s="111" t="s">
        <v>380</v>
      </c>
      <c r="F7" s="111" t="s">
        <v>380</v>
      </c>
      <c r="G7" s="4"/>
      <c r="H7" s="4" t="s">
        <v>330</v>
      </c>
      <c r="J7" s="110" t="s">
        <v>329</v>
      </c>
      <c r="K7" s="111" t="s">
        <v>381</v>
      </c>
      <c r="M7" s="110" t="s">
        <v>7</v>
      </c>
      <c r="N7" s="110" t="s">
        <v>329</v>
      </c>
      <c r="O7" s="111" t="s">
        <v>380</v>
      </c>
      <c r="R7" s="110" t="s">
        <v>7</v>
      </c>
      <c r="S7" s="110" t="s">
        <v>9</v>
      </c>
      <c r="U7" s="111" t="s">
        <v>380</v>
      </c>
    </row>
    <row r="8" spans="1:21" x14ac:dyDescent="0.25">
      <c r="B8" s="5" t="s">
        <v>330</v>
      </c>
      <c r="C8" s="5">
        <v>26.95</v>
      </c>
      <c r="D8" s="5">
        <v>24</v>
      </c>
      <c r="E8" s="7"/>
      <c r="F8" s="7"/>
      <c r="J8" s="5">
        <v>0</v>
      </c>
      <c r="K8" s="217">
        <v>0</v>
      </c>
      <c r="M8" s="182" t="s">
        <v>330</v>
      </c>
      <c r="N8" s="5">
        <v>0</v>
      </c>
      <c r="O8" s="217">
        <v>0</v>
      </c>
      <c r="R8" s="182" t="s">
        <v>330</v>
      </c>
      <c r="S8" s="5">
        <v>26.95</v>
      </c>
      <c r="U8" s="7">
        <f>LOOKUP(D8,_xlfn.IFS(B8=$H$7,$J$8:$K$10,B8=$H$12,$J$13:$K$15,TRUE,$J$18:$K$20))</f>
        <v>0.25</v>
      </c>
    </row>
    <row r="9" spans="1:21" x14ac:dyDescent="0.25">
      <c r="B9" s="5" t="s">
        <v>12</v>
      </c>
      <c r="C9" s="5">
        <v>28.95</v>
      </c>
      <c r="D9" s="5">
        <v>60</v>
      </c>
      <c r="E9" s="7"/>
      <c r="F9" s="7"/>
      <c r="J9" s="5">
        <v>15</v>
      </c>
      <c r="K9" s="217">
        <v>0.25</v>
      </c>
      <c r="M9" s="182" t="s">
        <v>330</v>
      </c>
      <c r="N9" s="5">
        <v>15</v>
      </c>
      <c r="O9" s="217">
        <v>0.25</v>
      </c>
      <c r="R9" s="182" t="s">
        <v>10</v>
      </c>
      <c r="S9" s="5">
        <v>43.95</v>
      </c>
      <c r="U9" s="7">
        <f t="shared" ref="U9:U19" si="0">LOOKUP(D9,_xlfn.IFS(B9=$H$7,$J$8:$K$10,B9=$H$12,$J$13:$K$15,TRUE,$J$18:$K$20))</f>
        <v>0.5</v>
      </c>
    </row>
    <row r="10" spans="1:21" x14ac:dyDescent="0.25">
      <c r="B10" s="5" t="s">
        <v>330</v>
      </c>
      <c r="C10" s="5">
        <v>26.95</v>
      </c>
      <c r="D10" s="5">
        <v>50</v>
      </c>
      <c r="E10" s="7"/>
      <c r="F10" s="7"/>
      <c r="J10" s="5">
        <v>45</v>
      </c>
      <c r="K10" s="217">
        <v>0.4</v>
      </c>
      <c r="M10" s="182" t="s">
        <v>330</v>
      </c>
      <c r="N10" s="5">
        <v>45</v>
      </c>
      <c r="O10" s="217">
        <v>0.4</v>
      </c>
      <c r="R10" s="182" t="s">
        <v>12</v>
      </c>
      <c r="S10" s="5">
        <v>28.95</v>
      </c>
      <c r="U10" s="7">
        <f t="shared" si="0"/>
        <v>0.4</v>
      </c>
    </row>
    <row r="11" spans="1:21" x14ac:dyDescent="0.25">
      <c r="B11" s="5" t="s">
        <v>10</v>
      </c>
      <c r="C11" s="5">
        <v>43.95</v>
      </c>
      <c r="D11" s="5">
        <v>5</v>
      </c>
      <c r="E11" s="7"/>
      <c r="F11" s="7"/>
      <c r="M11" s="182" t="s">
        <v>10</v>
      </c>
      <c r="N11" s="5">
        <v>0</v>
      </c>
      <c r="O11" s="217">
        <v>0</v>
      </c>
      <c r="U11" s="7">
        <f t="shared" si="0"/>
        <v>0</v>
      </c>
    </row>
    <row r="12" spans="1:21" x14ac:dyDescent="0.25">
      <c r="B12" s="5" t="s">
        <v>10</v>
      </c>
      <c r="C12" s="5">
        <v>43.95</v>
      </c>
      <c r="D12" s="5">
        <v>25</v>
      </c>
      <c r="E12" s="7"/>
      <c r="F12" s="7"/>
      <c r="H12" s="4" t="s">
        <v>10</v>
      </c>
      <c r="J12" s="110" t="s">
        <v>329</v>
      </c>
      <c r="K12" s="111" t="s">
        <v>381</v>
      </c>
      <c r="M12" s="182" t="s">
        <v>10</v>
      </c>
      <c r="N12" s="5">
        <v>20</v>
      </c>
      <c r="O12" s="217">
        <v>0.2</v>
      </c>
      <c r="U12" s="7">
        <f t="shared" si="0"/>
        <v>0.2</v>
      </c>
    </row>
    <row r="13" spans="1:21" x14ac:dyDescent="0.25">
      <c r="B13" s="5" t="s">
        <v>330</v>
      </c>
      <c r="C13" s="5">
        <v>26.95</v>
      </c>
      <c r="D13" s="5">
        <v>96</v>
      </c>
      <c r="E13" s="7"/>
      <c r="F13" s="7"/>
      <c r="J13" s="5">
        <v>0</v>
      </c>
      <c r="K13" s="217">
        <v>0</v>
      </c>
      <c r="M13" s="182" t="s">
        <v>10</v>
      </c>
      <c r="N13" s="5">
        <v>60</v>
      </c>
      <c r="O13" s="217">
        <v>0.45</v>
      </c>
      <c r="U13" s="7">
        <f t="shared" si="0"/>
        <v>0.4</v>
      </c>
    </row>
    <row r="14" spans="1:21" x14ac:dyDescent="0.25">
      <c r="B14" s="5" t="s">
        <v>13</v>
      </c>
      <c r="C14" s="5">
        <v>30.95</v>
      </c>
      <c r="D14" s="5">
        <v>8</v>
      </c>
      <c r="E14" s="7"/>
      <c r="F14" s="7"/>
      <c r="J14" s="5">
        <v>20</v>
      </c>
      <c r="K14" s="217">
        <v>0.2</v>
      </c>
      <c r="M14" s="182" t="s">
        <v>397</v>
      </c>
      <c r="N14" s="5">
        <v>0</v>
      </c>
      <c r="O14" s="217">
        <v>0</v>
      </c>
      <c r="U14" s="7">
        <f t="shared" si="0"/>
        <v>0</v>
      </c>
    </row>
    <row r="15" spans="1:21" x14ac:dyDescent="0.25">
      <c r="B15" s="5" t="s">
        <v>10</v>
      </c>
      <c r="C15" s="5">
        <v>43.95</v>
      </c>
      <c r="D15" s="5">
        <v>124</v>
      </c>
      <c r="E15" s="7"/>
      <c r="F15" s="7"/>
      <c r="J15" s="5">
        <v>60</v>
      </c>
      <c r="K15" s="217">
        <v>0.45</v>
      </c>
      <c r="M15" s="182" t="s">
        <v>397</v>
      </c>
      <c r="N15" s="5">
        <v>15</v>
      </c>
      <c r="O15" s="217">
        <v>0.3</v>
      </c>
      <c r="U15" s="7">
        <f t="shared" si="0"/>
        <v>0.45</v>
      </c>
    </row>
    <row r="16" spans="1:21" x14ac:dyDescent="0.25">
      <c r="B16" s="5" t="s">
        <v>330</v>
      </c>
      <c r="C16" s="5">
        <v>26.95</v>
      </c>
      <c r="D16" s="5">
        <v>55</v>
      </c>
      <c r="E16" s="7"/>
      <c r="F16" s="7"/>
      <c r="M16" s="182" t="s">
        <v>397</v>
      </c>
      <c r="N16" s="5">
        <v>25</v>
      </c>
      <c r="O16" s="217">
        <v>0.5</v>
      </c>
      <c r="U16" s="7">
        <f t="shared" si="0"/>
        <v>0.4</v>
      </c>
    </row>
    <row r="17" spans="2:21" x14ac:dyDescent="0.25">
      <c r="B17" s="5" t="s">
        <v>330</v>
      </c>
      <c r="C17" s="5">
        <v>26.95</v>
      </c>
      <c r="D17" s="5">
        <v>2</v>
      </c>
      <c r="E17" s="7"/>
      <c r="F17" s="7"/>
      <c r="H17" s="4" t="s">
        <v>397</v>
      </c>
      <c r="J17" s="110" t="s">
        <v>329</v>
      </c>
      <c r="K17" s="111" t="s">
        <v>381</v>
      </c>
      <c r="U17" s="7">
        <f t="shared" si="0"/>
        <v>0</v>
      </c>
    </row>
    <row r="18" spans="2:21" x14ac:dyDescent="0.25">
      <c r="B18" s="5" t="s">
        <v>10</v>
      </c>
      <c r="C18" s="5">
        <v>43.95</v>
      </c>
      <c r="D18" s="5">
        <v>5</v>
      </c>
      <c r="E18" s="7"/>
      <c r="F18" s="7"/>
      <c r="J18" s="5">
        <v>0</v>
      </c>
      <c r="K18" s="217">
        <v>0</v>
      </c>
      <c r="U18" s="7">
        <f t="shared" si="0"/>
        <v>0</v>
      </c>
    </row>
    <row r="19" spans="2:21" x14ac:dyDescent="0.25">
      <c r="B19" s="5" t="s">
        <v>13</v>
      </c>
      <c r="C19" s="5">
        <v>30.95</v>
      </c>
      <c r="D19" s="5">
        <v>19</v>
      </c>
      <c r="E19" s="7"/>
      <c r="F19" s="7"/>
      <c r="J19" s="5">
        <v>15</v>
      </c>
      <c r="K19" s="217">
        <v>0.3</v>
      </c>
      <c r="U19" s="7">
        <f t="shared" si="0"/>
        <v>0.3</v>
      </c>
    </row>
    <row r="20" spans="2:21" x14ac:dyDescent="0.25">
      <c r="J20" s="5">
        <v>25</v>
      </c>
      <c r="K20" s="217">
        <v>0.5</v>
      </c>
    </row>
    <row r="21" spans="2:21" ht="6.75" customHeight="1" x14ac:dyDescent="0.25"/>
    <row r="22" spans="2:21" ht="21.75" customHeight="1" x14ac:dyDescent="0.25">
      <c r="B22" s="225" t="str">
        <f ca="1">_xlfn.IFNA("Formula in "&amp;ADDRESS(ROW(E8),COLUMN(E8),4)&amp;":"&amp;_xlfn.FORMULATEXT(E8),"")</f>
        <v/>
      </c>
    </row>
    <row r="23" spans="2:21" ht="21.75" customHeight="1" x14ac:dyDescent="0.25">
      <c r="B23" s="225" t="str">
        <f ca="1">_xlfn.IFNA("Formula in "&amp;ADDRESS(ROW(F8),COLUMN(F8),4)&amp;":"&amp;_xlfn.FORMULATEXT(F8),"")</f>
        <v/>
      </c>
    </row>
    <row r="24" spans="2:21" x14ac:dyDescent="0.25">
      <c r="B24" t="s">
        <v>383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E263-B5BC-4334-9F41-6C5811BB9347}">
  <sheetPr codeName="Sheet66">
    <tabColor rgb="FFFF0000"/>
  </sheetPr>
  <dimension ref="A1:U24"/>
  <sheetViews>
    <sheetView zoomScale="145" zoomScaleNormal="145" workbookViewId="0"/>
  </sheetViews>
  <sheetFormatPr defaultColWidth="8.85546875" defaultRowHeight="15" x14ac:dyDescent="0.25"/>
  <cols>
    <col min="1" max="1" width="4" customWidth="1"/>
    <col min="2" max="2" width="8" customWidth="1"/>
    <col min="3" max="3" width="6.42578125" customWidth="1"/>
    <col min="4" max="4" width="9.7109375" customWidth="1"/>
    <col min="7" max="7" width="0.7109375" customWidth="1"/>
    <col min="8" max="8" width="7.42578125" customWidth="1"/>
    <col min="9" max="9" width="0.7109375" customWidth="1"/>
    <col min="10" max="10" width="9.28515625" customWidth="1"/>
    <col min="11" max="11" width="10.85546875" customWidth="1"/>
    <col min="12" max="12" width="1.42578125" customWidth="1"/>
    <col min="13" max="13" width="7.85546875" customWidth="1"/>
    <col min="14" max="14" width="5.7109375" customWidth="1"/>
    <col min="15" max="15" width="8.7109375" customWidth="1"/>
    <col min="21" max="21" width="11.42578125" bestFit="1" customWidth="1"/>
  </cols>
  <sheetData>
    <row r="1" spans="1:21" ht="3.75" customHeight="1" x14ac:dyDescent="0.25"/>
    <row r="2" spans="1:21" x14ac:dyDescent="0.25">
      <c r="A2" s="4" t="s">
        <v>207</v>
      </c>
      <c r="B2" s="4" t="s">
        <v>370</v>
      </c>
      <c r="D2" s="4"/>
    </row>
    <row r="3" spans="1:21" x14ac:dyDescent="0.25">
      <c r="A3" s="4" t="s">
        <v>382</v>
      </c>
      <c r="B3" t="s">
        <v>378</v>
      </c>
      <c r="J3" s="154" t="s">
        <v>372</v>
      </c>
      <c r="K3" s="150"/>
      <c r="M3" s="154" t="s">
        <v>375</v>
      </c>
      <c r="N3" s="149"/>
      <c r="O3" s="150"/>
    </row>
    <row r="4" spans="1:21" x14ac:dyDescent="0.25">
      <c r="A4" s="4"/>
      <c r="J4" s="226" t="s">
        <v>373</v>
      </c>
      <c r="K4" s="194"/>
      <c r="M4" s="226" t="s">
        <v>374</v>
      </c>
      <c r="N4" s="169"/>
      <c r="O4" s="194"/>
    </row>
    <row r="5" spans="1:21" x14ac:dyDescent="0.25">
      <c r="A5" s="4"/>
      <c r="B5" s="228" t="s">
        <v>377</v>
      </c>
      <c r="C5" s="158"/>
      <c r="D5" s="158"/>
      <c r="E5" s="158"/>
      <c r="F5" s="229"/>
      <c r="J5" s="227" t="s">
        <v>371</v>
      </c>
      <c r="K5" s="153"/>
      <c r="M5" s="227" t="s">
        <v>376</v>
      </c>
      <c r="N5" s="152"/>
      <c r="O5" s="153"/>
      <c r="U5" t="s">
        <v>405</v>
      </c>
    </row>
    <row r="6" spans="1:21" ht="3.75" customHeight="1" x14ac:dyDescent="0.25"/>
    <row r="7" spans="1:21" ht="30" x14ac:dyDescent="0.25">
      <c r="B7" s="110" t="s">
        <v>7</v>
      </c>
      <c r="C7" s="110" t="s">
        <v>9</v>
      </c>
      <c r="D7" s="110" t="s">
        <v>379</v>
      </c>
      <c r="E7" s="111" t="s">
        <v>380</v>
      </c>
      <c r="F7" s="111" t="s">
        <v>380</v>
      </c>
      <c r="G7" s="4"/>
      <c r="H7" s="4" t="s">
        <v>330</v>
      </c>
      <c r="J7" s="110" t="s">
        <v>329</v>
      </c>
      <c r="K7" s="111" t="s">
        <v>381</v>
      </c>
      <c r="M7" s="110" t="s">
        <v>7</v>
      </c>
      <c r="N7" s="110" t="s">
        <v>329</v>
      </c>
      <c r="O7" s="111" t="s">
        <v>380</v>
      </c>
      <c r="R7" s="110" t="s">
        <v>7</v>
      </c>
      <c r="S7" s="110" t="s">
        <v>9</v>
      </c>
      <c r="U7" s="111" t="s">
        <v>380</v>
      </c>
    </row>
    <row r="8" spans="1:21" x14ac:dyDescent="0.25">
      <c r="B8" s="5" t="s">
        <v>330</v>
      </c>
      <c r="C8" s="5">
        <v>26.95</v>
      </c>
      <c r="D8" s="5">
        <v>24</v>
      </c>
      <c r="E8" s="7">
        <f>LOOKUP(D8,_xlfn.SWITCH(B8,$H$7,$J$8:$K$10,$H$12,$J$13:$K$15,$J$18:$K$20))</f>
        <v>0.25</v>
      </c>
      <c r="F8" s="7" cm="1">
        <f t="array" ref="F8">LOOKUP(D8,_xlfn._xlws.FILTER($N$8:$O$13,$M$8:$M$13=B8,$N$14:$O$16))</f>
        <v>0.25</v>
      </c>
      <c r="J8" s="5">
        <v>0</v>
      </c>
      <c r="K8" s="217">
        <v>0</v>
      </c>
      <c r="M8" s="182" t="s">
        <v>330</v>
      </c>
      <c r="N8" s="5">
        <v>0</v>
      </c>
      <c r="O8" s="217">
        <v>0</v>
      </c>
      <c r="R8" s="182" t="s">
        <v>330</v>
      </c>
      <c r="S8" s="5">
        <v>26.95</v>
      </c>
      <c r="U8" s="7">
        <f>LOOKUP(D8,_xlfn.IFS(B8=$H$7,$J$8:$K$10,B8=$H$12,$J$13:$K$15,TRUE,$J$18:$K$20))</f>
        <v>0.25</v>
      </c>
    </row>
    <row r="9" spans="1:21" x14ac:dyDescent="0.25">
      <c r="B9" s="5" t="s">
        <v>12</v>
      </c>
      <c r="C9" s="5">
        <v>28.95</v>
      </c>
      <c r="D9" s="5">
        <v>60</v>
      </c>
      <c r="E9" s="7">
        <f t="shared" ref="E9:E19" si="0">LOOKUP(D9,_xlfn.SWITCH(B9,$H$7,$J$8:$K$10,$H$12,$J$13:$K$15,$J$18:$K$20))</f>
        <v>0.5</v>
      </c>
      <c r="F9" s="7" cm="1">
        <f t="array" ref="F9">LOOKUP(D9,_xlfn._xlws.FILTER($N$8:$O$13,$M$8:$M$13=B9,$N$14:$O$16))</f>
        <v>0.5</v>
      </c>
      <c r="J9" s="5">
        <v>15</v>
      </c>
      <c r="K9" s="217">
        <v>0.25</v>
      </c>
      <c r="M9" s="182" t="s">
        <v>330</v>
      </c>
      <c r="N9" s="5">
        <v>15</v>
      </c>
      <c r="O9" s="217">
        <v>0.25</v>
      </c>
      <c r="R9" s="182" t="s">
        <v>10</v>
      </c>
      <c r="S9" s="5">
        <v>43.95</v>
      </c>
      <c r="U9" s="7">
        <f t="shared" ref="U9:U19" si="1">LOOKUP(D9,_xlfn.IFS(B9=$H$7,$J$8:$K$10,B9=$H$12,$J$13:$K$15,TRUE,$J$18:$K$20))</f>
        <v>0.5</v>
      </c>
    </row>
    <row r="10" spans="1:21" x14ac:dyDescent="0.25">
      <c r="B10" s="5" t="s">
        <v>330</v>
      </c>
      <c r="C10" s="5">
        <v>26.95</v>
      </c>
      <c r="D10" s="5">
        <v>50</v>
      </c>
      <c r="E10" s="7">
        <f t="shared" si="0"/>
        <v>0.4</v>
      </c>
      <c r="F10" s="7" cm="1">
        <f t="array" ref="F10">LOOKUP(D10,_xlfn._xlws.FILTER($N$8:$O$13,$M$8:$M$13=B10,$N$14:$O$16))</f>
        <v>0.4</v>
      </c>
      <c r="J10" s="5">
        <v>45</v>
      </c>
      <c r="K10" s="217">
        <v>0.4</v>
      </c>
      <c r="M10" s="182" t="s">
        <v>330</v>
      </c>
      <c r="N10" s="5">
        <v>45</v>
      </c>
      <c r="O10" s="217">
        <v>0.4</v>
      </c>
      <c r="R10" s="182" t="s">
        <v>12</v>
      </c>
      <c r="S10" s="5">
        <v>28.95</v>
      </c>
      <c r="U10" s="7">
        <f t="shared" si="1"/>
        <v>0.4</v>
      </c>
    </row>
    <row r="11" spans="1:21" x14ac:dyDescent="0.25">
      <c r="B11" s="5" t="s">
        <v>10</v>
      </c>
      <c r="C11" s="5">
        <v>43.95</v>
      </c>
      <c r="D11" s="5">
        <v>5</v>
      </c>
      <c r="E11" s="7">
        <f t="shared" si="0"/>
        <v>0</v>
      </c>
      <c r="F11" s="7" cm="1">
        <f t="array" ref="F11">LOOKUP(D11,_xlfn._xlws.FILTER($N$8:$O$13,$M$8:$M$13=B11,$N$14:$O$16))</f>
        <v>0</v>
      </c>
      <c r="M11" s="182" t="s">
        <v>10</v>
      </c>
      <c r="N11" s="5">
        <v>0</v>
      </c>
      <c r="O11" s="217">
        <v>0</v>
      </c>
      <c r="U11" s="7">
        <f t="shared" si="1"/>
        <v>0</v>
      </c>
    </row>
    <row r="12" spans="1:21" x14ac:dyDescent="0.25">
      <c r="B12" s="5" t="s">
        <v>10</v>
      </c>
      <c r="C12" s="5">
        <v>43.95</v>
      </c>
      <c r="D12" s="5">
        <v>25</v>
      </c>
      <c r="E12" s="7">
        <f t="shared" si="0"/>
        <v>0.2</v>
      </c>
      <c r="F12" s="7" cm="1">
        <f t="array" ref="F12">LOOKUP(D12,_xlfn._xlws.FILTER($N$8:$O$13,$M$8:$M$13=B12,$N$14:$O$16))</f>
        <v>0.2</v>
      </c>
      <c r="H12" s="4" t="s">
        <v>10</v>
      </c>
      <c r="J12" s="110" t="s">
        <v>329</v>
      </c>
      <c r="K12" s="111" t="s">
        <v>381</v>
      </c>
      <c r="M12" s="182" t="s">
        <v>10</v>
      </c>
      <c r="N12" s="5">
        <v>20</v>
      </c>
      <c r="O12" s="217">
        <v>0.2</v>
      </c>
      <c r="U12" s="7">
        <f t="shared" si="1"/>
        <v>0.2</v>
      </c>
    </row>
    <row r="13" spans="1:21" x14ac:dyDescent="0.25">
      <c r="B13" s="5" t="s">
        <v>330</v>
      </c>
      <c r="C13" s="5">
        <v>26.95</v>
      </c>
      <c r="D13" s="5">
        <v>96</v>
      </c>
      <c r="E13" s="7">
        <f t="shared" si="0"/>
        <v>0.4</v>
      </c>
      <c r="F13" s="7" cm="1">
        <f t="array" ref="F13">LOOKUP(D13,_xlfn._xlws.FILTER($N$8:$O$13,$M$8:$M$13=B13,$N$14:$O$16))</f>
        <v>0.4</v>
      </c>
      <c r="J13" s="5">
        <v>0</v>
      </c>
      <c r="K13" s="217">
        <v>0</v>
      </c>
      <c r="M13" s="182" t="s">
        <v>10</v>
      </c>
      <c r="N13" s="5">
        <v>60</v>
      </c>
      <c r="O13" s="217">
        <v>0.45</v>
      </c>
      <c r="U13" s="7">
        <f t="shared" si="1"/>
        <v>0.4</v>
      </c>
    </row>
    <row r="14" spans="1:21" x14ac:dyDescent="0.25">
      <c r="B14" s="5" t="s">
        <v>13</v>
      </c>
      <c r="C14" s="5">
        <v>30.95</v>
      </c>
      <c r="D14" s="5">
        <v>8</v>
      </c>
      <c r="E14" s="7">
        <f t="shared" si="0"/>
        <v>0</v>
      </c>
      <c r="F14" s="7" cm="1">
        <f t="array" ref="F14">LOOKUP(D14,_xlfn._xlws.FILTER($N$8:$O$13,$M$8:$M$13=B14,$N$14:$O$16))</f>
        <v>0</v>
      </c>
      <c r="J14" s="5">
        <v>20</v>
      </c>
      <c r="K14" s="217">
        <v>0.2</v>
      </c>
      <c r="M14" s="182" t="s">
        <v>397</v>
      </c>
      <c r="N14" s="5">
        <v>0</v>
      </c>
      <c r="O14" s="217">
        <v>0</v>
      </c>
      <c r="U14" s="7">
        <f t="shared" si="1"/>
        <v>0</v>
      </c>
    </row>
    <row r="15" spans="1:21" x14ac:dyDescent="0.25">
      <c r="B15" s="5" t="s">
        <v>10</v>
      </c>
      <c r="C15" s="5">
        <v>43.95</v>
      </c>
      <c r="D15" s="5">
        <v>124</v>
      </c>
      <c r="E15" s="7">
        <f t="shared" si="0"/>
        <v>0.45</v>
      </c>
      <c r="F15" s="7" cm="1">
        <f t="array" ref="F15">LOOKUP(D15,_xlfn._xlws.FILTER($N$8:$O$13,$M$8:$M$13=B15,$N$14:$O$16))</f>
        <v>0.45</v>
      </c>
      <c r="J15" s="5">
        <v>60</v>
      </c>
      <c r="K15" s="217">
        <v>0.45</v>
      </c>
      <c r="M15" s="182" t="s">
        <v>397</v>
      </c>
      <c r="N15" s="5">
        <v>15</v>
      </c>
      <c r="O15" s="217">
        <v>0.3</v>
      </c>
      <c r="U15" s="7">
        <f t="shared" si="1"/>
        <v>0.45</v>
      </c>
    </row>
    <row r="16" spans="1:21" x14ac:dyDescent="0.25">
      <c r="B16" s="5" t="s">
        <v>330</v>
      </c>
      <c r="C16" s="5">
        <v>26.95</v>
      </c>
      <c r="D16" s="5">
        <v>55</v>
      </c>
      <c r="E16" s="7">
        <f t="shared" si="0"/>
        <v>0.4</v>
      </c>
      <c r="F16" s="7" cm="1">
        <f t="array" ref="F16">LOOKUP(D16,_xlfn._xlws.FILTER($N$8:$O$13,$M$8:$M$13=B16,$N$14:$O$16))</f>
        <v>0.4</v>
      </c>
      <c r="M16" s="182" t="s">
        <v>397</v>
      </c>
      <c r="N16" s="5">
        <v>25</v>
      </c>
      <c r="O16" s="217">
        <v>0.5</v>
      </c>
      <c r="U16" s="7">
        <f t="shared" si="1"/>
        <v>0.4</v>
      </c>
    </row>
    <row r="17" spans="2:21" x14ac:dyDescent="0.25">
      <c r="B17" s="5" t="s">
        <v>330</v>
      </c>
      <c r="C17" s="5">
        <v>26.95</v>
      </c>
      <c r="D17" s="5">
        <v>2</v>
      </c>
      <c r="E17" s="7">
        <f t="shared" si="0"/>
        <v>0</v>
      </c>
      <c r="F17" s="7" cm="1">
        <f t="array" ref="F17">LOOKUP(D17,_xlfn._xlws.FILTER($N$8:$O$13,$M$8:$M$13=B17,$N$14:$O$16))</f>
        <v>0</v>
      </c>
      <c r="H17" s="4" t="s">
        <v>397</v>
      </c>
      <c r="J17" s="110" t="s">
        <v>329</v>
      </c>
      <c r="K17" s="111" t="s">
        <v>381</v>
      </c>
      <c r="U17" s="7">
        <f t="shared" si="1"/>
        <v>0</v>
      </c>
    </row>
    <row r="18" spans="2:21" x14ac:dyDescent="0.25">
      <c r="B18" s="5" t="s">
        <v>10</v>
      </c>
      <c r="C18" s="5">
        <v>43.95</v>
      </c>
      <c r="D18" s="5">
        <v>5</v>
      </c>
      <c r="E18" s="7">
        <f t="shared" si="0"/>
        <v>0</v>
      </c>
      <c r="F18" s="7" cm="1">
        <f t="array" ref="F18">LOOKUP(D18,_xlfn._xlws.FILTER($N$8:$O$13,$M$8:$M$13=B18,$N$14:$O$16))</f>
        <v>0</v>
      </c>
      <c r="J18" s="5">
        <v>0</v>
      </c>
      <c r="K18" s="217">
        <v>0</v>
      </c>
      <c r="U18" s="7">
        <f t="shared" si="1"/>
        <v>0</v>
      </c>
    </row>
    <row r="19" spans="2:21" x14ac:dyDescent="0.25">
      <c r="B19" s="5" t="s">
        <v>13</v>
      </c>
      <c r="C19" s="5">
        <v>30.95</v>
      </c>
      <c r="D19" s="5">
        <v>19</v>
      </c>
      <c r="E19" s="7">
        <f t="shared" si="0"/>
        <v>0.3</v>
      </c>
      <c r="F19" s="7" cm="1">
        <f t="array" ref="F19">LOOKUP(D19,_xlfn._xlws.FILTER($N$8:$O$13,$M$8:$M$13=B19,$N$14:$O$16))</f>
        <v>0.3</v>
      </c>
      <c r="J19" s="5">
        <v>15</v>
      </c>
      <c r="K19" s="217">
        <v>0.3</v>
      </c>
      <c r="U19" s="7">
        <f t="shared" si="1"/>
        <v>0.3</v>
      </c>
    </row>
    <row r="20" spans="2:21" x14ac:dyDescent="0.25">
      <c r="J20" s="5">
        <v>25</v>
      </c>
      <c r="K20" s="217">
        <v>0.5</v>
      </c>
    </row>
    <row r="21" spans="2:21" ht="6.75" customHeight="1" x14ac:dyDescent="0.25"/>
    <row r="22" spans="2:21" ht="21.75" customHeight="1" x14ac:dyDescent="0.25">
      <c r="B22" s="225" t="str">
        <f ca="1">_xlfn.IFNA("Formula in "&amp;ADDRESS(ROW(E8),COLUMN(E8),4)&amp;":"&amp;_xlfn.FORMULATEXT(E8),"")</f>
        <v>Formula in E8:=LOOKUP(D8,SWITCH(B8,$H$7,$J$8:$K$10,$H$12,$J$13:$K$15,$J$18:$K$20))</v>
      </c>
    </row>
    <row r="23" spans="2:21" ht="21.75" customHeight="1" x14ac:dyDescent="0.25">
      <c r="B23" s="225" t="str">
        <f ca="1">_xlfn.IFNA("Formula in "&amp;ADDRESS(ROW(F8),COLUMN(F8),4)&amp;":"&amp;_xlfn.FORMULATEXT(F8),"")</f>
        <v>Formula in F8:=LOOKUP(D8,FILTER($N$8:$O$13,$M$8:$M$13=B8,$N$14:$O$16))</v>
      </c>
    </row>
    <row r="24" spans="2:21" x14ac:dyDescent="0.25">
      <c r="B24" t="s">
        <v>383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360C-ABC4-41FA-9DB3-49FD9F28DF73}">
  <sheetPr codeName="Sheet67">
    <tabColor rgb="FFFFFF00"/>
  </sheetPr>
  <dimension ref="D8:J9"/>
  <sheetViews>
    <sheetView showGridLines="0" zoomScale="160" zoomScaleNormal="160" workbookViewId="0"/>
  </sheetViews>
  <sheetFormatPr defaultColWidth="8.85546875" defaultRowHeight="15" x14ac:dyDescent="0.25"/>
  <cols>
    <col min="10" max="10" width="28.7109375" customWidth="1"/>
  </cols>
  <sheetData>
    <row r="8" spans="4:10" ht="15.75" thickBot="1" x14ac:dyDescent="0.3"/>
    <row r="9" spans="4:10" ht="20.25" thickBot="1" x14ac:dyDescent="0.35">
      <c r="D9" s="201" t="s">
        <v>369</v>
      </c>
      <c r="E9" s="202"/>
      <c r="F9" s="202"/>
      <c r="G9" s="202"/>
      <c r="H9" s="202"/>
      <c r="I9" s="202"/>
      <c r="J9" s="203"/>
    </row>
  </sheetData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0DF3-E8B9-4D2E-9020-6CAE546A3D1F}">
  <sheetPr codeName="Sheet68">
    <tabColor rgb="FF0000FF"/>
  </sheetPr>
  <dimension ref="A1:R26"/>
  <sheetViews>
    <sheetView zoomScale="130" zoomScaleNormal="130" workbookViewId="0"/>
  </sheetViews>
  <sheetFormatPr defaultColWidth="8.85546875" defaultRowHeight="15" x14ac:dyDescent="0.25"/>
  <cols>
    <col min="1" max="1" width="4" bestFit="1" customWidth="1"/>
    <col min="2" max="2" width="20.85546875" customWidth="1"/>
    <col min="3" max="3" width="10.7109375" customWidth="1"/>
    <col min="4" max="4" width="9.85546875" bestFit="1" customWidth="1"/>
    <col min="5" max="6" width="9.28515625" customWidth="1"/>
    <col min="7" max="7" width="13.42578125" customWidth="1"/>
    <col min="8" max="9" width="9.42578125" customWidth="1"/>
    <col min="10" max="10" width="13.7109375" customWidth="1"/>
    <col min="11" max="11" width="9.42578125" customWidth="1"/>
    <col min="12" max="12" width="57.7109375" customWidth="1"/>
    <col min="13" max="13" width="13.140625" bestFit="1" customWidth="1"/>
    <col min="14" max="14" width="10.7109375" customWidth="1"/>
    <col min="15" max="15" width="12.28515625" customWidth="1"/>
  </cols>
  <sheetData>
    <row r="1" spans="1:18" ht="3.75" customHeight="1" x14ac:dyDescent="0.25"/>
    <row r="2" spans="1:18" x14ac:dyDescent="0.25">
      <c r="A2" s="4" t="s">
        <v>207</v>
      </c>
      <c r="B2" s="4" t="s">
        <v>407</v>
      </c>
    </row>
    <row r="3" spans="1:18" x14ac:dyDescent="0.25">
      <c r="A3" s="4" t="s">
        <v>412</v>
      </c>
    </row>
    <row r="4" spans="1:18" x14ac:dyDescent="0.25">
      <c r="B4" s="234" t="s">
        <v>384</v>
      </c>
      <c r="C4" t="str">
        <f>$C$8&amp;" &gt;"&amp;DOLLAR($C$9,0)&amp;" AND "&amp;$D$8&amp;" &gt;"&amp;DOLLAR($D$9,0)</f>
        <v>Sales Last Year &gt;$250,000 AND Asset Value &gt;$300,000</v>
      </c>
    </row>
    <row r="5" spans="1:18" x14ac:dyDescent="0.25">
      <c r="B5" s="234" t="s">
        <v>385</v>
      </c>
      <c r="C5" t="s">
        <v>386</v>
      </c>
    </row>
    <row r="6" spans="1:18" x14ac:dyDescent="0.25">
      <c r="B6" s="234" t="s">
        <v>406</v>
      </c>
      <c r="C6" t="str">
        <f>"Credit 1 &gt;= "&amp;E9&amp;" AND Credit 2 &gt;="&amp;F9</f>
        <v>Credit 1 &gt;= 4 AND Credit 2 &gt;=8</v>
      </c>
    </row>
    <row r="7" spans="1:18" ht="6" customHeight="1" x14ac:dyDescent="0.25"/>
    <row r="8" spans="1:18" ht="30" x14ac:dyDescent="0.25">
      <c r="C8" s="230" t="s">
        <v>387</v>
      </c>
      <c r="D8" s="230" t="s">
        <v>388</v>
      </c>
      <c r="E8" s="230" t="s">
        <v>389</v>
      </c>
      <c r="F8" s="230" t="s">
        <v>390</v>
      </c>
    </row>
    <row r="9" spans="1:18" x14ac:dyDescent="0.25">
      <c r="C9" s="231">
        <v>250000</v>
      </c>
      <c r="D9" s="231">
        <v>300000</v>
      </c>
      <c r="E9" s="5">
        <v>4</v>
      </c>
      <c r="F9" s="5">
        <v>8</v>
      </c>
    </row>
    <row r="10" spans="1:18" ht="6" customHeight="1" x14ac:dyDescent="0.25"/>
    <row r="11" spans="1:18" ht="30" x14ac:dyDescent="0.25">
      <c r="B11" s="233" t="s">
        <v>391</v>
      </c>
      <c r="C11" s="233" t="str">
        <f>C8</f>
        <v>Sales Last Year</v>
      </c>
      <c r="D11" s="233" t="str">
        <f>D8</f>
        <v>Asset Value</v>
      </c>
      <c r="E11" s="233" t="str">
        <f>E8</f>
        <v>Credit Rating 1</v>
      </c>
      <c r="F11" s="233" t="str">
        <f>F8</f>
        <v>Credit Rating 2</v>
      </c>
      <c r="G11" s="233" t="s">
        <v>392</v>
      </c>
      <c r="H11" s="233" t="s">
        <v>393</v>
      </c>
      <c r="J11" s="232" t="s">
        <v>410</v>
      </c>
      <c r="K11" s="233" t="s">
        <v>394</v>
      </c>
      <c r="P11" s="233" t="s">
        <v>395</v>
      </c>
      <c r="Q11" s="233" t="s">
        <v>396</v>
      </c>
      <c r="R11" s="233" t="s">
        <v>397</v>
      </c>
    </row>
    <row r="12" spans="1:18" x14ac:dyDescent="0.25">
      <c r="B12" s="5" t="s">
        <v>398</v>
      </c>
      <c r="C12" s="231">
        <v>250000</v>
      </c>
      <c r="D12" s="231">
        <v>370000</v>
      </c>
      <c r="E12" s="5">
        <v>2.4</v>
      </c>
      <c r="F12" s="5">
        <v>7</v>
      </c>
      <c r="G12" s="5" t="s">
        <v>396</v>
      </c>
      <c r="H12" s="7"/>
      <c r="K12" s="7" t="b" cm="1">
        <f t="array" ref="K12">_xlfn.IFS(G12="Rule 1",AND(C12&gt;$C$9,D12&gt;$D$9),G12="Rule 2",OR(E12&gt;$E$9,F12&gt;$F$9),TRUE,AND(E12&gt;=$E$9,F12&gt;=$F$9))</f>
        <v>0</v>
      </c>
      <c r="P12" s="7" t="b">
        <f t="shared" ref="P12:P17" si="0">AND(C12&gt;$C$9,D12&gt;$D$9)</f>
        <v>0</v>
      </c>
      <c r="Q12" s="7" t="b">
        <f t="shared" ref="Q12:Q17" si="1">OR(E12&gt;$E$9,F12&gt;$F$9)</f>
        <v>0</v>
      </c>
      <c r="R12" s="7" t="b">
        <f t="shared" ref="R12:R17" si="2">AND(E12&gt;=$E$9,F12&gt;=$F$9)</f>
        <v>0</v>
      </c>
    </row>
    <row r="13" spans="1:18" x14ac:dyDescent="0.25">
      <c r="B13" s="5" t="s">
        <v>399</v>
      </c>
      <c r="C13" s="231">
        <v>430313</v>
      </c>
      <c r="D13" s="231">
        <v>292808</v>
      </c>
      <c r="E13" s="5">
        <v>3.1</v>
      </c>
      <c r="F13" s="5">
        <v>9</v>
      </c>
      <c r="G13" s="5" t="s">
        <v>396</v>
      </c>
      <c r="H13" s="7"/>
      <c r="K13" s="7" t="b" cm="1">
        <f t="array" ref="K13">_xlfn.IFS(G13="Rule 1",AND(C13&gt;$C$9,D13&gt;$D$9),G13="Rule 2",OR(E13&gt;$E$9,F13&gt;$F$9),TRUE,AND(E13&gt;=$E$9,F13&gt;=$F$9))</f>
        <v>1</v>
      </c>
      <c r="P13" s="7" t="b">
        <f t="shared" si="0"/>
        <v>0</v>
      </c>
      <c r="Q13" s="7" t="b">
        <f t="shared" si="1"/>
        <v>1</v>
      </c>
      <c r="R13" s="7" t="b">
        <f t="shared" si="2"/>
        <v>0</v>
      </c>
    </row>
    <row r="14" spans="1:18" x14ac:dyDescent="0.25">
      <c r="B14" s="5" t="s">
        <v>400</v>
      </c>
      <c r="C14" s="231">
        <v>280396</v>
      </c>
      <c r="D14" s="231">
        <v>111622</v>
      </c>
      <c r="E14" s="5">
        <v>3.7</v>
      </c>
      <c r="F14" s="5">
        <v>7.1</v>
      </c>
      <c r="G14" s="5" t="s">
        <v>401</v>
      </c>
      <c r="H14" s="7"/>
      <c r="K14" s="7" t="b" cm="1">
        <f t="array" ref="K14">_xlfn.IFS(G14="Rule 1",AND(C14&gt;$C$9,D14&gt;$D$9),G14="Rule 2",OR(E14&gt;$E$9,F14&gt;$F$9),TRUE,AND(E14&gt;=$E$9,F14&gt;=$F$9))</f>
        <v>0</v>
      </c>
      <c r="P14" s="7" t="b">
        <f t="shared" si="0"/>
        <v>0</v>
      </c>
      <c r="Q14" s="7" t="b">
        <f t="shared" si="1"/>
        <v>0</v>
      </c>
      <c r="R14" s="7" t="b">
        <f t="shared" si="2"/>
        <v>0</v>
      </c>
    </row>
    <row r="15" spans="1:18" x14ac:dyDescent="0.25">
      <c r="B15" s="5" t="s">
        <v>402</v>
      </c>
      <c r="C15" s="231">
        <v>280306</v>
      </c>
      <c r="D15" s="231">
        <v>370448</v>
      </c>
      <c r="E15" s="5">
        <v>2.9</v>
      </c>
      <c r="F15" s="5">
        <v>5</v>
      </c>
      <c r="G15" s="5" t="s">
        <v>395</v>
      </c>
      <c r="H15" s="7"/>
      <c r="K15" s="7" t="b" cm="1">
        <f t="array" ref="K15">_xlfn.IFS(G15="Rule 1",AND(C15&gt;$C$9,D15&gt;$D$9),G15="Rule 2",OR(E15&gt;$E$9,F15&gt;$F$9),TRUE,AND(E15&gt;=$E$9,F15&gt;=$F$9))</f>
        <v>1</v>
      </c>
      <c r="P15" s="7" t="b">
        <f t="shared" si="0"/>
        <v>1</v>
      </c>
      <c r="Q15" s="7" t="b">
        <f t="shared" si="1"/>
        <v>0</v>
      </c>
      <c r="R15" s="7" t="b">
        <f t="shared" si="2"/>
        <v>0</v>
      </c>
    </row>
    <row r="16" spans="1:18" x14ac:dyDescent="0.25">
      <c r="B16" s="5" t="s">
        <v>403</v>
      </c>
      <c r="C16" s="231">
        <v>454172</v>
      </c>
      <c r="D16" s="231">
        <v>369208</v>
      </c>
      <c r="E16" s="5">
        <v>3.5</v>
      </c>
      <c r="F16" s="5">
        <v>6.8</v>
      </c>
      <c r="G16" s="5" t="s">
        <v>395</v>
      </c>
      <c r="H16" s="7"/>
      <c r="K16" s="7" t="b" cm="1">
        <f t="array" ref="K16">_xlfn.IFS(G16="Rule 1",AND(C16&gt;$C$9,D16&gt;$D$9),G16="Rule 2",OR(E16&gt;$E$9,F16&gt;$F$9),TRUE,AND(E16&gt;=$E$9,F16&gt;=$F$9))</f>
        <v>1</v>
      </c>
      <c r="P16" s="7" t="b">
        <f t="shared" si="0"/>
        <v>1</v>
      </c>
      <c r="Q16" s="7" t="b">
        <f t="shared" si="1"/>
        <v>0</v>
      </c>
      <c r="R16" s="7" t="b">
        <f t="shared" si="2"/>
        <v>0</v>
      </c>
    </row>
    <row r="17" spans="2:18" x14ac:dyDescent="0.25">
      <c r="B17" s="5" t="s">
        <v>404</v>
      </c>
      <c r="C17" s="231">
        <v>270797</v>
      </c>
      <c r="D17" s="231">
        <v>277251</v>
      </c>
      <c r="E17" s="5">
        <v>4</v>
      </c>
      <c r="F17" s="5">
        <v>9</v>
      </c>
      <c r="G17" s="5"/>
      <c r="H17" s="7"/>
      <c r="K17" s="7" t="b" cm="1">
        <f t="array" ref="K17">_xlfn.IFS(G17="Rule 1",AND(C17&gt;$C$9,D17&gt;$D$9),G17="Rule 2",OR(E17&gt;$E$9,F17&gt;$F$9),TRUE,AND(E17&gt;=$E$9,F17&gt;=$F$9))</f>
        <v>1</v>
      </c>
      <c r="P17" s="7" t="b">
        <f t="shared" si="0"/>
        <v>0</v>
      </c>
      <c r="Q17" s="7" t="b">
        <f t="shared" si="1"/>
        <v>1</v>
      </c>
      <c r="R17" s="7" t="b">
        <f t="shared" si="2"/>
        <v>1</v>
      </c>
    </row>
    <row r="18" spans="2:18" ht="6" customHeight="1" x14ac:dyDescent="0.25"/>
    <row r="19" spans="2:18" ht="90" customHeight="1" x14ac:dyDescent="0.25">
      <c r="B19" s="285" t="s">
        <v>408</v>
      </c>
      <c r="C19" s="285"/>
      <c r="D19" s="285"/>
      <c r="E19" s="285"/>
      <c r="F19" s="285"/>
      <c r="G19" s="285"/>
      <c r="H19" s="285"/>
    </row>
    <row r="20" spans="2:18" x14ac:dyDescent="0.25">
      <c r="B20" t="s">
        <v>383</v>
      </c>
    </row>
    <row r="24" spans="2:18" ht="30" x14ac:dyDescent="0.25">
      <c r="L24" s="238" t="str" cm="1">
        <f t="array" aca="1" ref="L24:L26" ca="1">B4:B6&amp;" "&amp;C4:C6&amp;CHAR(10)&amp;TRANSPOSE(_xlfn.FORMULATEXT(P12:R12))</f>
        <v>Rule #1: Sales Last Year &gt;$250,000 AND Asset Value &gt;$300,000
=AND(C12&gt;$C$9,D12&gt;$D$9)</v>
      </c>
    </row>
    <row r="25" spans="2:18" ht="30" x14ac:dyDescent="0.25">
      <c r="L25" s="238" t="str">
        <f ca="1"/>
        <v>Rule #2: At least 1 of the credit ratings is exceeded.
=OR(E12&gt;$E$9,F12&gt;$F$9)</v>
      </c>
    </row>
    <row r="26" spans="2:18" ht="30" x14ac:dyDescent="0.25">
      <c r="L26" s="238" t="str">
        <f ca="1"/>
        <v>Default: Credit 1 &gt;= 4 AND Credit 2 &gt;=8
=AND(E12&gt;=$E$9,F12&gt;=$F$9)</v>
      </c>
    </row>
  </sheetData>
  <mergeCells count="1">
    <mergeCell ref="B19:H19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D9E6-F9FD-40AB-8C9D-5E832803642C}">
  <sheetPr codeName="Sheet69">
    <tabColor rgb="FFFF0000"/>
  </sheetPr>
  <dimension ref="A1:R26"/>
  <sheetViews>
    <sheetView zoomScale="130" zoomScaleNormal="130" workbookViewId="0"/>
  </sheetViews>
  <sheetFormatPr defaultColWidth="8.85546875" defaultRowHeight="15" x14ac:dyDescent="0.25"/>
  <cols>
    <col min="1" max="1" width="4" bestFit="1" customWidth="1"/>
    <col min="2" max="2" width="20.85546875" customWidth="1"/>
    <col min="3" max="3" width="10.7109375" customWidth="1"/>
    <col min="4" max="4" width="9.85546875" bestFit="1" customWidth="1"/>
    <col min="5" max="6" width="9.28515625" customWidth="1"/>
    <col min="7" max="7" width="13.42578125" customWidth="1"/>
    <col min="8" max="9" width="9.42578125" customWidth="1"/>
    <col min="10" max="10" width="13.140625" bestFit="1" customWidth="1"/>
    <col min="11" max="11" width="9.42578125" customWidth="1"/>
    <col min="12" max="12" width="57.7109375" customWidth="1"/>
    <col min="13" max="13" width="13.140625" bestFit="1" customWidth="1"/>
    <col min="14" max="14" width="10.7109375" customWidth="1"/>
    <col min="15" max="15" width="12.28515625" customWidth="1"/>
  </cols>
  <sheetData>
    <row r="1" spans="1:18" ht="3.75" customHeight="1" x14ac:dyDescent="0.25"/>
    <row r="2" spans="1:18" x14ac:dyDescent="0.25">
      <c r="A2" s="4" t="s">
        <v>207</v>
      </c>
      <c r="B2" s="4" t="s">
        <v>407</v>
      </c>
    </row>
    <row r="3" spans="1:18" x14ac:dyDescent="0.25">
      <c r="A3" s="4" t="s">
        <v>412</v>
      </c>
    </row>
    <row r="4" spans="1:18" x14ac:dyDescent="0.25">
      <c r="B4" s="234" t="s">
        <v>384</v>
      </c>
      <c r="C4" t="str">
        <f>$C$8&amp;" &gt;"&amp;DOLLAR($C$9,0)&amp;" AND "&amp;$D$8&amp;" &gt;"&amp;DOLLAR($D$9,0)</f>
        <v>Sales Last Year &gt;$250,000 AND Asset Value &gt;$300,000</v>
      </c>
    </row>
    <row r="5" spans="1:18" x14ac:dyDescent="0.25">
      <c r="B5" s="234" t="s">
        <v>385</v>
      </c>
      <c r="C5" t="s">
        <v>386</v>
      </c>
    </row>
    <row r="6" spans="1:18" x14ac:dyDescent="0.25">
      <c r="B6" s="234" t="s">
        <v>406</v>
      </c>
      <c r="C6" t="str">
        <f>"Credit 1 &gt;= "&amp;E9&amp;" AND Credit 2 &gt;="&amp;F9</f>
        <v>Credit 1 &gt;= 4 AND Credit 2 &gt;=8</v>
      </c>
    </row>
    <row r="7" spans="1:18" ht="6" customHeight="1" x14ac:dyDescent="0.25"/>
    <row r="8" spans="1:18" ht="30" x14ac:dyDescent="0.25">
      <c r="C8" s="230" t="s">
        <v>387</v>
      </c>
      <c r="D8" s="230" t="s">
        <v>388</v>
      </c>
      <c r="E8" s="230" t="s">
        <v>389</v>
      </c>
      <c r="F8" s="230" t="s">
        <v>390</v>
      </c>
    </row>
    <row r="9" spans="1:18" x14ac:dyDescent="0.25">
      <c r="C9" s="231">
        <v>250000</v>
      </c>
      <c r="D9" s="231">
        <v>300000</v>
      </c>
      <c r="E9" s="5">
        <v>4</v>
      </c>
      <c r="F9" s="5">
        <v>8</v>
      </c>
    </row>
    <row r="10" spans="1:18" ht="6" customHeight="1" x14ac:dyDescent="0.25"/>
    <row r="11" spans="1:18" ht="30" x14ac:dyDescent="0.25">
      <c r="B11" s="233" t="s">
        <v>391</v>
      </c>
      <c r="C11" s="233" t="str">
        <f>C8</f>
        <v>Sales Last Year</v>
      </c>
      <c r="D11" s="233" t="str">
        <f>D8</f>
        <v>Asset Value</v>
      </c>
      <c r="E11" s="233" t="str">
        <f>E8</f>
        <v>Credit Rating 1</v>
      </c>
      <c r="F11" s="233" t="str">
        <f>F8</f>
        <v>Credit Rating 2</v>
      </c>
      <c r="G11" s="233" t="s">
        <v>392</v>
      </c>
      <c r="H11" s="233" t="s">
        <v>393</v>
      </c>
      <c r="J11" s="232" t="s">
        <v>410</v>
      </c>
      <c r="K11" s="233" t="s">
        <v>394</v>
      </c>
      <c r="P11" s="233" t="s">
        <v>395</v>
      </c>
      <c r="Q11" s="233" t="s">
        <v>396</v>
      </c>
      <c r="R11" s="233" t="s">
        <v>397</v>
      </c>
    </row>
    <row r="12" spans="1:18" x14ac:dyDescent="0.25">
      <c r="B12" s="5" t="s">
        <v>398</v>
      </c>
      <c r="C12" s="231">
        <v>250000</v>
      </c>
      <c r="D12" s="231">
        <v>370000</v>
      </c>
      <c r="E12" s="5">
        <v>2.4</v>
      </c>
      <c r="F12" s="5">
        <v>7</v>
      </c>
      <c r="G12" s="5" t="s">
        <v>396</v>
      </c>
      <c r="H12" s="7" t="b" cm="1">
        <f t="array" ref="H12">_xlfn.SWITCH(G12,"Rule 1",AND(C12&gt;$C$9,D12&gt;$D$9),"Rule 2",OR(E12&gt;$E$9,F12&gt;$F$9),AND(E12&gt;=$E$9,F12&gt;=$F$9))</f>
        <v>0</v>
      </c>
      <c r="K12" s="7" t="b" cm="1">
        <f t="array" ref="K12">_xlfn.IFS(G12="Rule 1",AND(C12&gt;$C$9,D12&gt;$D$9),G12="Rule 2",OR(E12&gt;$E$9,F12&gt;$F$9),TRUE,AND(E12&gt;=$E$9,F12&gt;=$F$9))</f>
        <v>0</v>
      </c>
      <c r="P12" s="7" t="b">
        <f t="shared" ref="P12:P17" si="0">AND(C12&gt;$C$9,D12&gt;$D$9)</f>
        <v>0</v>
      </c>
      <c r="Q12" s="7" t="b">
        <f t="shared" ref="Q12:Q17" si="1">OR(E12&gt;$E$9,F12&gt;$F$9)</f>
        <v>0</v>
      </c>
      <c r="R12" s="7" t="b">
        <f t="shared" ref="R12:R17" si="2">AND(E12&gt;=$E$9,F12&gt;=$F$9)</f>
        <v>0</v>
      </c>
    </row>
    <row r="13" spans="1:18" x14ac:dyDescent="0.25">
      <c r="B13" s="5" t="s">
        <v>399</v>
      </c>
      <c r="C13" s="231">
        <v>430313</v>
      </c>
      <c r="D13" s="231">
        <v>292808</v>
      </c>
      <c r="E13" s="5">
        <v>3.1</v>
      </c>
      <c r="F13" s="5">
        <v>9</v>
      </c>
      <c r="G13" s="5" t="s">
        <v>396</v>
      </c>
      <c r="H13" s="7" t="b" cm="1">
        <f t="array" ref="H13">_xlfn.SWITCH(G13,"Rule 1",AND(C13&gt;$C$9,D13&gt;$D$9),"Rule 2",OR(E13&gt;$E$9,F13&gt;$F$9),AND(E13&gt;=$E$9,F13&gt;=$F$9))</f>
        <v>1</v>
      </c>
      <c r="K13" s="7" t="b" cm="1">
        <f t="array" ref="K13">_xlfn.IFS(G13="Rule 1",AND(C13&gt;$C$9,D13&gt;$D$9),G13="Rule 2",OR(E13&gt;$E$9,F13&gt;$F$9),TRUE,AND(E13&gt;=$E$9,F13&gt;=$F$9))</f>
        <v>1</v>
      </c>
      <c r="P13" s="7" t="b">
        <f t="shared" si="0"/>
        <v>0</v>
      </c>
      <c r="Q13" s="7" t="b">
        <f t="shared" si="1"/>
        <v>1</v>
      </c>
      <c r="R13" s="7" t="b">
        <f t="shared" si="2"/>
        <v>0</v>
      </c>
    </row>
    <row r="14" spans="1:18" x14ac:dyDescent="0.25">
      <c r="B14" s="5" t="s">
        <v>400</v>
      </c>
      <c r="C14" s="231">
        <v>280396</v>
      </c>
      <c r="D14" s="231">
        <v>111622</v>
      </c>
      <c r="E14" s="5">
        <v>3.7</v>
      </c>
      <c r="F14" s="5">
        <v>7.1</v>
      </c>
      <c r="G14" s="5" t="s">
        <v>401</v>
      </c>
      <c r="H14" s="7" t="b" cm="1">
        <f t="array" ref="H14">_xlfn.SWITCH(G14,"Rule 1",AND(C14&gt;$C$9,D14&gt;$D$9),"Rule 2",OR(E14&gt;$E$9,F14&gt;$F$9),AND(E14&gt;=$E$9,F14&gt;=$F$9))</f>
        <v>0</v>
      </c>
      <c r="K14" s="7" t="b" cm="1">
        <f t="array" ref="K14">_xlfn.IFS(G14="Rule 1",AND(C14&gt;$C$9,D14&gt;$D$9),G14="Rule 2",OR(E14&gt;$E$9,F14&gt;$F$9),TRUE,AND(E14&gt;=$E$9,F14&gt;=$F$9))</f>
        <v>0</v>
      </c>
      <c r="P14" s="7" t="b">
        <f t="shared" si="0"/>
        <v>0</v>
      </c>
      <c r="Q14" s="7" t="b">
        <f t="shared" si="1"/>
        <v>0</v>
      </c>
      <c r="R14" s="7" t="b">
        <f t="shared" si="2"/>
        <v>0</v>
      </c>
    </row>
    <row r="15" spans="1:18" x14ac:dyDescent="0.25">
      <c r="B15" s="5" t="s">
        <v>402</v>
      </c>
      <c r="C15" s="231">
        <v>280306</v>
      </c>
      <c r="D15" s="231">
        <v>370448</v>
      </c>
      <c r="E15" s="5">
        <v>2.9</v>
      </c>
      <c r="F15" s="5">
        <v>5</v>
      </c>
      <c r="G15" s="5" t="s">
        <v>395</v>
      </c>
      <c r="H15" s="7" t="b" cm="1">
        <f t="array" ref="H15">_xlfn.SWITCH(G15,"Rule 1",AND(C15&gt;$C$9,D15&gt;$D$9),"Rule 2",OR(E15&gt;$E$9,F15&gt;$F$9),AND(E15&gt;=$E$9,F15&gt;=$F$9))</f>
        <v>1</v>
      </c>
      <c r="K15" s="7" t="b" cm="1">
        <f t="array" ref="K15">_xlfn.IFS(G15="Rule 1",AND(C15&gt;$C$9,D15&gt;$D$9),G15="Rule 2",OR(E15&gt;$E$9,F15&gt;$F$9),TRUE,AND(E15&gt;=$E$9,F15&gt;=$F$9))</f>
        <v>1</v>
      </c>
      <c r="P15" s="7" t="b">
        <f t="shared" si="0"/>
        <v>1</v>
      </c>
      <c r="Q15" s="7" t="b">
        <f t="shared" si="1"/>
        <v>0</v>
      </c>
      <c r="R15" s="7" t="b">
        <f t="shared" si="2"/>
        <v>0</v>
      </c>
    </row>
    <row r="16" spans="1:18" x14ac:dyDescent="0.25">
      <c r="B16" s="5" t="s">
        <v>403</v>
      </c>
      <c r="C16" s="231">
        <v>454172</v>
      </c>
      <c r="D16" s="231">
        <v>369208</v>
      </c>
      <c r="E16" s="5">
        <v>3.5</v>
      </c>
      <c r="F16" s="5">
        <v>6.8</v>
      </c>
      <c r="G16" s="5" t="s">
        <v>395</v>
      </c>
      <c r="H16" s="7" t="b" cm="1">
        <f t="array" ref="H16">_xlfn.SWITCH(G16,"Rule 1",AND(C16&gt;$C$9,D16&gt;$D$9),"Rule 2",OR(E16&gt;$E$9,F16&gt;$F$9),AND(E16&gt;=$E$9,F16&gt;=$F$9))</f>
        <v>1</v>
      </c>
      <c r="K16" s="7" t="b" cm="1">
        <f t="array" ref="K16">_xlfn.IFS(G16="Rule 1",AND(C16&gt;$C$9,D16&gt;$D$9),G16="Rule 2",OR(E16&gt;$E$9,F16&gt;$F$9),TRUE,AND(E16&gt;=$E$9,F16&gt;=$F$9))</f>
        <v>1</v>
      </c>
      <c r="P16" s="7" t="b">
        <f t="shared" si="0"/>
        <v>1</v>
      </c>
      <c r="Q16" s="7" t="b">
        <f t="shared" si="1"/>
        <v>0</v>
      </c>
      <c r="R16" s="7" t="b">
        <f t="shared" si="2"/>
        <v>0</v>
      </c>
    </row>
    <row r="17" spans="2:18" x14ac:dyDescent="0.25">
      <c r="B17" s="5" t="s">
        <v>404</v>
      </c>
      <c r="C17" s="231">
        <v>270797</v>
      </c>
      <c r="D17" s="231">
        <v>277251</v>
      </c>
      <c r="E17" s="5">
        <v>4</v>
      </c>
      <c r="F17" s="5">
        <v>9</v>
      </c>
      <c r="G17" s="5"/>
      <c r="H17" s="7" t="b" cm="1">
        <f t="array" ref="H17">_xlfn.SWITCH(G17,"Rule 1",AND(C17&gt;$C$9,D17&gt;$D$9),"Rule 2",OR(E17&gt;$E$9,F17&gt;$F$9),AND(E17&gt;=$E$9,F17&gt;=$F$9))</f>
        <v>1</v>
      </c>
      <c r="K17" s="7" t="b" cm="1">
        <f t="array" ref="K17">_xlfn.IFS(G17="Rule 1",AND(C17&gt;$C$9,D17&gt;$D$9),G17="Rule 2",OR(E17&gt;$E$9,F17&gt;$F$9),TRUE,AND(E17&gt;=$E$9,F17&gt;=$F$9))</f>
        <v>1</v>
      </c>
      <c r="P17" s="7" t="b">
        <f t="shared" si="0"/>
        <v>0</v>
      </c>
      <c r="Q17" s="7" t="b">
        <f t="shared" si="1"/>
        <v>1</v>
      </c>
      <c r="R17" s="7" t="b">
        <f t="shared" si="2"/>
        <v>1</v>
      </c>
    </row>
    <row r="18" spans="2:18" ht="6" customHeight="1" x14ac:dyDescent="0.25"/>
    <row r="19" spans="2:18" ht="90" customHeight="1" x14ac:dyDescent="0.25">
      <c r="B19" s="285" t="s">
        <v>408</v>
      </c>
      <c r="C19" s="285"/>
      <c r="D19" s="285"/>
      <c r="E19" s="285"/>
      <c r="F19" s="285"/>
      <c r="G19" s="285"/>
      <c r="H19" s="285"/>
    </row>
    <row r="20" spans="2:18" x14ac:dyDescent="0.25">
      <c r="B20" t="s">
        <v>383</v>
      </c>
    </row>
    <row r="24" spans="2:18" ht="30" x14ac:dyDescent="0.25">
      <c r="L24" s="238" t="str" cm="1">
        <f t="array" aca="1" ref="L24:L26" ca="1">B4:B6&amp;" "&amp;C4:C6&amp;CHAR(10)&amp;TRANSPOSE(_xlfn.FORMULATEXT(P12:R12))</f>
        <v>Rule #1: Sales Last Year &gt;$250,000 AND Asset Value &gt;$300,000
=AND(C12&gt;$C$9,D12&gt;$D$9)</v>
      </c>
    </row>
    <row r="25" spans="2:18" ht="30" x14ac:dyDescent="0.25">
      <c r="L25" s="238" t="str">
        <f ca="1"/>
        <v>Rule #2: At least 1 of the credit ratings is exceeded.
=OR(E12&gt;$E$9,F12&gt;$F$9)</v>
      </c>
    </row>
    <row r="26" spans="2:18" ht="30" x14ac:dyDescent="0.25">
      <c r="L26" s="238" t="str">
        <f ca="1"/>
        <v>Default: Credit 1 &gt;= 4 AND Credit 2 &gt;=8
=AND(E12&gt;=$E$9,F12&gt;=$F$9)</v>
      </c>
    </row>
  </sheetData>
  <mergeCells count="1">
    <mergeCell ref="B19:H19"/>
  </mergeCell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AD6B-84B8-47D2-8195-2B696DCBD9BF}">
  <sheetPr codeName="Sheet70">
    <tabColor rgb="FFFFFF00"/>
  </sheetPr>
  <dimension ref="D8:I9"/>
  <sheetViews>
    <sheetView showGridLines="0" zoomScale="160" zoomScaleNormal="160" workbookViewId="0"/>
  </sheetViews>
  <sheetFormatPr defaultColWidth="8.85546875" defaultRowHeight="15" x14ac:dyDescent="0.25"/>
  <cols>
    <col min="9" max="9" width="5.85546875" customWidth="1"/>
    <col min="10" max="10" width="28.7109375" customWidth="1"/>
  </cols>
  <sheetData>
    <row r="8" spans="4:9" ht="15.75" thickBot="1" x14ac:dyDescent="0.3"/>
    <row r="9" spans="4:9" ht="20.25" thickBot="1" x14ac:dyDescent="0.35">
      <c r="D9" s="201" t="s">
        <v>438</v>
      </c>
      <c r="E9" s="202"/>
      <c r="F9" s="202"/>
      <c r="G9" s="202"/>
      <c r="H9" s="202"/>
      <c r="I9" s="203"/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F40F-F638-4CE1-9CE8-9636F3254A97}">
  <sheetPr codeName="Sheet71">
    <tabColor rgb="FF0000FF"/>
  </sheetPr>
  <dimension ref="A1:J19"/>
  <sheetViews>
    <sheetView zoomScale="115" zoomScaleNormal="115" workbookViewId="0"/>
  </sheetViews>
  <sheetFormatPr defaultColWidth="8.85546875" defaultRowHeight="15" x14ac:dyDescent="0.25"/>
  <cols>
    <col min="1" max="1" width="4.140625" bestFit="1" customWidth="1"/>
    <col min="2" max="2" width="17.42578125" bestFit="1" customWidth="1"/>
    <col min="3" max="3" width="13.85546875" bestFit="1" customWidth="1"/>
    <col min="4" max="4" width="16.140625" bestFit="1" customWidth="1"/>
    <col min="5" max="5" width="1.42578125" customWidth="1"/>
    <col min="6" max="6" width="17.42578125" bestFit="1" customWidth="1"/>
    <col min="7" max="7" width="6.7109375" bestFit="1" customWidth="1"/>
    <col min="8" max="8" width="1.42578125" customWidth="1"/>
    <col min="9" max="9" width="16.140625" bestFit="1" customWidth="1"/>
    <col min="10" max="10" width="6.7109375" bestFit="1" customWidth="1"/>
    <col min="11" max="11" width="1.42578125" customWidth="1"/>
    <col min="12" max="12" width="16.140625" bestFit="1" customWidth="1"/>
    <col min="13" max="13" width="6.7109375" bestFit="1" customWidth="1"/>
  </cols>
  <sheetData>
    <row r="1" spans="1:10" ht="4.5" customHeight="1" x14ac:dyDescent="0.25"/>
    <row r="2" spans="1:10" x14ac:dyDescent="0.25">
      <c r="A2" s="4" t="s">
        <v>207</v>
      </c>
      <c r="B2" t="s">
        <v>437</v>
      </c>
    </row>
    <row r="3" spans="1:10" x14ac:dyDescent="0.25">
      <c r="A3" s="4" t="s">
        <v>436</v>
      </c>
      <c r="F3" s="239" t="s">
        <v>430</v>
      </c>
      <c r="I3" s="239" t="s">
        <v>431</v>
      </c>
    </row>
    <row r="4" spans="1:10" ht="3.75" customHeight="1" x14ac:dyDescent="0.25"/>
    <row r="5" spans="1:10" x14ac:dyDescent="0.25">
      <c r="B5" s="110" t="s">
        <v>433</v>
      </c>
      <c r="C5" s="110" t="s">
        <v>434</v>
      </c>
      <c r="D5" s="110" t="s">
        <v>435</v>
      </c>
      <c r="F5" s="110" t="s">
        <v>414</v>
      </c>
      <c r="G5" s="110" t="s">
        <v>413</v>
      </c>
      <c r="I5" s="110" t="s">
        <v>414</v>
      </c>
      <c r="J5" s="110" t="s">
        <v>413</v>
      </c>
    </row>
    <row r="6" spans="1:10" x14ac:dyDescent="0.25">
      <c r="B6" s="7"/>
      <c r="C6" s="7"/>
      <c r="D6" s="7"/>
      <c r="F6" s="5" t="s">
        <v>415</v>
      </c>
      <c r="G6" s="5">
        <v>68</v>
      </c>
      <c r="I6" s="5" t="s">
        <v>419</v>
      </c>
      <c r="J6" s="5">
        <v>89</v>
      </c>
    </row>
    <row r="7" spans="1:10" x14ac:dyDescent="0.25">
      <c r="B7" s="7"/>
      <c r="C7" s="7"/>
      <c r="D7" s="7"/>
      <c r="F7" s="5" t="s">
        <v>416</v>
      </c>
      <c r="G7" s="5">
        <v>104</v>
      </c>
      <c r="I7" s="5" t="s">
        <v>428</v>
      </c>
      <c r="J7" s="5">
        <v>99</v>
      </c>
    </row>
    <row r="8" spans="1:10" x14ac:dyDescent="0.25">
      <c r="B8" s="7"/>
      <c r="C8" s="7"/>
      <c r="D8" s="7"/>
      <c r="F8" s="5" t="s">
        <v>427</v>
      </c>
      <c r="G8" s="5">
        <v>73</v>
      </c>
      <c r="I8" s="5" t="s">
        <v>420</v>
      </c>
      <c r="J8" s="5">
        <v>77</v>
      </c>
    </row>
    <row r="9" spans="1:10" x14ac:dyDescent="0.25">
      <c r="B9" s="7"/>
      <c r="C9" s="7"/>
      <c r="D9" s="7"/>
      <c r="F9" s="5" t="s">
        <v>417</v>
      </c>
      <c r="G9" s="5">
        <v>59</v>
      </c>
      <c r="I9" s="5" t="s">
        <v>421</v>
      </c>
      <c r="J9" s="5">
        <v>27</v>
      </c>
    </row>
    <row r="10" spans="1:10" x14ac:dyDescent="0.25">
      <c r="B10" s="7"/>
      <c r="C10" s="7"/>
      <c r="D10" s="7"/>
      <c r="F10" s="5" t="s">
        <v>418</v>
      </c>
      <c r="G10" s="5">
        <v>104</v>
      </c>
    </row>
    <row r="11" spans="1:10" x14ac:dyDescent="0.25">
      <c r="B11" s="7"/>
      <c r="C11" s="7"/>
      <c r="D11" s="7"/>
      <c r="I11" s="239" t="s">
        <v>432</v>
      </c>
    </row>
    <row r="13" spans="1:10" ht="17.25" x14ac:dyDescent="0.25">
      <c r="B13" s="225" t="str">
        <f>"Formula in "&amp;ADDRESS(ROW(B6),COLUMN(B6),4)&amp;":"</f>
        <v>Formula in B6:</v>
      </c>
      <c r="I13" s="110" t="s">
        <v>414</v>
      </c>
      <c r="J13" s="110" t="s">
        <v>413</v>
      </c>
    </row>
    <row r="14" spans="1:10" ht="17.25" x14ac:dyDescent="0.25">
      <c r="B14" s="225" t="str">
        <f ca="1">_xlfn.IFNA(_xlfn.FORMULATEXT(B6),"")</f>
        <v/>
      </c>
      <c r="I14" s="5" t="s">
        <v>429</v>
      </c>
      <c r="J14" s="5">
        <v>89</v>
      </c>
    </row>
    <row r="15" spans="1:10" x14ac:dyDescent="0.25">
      <c r="I15" s="5" t="s">
        <v>422</v>
      </c>
      <c r="J15" s="5">
        <v>55</v>
      </c>
    </row>
    <row r="16" spans="1:10" x14ac:dyDescent="0.25">
      <c r="I16" s="5" t="s">
        <v>423</v>
      </c>
      <c r="J16" s="5">
        <v>75</v>
      </c>
    </row>
    <row r="17" spans="9:10" x14ac:dyDescent="0.25">
      <c r="I17" s="5" t="s">
        <v>424</v>
      </c>
      <c r="J17" s="5">
        <v>108</v>
      </c>
    </row>
    <row r="18" spans="9:10" x14ac:dyDescent="0.25">
      <c r="I18" s="5" t="s">
        <v>425</v>
      </c>
      <c r="J18" s="5">
        <v>81</v>
      </c>
    </row>
    <row r="19" spans="9:10" x14ac:dyDescent="0.25">
      <c r="I19" s="5" t="s">
        <v>426</v>
      </c>
      <c r="J19" s="5">
        <v>79</v>
      </c>
    </row>
  </sheetData>
  <phoneticPr fontId="8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8B4A-8DE6-469F-82BE-91D5FC7729EF}">
  <sheetPr codeName="Sheet72">
    <tabColor rgb="FFFF0000"/>
  </sheetPr>
  <dimension ref="A1:J19"/>
  <sheetViews>
    <sheetView zoomScale="115" zoomScaleNormal="115" workbookViewId="0"/>
  </sheetViews>
  <sheetFormatPr defaultColWidth="8.85546875" defaultRowHeight="15" x14ac:dyDescent="0.25"/>
  <cols>
    <col min="1" max="1" width="4.140625" bestFit="1" customWidth="1"/>
    <col min="2" max="2" width="17.42578125" bestFit="1" customWidth="1"/>
    <col min="3" max="3" width="13.85546875" bestFit="1" customWidth="1"/>
    <col min="4" max="4" width="16.140625" bestFit="1" customWidth="1"/>
    <col min="5" max="5" width="1.42578125" customWidth="1"/>
    <col min="6" max="6" width="17.42578125" bestFit="1" customWidth="1"/>
    <col min="7" max="7" width="6.7109375" bestFit="1" customWidth="1"/>
    <col min="8" max="8" width="1.42578125" customWidth="1"/>
    <col min="9" max="9" width="16.140625" bestFit="1" customWidth="1"/>
    <col min="10" max="10" width="6.7109375" bestFit="1" customWidth="1"/>
    <col min="11" max="11" width="1.42578125" customWidth="1"/>
    <col min="12" max="12" width="16.140625" bestFit="1" customWidth="1"/>
    <col min="13" max="13" width="6.7109375" bestFit="1" customWidth="1"/>
  </cols>
  <sheetData>
    <row r="1" spans="1:10" ht="6" customHeight="1" x14ac:dyDescent="0.25"/>
    <row r="2" spans="1:10" x14ac:dyDescent="0.25">
      <c r="A2" s="4" t="s">
        <v>207</v>
      </c>
      <c r="B2" t="s">
        <v>437</v>
      </c>
    </row>
    <row r="3" spans="1:10" x14ac:dyDescent="0.25">
      <c r="A3" s="4" t="s">
        <v>436</v>
      </c>
      <c r="F3" s="239" t="s">
        <v>430</v>
      </c>
      <c r="I3" s="239" t="s">
        <v>431</v>
      </c>
    </row>
    <row r="4" spans="1:10" ht="3.75" customHeight="1" x14ac:dyDescent="0.25"/>
    <row r="5" spans="1:10" x14ac:dyDescent="0.25">
      <c r="B5" s="110" t="s">
        <v>433</v>
      </c>
      <c r="C5" s="110" t="s">
        <v>434</v>
      </c>
      <c r="D5" s="110" t="s">
        <v>435</v>
      </c>
      <c r="F5" s="110" t="s">
        <v>414</v>
      </c>
      <c r="G5" s="110" t="s">
        <v>413</v>
      </c>
      <c r="I5" s="110" t="s">
        <v>414</v>
      </c>
      <c r="J5" s="110" t="s">
        <v>413</v>
      </c>
    </row>
    <row r="6" spans="1:10" x14ac:dyDescent="0.25">
      <c r="B6" s="7" t="str" cm="1">
        <f t="array" ref="B6:D11">_xlfn.IFNA(CHOOSE({1,2,3},F6:F10,I6:I9,I14:I19),"")</f>
        <v>Mozella Chatman</v>
      </c>
      <c r="C6" s="7" t="str">
        <v>Fran Taber</v>
      </c>
      <c r="D6" s="7" t="str">
        <v>Lucinda Mimms</v>
      </c>
      <c r="F6" s="5" t="s">
        <v>415</v>
      </c>
      <c r="G6" s="5">
        <v>68</v>
      </c>
      <c r="I6" s="5" t="s">
        <v>419</v>
      </c>
      <c r="J6" s="5">
        <v>89</v>
      </c>
    </row>
    <row r="7" spans="1:10" x14ac:dyDescent="0.25">
      <c r="B7" s="7" t="str">
        <v>Earline Kinsey</v>
      </c>
      <c r="C7" s="7" t="str">
        <v>Sioux Almeida</v>
      </c>
      <c r="D7" s="7" t="str">
        <v>Britt Clem</v>
      </c>
      <c r="F7" s="5" t="s">
        <v>416</v>
      </c>
      <c r="G7" s="5">
        <v>104</v>
      </c>
      <c r="I7" s="5" t="s">
        <v>428</v>
      </c>
      <c r="J7" s="5">
        <v>99</v>
      </c>
    </row>
    <row r="8" spans="1:10" x14ac:dyDescent="0.25">
      <c r="B8" s="7" t="str">
        <v>Chantel Southern</v>
      </c>
      <c r="C8" s="7" t="str">
        <v>Velda Currier</v>
      </c>
      <c r="D8" s="7" t="str">
        <v>Jerlene Calderon</v>
      </c>
      <c r="F8" s="5" t="s">
        <v>427</v>
      </c>
      <c r="G8" s="5">
        <v>73</v>
      </c>
      <c r="I8" s="5" t="s">
        <v>420</v>
      </c>
      <c r="J8" s="5">
        <v>77</v>
      </c>
    </row>
    <row r="9" spans="1:10" x14ac:dyDescent="0.25">
      <c r="B9" s="7" t="str">
        <v>Delicia Haggard</v>
      </c>
      <c r="C9" s="7" t="str">
        <v>Ouida Crain</v>
      </c>
      <c r="D9" s="7" t="str">
        <v>Dawna Guthrie</v>
      </c>
      <c r="F9" s="5" t="s">
        <v>417</v>
      </c>
      <c r="G9" s="5">
        <v>59</v>
      </c>
      <c r="I9" s="5" t="s">
        <v>421</v>
      </c>
      <c r="J9" s="5">
        <v>27</v>
      </c>
    </row>
    <row r="10" spans="1:10" x14ac:dyDescent="0.25">
      <c r="B10" s="7" t="str">
        <v>Lucrecia Treadway</v>
      </c>
      <c r="C10" s="7" t="str">
        <v/>
      </c>
      <c r="D10" s="7" t="str">
        <v>Amal Rhoades</v>
      </c>
      <c r="F10" s="5" t="s">
        <v>418</v>
      </c>
      <c r="G10" s="5">
        <v>104</v>
      </c>
    </row>
    <row r="11" spans="1:10" x14ac:dyDescent="0.25">
      <c r="B11" s="7" t="str">
        <v/>
      </c>
      <c r="C11" s="7" t="str">
        <v/>
      </c>
      <c r="D11" s="7" t="str">
        <v>Felisha Nugent</v>
      </c>
      <c r="I11" s="239" t="s">
        <v>432</v>
      </c>
    </row>
    <row r="13" spans="1:10" ht="17.25" x14ac:dyDescent="0.25">
      <c r="B13" s="225" t="str">
        <f>"Formula in "&amp;ADDRESS(ROW(B6),COLUMN(B6),4)&amp;":"</f>
        <v>Formula in B6:</v>
      </c>
      <c r="I13" s="110" t="s">
        <v>414</v>
      </c>
      <c r="J13" s="110" t="s">
        <v>413</v>
      </c>
    </row>
    <row r="14" spans="1:10" ht="17.25" x14ac:dyDescent="0.25">
      <c r="B14" s="225" t="str">
        <f ca="1">_xlfn.IFNA(_xlfn.FORMULATEXT(B6),"")</f>
        <v>=IFNA(CHOOSE({1,2,3},F6:F10,I6:I9,I14:I19),"")</v>
      </c>
      <c r="I14" s="5" t="s">
        <v>429</v>
      </c>
      <c r="J14" s="5">
        <v>89</v>
      </c>
    </row>
    <row r="15" spans="1:10" x14ac:dyDescent="0.25">
      <c r="I15" s="5" t="s">
        <v>422</v>
      </c>
      <c r="J15" s="5">
        <v>55</v>
      </c>
    </row>
    <row r="16" spans="1:10" x14ac:dyDescent="0.25">
      <c r="I16" s="5" t="s">
        <v>423</v>
      </c>
      <c r="J16" s="5">
        <v>75</v>
      </c>
    </row>
    <row r="17" spans="9:10" x14ac:dyDescent="0.25">
      <c r="I17" s="5" t="s">
        <v>424</v>
      </c>
      <c r="J17" s="5">
        <v>108</v>
      </c>
    </row>
    <row r="18" spans="9:10" x14ac:dyDescent="0.25">
      <c r="I18" s="5" t="s">
        <v>425</v>
      </c>
      <c r="J18" s="5">
        <v>81</v>
      </c>
    </row>
    <row r="19" spans="9:10" x14ac:dyDescent="0.25">
      <c r="I19" s="5" t="s">
        <v>426</v>
      </c>
      <c r="J19" s="5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1A39-FF67-4AE6-8642-07F6C650F52E}">
  <sheetPr codeName="Sheet73">
    <tabColor rgb="FF0000FF"/>
  </sheetPr>
  <dimension ref="A1:F11"/>
  <sheetViews>
    <sheetView zoomScale="115" zoomScaleNormal="115" workbookViewId="0"/>
  </sheetViews>
  <sheetFormatPr defaultColWidth="8.85546875" defaultRowHeight="15" x14ac:dyDescent="0.25"/>
  <cols>
    <col min="1" max="1" width="4" bestFit="1" customWidth="1"/>
    <col min="2" max="2" width="8.42578125" bestFit="1" customWidth="1"/>
    <col min="3" max="3" width="12.42578125" bestFit="1" customWidth="1"/>
    <col min="4" max="4" width="8.7109375" bestFit="1" customWidth="1"/>
    <col min="5" max="5" width="20.140625" bestFit="1" customWidth="1"/>
    <col min="6" max="6" width="25.28515625" bestFit="1" customWidth="1"/>
    <col min="7" max="7" width="19.42578125" bestFit="1" customWidth="1"/>
    <col min="8" max="8" width="25.28515625" bestFit="1" customWidth="1"/>
  </cols>
  <sheetData>
    <row r="1" spans="1:6" ht="3.75" customHeight="1" x14ac:dyDescent="0.25"/>
    <row r="2" spans="1:6" x14ac:dyDescent="0.25">
      <c r="A2" s="4" t="s">
        <v>207</v>
      </c>
      <c r="B2" t="s">
        <v>447</v>
      </c>
    </row>
    <row r="3" spans="1:6" x14ac:dyDescent="0.25">
      <c r="A3" s="4" t="s">
        <v>439</v>
      </c>
    </row>
    <row r="4" spans="1:6" ht="3.75" customHeight="1" x14ac:dyDescent="0.25"/>
    <row r="5" spans="1:6" x14ac:dyDescent="0.25">
      <c r="B5" s="110" t="s">
        <v>66</v>
      </c>
      <c r="C5" s="110" t="s">
        <v>441</v>
      </c>
      <c r="D5" s="110" t="s">
        <v>440</v>
      </c>
      <c r="E5" s="110" t="s">
        <v>445</v>
      </c>
      <c r="F5" s="110" t="s">
        <v>446</v>
      </c>
    </row>
    <row r="6" spans="1:6" x14ac:dyDescent="0.25">
      <c r="B6" s="5" t="s">
        <v>151</v>
      </c>
      <c r="C6" s="5" t="s">
        <v>442</v>
      </c>
      <c r="D6" s="5">
        <v>94618</v>
      </c>
      <c r="E6" s="7"/>
      <c r="F6" s="7"/>
    </row>
    <row r="7" spans="1:6" x14ac:dyDescent="0.25">
      <c r="B7" s="5" t="s">
        <v>152</v>
      </c>
      <c r="C7" s="5" t="s">
        <v>443</v>
      </c>
      <c r="D7" s="5">
        <v>98106</v>
      </c>
      <c r="E7" s="7"/>
      <c r="F7" s="7"/>
    </row>
    <row r="8" spans="1:6" x14ac:dyDescent="0.25">
      <c r="B8" s="5" t="s">
        <v>153</v>
      </c>
      <c r="C8" s="5" t="s">
        <v>444</v>
      </c>
      <c r="D8" s="5">
        <v>98402</v>
      </c>
      <c r="E8" s="7"/>
      <c r="F8" s="7"/>
    </row>
    <row r="10" spans="1:6" ht="17.25" x14ac:dyDescent="0.25">
      <c r="D10" s="225" t="str">
        <f ca="1">_xlfn.IFNA("Formula in "&amp;ADDRESS(ROW(E6),COLUMN(E6),4)&amp;": "&amp;_xlfn.FORMULATEXT(E6),"")</f>
        <v/>
      </c>
      <c r="F10" s="225"/>
    </row>
    <row r="11" spans="1:6" ht="17.25" x14ac:dyDescent="0.25">
      <c r="D11" s="225" t="str">
        <f ca="1">_xlfn.IFNA("Formula in "&amp;ADDRESS(ROW(F6),COLUMN(F6),4)&amp;": "&amp;_xlfn.FORMULATEXT(F6),"")</f>
        <v/>
      </c>
      <c r="F11" s="225"/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DC09-FEC3-4AD3-85A8-72D734E82AE9}">
  <sheetPr>
    <tabColor rgb="FFFF0000"/>
  </sheetPr>
  <dimension ref="A1:F11"/>
  <sheetViews>
    <sheetView zoomScale="115" zoomScaleNormal="115" workbookViewId="0"/>
  </sheetViews>
  <sheetFormatPr defaultColWidth="8.85546875" defaultRowHeight="15" x14ac:dyDescent="0.25"/>
  <cols>
    <col min="1" max="1" width="4" bestFit="1" customWidth="1"/>
    <col min="2" max="2" width="8.42578125" bestFit="1" customWidth="1"/>
    <col min="3" max="3" width="12.42578125" bestFit="1" customWidth="1"/>
    <col min="4" max="4" width="8.7109375" bestFit="1" customWidth="1"/>
    <col min="5" max="5" width="20.140625" bestFit="1" customWidth="1"/>
    <col min="6" max="6" width="25.28515625" bestFit="1" customWidth="1"/>
    <col min="7" max="7" width="19.42578125" bestFit="1" customWidth="1"/>
    <col min="8" max="8" width="25.28515625" bestFit="1" customWidth="1"/>
  </cols>
  <sheetData>
    <row r="1" spans="1:6" ht="3.75" customHeight="1" x14ac:dyDescent="0.25"/>
    <row r="2" spans="1:6" x14ac:dyDescent="0.25">
      <c r="A2" s="4" t="s">
        <v>207</v>
      </c>
      <c r="B2" t="s">
        <v>447</v>
      </c>
    </row>
    <row r="3" spans="1:6" x14ac:dyDescent="0.25">
      <c r="A3" s="4" t="s">
        <v>439</v>
      </c>
    </row>
    <row r="4" spans="1:6" ht="3.75" customHeight="1" x14ac:dyDescent="0.25"/>
    <row r="5" spans="1:6" x14ac:dyDescent="0.25">
      <c r="B5" s="110" t="s">
        <v>66</v>
      </c>
      <c r="C5" s="110" t="s">
        <v>441</v>
      </c>
      <c r="D5" s="110" t="s">
        <v>440</v>
      </c>
      <c r="E5" s="110" t="s">
        <v>445</v>
      </c>
      <c r="F5" s="110" t="s">
        <v>446</v>
      </c>
    </row>
    <row r="6" spans="1:6" x14ac:dyDescent="0.25">
      <c r="B6" s="5" t="s">
        <v>151</v>
      </c>
      <c r="C6" s="5" t="s">
        <v>442</v>
      </c>
      <c r="D6" s="5" t="e" vm="1">
        <v>#VALUE!</v>
      </c>
      <c r="E6" s="7" cm="1" vm="2">
        <f t="array" ref="E6:E8">_FV(D6:D8,"average house value",TRUE)</f>
        <v>1030000</v>
      </c>
      <c r="F6" s="7" cm="1" vm="3">
        <f t="array" ref="F6:F8">_FV(D6:D8,"median household income",TRUE)</f>
        <v>133125</v>
      </c>
    </row>
    <row r="7" spans="1:6" x14ac:dyDescent="0.25">
      <c r="B7" s="5" t="s">
        <v>152</v>
      </c>
      <c r="C7" s="5" t="s">
        <v>443</v>
      </c>
      <c r="D7" s="5" t="e" vm="4">
        <v>#VALUE!</v>
      </c>
      <c r="E7" s="7" vm="5">
        <v>157600</v>
      </c>
      <c r="F7" s="7" vm="6">
        <v>62726</v>
      </c>
    </row>
    <row r="8" spans="1:6" x14ac:dyDescent="0.25">
      <c r="B8" s="5" t="s">
        <v>153</v>
      </c>
      <c r="C8" s="5" t="s">
        <v>444</v>
      </c>
      <c r="D8" s="5" t="e" vm="7">
        <v>#VALUE!</v>
      </c>
      <c r="E8" s="7" vm="8">
        <v>129800</v>
      </c>
      <c r="F8" s="7" vm="9">
        <v>45797</v>
      </c>
    </row>
    <row r="10" spans="1:6" ht="17.25" x14ac:dyDescent="0.25">
      <c r="D10" s="225" t="str">
        <f ca="1">_xlfn.IFNA("Formula in "&amp;ADDRESS(ROW(E6),COLUMN(E6),4)&amp;": "&amp;_xlfn.FORMULATEXT(E6),"")</f>
        <v>Formula in E6: =D6:D8.[average house value]</v>
      </c>
      <c r="F10" s="225"/>
    </row>
    <row r="11" spans="1:6" ht="17.25" x14ac:dyDescent="0.25">
      <c r="D11" s="225" t="str">
        <f ca="1">_xlfn.IFNA("Formula in "&amp;ADDRESS(ROW(F6),COLUMN(F6),4)&amp;": "&amp;_xlfn.FORMULATEXT(F6),"")</f>
        <v>Formula in F6: =D6:D8.[median household income]</v>
      </c>
      <c r="F11" s="225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5B93-C580-4776-8228-2B7609B3FE24}">
  <sheetPr>
    <tabColor theme="1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77E3-EBC4-4B05-AF3C-2D5C2B0ABB45}">
  <sheetPr>
    <tabColor rgb="FF0000FF"/>
  </sheetPr>
  <dimension ref="B1:M17"/>
  <sheetViews>
    <sheetView zoomScale="145" zoomScaleNormal="145" workbookViewId="0"/>
  </sheetViews>
  <sheetFormatPr defaultColWidth="8.85546875" defaultRowHeight="15" x14ac:dyDescent="0.25"/>
  <cols>
    <col min="1" max="1" width="1.140625" customWidth="1"/>
    <col min="2" max="2" width="15" customWidth="1"/>
    <col min="3" max="3" width="12.7109375" customWidth="1"/>
    <col min="4" max="4" width="7.42578125" bestFit="1" customWidth="1"/>
    <col min="5" max="5" width="9.7109375" bestFit="1" customWidth="1"/>
    <col min="6" max="6" width="14.42578125" bestFit="1" customWidth="1"/>
    <col min="7" max="7" width="12.85546875" bestFit="1" customWidth="1"/>
    <col min="8" max="8" width="9.42578125" bestFit="1" customWidth="1"/>
  </cols>
  <sheetData>
    <row r="1" spans="2:13" ht="3" customHeight="1" x14ac:dyDescent="0.25"/>
    <row r="2" spans="2:13" x14ac:dyDescent="0.25">
      <c r="B2" s="4" t="s">
        <v>454</v>
      </c>
    </row>
    <row r="3" spans="2:13" x14ac:dyDescent="0.25">
      <c r="B3" t="s">
        <v>455</v>
      </c>
    </row>
    <row r="4" spans="2:13" ht="3" customHeight="1" x14ac:dyDescent="0.25"/>
    <row r="5" spans="2:13" x14ac:dyDescent="0.25">
      <c r="B5" s="138" t="str">
        <f>F10</f>
        <v>E-mail</v>
      </c>
    </row>
    <row r="6" spans="2:13" x14ac:dyDescent="0.25">
      <c r="B6" s="5"/>
    </row>
    <row r="7" spans="2:13" ht="3" customHeight="1" x14ac:dyDescent="0.25"/>
    <row r="8" spans="2:13" x14ac:dyDescent="0.25">
      <c r="B8" s="240" t="s">
        <v>453</v>
      </c>
      <c r="C8" s="7"/>
      <c r="M8" s="4"/>
    </row>
    <row r="9" spans="2:13" ht="3" customHeight="1" x14ac:dyDescent="0.25"/>
    <row r="10" spans="2:13" x14ac:dyDescent="0.25">
      <c r="B10" s="110" t="s">
        <v>335</v>
      </c>
      <c r="C10" s="110" t="s">
        <v>2</v>
      </c>
      <c r="D10" s="110" t="s">
        <v>3</v>
      </c>
      <c r="E10" s="110" t="s">
        <v>336</v>
      </c>
      <c r="F10" s="110" t="s">
        <v>337</v>
      </c>
      <c r="G10" s="110" t="s">
        <v>338</v>
      </c>
      <c r="H10" s="110" t="s">
        <v>339</v>
      </c>
    </row>
    <row r="11" spans="2:13" x14ac:dyDescent="0.25">
      <c r="B11" s="5" t="str">
        <f>"880-245-"&amp;ROWS(B$11:B11)+3399</f>
        <v>880-245-3400</v>
      </c>
      <c r="C11" s="5" t="s">
        <v>345</v>
      </c>
      <c r="D11" s="5" t="s">
        <v>346</v>
      </c>
      <c r="E11" s="113">
        <v>40504</v>
      </c>
      <c r="F11" s="5" t="str">
        <f>LEFT(C11)&amp;LEFT(D11)&amp;RIGHT(YEAR(E11),2)&amp;"@gb.com"</f>
        <v>JJ10@gb.com</v>
      </c>
      <c r="G11" s="5" t="s">
        <v>352</v>
      </c>
      <c r="H11" s="113">
        <v>33204</v>
      </c>
    </row>
    <row r="12" spans="2:13" x14ac:dyDescent="0.25">
      <c r="B12" s="5" t="str">
        <f>"880-245-"&amp;ROWS(B$11:B12)+3399</f>
        <v>880-245-3401</v>
      </c>
      <c r="C12" s="5" t="s">
        <v>340</v>
      </c>
      <c r="D12" s="5" t="s">
        <v>239</v>
      </c>
      <c r="E12" s="113">
        <v>41943</v>
      </c>
      <c r="F12" s="5" t="str">
        <f t="shared" ref="F12:F17" si="0">LEFT(C12)&amp;LEFT(D12)&amp;RIGHT(YEAR(E12),2)&amp;"@gb.com"</f>
        <v>MA14@gb.com</v>
      </c>
      <c r="G12" s="5" t="s">
        <v>353</v>
      </c>
      <c r="H12" s="113">
        <v>30628</v>
      </c>
    </row>
    <row r="13" spans="2:13" x14ac:dyDescent="0.25">
      <c r="B13" s="5" t="str">
        <f>"880-245-"&amp;ROWS(B$11:B13)+3399</f>
        <v>880-245-3402</v>
      </c>
      <c r="C13" s="5" t="s">
        <v>341</v>
      </c>
      <c r="D13" s="5" t="s">
        <v>347</v>
      </c>
      <c r="E13" s="113">
        <v>42361</v>
      </c>
      <c r="F13" s="5" t="str">
        <f t="shared" si="0"/>
        <v>PK15@gb.com</v>
      </c>
      <c r="G13" s="5" t="s">
        <v>353</v>
      </c>
      <c r="H13" s="113">
        <v>31776</v>
      </c>
    </row>
    <row r="14" spans="2:13" x14ac:dyDescent="0.25">
      <c r="B14" s="5" t="str">
        <f>"880-245-"&amp;ROWS(B$11:B14)+3399</f>
        <v>880-245-3403</v>
      </c>
      <c r="C14" s="5" t="s">
        <v>122</v>
      </c>
      <c r="D14" s="5" t="s">
        <v>348</v>
      </c>
      <c r="E14" s="113">
        <v>42400</v>
      </c>
      <c r="F14" s="5" t="str">
        <f t="shared" si="0"/>
        <v>TM16@gb.com</v>
      </c>
      <c r="G14" s="5" t="s">
        <v>352</v>
      </c>
      <c r="H14" s="113">
        <v>32545</v>
      </c>
    </row>
    <row r="15" spans="2:13" x14ac:dyDescent="0.25">
      <c r="B15" s="5" t="str">
        <f>"880-245-"&amp;ROWS(B$11:B15)+3399</f>
        <v>880-245-3404</v>
      </c>
      <c r="C15" s="5" t="s">
        <v>342</v>
      </c>
      <c r="D15" s="5" t="s">
        <v>350</v>
      </c>
      <c r="E15" s="113">
        <v>42401</v>
      </c>
      <c r="F15" s="5" t="str">
        <f t="shared" si="0"/>
        <v>LC16@gb.com</v>
      </c>
      <c r="G15" s="5" t="s">
        <v>354</v>
      </c>
      <c r="H15" s="113">
        <v>23051</v>
      </c>
    </row>
    <row r="16" spans="2:13" x14ac:dyDescent="0.25">
      <c r="B16" s="5" t="str">
        <f>"880-245-"&amp;ROWS(B$11:B16)+3399</f>
        <v>880-245-3405</v>
      </c>
      <c r="C16" s="5" t="s">
        <v>343</v>
      </c>
      <c r="D16" s="5" t="s">
        <v>349</v>
      </c>
      <c r="E16" s="113">
        <v>42971</v>
      </c>
      <c r="F16" s="5" t="str">
        <f t="shared" si="0"/>
        <v>HP17@gb.com</v>
      </c>
      <c r="G16" s="5" t="s">
        <v>353</v>
      </c>
      <c r="H16" s="113">
        <v>28736</v>
      </c>
    </row>
    <row r="17" spans="2:8" x14ac:dyDescent="0.25">
      <c r="B17" s="5" t="str">
        <f>"880-245-"&amp;ROWS(B$11:B17)+3399</f>
        <v>880-245-3406</v>
      </c>
      <c r="C17" s="5" t="s">
        <v>344</v>
      </c>
      <c r="D17" s="5" t="s">
        <v>351</v>
      </c>
      <c r="E17" s="113">
        <v>43321</v>
      </c>
      <c r="F17" s="5" t="str">
        <f t="shared" si="0"/>
        <v>SF18@gb.com</v>
      </c>
      <c r="G17" s="5" t="s">
        <v>355</v>
      </c>
      <c r="H17" s="113">
        <v>35656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E4B4-993D-4A4A-84F9-5B27194067BD}">
  <sheetPr>
    <tabColor rgb="FFFF0000"/>
  </sheetPr>
  <dimension ref="B1:J17"/>
  <sheetViews>
    <sheetView zoomScale="145" zoomScaleNormal="145" workbookViewId="0"/>
  </sheetViews>
  <sheetFormatPr defaultColWidth="8.85546875" defaultRowHeight="15" x14ac:dyDescent="0.25"/>
  <cols>
    <col min="1" max="1" width="1.140625" customWidth="1"/>
    <col min="2" max="2" width="15" customWidth="1"/>
    <col min="3" max="3" width="13" bestFit="1" customWidth="1"/>
    <col min="4" max="4" width="7.42578125" bestFit="1" customWidth="1"/>
    <col min="5" max="5" width="9.7109375" bestFit="1" customWidth="1"/>
    <col min="6" max="6" width="14.42578125" bestFit="1" customWidth="1"/>
    <col min="7" max="7" width="12.85546875" bestFit="1" customWidth="1"/>
    <col min="8" max="8" width="9.42578125" bestFit="1" customWidth="1"/>
  </cols>
  <sheetData>
    <row r="1" spans="2:10" ht="3" customHeight="1" x14ac:dyDescent="0.25"/>
    <row r="2" spans="2:10" x14ac:dyDescent="0.25">
      <c r="B2" s="4" t="s">
        <v>454</v>
      </c>
    </row>
    <row r="3" spans="2:10" x14ac:dyDescent="0.25">
      <c r="B3" t="s">
        <v>455</v>
      </c>
    </row>
    <row r="4" spans="2:10" ht="3" customHeight="1" x14ac:dyDescent="0.25"/>
    <row r="5" spans="2:10" x14ac:dyDescent="0.25">
      <c r="B5" s="138" t="str">
        <f>F10</f>
        <v>E-mail</v>
      </c>
    </row>
    <row r="6" spans="2:10" x14ac:dyDescent="0.25">
      <c r="B6" s="5" t="s">
        <v>456</v>
      </c>
      <c r="J6" s="4" t="str">
        <f>"Formula in cell "&amp;ADDRESS(ROW(C8),COLUMN(C8),4)&amp;":"</f>
        <v>Formula in cell C8:</v>
      </c>
    </row>
    <row r="7" spans="2:10" ht="3" customHeight="1" x14ac:dyDescent="0.25"/>
    <row r="8" spans="2:10" x14ac:dyDescent="0.25">
      <c r="B8" s="240" t="s">
        <v>453</v>
      </c>
      <c r="C8" s="262" t="str">
        <f>_xlfn.XLOOKUP(B6,F11:F17,B11:B17)</f>
        <v>880-245-3402</v>
      </c>
      <c r="J8" t="str">
        <f ca="1">IF(_xlfn.ISFORMULA(C8),_xlfn.FORMULATEXT(C8),"")</f>
        <v>=XLOOKUP(B6,F11:F17,B11:B17)</v>
      </c>
    </row>
    <row r="9" spans="2:10" ht="3" customHeight="1" x14ac:dyDescent="0.25"/>
    <row r="10" spans="2:10" x14ac:dyDescent="0.25">
      <c r="B10" s="110" t="s">
        <v>335</v>
      </c>
      <c r="C10" s="110" t="s">
        <v>2</v>
      </c>
      <c r="D10" s="110" t="s">
        <v>3</v>
      </c>
      <c r="E10" s="110" t="s">
        <v>336</v>
      </c>
      <c r="F10" s="110" t="s">
        <v>337</v>
      </c>
      <c r="G10" s="110" t="s">
        <v>338</v>
      </c>
      <c r="H10" s="110" t="s">
        <v>339</v>
      </c>
    </row>
    <row r="11" spans="2:10" x14ac:dyDescent="0.25">
      <c r="B11" s="5" t="str">
        <f>"880-245-"&amp;ROWS(B$11:B11)+3399</f>
        <v>880-245-3400</v>
      </c>
      <c r="C11" s="5" t="s">
        <v>345</v>
      </c>
      <c r="D11" s="5" t="s">
        <v>346</v>
      </c>
      <c r="E11" s="113">
        <v>40504</v>
      </c>
      <c r="F11" s="5" t="str">
        <f>LEFT(C11)&amp;LEFT(D11)&amp;RIGHT(YEAR(E11),2)&amp;"@gb.com"</f>
        <v>JJ10@gb.com</v>
      </c>
      <c r="G11" s="5" t="s">
        <v>352</v>
      </c>
      <c r="H11" s="113">
        <v>33204</v>
      </c>
    </row>
    <row r="12" spans="2:10" x14ac:dyDescent="0.25">
      <c r="B12" s="5" t="str">
        <f>"880-245-"&amp;ROWS(B$11:B12)+3399</f>
        <v>880-245-3401</v>
      </c>
      <c r="C12" s="5" t="s">
        <v>340</v>
      </c>
      <c r="D12" s="5" t="s">
        <v>239</v>
      </c>
      <c r="E12" s="113">
        <v>41943</v>
      </c>
      <c r="F12" s="5" t="str">
        <f t="shared" ref="F12:F17" si="0">LEFT(C12)&amp;LEFT(D12)&amp;RIGHT(YEAR(E12),2)&amp;"@gb.com"</f>
        <v>MA14@gb.com</v>
      </c>
      <c r="G12" s="5" t="s">
        <v>353</v>
      </c>
      <c r="H12" s="113">
        <v>30628</v>
      </c>
    </row>
    <row r="13" spans="2:10" x14ac:dyDescent="0.25">
      <c r="B13" s="5" t="str">
        <f>"880-245-"&amp;ROWS(B$11:B13)+3399</f>
        <v>880-245-3402</v>
      </c>
      <c r="C13" s="5" t="s">
        <v>341</v>
      </c>
      <c r="D13" s="5" t="s">
        <v>347</v>
      </c>
      <c r="E13" s="113">
        <v>42361</v>
      </c>
      <c r="F13" s="5" t="str">
        <f t="shared" si="0"/>
        <v>PK15@gb.com</v>
      </c>
      <c r="G13" s="5" t="s">
        <v>353</v>
      </c>
      <c r="H13" s="113">
        <v>31776</v>
      </c>
    </row>
    <row r="14" spans="2:10" x14ac:dyDescent="0.25">
      <c r="B14" s="5" t="str">
        <f>"880-245-"&amp;ROWS(B$11:B14)+3399</f>
        <v>880-245-3403</v>
      </c>
      <c r="C14" s="5" t="s">
        <v>122</v>
      </c>
      <c r="D14" s="5" t="s">
        <v>348</v>
      </c>
      <c r="E14" s="113">
        <v>42400</v>
      </c>
      <c r="F14" s="5" t="str">
        <f t="shared" si="0"/>
        <v>TM16@gb.com</v>
      </c>
      <c r="G14" s="5" t="s">
        <v>352</v>
      </c>
      <c r="H14" s="113">
        <v>32545</v>
      </c>
    </row>
    <row r="15" spans="2:10" x14ac:dyDescent="0.25">
      <c r="B15" s="5" t="str">
        <f>"880-245-"&amp;ROWS(B$11:B15)+3399</f>
        <v>880-245-3404</v>
      </c>
      <c r="C15" s="5" t="s">
        <v>342</v>
      </c>
      <c r="D15" s="5" t="s">
        <v>350</v>
      </c>
      <c r="E15" s="113">
        <v>42401</v>
      </c>
      <c r="F15" s="5" t="str">
        <f t="shared" si="0"/>
        <v>LC16@gb.com</v>
      </c>
      <c r="G15" s="5" t="s">
        <v>354</v>
      </c>
      <c r="H15" s="113">
        <v>23051</v>
      </c>
    </row>
    <row r="16" spans="2:10" x14ac:dyDescent="0.25">
      <c r="B16" s="5" t="str">
        <f>"880-245-"&amp;ROWS(B$11:B16)+3399</f>
        <v>880-245-3405</v>
      </c>
      <c r="C16" s="5" t="s">
        <v>343</v>
      </c>
      <c r="D16" s="5" t="s">
        <v>349</v>
      </c>
      <c r="E16" s="113">
        <v>42971</v>
      </c>
      <c r="F16" s="5" t="str">
        <f t="shared" si="0"/>
        <v>HP17@gb.com</v>
      </c>
      <c r="G16" s="5" t="s">
        <v>353</v>
      </c>
      <c r="H16" s="113">
        <v>28736</v>
      </c>
    </row>
    <row r="17" spans="2:8" x14ac:dyDescent="0.25">
      <c r="B17" s="5" t="str">
        <f>"880-245-"&amp;ROWS(B$11:B17)+3399</f>
        <v>880-245-3406</v>
      </c>
      <c r="C17" s="5" t="s">
        <v>344</v>
      </c>
      <c r="D17" s="5" t="s">
        <v>351</v>
      </c>
      <c r="E17" s="113">
        <v>43321</v>
      </c>
      <c r="F17" s="5" t="str">
        <f t="shared" si="0"/>
        <v>SF18@gb.com</v>
      </c>
      <c r="G17" s="5" t="s">
        <v>355</v>
      </c>
      <c r="H17" s="113">
        <v>35656</v>
      </c>
    </row>
  </sheetData>
  <dataValidations count="1">
    <dataValidation type="list" allowBlank="1" showInputMessage="1" showErrorMessage="1" sqref="B6" xr:uid="{A5F62223-266C-4181-9081-E21E3DF2FE09}">
      <formula1>$F$11:$F$17</formula1>
    </dataValidation>
  </dataValidations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BFAF-0BC9-4D0D-B879-C2123A6311B6}">
  <sheetPr>
    <tabColor rgb="FF0000FF"/>
  </sheetPr>
  <dimension ref="B1:M17"/>
  <sheetViews>
    <sheetView zoomScale="145" zoomScaleNormal="145" workbookViewId="0"/>
  </sheetViews>
  <sheetFormatPr defaultColWidth="8.85546875" defaultRowHeight="15" x14ac:dyDescent="0.25"/>
  <cols>
    <col min="1" max="1" width="1.140625" customWidth="1"/>
    <col min="2" max="2" width="15" customWidth="1"/>
    <col min="3" max="3" width="5.140625" bestFit="1" customWidth="1"/>
    <col min="4" max="4" width="7.42578125" bestFit="1" customWidth="1"/>
    <col min="5" max="5" width="9.7109375" bestFit="1" customWidth="1"/>
    <col min="6" max="6" width="14.42578125" bestFit="1" customWidth="1"/>
    <col min="7" max="7" width="12.85546875" bestFit="1" customWidth="1"/>
    <col min="8" max="8" width="9.42578125" bestFit="1" customWidth="1"/>
    <col min="9" max="9" width="12.42578125" customWidth="1"/>
  </cols>
  <sheetData>
    <row r="1" spans="2:13" ht="3.75" customHeight="1" x14ac:dyDescent="0.25"/>
    <row r="2" spans="2:13" x14ac:dyDescent="0.25">
      <c r="B2" s="4" t="s">
        <v>449</v>
      </c>
    </row>
    <row r="3" spans="2:13" x14ac:dyDescent="0.25">
      <c r="B3" t="s">
        <v>451</v>
      </c>
    </row>
    <row r="4" spans="2:13" ht="3.75" customHeight="1" x14ac:dyDescent="0.25"/>
    <row r="5" spans="2:13" x14ac:dyDescent="0.25">
      <c r="B5" s="138" t="s">
        <v>335</v>
      </c>
    </row>
    <row r="6" spans="2:13" x14ac:dyDescent="0.25">
      <c r="B6" s="5"/>
    </row>
    <row r="7" spans="2:13" ht="3.75" customHeight="1" x14ac:dyDescent="0.25"/>
    <row r="8" spans="2:13" x14ac:dyDescent="0.25">
      <c r="B8" s="110" t="s">
        <v>450</v>
      </c>
      <c r="C8" s="7"/>
      <c r="D8" s="7"/>
      <c r="E8" s="7"/>
      <c r="F8" s="7"/>
      <c r="G8" s="7"/>
      <c r="H8" s="7"/>
    </row>
    <row r="9" spans="2:13" ht="3.75" customHeight="1" x14ac:dyDescent="0.25"/>
    <row r="10" spans="2:13" x14ac:dyDescent="0.25">
      <c r="B10" s="110" t="s">
        <v>335</v>
      </c>
      <c r="C10" s="110" t="s">
        <v>2</v>
      </c>
      <c r="D10" s="110" t="s">
        <v>3</v>
      </c>
      <c r="E10" s="110" t="s">
        <v>336</v>
      </c>
      <c r="F10" s="110" t="s">
        <v>337</v>
      </c>
      <c r="G10" s="110" t="s">
        <v>338</v>
      </c>
      <c r="H10" s="110" t="s">
        <v>339</v>
      </c>
    </row>
    <row r="11" spans="2:13" x14ac:dyDescent="0.25">
      <c r="B11" s="5" t="str">
        <f>"880-245-"&amp;ROWS(B$11:B11)+3399</f>
        <v>880-245-3400</v>
      </c>
      <c r="C11" s="5" t="s">
        <v>345</v>
      </c>
      <c r="D11" s="5" t="s">
        <v>346</v>
      </c>
      <c r="E11" s="113">
        <v>40504</v>
      </c>
      <c r="F11" s="5" t="str">
        <f>LEFT(C11)&amp;LEFT(D11)&amp;RIGHT(YEAR(E11),2)&amp;"@gb.com"</f>
        <v>JJ10@gb.com</v>
      </c>
      <c r="G11" s="5" t="s">
        <v>352</v>
      </c>
      <c r="H11" s="113">
        <v>33204</v>
      </c>
    </row>
    <row r="12" spans="2:13" x14ac:dyDescent="0.25">
      <c r="B12" s="5" t="str">
        <f>"880-245-"&amp;ROWS(B$11:B12)+3399</f>
        <v>880-245-3401</v>
      </c>
      <c r="C12" s="5" t="s">
        <v>340</v>
      </c>
      <c r="D12" s="5" t="s">
        <v>239</v>
      </c>
      <c r="E12" s="113">
        <v>41943</v>
      </c>
      <c r="F12" s="5" t="str">
        <f t="shared" ref="F12:F17" si="0">LEFT(C12)&amp;LEFT(D12)&amp;RIGHT(YEAR(E12),2)&amp;"@gb.com"</f>
        <v>MA14@gb.com</v>
      </c>
      <c r="G12" s="5" t="s">
        <v>353</v>
      </c>
      <c r="H12" s="113">
        <v>30628</v>
      </c>
      <c r="M12" s="4" t="str">
        <f>"Formula in cell "&amp;ADDRESS(ROW(C8),COLUMN(C8),4)&amp;":"</f>
        <v>Formula in cell C8:</v>
      </c>
    </row>
    <row r="13" spans="2:13" x14ac:dyDescent="0.25">
      <c r="B13" s="5" t="str">
        <f>"880-245-"&amp;ROWS(B$11:B13)+3399</f>
        <v>880-245-3402</v>
      </c>
      <c r="C13" s="5" t="s">
        <v>341</v>
      </c>
      <c r="D13" s="5" t="s">
        <v>347</v>
      </c>
      <c r="E13" s="113">
        <v>42361</v>
      </c>
      <c r="F13" s="5" t="str">
        <f t="shared" si="0"/>
        <v>PK15@gb.com</v>
      </c>
      <c r="G13" s="5" t="s">
        <v>353</v>
      </c>
      <c r="H13" s="113">
        <v>31776</v>
      </c>
      <c r="M13" t="str">
        <f ca="1">IF(_xlfn.ISFORMULA(C8),_xlfn.FORMULATEXT(C8),"")</f>
        <v/>
      </c>
    </row>
    <row r="14" spans="2:13" x14ac:dyDescent="0.25">
      <c r="B14" s="5" t="str">
        <f>"880-245-"&amp;ROWS(B$11:B14)+3399</f>
        <v>880-245-3403</v>
      </c>
      <c r="C14" s="5" t="s">
        <v>122</v>
      </c>
      <c r="D14" s="5" t="s">
        <v>348</v>
      </c>
      <c r="E14" s="113">
        <v>42400</v>
      </c>
      <c r="F14" s="5" t="str">
        <f t="shared" si="0"/>
        <v>TM16@gb.com</v>
      </c>
      <c r="G14" s="5" t="s">
        <v>352</v>
      </c>
      <c r="H14" s="113">
        <v>32545</v>
      </c>
      <c r="M14" t="str">
        <f>IF(_xlfn.ISFORMULA(C8),"Formula spills to right.","")</f>
        <v/>
      </c>
    </row>
    <row r="15" spans="2:13" x14ac:dyDescent="0.25">
      <c r="B15" s="5" t="str">
        <f>"880-245-"&amp;ROWS(B$11:B15)+3399</f>
        <v>880-245-3404</v>
      </c>
      <c r="C15" s="5" t="s">
        <v>342</v>
      </c>
      <c r="D15" s="5" t="s">
        <v>350</v>
      </c>
      <c r="E15" s="113">
        <v>42401</v>
      </c>
      <c r="F15" s="5" t="str">
        <f t="shared" si="0"/>
        <v>LC16@gb.com</v>
      </c>
      <c r="G15" s="5" t="s">
        <v>354</v>
      </c>
      <c r="H15" s="113">
        <v>23051</v>
      </c>
    </row>
    <row r="16" spans="2:13" x14ac:dyDescent="0.25">
      <c r="B16" s="5" t="str">
        <f>"880-245-"&amp;ROWS(B$11:B16)+3399</f>
        <v>880-245-3405</v>
      </c>
      <c r="C16" s="5" t="s">
        <v>343</v>
      </c>
      <c r="D16" s="5" t="s">
        <v>349</v>
      </c>
      <c r="E16" s="113">
        <v>42971</v>
      </c>
      <c r="F16" s="5" t="str">
        <f t="shared" si="0"/>
        <v>HP17@gb.com</v>
      </c>
      <c r="G16" s="5" t="s">
        <v>353</v>
      </c>
      <c r="H16" s="113">
        <v>28736</v>
      </c>
    </row>
    <row r="17" spans="2:8" x14ac:dyDescent="0.25">
      <c r="B17" s="5" t="str">
        <f>"880-245-"&amp;ROWS(B$11:B17)+3399</f>
        <v>880-245-3406</v>
      </c>
      <c r="C17" s="5" t="s">
        <v>344</v>
      </c>
      <c r="D17" s="5" t="s">
        <v>351</v>
      </c>
      <c r="E17" s="113">
        <v>43321</v>
      </c>
      <c r="F17" s="5" t="str">
        <f t="shared" si="0"/>
        <v>SF18@gb.com</v>
      </c>
      <c r="G17" s="5" t="s">
        <v>355</v>
      </c>
      <c r="H17" s="113">
        <v>35656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8D93-4F03-4DCE-8D7E-FDC8B713969E}">
  <sheetPr>
    <tabColor rgb="FFFF0000"/>
  </sheetPr>
  <dimension ref="B1:M17"/>
  <sheetViews>
    <sheetView zoomScale="145" zoomScaleNormal="145" workbookViewId="0"/>
  </sheetViews>
  <sheetFormatPr defaultColWidth="8.85546875" defaultRowHeight="15" x14ac:dyDescent="0.25"/>
  <cols>
    <col min="1" max="1" width="1.140625" customWidth="1"/>
    <col min="2" max="2" width="15" customWidth="1"/>
    <col min="3" max="3" width="5.140625" bestFit="1" customWidth="1"/>
    <col min="4" max="4" width="7.42578125" bestFit="1" customWidth="1"/>
    <col min="5" max="5" width="9.7109375" bestFit="1" customWidth="1"/>
    <col min="6" max="6" width="14.42578125" bestFit="1" customWidth="1"/>
    <col min="7" max="7" width="12.85546875" bestFit="1" customWidth="1"/>
    <col min="8" max="8" width="9.42578125" bestFit="1" customWidth="1"/>
  </cols>
  <sheetData>
    <row r="1" spans="2:13" ht="3.75" customHeight="1" x14ac:dyDescent="0.25"/>
    <row r="2" spans="2:13" x14ac:dyDescent="0.25">
      <c r="B2" s="4" t="s">
        <v>449</v>
      </c>
    </row>
    <row r="3" spans="2:13" x14ac:dyDescent="0.25">
      <c r="B3" t="s">
        <v>451</v>
      </c>
    </row>
    <row r="4" spans="2:13" ht="3.75" customHeight="1" x14ac:dyDescent="0.25"/>
    <row r="5" spans="2:13" x14ac:dyDescent="0.25">
      <c r="B5" s="138" t="s">
        <v>335</v>
      </c>
    </row>
    <row r="6" spans="2:13" x14ac:dyDescent="0.25">
      <c r="B6" s="5" t="s">
        <v>452</v>
      </c>
    </row>
    <row r="7" spans="2:13" ht="3.75" customHeight="1" x14ac:dyDescent="0.25"/>
    <row r="8" spans="2:13" x14ac:dyDescent="0.25">
      <c r="B8" s="240" t="s">
        <v>450</v>
      </c>
      <c r="C8" s="16" t="str" cm="1">
        <f t="array" ref="C8:H8">_xlfn.XLOOKUP(B6,B11:B17,C11:H17)</f>
        <v>Lin</v>
      </c>
      <c r="D8" s="16" t="str">
        <v>Chinn</v>
      </c>
      <c r="E8" s="241">
        <v>42401</v>
      </c>
      <c r="F8" s="16" t="str">
        <v>LC16@gb.com</v>
      </c>
      <c r="G8" s="16" t="str">
        <v>D1</v>
      </c>
      <c r="H8" s="241">
        <v>23051</v>
      </c>
    </row>
    <row r="9" spans="2:13" ht="3.75" customHeight="1" x14ac:dyDescent="0.25"/>
    <row r="10" spans="2:13" x14ac:dyDescent="0.25">
      <c r="B10" s="110" t="s">
        <v>335</v>
      </c>
      <c r="C10" s="110" t="s">
        <v>2</v>
      </c>
      <c r="D10" s="110" t="s">
        <v>3</v>
      </c>
      <c r="E10" s="110" t="s">
        <v>336</v>
      </c>
      <c r="F10" s="110" t="s">
        <v>337</v>
      </c>
      <c r="G10" s="110" t="s">
        <v>338</v>
      </c>
      <c r="H10" s="110" t="s">
        <v>339</v>
      </c>
    </row>
    <row r="11" spans="2:13" x14ac:dyDescent="0.25">
      <c r="B11" s="5" t="str">
        <f>"880-245-"&amp;ROWS(B$11:B11)+3399</f>
        <v>880-245-3400</v>
      </c>
      <c r="C11" s="5" t="s">
        <v>345</v>
      </c>
      <c r="D11" s="5" t="s">
        <v>346</v>
      </c>
      <c r="E11" s="113">
        <v>40504</v>
      </c>
      <c r="F11" s="5" t="str">
        <f>LEFT(C11)&amp;LEFT(D11)&amp;RIGHT(YEAR(E11),2)&amp;"@gb.com"</f>
        <v>JJ10@gb.com</v>
      </c>
      <c r="G11" s="5" t="s">
        <v>352</v>
      </c>
      <c r="H11" s="113">
        <v>33204</v>
      </c>
    </row>
    <row r="12" spans="2:13" x14ac:dyDescent="0.25">
      <c r="B12" s="5" t="str">
        <f>"880-245-"&amp;ROWS(B$11:B12)+3399</f>
        <v>880-245-3401</v>
      </c>
      <c r="C12" s="5" t="s">
        <v>340</v>
      </c>
      <c r="D12" s="5" t="s">
        <v>239</v>
      </c>
      <c r="E12" s="113">
        <v>41943</v>
      </c>
      <c r="F12" s="5" t="str">
        <f t="shared" ref="F12:F17" si="0">LEFT(C12)&amp;LEFT(D12)&amp;RIGHT(YEAR(E12),2)&amp;"@gb.com"</f>
        <v>MA14@gb.com</v>
      </c>
      <c r="G12" s="5" t="s">
        <v>353</v>
      </c>
      <c r="H12" s="113">
        <v>30628</v>
      </c>
      <c r="M12" s="4" t="str">
        <f>"Formula in cell "&amp;ADDRESS(ROW(C8),COLUMN(C8),4)&amp;":"</f>
        <v>Formula in cell C8:</v>
      </c>
    </row>
    <row r="13" spans="2:13" x14ac:dyDescent="0.25">
      <c r="B13" s="5" t="str">
        <f>"880-245-"&amp;ROWS(B$11:B13)+3399</f>
        <v>880-245-3402</v>
      </c>
      <c r="C13" s="5" t="s">
        <v>341</v>
      </c>
      <c r="D13" s="5" t="s">
        <v>347</v>
      </c>
      <c r="E13" s="113">
        <v>42361</v>
      </c>
      <c r="F13" s="5" t="str">
        <f t="shared" si="0"/>
        <v>PK15@gb.com</v>
      </c>
      <c r="G13" s="5" t="s">
        <v>353</v>
      </c>
      <c r="H13" s="113">
        <v>31776</v>
      </c>
      <c r="M13" t="str">
        <f ca="1">IF(_xlfn.ISFORMULA(C8),_xlfn.FORMULATEXT(C8),"")</f>
        <v>=XLOOKUP(B6,B11:B17,C11:H17)</v>
      </c>
    </row>
    <row r="14" spans="2:13" x14ac:dyDescent="0.25">
      <c r="B14" s="5" t="str">
        <f>"880-245-"&amp;ROWS(B$11:B14)+3399</f>
        <v>880-245-3403</v>
      </c>
      <c r="C14" s="5" t="s">
        <v>122</v>
      </c>
      <c r="D14" s="5" t="s">
        <v>348</v>
      </c>
      <c r="E14" s="113">
        <v>42400</v>
      </c>
      <c r="F14" s="5" t="str">
        <f t="shared" si="0"/>
        <v>TM16@gb.com</v>
      </c>
      <c r="G14" s="5" t="s">
        <v>352</v>
      </c>
      <c r="H14" s="113">
        <v>32545</v>
      </c>
      <c r="M14" t="str">
        <f>IF(_xlfn.ISFORMULA(C8),"Formula spills to right.","")</f>
        <v>Formula spills to right.</v>
      </c>
    </row>
    <row r="15" spans="2:13" x14ac:dyDescent="0.25">
      <c r="B15" s="5" t="str">
        <f>"880-245-"&amp;ROWS(B$11:B15)+3399</f>
        <v>880-245-3404</v>
      </c>
      <c r="C15" s="5" t="s">
        <v>342</v>
      </c>
      <c r="D15" s="5" t="s">
        <v>350</v>
      </c>
      <c r="E15" s="113">
        <v>42401</v>
      </c>
      <c r="F15" s="5" t="str">
        <f t="shared" si="0"/>
        <v>LC16@gb.com</v>
      </c>
      <c r="G15" s="5" t="s">
        <v>354</v>
      </c>
      <c r="H15" s="113">
        <v>23051</v>
      </c>
    </row>
    <row r="16" spans="2:13" x14ac:dyDescent="0.25">
      <c r="B16" s="5" t="str">
        <f>"880-245-"&amp;ROWS(B$11:B16)+3399</f>
        <v>880-245-3405</v>
      </c>
      <c r="C16" s="5" t="s">
        <v>343</v>
      </c>
      <c r="D16" s="5" t="s">
        <v>349</v>
      </c>
      <c r="E16" s="113">
        <v>42971</v>
      </c>
      <c r="F16" s="5" t="str">
        <f t="shared" si="0"/>
        <v>HP17@gb.com</v>
      </c>
      <c r="G16" s="5" t="s">
        <v>353</v>
      </c>
      <c r="H16" s="113">
        <v>28736</v>
      </c>
    </row>
    <row r="17" spans="2:8" x14ac:dyDescent="0.25">
      <c r="B17" s="5" t="str">
        <f>"880-245-"&amp;ROWS(B$11:B17)+3399</f>
        <v>880-245-3406</v>
      </c>
      <c r="C17" s="5" t="s">
        <v>344</v>
      </c>
      <c r="D17" s="5" t="s">
        <v>351</v>
      </c>
      <c r="E17" s="113">
        <v>43321</v>
      </c>
      <c r="F17" s="5" t="str">
        <f t="shared" si="0"/>
        <v>SF18@gb.com</v>
      </c>
      <c r="G17" s="5" t="s">
        <v>355</v>
      </c>
      <c r="H17" s="113">
        <v>35656</v>
      </c>
    </row>
  </sheetData>
  <conditionalFormatting sqref="C8:H8">
    <cfRule type="expression" dxfId="33" priority="1">
      <formula>C8&lt;&gt;""</formula>
    </cfRule>
  </conditionalFormatting>
  <dataValidations count="1">
    <dataValidation type="list" allowBlank="1" showInputMessage="1" showErrorMessage="1" sqref="B6" xr:uid="{F47D1317-562D-4EBB-B359-2D479E927E16}">
      <formula1>$B$11:$B$17</formula1>
    </dataValidation>
  </dataValidation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B9A2-E688-4BC6-8B7E-56F6A5474C23}">
  <sheetPr>
    <tabColor rgb="FF0000FF"/>
  </sheetPr>
  <dimension ref="B1:L42"/>
  <sheetViews>
    <sheetView zoomScale="130" zoomScaleNormal="130" workbookViewId="0"/>
  </sheetViews>
  <sheetFormatPr defaultColWidth="8.85546875" defaultRowHeight="15" x14ac:dyDescent="0.25"/>
  <cols>
    <col min="1" max="1" width="2" customWidth="1"/>
    <col min="2" max="2" width="19.140625" customWidth="1"/>
    <col min="3" max="3" width="13.42578125" bestFit="1" customWidth="1"/>
    <col min="4" max="4" width="13" customWidth="1"/>
    <col min="5" max="5" width="14" bestFit="1" customWidth="1"/>
    <col min="6" max="6" width="2.28515625" customWidth="1"/>
    <col min="7" max="7" width="8.28515625" bestFit="1" customWidth="1"/>
    <col min="8" max="8" width="14" bestFit="1" customWidth="1"/>
  </cols>
  <sheetData>
    <row r="1" spans="2:12" ht="3.75" customHeight="1" x14ac:dyDescent="0.25"/>
    <row r="2" spans="2:12" x14ac:dyDescent="0.25">
      <c r="B2" s="4" t="s">
        <v>465</v>
      </c>
    </row>
    <row r="3" spans="2:12" x14ac:dyDescent="0.25">
      <c r="B3" t="s">
        <v>466</v>
      </c>
    </row>
    <row r="4" spans="2:12" ht="3.75" customHeight="1" x14ac:dyDescent="0.25"/>
    <row r="5" spans="2:12" x14ac:dyDescent="0.25">
      <c r="B5" s="125" t="s">
        <v>464</v>
      </c>
      <c r="C5" s="5">
        <v>650</v>
      </c>
    </row>
    <row r="6" spans="2:12" ht="3.75" customHeight="1" x14ac:dyDescent="0.25"/>
    <row r="7" spans="2:12" x14ac:dyDescent="0.25">
      <c r="B7" s="6" t="s">
        <v>293</v>
      </c>
      <c r="C7" s="6" t="s">
        <v>457</v>
      </c>
      <c r="D7" s="6" t="s">
        <v>179</v>
      </c>
      <c r="E7" s="6" t="s">
        <v>458</v>
      </c>
      <c r="G7" s="6" t="s">
        <v>179</v>
      </c>
      <c r="H7" s="6" t="s">
        <v>458</v>
      </c>
    </row>
    <row r="8" spans="2:12" x14ac:dyDescent="0.25">
      <c r="B8" s="5" t="s">
        <v>459</v>
      </c>
      <c r="C8" s="5">
        <v>491</v>
      </c>
      <c r="D8" s="7"/>
      <c r="E8" s="7"/>
      <c r="G8" s="5">
        <v>0.95</v>
      </c>
      <c r="H8" s="5">
        <v>4</v>
      </c>
      <c r="L8" s="4" t="str">
        <f>"Formula in cell "&amp;ADDRESS(ROW(D8),COLUMN(D8),4)&amp;":"</f>
        <v>Formula in cell D8:</v>
      </c>
    </row>
    <row r="9" spans="2:12" x14ac:dyDescent="0.25">
      <c r="B9" s="5" t="s">
        <v>460</v>
      </c>
      <c r="C9" s="5">
        <v>404</v>
      </c>
      <c r="D9" s="7"/>
      <c r="E9" s="7"/>
      <c r="G9" s="5">
        <v>0.94</v>
      </c>
      <c r="H9" s="5">
        <v>3.9</v>
      </c>
      <c r="L9" t="str">
        <f ca="1">_xlfn.IFNA(_xlfn.FORMULATEXT(D8),"")</f>
        <v/>
      </c>
    </row>
    <row r="10" spans="2:12" x14ac:dyDescent="0.25">
      <c r="B10" s="5" t="s">
        <v>448</v>
      </c>
      <c r="C10" s="5">
        <v>525</v>
      </c>
      <c r="D10" s="7"/>
      <c r="E10" s="7"/>
      <c r="G10" s="5">
        <v>0.93</v>
      </c>
      <c r="H10" s="5">
        <v>3.8</v>
      </c>
      <c r="L10" t="str">
        <f>IF(_xlfn.ISFORMULA(D8),"Formula spills down.","")</f>
        <v/>
      </c>
    </row>
    <row r="11" spans="2:12" x14ac:dyDescent="0.25">
      <c r="B11" s="5" t="s">
        <v>297</v>
      </c>
      <c r="C11" s="5">
        <v>632</v>
      </c>
      <c r="D11" s="7"/>
      <c r="E11" s="7"/>
      <c r="G11" s="5">
        <v>0.92</v>
      </c>
      <c r="H11" s="5">
        <v>3.7</v>
      </c>
    </row>
    <row r="12" spans="2:12" x14ac:dyDescent="0.25">
      <c r="B12" s="5" t="s">
        <v>461</v>
      </c>
      <c r="C12" s="5">
        <v>566</v>
      </c>
      <c r="D12" s="7"/>
      <c r="E12" s="7"/>
      <c r="G12" s="5">
        <v>0.91</v>
      </c>
      <c r="H12" s="5">
        <v>3.6</v>
      </c>
      <c r="L12" s="4" t="str">
        <f>"Formula in cell "&amp;ADDRESS(ROW(E8),COLUMN(E8),4)&amp;":"</f>
        <v>Formula in cell E8:</v>
      </c>
    </row>
    <row r="13" spans="2:12" x14ac:dyDescent="0.25">
      <c r="B13" s="5" t="s">
        <v>462</v>
      </c>
      <c r="C13" s="5">
        <v>45</v>
      </c>
      <c r="D13" s="7"/>
      <c r="E13" s="7"/>
      <c r="G13" s="5">
        <v>0.9</v>
      </c>
      <c r="H13" s="5">
        <v>3.5</v>
      </c>
    </row>
    <row r="14" spans="2:12" x14ac:dyDescent="0.25">
      <c r="B14" s="5" t="s">
        <v>463</v>
      </c>
      <c r="C14" s="5">
        <v>612</v>
      </c>
      <c r="D14" s="7"/>
      <c r="E14" s="7"/>
      <c r="G14" s="5">
        <v>0.89</v>
      </c>
      <c r="H14" s="5">
        <v>3.4</v>
      </c>
    </row>
    <row r="15" spans="2:12" x14ac:dyDescent="0.25">
      <c r="G15" s="5">
        <v>0.88</v>
      </c>
      <c r="H15" s="5">
        <v>3.3</v>
      </c>
    </row>
    <row r="16" spans="2:12" x14ac:dyDescent="0.25">
      <c r="G16" s="5">
        <v>0.87</v>
      </c>
      <c r="H16" s="5">
        <v>3.2</v>
      </c>
    </row>
    <row r="17" spans="7:8" hidden="1" x14ac:dyDescent="0.25">
      <c r="G17" s="5">
        <v>0.86</v>
      </c>
      <c r="H17" s="5">
        <v>3.1</v>
      </c>
    </row>
    <row r="18" spans="7:8" hidden="1" x14ac:dyDescent="0.25">
      <c r="G18" s="5">
        <v>0.85</v>
      </c>
      <c r="H18" s="5">
        <v>3</v>
      </c>
    </row>
    <row r="19" spans="7:8" hidden="1" x14ac:dyDescent="0.25">
      <c r="G19" s="5">
        <v>0.84</v>
      </c>
      <c r="H19" s="5">
        <v>2.9</v>
      </c>
    </row>
    <row r="20" spans="7:8" hidden="1" x14ac:dyDescent="0.25">
      <c r="G20" s="5">
        <v>0.83</v>
      </c>
      <c r="H20" s="5">
        <v>2.8</v>
      </c>
    </row>
    <row r="21" spans="7:8" hidden="1" x14ac:dyDescent="0.25">
      <c r="G21" s="5">
        <v>0.82</v>
      </c>
      <c r="H21" s="5">
        <v>2.7</v>
      </c>
    </row>
    <row r="22" spans="7:8" hidden="1" x14ac:dyDescent="0.25">
      <c r="G22" s="5">
        <v>0.81</v>
      </c>
      <c r="H22" s="5">
        <v>2.6</v>
      </c>
    </row>
    <row r="23" spans="7:8" hidden="1" x14ac:dyDescent="0.25">
      <c r="G23" s="5">
        <v>0.8</v>
      </c>
      <c r="H23" s="5">
        <v>2.5</v>
      </c>
    </row>
    <row r="24" spans="7:8" hidden="1" x14ac:dyDescent="0.25">
      <c r="G24" s="5">
        <v>0.79</v>
      </c>
      <c r="H24" s="5">
        <v>2.4</v>
      </c>
    </row>
    <row r="25" spans="7:8" hidden="1" x14ac:dyDescent="0.25">
      <c r="G25" s="5">
        <v>0.78</v>
      </c>
      <c r="H25" s="5">
        <v>2.2999999999999998</v>
      </c>
    </row>
    <row r="26" spans="7:8" hidden="1" x14ac:dyDescent="0.25">
      <c r="G26" s="5">
        <v>0.77</v>
      </c>
      <c r="H26" s="5">
        <v>2.2000000000000002</v>
      </c>
    </row>
    <row r="27" spans="7:8" hidden="1" x14ac:dyDescent="0.25">
      <c r="G27" s="5">
        <v>0.76</v>
      </c>
      <c r="H27" s="5">
        <v>2.1</v>
      </c>
    </row>
    <row r="28" spans="7:8" hidden="1" x14ac:dyDescent="0.25">
      <c r="G28" s="5">
        <v>0.75</v>
      </c>
      <c r="H28" s="5">
        <v>2</v>
      </c>
    </row>
    <row r="29" spans="7:8" hidden="1" x14ac:dyDescent="0.25">
      <c r="G29" s="5">
        <v>0.74</v>
      </c>
      <c r="H29" s="5">
        <v>1.9</v>
      </c>
    </row>
    <row r="30" spans="7:8" hidden="1" x14ac:dyDescent="0.25">
      <c r="G30" s="5">
        <v>0.73</v>
      </c>
      <c r="H30" s="5">
        <v>1.8</v>
      </c>
    </row>
    <row r="31" spans="7:8" hidden="1" x14ac:dyDescent="0.25">
      <c r="G31" s="5">
        <v>0.72</v>
      </c>
      <c r="H31" s="5">
        <v>1.7</v>
      </c>
    </row>
    <row r="32" spans="7:8" hidden="1" x14ac:dyDescent="0.25">
      <c r="G32" s="5">
        <v>0.71</v>
      </c>
      <c r="H32" s="5">
        <v>1.6</v>
      </c>
    </row>
    <row r="33" spans="7:8" hidden="1" x14ac:dyDescent="0.25">
      <c r="G33" s="5">
        <v>0.7</v>
      </c>
      <c r="H33" s="5">
        <v>1.5</v>
      </c>
    </row>
    <row r="34" spans="7:8" hidden="1" x14ac:dyDescent="0.25">
      <c r="G34" s="5">
        <v>0.69</v>
      </c>
      <c r="H34" s="5">
        <v>1.4</v>
      </c>
    </row>
    <row r="35" spans="7:8" hidden="1" x14ac:dyDescent="0.25">
      <c r="G35" s="5">
        <v>0.68</v>
      </c>
      <c r="H35" s="5">
        <v>1.3</v>
      </c>
    </row>
    <row r="36" spans="7:8" hidden="1" x14ac:dyDescent="0.25">
      <c r="G36" s="5">
        <v>0.67</v>
      </c>
      <c r="H36" s="5">
        <v>1.2</v>
      </c>
    </row>
    <row r="37" spans="7:8" hidden="1" x14ac:dyDescent="0.25">
      <c r="G37" s="5">
        <v>0.66</v>
      </c>
      <c r="H37" s="5">
        <v>1.1000000000000001</v>
      </c>
    </row>
    <row r="38" spans="7:8" hidden="1" x14ac:dyDescent="0.25">
      <c r="G38" s="5">
        <v>0.65</v>
      </c>
      <c r="H38" s="5">
        <v>1</v>
      </c>
    </row>
    <row r="39" spans="7:8" hidden="1" x14ac:dyDescent="0.25">
      <c r="G39" s="5">
        <v>0.64</v>
      </c>
      <c r="H39" s="5">
        <v>0.9</v>
      </c>
    </row>
    <row r="40" spans="7:8" hidden="1" x14ac:dyDescent="0.25">
      <c r="G40" s="5">
        <v>0.63</v>
      </c>
      <c r="H40" s="5">
        <v>0.8</v>
      </c>
    </row>
    <row r="41" spans="7:8" x14ac:dyDescent="0.25">
      <c r="G41" s="5">
        <v>0.62</v>
      </c>
      <c r="H41" s="5">
        <v>0.7</v>
      </c>
    </row>
    <row r="42" spans="7:8" x14ac:dyDescent="0.25">
      <c r="G42" s="5">
        <v>0</v>
      </c>
      <c r="H42" s="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74C6-1E21-49C2-B17F-D7FE400B239C}">
  <sheetPr>
    <tabColor rgb="FFFF0000"/>
  </sheetPr>
  <dimension ref="B1:L42"/>
  <sheetViews>
    <sheetView zoomScale="130" zoomScaleNormal="130" workbookViewId="0"/>
  </sheetViews>
  <sheetFormatPr defaultColWidth="8.85546875" defaultRowHeight="15" x14ac:dyDescent="0.25"/>
  <cols>
    <col min="1" max="1" width="2" customWidth="1"/>
    <col min="2" max="2" width="19.140625" customWidth="1"/>
    <col min="3" max="3" width="13.42578125" bestFit="1" customWidth="1"/>
    <col min="4" max="4" width="13" customWidth="1"/>
    <col min="5" max="5" width="14" bestFit="1" customWidth="1"/>
    <col min="6" max="6" width="2.28515625" customWidth="1"/>
    <col min="7" max="7" width="8.28515625" bestFit="1" customWidth="1"/>
    <col min="8" max="8" width="14" bestFit="1" customWidth="1"/>
  </cols>
  <sheetData>
    <row r="1" spans="2:12" ht="3.75" customHeight="1" x14ac:dyDescent="0.25"/>
    <row r="2" spans="2:12" x14ac:dyDescent="0.25">
      <c r="B2" s="4" t="s">
        <v>465</v>
      </c>
    </row>
    <row r="3" spans="2:12" x14ac:dyDescent="0.25">
      <c r="B3" t="s">
        <v>466</v>
      </c>
    </row>
    <row r="4" spans="2:12" ht="3.75" customHeight="1" x14ac:dyDescent="0.25"/>
    <row r="5" spans="2:12" x14ac:dyDescent="0.25">
      <c r="B5" s="125" t="s">
        <v>464</v>
      </c>
      <c r="C5" s="5">
        <v>650</v>
      </c>
    </row>
    <row r="6" spans="2:12" ht="3.75" customHeight="1" x14ac:dyDescent="0.25"/>
    <row r="7" spans="2:12" x14ac:dyDescent="0.25">
      <c r="B7" s="6" t="s">
        <v>293</v>
      </c>
      <c r="C7" s="6" t="s">
        <v>457</v>
      </c>
      <c r="D7" s="6" t="s">
        <v>179</v>
      </c>
      <c r="E7" s="6" t="s">
        <v>458</v>
      </c>
      <c r="G7" s="6" t="s">
        <v>179</v>
      </c>
      <c r="H7" s="6" t="s">
        <v>458</v>
      </c>
    </row>
    <row r="8" spans="2:12" x14ac:dyDescent="0.25">
      <c r="B8" s="5" t="s">
        <v>459</v>
      </c>
      <c r="C8" s="5">
        <v>491</v>
      </c>
      <c r="D8" s="7" cm="1">
        <f t="array" ref="D8:D14">C8:C14/C5</f>
        <v>0.75538461538461543</v>
      </c>
      <c r="E8" s="7" cm="1">
        <f t="array" ref="E8:E14">_xlfn.XLOOKUP(_xlfn.ANCHORARRAY(D8),G8:G42,H8:H42,0,-1)</f>
        <v>2</v>
      </c>
      <c r="G8" s="5">
        <v>0.95</v>
      </c>
      <c r="H8" s="5">
        <v>4</v>
      </c>
      <c r="L8" s="4" t="str">
        <f>"Formula in cell "&amp;ADDRESS(ROW(D8),COLUMN(D8),4)&amp;":"</f>
        <v>Formula in cell D8:</v>
      </c>
    </row>
    <row r="9" spans="2:12" x14ac:dyDescent="0.25">
      <c r="B9" s="5" t="s">
        <v>460</v>
      </c>
      <c r="C9" s="5">
        <v>404</v>
      </c>
      <c r="D9" s="7">
        <v>0.62153846153846148</v>
      </c>
      <c r="E9" s="7">
        <v>0.7</v>
      </c>
      <c r="G9" s="5">
        <v>0.94</v>
      </c>
      <c r="H9" s="5">
        <v>3.9</v>
      </c>
      <c r="L9" t="str">
        <f ca="1">_xlfn.IFNA(_xlfn.FORMULATEXT(D8),"")</f>
        <v>=C8:C14/C5</v>
      </c>
    </row>
    <row r="10" spans="2:12" x14ac:dyDescent="0.25">
      <c r="B10" s="5" t="s">
        <v>448</v>
      </c>
      <c r="C10" s="5">
        <v>525</v>
      </c>
      <c r="D10" s="7">
        <v>0.80769230769230771</v>
      </c>
      <c r="E10" s="7">
        <v>2.5</v>
      </c>
      <c r="G10" s="5">
        <v>0.93</v>
      </c>
      <c r="H10" s="5">
        <v>3.8</v>
      </c>
      <c r="L10" t="str">
        <f>IF(_xlfn.ISFORMULA(D8),"Formula spills down.","")</f>
        <v>Formula spills down.</v>
      </c>
    </row>
    <row r="11" spans="2:12" x14ac:dyDescent="0.25">
      <c r="B11" s="5" t="s">
        <v>297</v>
      </c>
      <c r="C11" s="5">
        <v>632</v>
      </c>
      <c r="D11" s="7">
        <v>0.97230769230769232</v>
      </c>
      <c r="E11" s="7">
        <v>4</v>
      </c>
      <c r="G11" s="5">
        <v>0.92</v>
      </c>
      <c r="H11" s="5">
        <v>3.7</v>
      </c>
    </row>
    <row r="12" spans="2:12" x14ac:dyDescent="0.25">
      <c r="B12" s="5" t="s">
        <v>461</v>
      </c>
      <c r="C12" s="5">
        <v>566</v>
      </c>
      <c r="D12" s="7">
        <v>0.87076923076923074</v>
      </c>
      <c r="E12" s="7">
        <v>3.2</v>
      </c>
      <c r="G12" s="5">
        <v>0.91</v>
      </c>
      <c r="H12" s="5">
        <v>3.6</v>
      </c>
      <c r="L12" s="4" t="str">
        <f>"Formula in cell "&amp;ADDRESS(ROW(E8),COLUMN(E8),4)&amp;":"</f>
        <v>Formula in cell E8:</v>
      </c>
    </row>
    <row r="13" spans="2:12" x14ac:dyDescent="0.25">
      <c r="B13" s="5" t="s">
        <v>462</v>
      </c>
      <c r="C13" s="5">
        <v>45</v>
      </c>
      <c r="D13" s="7">
        <v>6.9230769230769235E-2</v>
      </c>
      <c r="E13" s="7">
        <v>0</v>
      </c>
      <c r="G13" s="5">
        <v>0.9</v>
      </c>
      <c r="H13" s="5">
        <v>3.5</v>
      </c>
      <c r="L13" t="str">
        <f ca="1">_xlfn.IFNA(_xlfn.FORMULATEXT(E8),"")</f>
        <v>=XLOOKUP(D8#,G8:G42,H8:H42,0,-1)</v>
      </c>
    </row>
    <row r="14" spans="2:12" x14ac:dyDescent="0.25">
      <c r="B14" s="5" t="s">
        <v>463</v>
      </c>
      <c r="C14" s="5">
        <v>612</v>
      </c>
      <c r="D14" s="7">
        <v>0.94153846153846155</v>
      </c>
      <c r="E14" s="7">
        <v>3.9</v>
      </c>
      <c r="G14" s="5">
        <v>0.89</v>
      </c>
      <c r="H14" s="5">
        <v>3.4</v>
      </c>
      <c r="L14" t="str">
        <f>IF(_xlfn.ISFORMULA(D8),"Formula spills down.","")</f>
        <v>Formula spills down.</v>
      </c>
    </row>
    <row r="15" spans="2:12" x14ac:dyDescent="0.25">
      <c r="G15" s="5">
        <v>0.88</v>
      </c>
      <c r="H15" s="5">
        <v>3.3</v>
      </c>
    </row>
    <row r="16" spans="2:12" x14ac:dyDescent="0.25">
      <c r="G16" s="5">
        <v>0.87</v>
      </c>
      <c r="H16" s="5">
        <v>3.2</v>
      </c>
    </row>
    <row r="17" spans="7:8" x14ac:dyDescent="0.25">
      <c r="G17" s="5">
        <v>0.86</v>
      </c>
      <c r="H17" s="5">
        <v>3.1</v>
      </c>
    </row>
    <row r="18" spans="7:8" x14ac:dyDescent="0.25">
      <c r="G18" s="5">
        <v>0.85</v>
      </c>
      <c r="H18" s="5">
        <v>3</v>
      </c>
    </row>
    <row r="19" spans="7:8" x14ac:dyDescent="0.25">
      <c r="G19" s="5">
        <v>0.84</v>
      </c>
      <c r="H19" s="5">
        <v>2.9</v>
      </c>
    </row>
    <row r="20" spans="7:8" x14ac:dyDescent="0.25">
      <c r="G20" s="5">
        <v>0.83</v>
      </c>
      <c r="H20" s="5">
        <v>2.8</v>
      </c>
    </row>
    <row r="21" spans="7:8" x14ac:dyDescent="0.25">
      <c r="G21" s="5">
        <v>0.82</v>
      </c>
      <c r="H21" s="5">
        <v>2.7</v>
      </c>
    </row>
    <row r="22" spans="7:8" x14ac:dyDescent="0.25">
      <c r="G22" s="5">
        <v>0.81</v>
      </c>
      <c r="H22" s="5">
        <v>2.6</v>
      </c>
    </row>
    <row r="23" spans="7:8" x14ac:dyDescent="0.25">
      <c r="G23" s="5">
        <v>0.8</v>
      </c>
      <c r="H23" s="5">
        <v>2.5</v>
      </c>
    </row>
    <row r="24" spans="7:8" x14ac:dyDescent="0.25">
      <c r="G24" s="5">
        <v>0.79</v>
      </c>
      <c r="H24" s="5">
        <v>2.4</v>
      </c>
    </row>
    <row r="25" spans="7:8" x14ac:dyDescent="0.25">
      <c r="G25" s="5">
        <v>0.78</v>
      </c>
      <c r="H25" s="5">
        <v>2.2999999999999998</v>
      </c>
    </row>
    <row r="26" spans="7:8" x14ac:dyDescent="0.25">
      <c r="G26" s="5">
        <v>0.77</v>
      </c>
      <c r="H26" s="5">
        <v>2.2000000000000002</v>
      </c>
    </row>
    <row r="27" spans="7:8" x14ac:dyDescent="0.25">
      <c r="G27" s="5">
        <v>0.76</v>
      </c>
      <c r="H27" s="5">
        <v>2.1</v>
      </c>
    </row>
    <row r="28" spans="7:8" x14ac:dyDescent="0.25">
      <c r="G28" s="5">
        <v>0.75</v>
      </c>
      <c r="H28" s="5">
        <v>2</v>
      </c>
    </row>
    <row r="29" spans="7:8" x14ac:dyDescent="0.25">
      <c r="G29" s="5">
        <v>0.74</v>
      </c>
      <c r="H29" s="5">
        <v>1.9</v>
      </c>
    </row>
    <row r="30" spans="7:8" x14ac:dyDescent="0.25">
      <c r="G30" s="5">
        <v>0.73</v>
      </c>
      <c r="H30" s="5">
        <v>1.8</v>
      </c>
    </row>
    <row r="31" spans="7:8" x14ac:dyDescent="0.25">
      <c r="G31" s="5">
        <v>0.72</v>
      </c>
      <c r="H31" s="5">
        <v>1.7</v>
      </c>
    </row>
    <row r="32" spans="7:8" x14ac:dyDescent="0.25">
      <c r="G32" s="5">
        <v>0.71</v>
      </c>
      <c r="H32" s="5">
        <v>1.6</v>
      </c>
    </row>
    <row r="33" spans="7:8" x14ac:dyDescent="0.25">
      <c r="G33" s="5">
        <v>0.7</v>
      </c>
      <c r="H33" s="5">
        <v>1.5</v>
      </c>
    </row>
    <row r="34" spans="7:8" x14ac:dyDescent="0.25">
      <c r="G34" s="5">
        <v>0.69</v>
      </c>
      <c r="H34" s="5">
        <v>1.4</v>
      </c>
    </row>
    <row r="35" spans="7:8" x14ac:dyDescent="0.25">
      <c r="G35" s="5">
        <v>0.68</v>
      </c>
      <c r="H35" s="5">
        <v>1.3</v>
      </c>
    </row>
    <row r="36" spans="7:8" x14ac:dyDescent="0.25">
      <c r="G36" s="5">
        <v>0.67</v>
      </c>
      <c r="H36" s="5">
        <v>1.2</v>
      </c>
    </row>
    <row r="37" spans="7:8" x14ac:dyDescent="0.25">
      <c r="G37" s="5">
        <v>0.66</v>
      </c>
      <c r="H37" s="5">
        <v>1.1000000000000001</v>
      </c>
    </row>
    <row r="38" spans="7:8" x14ac:dyDescent="0.25">
      <c r="G38" s="5">
        <v>0.65</v>
      </c>
      <c r="H38" s="5">
        <v>1</v>
      </c>
    </row>
    <row r="39" spans="7:8" x14ac:dyDescent="0.25">
      <c r="G39" s="5">
        <v>0.64</v>
      </c>
      <c r="H39" s="5">
        <v>0.9</v>
      </c>
    </row>
    <row r="40" spans="7:8" x14ac:dyDescent="0.25">
      <c r="G40" s="5">
        <v>0.63</v>
      </c>
      <c r="H40" s="5">
        <v>0.8</v>
      </c>
    </row>
    <row r="41" spans="7:8" x14ac:dyDescent="0.25">
      <c r="G41" s="5">
        <v>0.62</v>
      </c>
      <c r="H41" s="5">
        <v>0.7</v>
      </c>
    </row>
    <row r="42" spans="7:8" x14ac:dyDescent="0.25">
      <c r="G42" s="5">
        <v>0</v>
      </c>
      <c r="H42" s="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851D-D04D-438B-AC0F-E6086E99EE0D}">
  <sheetPr>
    <tabColor rgb="FF0000FF"/>
  </sheetPr>
  <dimension ref="A1:K56"/>
  <sheetViews>
    <sheetView zoomScale="130" zoomScaleNormal="130" workbookViewId="0"/>
  </sheetViews>
  <sheetFormatPr defaultColWidth="8.85546875" defaultRowHeight="15" x14ac:dyDescent="0.25"/>
  <cols>
    <col min="1" max="1" width="0.85546875" customWidth="1"/>
    <col min="2" max="2" width="20.7109375" bestFit="1" customWidth="1"/>
    <col min="3" max="5" width="11.42578125" customWidth="1"/>
    <col min="6" max="6" width="3.7109375" customWidth="1"/>
    <col min="7" max="7" width="12.42578125" customWidth="1"/>
    <col min="8" max="8" width="11.42578125" customWidth="1"/>
  </cols>
  <sheetData>
    <row r="1" spans="1:11" ht="5.25" customHeight="1" x14ac:dyDescent="0.25">
      <c r="A1" s="74"/>
    </row>
    <row r="2" spans="1:11" x14ac:dyDescent="0.25">
      <c r="B2" s="4" t="s">
        <v>649</v>
      </c>
    </row>
    <row r="3" spans="1:11" x14ac:dyDescent="0.25">
      <c r="B3" s="260" t="s">
        <v>673</v>
      </c>
    </row>
    <row r="4" spans="1:11" x14ac:dyDescent="0.25">
      <c r="B4" t="s">
        <v>640</v>
      </c>
    </row>
    <row r="6" spans="1:11" ht="30" x14ac:dyDescent="0.25">
      <c r="B6" s="6" t="s">
        <v>87</v>
      </c>
      <c r="C6" s="6" t="s">
        <v>98</v>
      </c>
      <c r="D6" s="124" t="s">
        <v>517</v>
      </c>
      <c r="E6" s="124" t="s">
        <v>517</v>
      </c>
      <c r="G6" s="6" t="s">
        <v>98</v>
      </c>
      <c r="H6" s="124" t="s">
        <v>517</v>
      </c>
      <c r="K6" s="4" t="str">
        <f>"Formula in cell "&amp;ADDRESS(ROW(D7),COLUMN(D7),4)&amp;":"</f>
        <v>Formula in cell D7:</v>
      </c>
    </row>
    <row r="7" spans="1:11" x14ac:dyDescent="0.25">
      <c r="B7" s="5" t="s">
        <v>467</v>
      </c>
      <c r="C7" s="106">
        <v>338922</v>
      </c>
      <c r="D7" s="7"/>
      <c r="E7" s="7"/>
      <c r="G7" s="35">
        <v>0</v>
      </c>
      <c r="H7" s="35">
        <v>0</v>
      </c>
      <c r="K7" t="str">
        <f ca="1">_xlfn.IFNA(_xlfn.FORMULATEXT(D7),"")</f>
        <v/>
      </c>
    </row>
    <row r="8" spans="1:11" x14ac:dyDescent="0.25">
      <c r="B8" s="5" t="s">
        <v>468</v>
      </c>
      <c r="C8" s="106">
        <v>230965</v>
      </c>
      <c r="D8" s="7"/>
      <c r="E8" s="7"/>
      <c r="G8" s="35">
        <v>125000</v>
      </c>
      <c r="H8" s="35">
        <v>750</v>
      </c>
      <c r="K8" t="str">
        <f>IF(_xlfn.ISFORMULA(D7),"Formula spills down.","")</f>
        <v/>
      </c>
    </row>
    <row r="9" spans="1:11" x14ac:dyDescent="0.25">
      <c r="B9" s="5" t="s">
        <v>469</v>
      </c>
      <c r="C9" s="106">
        <v>210205</v>
      </c>
      <c r="D9" s="7"/>
      <c r="E9" s="7"/>
      <c r="G9" s="35">
        <v>175000</v>
      </c>
      <c r="H9" s="35">
        <v>1250</v>
      </c>
    </row>
    <row r="10" spans="1:11" x14ac:dyDescent="0.25">
      <c r="B10" s="5" t="s">
        <v>470</v>
      </c>
      <c r="C10" s="106">
        <v>221499</v>
      </c>
      <c r="D10" s="7"/>
      <c r="E10" s="7"/>
      <c r="G10" s="35">
        <v>225000</v>
      </c>
      <c r="H10" s="35">
        <v>2000</v>
      </c>
      <c r="K10" s="4" t="str">
        <f>"Formula in cell "&amp;ADDRESS(ROW(E7),COLUMN(E7),4)&amp;":"</f>
        <v>Formula in cell E7:</v>
      </c>
    </row>
    <row r="11" spans="1:11" x14ac:dyDescent="0.25">
      <c r="B11" s="5" t="s">
        <v>471</v>
      </c>
      <c r="C11" s="106">
        <v>215074</v>
      </c>
      <c r="D11" s="7"/>
      <c r="E11" s="7"/>
      <c r="G11" s="35">
        <v>275000</v>
      </c>
      <c r="H11" s="35">
        <v>3000</v>
      </c>
      <c r="K11" t="str">
        <f ca="1">_xlfn.IFNA(_xlfn.FORMULATEXT(E7),"")</f>
        <v/>
      </c>
    </row>
    <row r="12" spans="1:11" x14ac:dyDescent="0.25">
      <c r="B12" s="5" t="s">
        <v>472</v>
      </c>
      <c r="C12" s="106">
        <v>131933</v>
      </c>
      <c r="D12" s="7"/>
      <c r="E12" s="7"/>
      <c r="G12" s="35">
        <v>325000</v>
      </c>
      <c r="H12" s="35">
        <v>3750</v>
      </c>
      <c r="K12" t="str">
        <f>IF(_xlfn.ISFORMULA(E7),"Formula spills down.","")</f>
        <v/>
      </c>
    </row>
    <row r="13" spans="1:11" x14ac:dyDescent="0.25">
      <c r="B13" s="5" t="s">
        <v>473</v>
      </c>
      <c r="C13" s="106">
        <v>197045</v>
      </c>
      <c r="D13" s="7"/>
      <c r="E13" s="7"/>
    </row>
    <row r="14" spans="1:11" x14ac:dyDescent="0.25">
      <c r="B14" s="5" t="s">
        <v>474</v>
      </c>
      <c r="C14" s="106">
        <v>145586</v>
      </c>
      <c r="D14" s="7"/>
      <c r="E14" s="7"/>
    </row>
    <row r="15" spans="1:11" x14ac:dyDescent="0.25">
      <c r="B15" s="5" t="s">
        <v>475</v>
      </c>
      <c r="C15" s="106">
        <v>127485</v>
      </c>
      <c r="D15" s="7"/>
      <c r="E15" s="7"/>
    </row>
    <row r="16" spans="1:11" x14ac:dyDescent="0.25">
      <c r="B16" s="5" t="s">
        <v>476</v>
      </c>
      <c r="C16" s="106">
        <v>129849</v>
      </c>
      <c r="D16" s="7"/>
      <c r="E16" s="7"/>
    </row>
    <row r="17" spans="2:5" x14ac:dyDescent="0.25">
      <c r="B17" s="5" t="s">
        <v>477</v>
      </c>
      <c r="C17" s="106">
        <v>243443</v>
      </c>
      <c r="D17" s="7"/>
      <c r="E17" s="7"/>
    </row>
    <row r="18" spans="2:5" x14ac:dyDescent="0.25">
      <c r="B18" s="5" t="s">
        <v>478</v>
      </c>
      <c r="C18" s="106">
        <v>332738</v>
      </c>
      <c r="D18" s="7"/>
      <c r="E18" s="7"/>
    </row>
    <row r="19" spans="2:5" x14ac:dyDescent="0.25">
      <c r="B19" s="5" t="s">
        <v>479</v>
      </c>
      <c r="C19" s="106">
        <v>133377</v>
      </c>
      <c r="D19" s="7"/>
      <c r="E19" s="7"/>
    </row>
    <row r="20" spans="2:5" x14ac:dyDescent="0.25">
      <c r="B20" s="5" t="s">
        <v>480</v>
      </c>
      <c r="C20" s="106">
        <v>166646</v>
      </c>
      <c r="D20" s="7"/>
      <c r="E20" s="7"/>
    </row>
    <row r="21" spans="2:5" x14ac:dyDescent="0.25">
      <c r="B21" s="5" t="s">
        <v>481</v>
      </c>
      <c r="C21" s="106">
        <v>135315</v>
      </c>
      <c r="D21" s="7"/>
      <c r="E21" s="7"/>
    </row>
    <row r="22" spans="2:5" x14ac:dyDescent="0.25">
      <c r="B22" s="5" t="s">
        <v>482</v>
      </c>
      <c r="C22" s="106">
        <v>166457</v>
      </c>
      <c r="D22" s="7"/>
      <c r="E22" s="7"/>
    </row>
    <row r="23" spans="2:5" x14ac:dyDescent="0.25">
      <c r="B23" s="5" t="s">
        <v>483</v>
      </c>
      <c r="C23" s="106">
        <v>252302</v>
      </c>
      <c r="D23" s="7"/>
      <c r="E23" s="7"/>
    </row>
    <row r="24" spans="2:5" x14ac:dyDescent="0.25">
      <c r="B24" s="5" t="s">
        <v>484</v>
      </c>
      <c r="C24" s="106">
        <v>203481</v>
      </c>
      <c r="D24" s="7"/>
      <c r="E24" s="7"/>
    </row>
    <row r="25" spans="2:5" x14ac:dyDescent="0.25">
      <c r="B25" s="5" t="s">
        <v>485</v>
      </c>
      <c r="C25" s="106">
        <v>320568</v>
      </c>
      <c r="D25" s="7"/>
      <c r="E25" s="7"/>
    </row>
    <row r="26" spans="2:5" x14ac:dyDescent="0.25">
      <c r="B26" s="5" t="s">
        <v>486</v>
      </c>
      <c r="C26" s="106">
        <v>104880</v>
      </c>
      <c r="D26" s="7"/>
      <c r="E26" s="7"/>
    </row>
    <row r="27" spans="2:5" x14ac:dyDescent="0.25">
      <c r="B27" s="5" t="s">
        <v>487</v>
      </c>
      <c r="C27" s="106">
        <v>256265</v>
      </c>
      <c r="D27" s="7"/>
      <c r="E27" s="7"/>
    </row>
    <row r="28" spans="2:5" x14ac:dyDescent="0.25">
      <c r="B28" s="5" t="s">
        <v>488</v>
      </c>
      <c r="C28" s="106">
        <v>345739</v>
      </c>
      <c r="D28" s="7"/>
      <c r="E28" s="7"/>
    </row>
    <row r="29" spans="2:5" x14ac:dyDescent="0.25">
      <c r="B29" s="5" t="s">
        <v>489</v>
      </c>
      <c r="C29" s="106">
        <v>335257</v>
      </c>
      <c r="D29" s="7"/>
      <c r="E29" s="7"/>
    </row>
    <row r="30" spans="2:5" x14ac:dyDescent="0.25">
      <c r="B30" s="5" t="s">
        <v>490</v>
      </c>
      <c r="C30" s="106">
        <v>241899</v>
      </c>
      <c r="D30" s="7"/>
      <c r="E30" s="7"/>
    </row>
    <row r="31" spans="2:5" x14ac:dyDescent="0.25">
      <c r="B31" s="5" t="s">
        <v>491</v>
      </c>
      <c r="C31" s="106">
        <v>270807</v>
      </c>
      <c r="D31" s="7"/>
      <c r="E31" s="7"/>
    </row>
    <row r="32" spans="2:5" x14ac:dyDescent="0.25">
      <c r="B32" s="5" t="s">
        <v>492</v>
      </c>
      <c r="C32" s="106">
        <v>303942</v>
      </c>
      <c r="D32" s="7"/>
      <c r="E32" s="7"/>
    </row>
    <row r="33" spans="2:5" x14ac:dyDescent="0.25">
      <c r="B33" s="5" t="s">
        <v>493</v>
      </c>
      <c r="C33" s="106">
        <v>285297</v>
      </c>
      <c r="D33" s="7"/>
      <c r="E33" s="7"/>
    </row>
    <row r="34" spans="2:5" x14ac:dyDescent="0.25">
      <c r="B34" s="5" t="s">
        <v>494</v>
      </c>
      <c r="C34" s="106">
        <v>232707</v>
      </c>
      <c r="D34" s="7"/>
      <c r="E34" s="7"/>
    </row>
    <row r="35" spans="2:5" x14ac:dyDescent="0.25">
      <c r="B35" s="5" t="s">
        <v>495</v>
      </c>
      <c r="C35" s="106">
        <v>194567</v>
      </c>
      <c r="D35" s="7"/>
      <c r="E35" s="7"/>
    </row>
    <row r="36" spans="2:5" x14ac:dyDescent="0.25">
      <c r="B36" s="5" t="s">
        <v>496</v>
      </c>
      <c r="C36" s="106">
        <v>220643</v>
      </c>
      <c r="D36" s="7"/>
      <c r="E36" s="7"/>
    </row>
    <row r="37" spans="2:5" x14ac:dyDescent="0.25">
      <c r="B37" s="5" t="s">
        <v>497</v>
      </c>
      <c r="C37" s="106">
        <v>214056</v>
      </c>
      <c r="D37" s="7"/>
      <c r="E37" s="7"/>
    </row>
    <row r="38" spans="2:5" x14ac:dyDescent="0.25">
      <c r="B38" s="5" t="s">
        <v>498</v>
      </c>
      <c r="C38" s="106">
        <v>255475</v>
      </c>
      <c r="D38" s="7"/>
      <c r="E38" s="7"/>
    </row>
    <row r="39" spans="2:5" x14ac:dyDescent="0.25">
      <c r="B39" s="5" t="s">
        <v>499</v>
      </c>
      <c r="C39" s="106">
        <v>119668</v>
      </c>
      <c r="D39" s="7"/>
      <c r="E39" s="7"/>
    </row>
    <row r="40" spans="2:5" x14ac:dyDescent="0.25">
      <c r="B40" s="5" t="s">
        <v>500</v>
      </c>
      <c r="C40" s="106">
        <v>162139</v>
      </c>
      <c r="D40" s="7"/>
      <c r="E40" s="7"/>
    </row>
    <row r="41" spans="2:5" x14ac:dyDescent="0.25">
      <c r="B41" s="5" t="s">
        <v>501</v>
      </c>
      <c r="C41" s="106">
        <v>118109</v>
      </c>
      <c r="D41" s="7"/>
      <c r="E41" s="7"/>
    </row>
    <row r="42" spans="2:5" x14ac:dyDescent="0.25">
      <c r="B42" s="5" t="s">
        <v>502</v>
      </c>
      <c r="C42" s="106">
        <v>348634</v>
      </c>
      <c r="D42" s="7"/>
      <c r="E42" s="7"/>
    </row>
    <row r="43" spans="2:5" x14ac:dyDescent="0.25">
      <c r="B43" s="5" t="s">
        <v>503</v>
      </c>
      <c r="C43" s="106">
        <v>102540</v>
      </c>
      <c r="D43" s="7"/>
      <c r="E43" s="7"/>
    </row>
    <row r="44" spans="2:5" x14ac:dyDescent="0.25">
      <c r="B44" s="5" t="s">
        <v>504</v>
      </c>
      <c r="C44" s="106">
        <v>132372</v>
      </c>
      <c r="D44" s="7"/>
      <c r="E44" s="7"/>
    </row>
    <row r="45" spans="2:5" x14ac:dyDescent="0.25">
      <c r="B45" s="5" t="s">
        <v>505</v>
      </c>
      <c r="C45" s="106">
        <v>146861</v>
      </c>
      <c r="D45" s="7"/>
      <c r="E45" s="7"/>
    </row>
    <row r="46" spans="2:5" x14ac:dyDescent="0.25">
      <c r="B46" s="5" t="s">
        <v>506</v>
      </c>
      <c r="C46" s="106">
        <v>341909</v>
      </c>
      <c r="D46" s="7"/>
      <c r="E46" s="7"/>
    </row>
    <row r="47" spans="2:5" x14ac:dyDescent="0.25">
      <c r="B47" s="5" t="s">
        <v>507</v>
      </c>
      <c r="C47" s="106">
        <v>336782</v>
      </c>
      <c r="D47" s="7"/>
      <c r="E47" s="7"/>
    </row>
    <row r="48" spans="2:5" x14ac:dyDescent="0.25">
      <c r="B48" s="5" t="s">
        <v>508</v>
      </c>
      <c r="C48" s="106">
        <v>178736</v>
      </c>
      <c r="D48" s="7"/>
      <c r="E48" s="7"/>
    </row>
    <row r="49" spans="2:5" x14ac:dyDescent="0.25">
      <c r="B49" s="5" t="s">
        <v>509</v>
      </c>
      <c r="C49" s="106">
        <v>101658</v>
      </c>
      <c r="D49" s="7"/>
      <c r="E49" s="7"/>
    </row>
    <row r="50" spans="2:5" x14ac:dyDescent="0.25">
      <c r="B50" s="5" t="s">
        <v>510</v>
      </c>
      <c r="C50" s="106">
        <v>318570</v>
      </c>
      <c r="D50" s="7"/>
      <c r="E50" s="7"/>
    </row>
    <row r="51" spans="2:5" x14ac:dyDescent="0.25">
      <c r="B51" s="5" t="s">
        <v>511</v>
      </c>
      <c r="C51" s="106">
        <v>253992</v>
      </c>
      <c r="D51" s="7"/>
      <c r="E51" s="7"/>
    </row>
    <row r="52" spans="2:5" x14ac:dyDescent="0.25">
      <c r="B52" s="5" t="s">
        <v>512</v>
      </c>
      <c r="C52" s="106">
        <v>154237</v>
      </c>
      <c r="D52" s="7"/>
      <c r="E52" s="7"/>
    </row>
    <row r="53" spans="2:5" x14ac:dyDescent="0.25">
      <c r="B53" s="5" t="s">
        <v>513</v>
      </c>
      <c r="C53" s="106">
        <v>239926</v>
      </c>
      <c r="D53" s="7"/>
      <c r="E53" s="7"/>
    </row>
    <row r="54" spans="2:5" x14ac:dyDescent="0.25">
      <c r="B54" s="5" t="s">
        <v>514</v>
      </c>
      <c r="C54" s="106">
        <v>342890</v>
      </c>
      <c r="D54" s="7"/>
      <c r="E54" s="7"/>
    </row>
    <row r="55" spans="2:5" x14ac:dyDescent="0.25">
      <c r="B55" s="5" t="s">
        <v>515</v>
      </c>
      <c r="C55" s="106">
        <v>309112</v>
      </c>
      <c r="D55" s="7"/>
      <c r="E55" s="7"/>
    </row>
    <row r="56" spans="2:5" x14ac:dyDescent="0.25">
      <c r="B56" s="5" t="s">
        <v>516</v>
      </c>
      <c r="C56" s="106">
        <v>158108</v>
      </c>
      <c r="D56" s="7"/>
      <c r="E56" s="7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85FF-1D36-409C-AAA2-5078178A51A9}">
  <sheetPr>
    <tabColor rgb="FFFF0000"/>
  </sheetPr>
  <dimension ref="A1:K56"/>
  <sheetViews>
    <sheetView zoomScale="130" zoomScaleNormal="130" workbookViewId="0"/>
  </sheetViews>
  <sheetFormatPr defaultColWidth="8.85546875" defaultRowHeight="15" x14ac:dyDescent="0.25"/>
  <cols>
    <col min="1" max="1" width="0.85546875" customWidth="1"/>
    <col min="2" max="2" width="20.7109375" bestFit="1" customWidth="1"/>
    <col min="3" max="5" width="11.42578125" customWidth="1"/>
    <col min="6" max="6" width="3.7109375" customWidth="1"/>
    <col min="7" max="7" width="12.42578125" customWidth="1"/>
    <col min="8" max="8" width="11.42578125" customWidth="1"/>
  </cols>
  <sheetData>
    <row r="1" spans="1:11" ht="5.25" customHeight="1" x14ac:dyDescent="0.25">
      <c r="A1" s="74"/>
    </row>
    <row r="2" spans="1:11" x14ac:dyDescent="0.25">
      <c r="B2" s="4" t="s">
        <v>650</v>
      </c>
    </row>
    <row r="3" spans="1:11" x14ac:dyDescent="0.25">
      <c r="B3" s="261" t="s">
        <v>673</v>
      </c>
    </row>
    <row r="4" spans="1:11" x14ac:dyDescent="0.25">
      <c r="B4" t="s">
        <v>640</v>
      </c>
    </row>
    <row r="6" spans="1:11" ht="30" x14ac:dyDescent="0.25">
      <c r="B6" s="6" t="s">
        <v>87</v>
      </c>
      <c r="C6" s="6" t="s">
        <v>98</v>
      </c>
      <c r="D6" s="124" t="s">
        <v>517</v>
      </c>
      <c r="E6" s="124" t="s">
        <v>517</v>
      </c>
      <c r="G6" s="6" t="s">
        <v>98</v>
      </c>
      <c r="H6" s="124" t="s">
        <v>517</v>
      </c>
      <c r="K6" s="4" t="str">
        <f>"Formula in cell "&amp;ADDRESS(ROW(D7),COLUMN(D7),4)&amp;":"</f>
        <v>Formula in cell D7:</v>
      </c>
    </row>
    <row r="7" spans="1:11" x14ac:dyDescent="0.25">
      <c r="B7" s="5" t="s">
        <v>467</v>
      </c>
      <c r="C7" s="106">
        <v>338922</v>
      </c>
      <c r="D7" s="7" cm="1">
        <f t="array" ref="D7:D56">_xlfn.XLOOKUP(C7:C56,G7:G12,H7:H12,0,-1)</f>
        <v>3750</v>
      </c>
      <c r="E7" s="7" cm="1">
        <f t="array" ref="E7:E56">LOOKUP(C7:C56,G7:H12)</f>
        <v>3750</v>
      </c>
      <c r="G7" s="35">
        <v>0</v>
      </c>
      <c r="H7" s="35">
        <v>0</v>
      </c>
      <c r="K7" t="str">
        <f ca="1">_xlfn.IFNA(_xlfn.FORMULATEXT(D7),"")</f>
        <v>=XLOOKUP(C7:C56,G7:G12,H7:H12,0,-1)</v>
      </c>
    </row>
    <row r="8" spans="1:11" x14ac:dyDescent="0.25">
      <c r="B8" s="5" t="s">
        <v>468</v>
      </c>
      <c r="C8" s="106">
        <v>230965</v>
      </c>
      <c r="D8" s="7">
        <v>2000</v>
      </c>
      <c r="E8" s="7">
        <v>2000</v>
      </c>
      <c r="G8" s="35">
        <v>125000</v>
      </c>
      <c r="H8" s="35">
        <v>750</v>
      </c>
      <c r="K8" t="str">
        <f>IF(_xlfn.ISFORMULA(D7),"Formula spills down.","")</f>
        <v>Formula spills down.</v>
      </c>
    </row>
    <row r="9" spans="1:11" x14ac:dyDescent="0.25">
      <c r="B9" s="5" t="s">
        <v>469</v>
      </c>
      <c r="C9" s="106">
        <v>210205</v>
      </c>
      <c r="D9" s="7">
        <v>1250</v>
      </c>
      <c r="E9" s="7">
        <v>1250</v>
      </c>
      <c r="G9" s="35">
        <v>175000</v>
      </c>
      <c r="H9" s="35">
        <v>1250</v>
      </c>
    </row>
    <row r="10" spans="1:11" x14ac:dyDescent="0.25">
      <c r="B10" s="5" t="s">
        <v>470</v>
      </c>
      <c r="C10" s="106">
        <v>221499</v>
      </c>
      <c r="D10" s="7">
        <v>1250</v>
      </c>
      <c r="E10" s="7">
        <v>1250</v>
      </c>
      <c r="G10" s="35">
        <v>225000</v>
      </c>
      <c r="H10" s="35">
        <v>2000</v>
      </c>
      <c r="K10" s="4" t="str">
        <f>"Formula in cell "&amp;ADDRESS(ROW(E7),COLUMN(E7),4)&amp;":"</f>
        <v>Formula in cell E7:</v>
      </c>
    </row>
    <row r="11" spans="1:11" x14ac:dyDescent="0.25">
      <c r="B11" s="5" t="s">
        <v>471</v>
      </c>
      <c r="C11" s="106">
        <v>215074</v>
      </c>
      <c r="D11" s="7">
        <v>1250</v>
      </c>
      <c r="E11" s="7">
        <v>1250</v>
      </c>
      <c r="G11" s="35">
        <v>275000</v>
      </c>
      <c r="H11" s="35">
        <v>3000</v>
      </c>
      <c r="K11" t="str">
        <f ca="1">_xlfn.IFNA(_xlfn.FORMULATEXT(E7),"")</f>
        <v>=LOOKUP(C7:C56,G7:H12)</v>
      </c>
    </row>
    <row r="12" spans="1:11" x14ac:dyDescent="0.25">
      <c r="B12" s="5" t="s">
        <v>472</v>
      </c>
      <c r="C12" s="106">
        <v>131933</v>
      </c>
      <c r="D12" s="7">
        <v>750</v>
      </c>
      <c r="E12" s="7">
        <v>750</v>
      </c>
      <c r="G12" s="35">
        <v>325000</v>
      </c>
      <c r="H12" s="35">
        <v>3750</v>
      </c>
      <c r="K12" t="str">
        <f>IF(_xlfn.ISFORMULA(E7),"Formula spills down.","")</f>
        <v>Formula spills down.</v>
      </c>
    </row>
    <row r="13" spans="1:11" x14ac:dyDescent="0.25">
      <c r="B13" s="5" t="s">
        <v>473</v>
      </c>
      <c r="C13" s="106">
        <v>197045</v>
      </c>
      <c r="D13" s="7">
        <v>1250</v>
      </c>
      <c r="E13" s="7">
        <v>1250</v>
      </c>
    </row>
    <row r="14" spans="1:11" x14ac:dyDescent="0.25">
      <c r="B14" s="5" t="s">
        <v>474</v>
      </c>
      <c r="C14" s="106">
        <v>145586</v>
      </c>
      <c r="D14" s="7">
        <v>750</v>
      </c>
      <c r="E14" s="7">
        <v>750</v>
      </c>
    </row>
    <row r="15" spans="1:11" x14ac:dyDescent="0.25">
      <c r="B15" s="5" t="s">
        <v>475</v>
      </c>
      <c r="C15" s="106">
        <v>127485</v>
      </c>
      <c r="D15" s="7">
        <v>750</v>
      </c>
      <c r="E15" s="7">
        <v>750</v>
      </c>
    </row>
    <row r="16" spans="1:11" x14ac:dyDescent="0.25">
      <c r="B16" s="5" t="s">
        <v>476</v>
      </c>
      <c r="C16" s="106">
        <v>129849</v>
      </c>
      <c r="D16" s="7">
        <v>750</v>
      </c>
      <c r="E16" s="7">
        <v>750</v>
      </c>
    </row>
    <row r="17" spans="2:5" x14ac:dyDescent="0.25">
      <c r="B17" s="5" t="s">
        <v>477</v>
      </c>
      <c r="C17" s="106">
        <v>243443</v>
      </c>
      <c r="D17" s="7">
        <v>2000</v>
      </c>
      <c r="E17" s="7">
        <v>2000</v>
      </c>
    </row>
    <row r="18" spans="2:5" x14ac:dyDescent="0.25">
      <c r="B18" s="5" t="s">
        <v>478</v>
      </c>
      <c r="C18" s="106">
        <v>332738</v>
      </c>
      <c r="D18" s="7">
        <v>3750</v>
      </c>
      <c r="E18" s="7">
        <v>3750</v>
      </c>
    </row>
    <row r="19" spans="2:5" x14ac:dyDescent="0.25">
      <c r="B19" s="5" t="s">
        <v>479</v>
      </c>
      <c r="C19" s="106">
        <v>133377</v>
      </c>
      <c r="D19" s="7">
        <v>750</v>
      </c>
      <c r="E19" s="7">
        <v>750</v>
      </c>
    </row>
    <row r="20" spans="2:5" x14ac:dyDescent="0.25">
      <c r="B20" s="5" t="s">
        <v>480</v>
      </c>
      <c r="C20" s="106">
        <v>166646</v>
      </c>
      <c r="D20" s="7">
        <v>750</v>
      </c>
      <c r="E20" s="7">
        <v>750</v>
      </c>
    </row>
    <row r="21" spans="2:5" x14ac:dyDescent="0.25">
      <c r="B21" s="5" t="s">
        <v>481</v>
      </c>
      <c r="C21" s="106">
        <v>135315</v>
      </c>
      <c r="D21" s="7">
        <v>750</v>
      </c>
      <c r="E21" s="7">
        <v>750</v>
      </c>
    </row>
    <row r="22" spans="2:5" x14ac:dyDescent="0.25">
      <c r="B22" s="5" t="s">
        <v>482</v>
      </c>
      <c r="C22" s="106">
        <v>166457</v>
      </c>
      <c r="D22" s="7">
        <v>750</v>
      </c>
      <c r="E22" s="7">
        <v>750</v>
      </c>
    </row>
    <row r="23" spans="2:5" x14ac:dyDescent="0.25">
      <c r="B23" s="5" t="s">
        <v>483</v>
      </c>
      <c r="C23" s="106">
        <v>252302</v>
      </c>
      <c r="D23" s="7">
        <v>2000</v>
      </c>
      <c r="E23" s="7">
        <v>2000</v>
      </c>
    </row>
    <row r="24" spans="2:5" x14ac:dyDescent="0.25">
      <c r="B24" s="5" t="s">
        <v>484</v>
      </c>
      <c r="C24" s="106">
        <v>203481</v>
      </c>
      <c r="D24" s="7">
        <v>1250</v>
      </c>
      <c r="E24" s="7">
        <v>1250</v>
      </c>
    </row>
    <row r="25" spans="2:5" x14ac:dyDescent="0.25">
      <c r="B25" s="5" t="s">
        <v>485</v>
      </c>
      <c r="C25" s="106">
        <v>320568</v>
      </c>
      <c r="D25" s="7">
        <v>3000</v>
      </c>
      <c r="E25" s="7">
        <v>3000</v>
      </c>
    </row>
    <row r="26" spans="2:5" x14ac:dyDescent="0.25">
      <c r="B26" s="5" t="s">
        <v>486</v>
      </c>
      <c r="C26" s="106">
        <v>104880</v>
      </c>
      <c r="D26" s="7">
        <v>0</v>
      </c>
      <c r="E26" s="7">
        <v>0</v>
      </c>
    </row>
    <row r="27" spans="2:5" x14ac:dyDescent="0.25">
      <c r="B27" s="5" t="s">
        <v>487</v>
      </c>
      <c r="C27" s="106">
        <v>256265</v>
      </c>
      <c r="D27" s="7">
        <v>2000</v>
      </c>
      <c r="E27" s="7">
        <v>2000</v>
      </c>
    </row>
    <row r="28" spans="2:5" x14ac:dyDescent="0.25">
      <c r="B28" s="5" t="s">
        <v>488</v>
      </c>
      <c r="C28" s="106">
        <v>345739</v>
      </c>
      <c r="D28" s="7">
        <v>3750</v>
      </c>
      <c r="E28" s="7">
        <v>3750</v>
      </c>
    </row>
    <row r="29" spans="2:5" x14ac:dyDescent="0.25">
      <c r="B29" s="5" t="s">
        <v>489</v>
      </c>
      <c r="C29" s="106">
        <v>335257</v>
      </c>
      <c r="D29" s="7">
        <v>3750</v>
      </c>
      <c r="E29" s="7">
        <v>3750</v>
      </c>
    </row>
    <row r="30" spans="2:5" x14ac:dyDescent="0.25">
      <c r="B30" s="5" t="s">
        <v>490</v>
      </c>
      <c r="C30" s="106">
        <v>241899</v>
      </c>
      <c r="D30" s="7">
        <v>2000</v>
      </c>
      <c r="E30" s="7">
        <v>2000</v>
      </c>
    </row>
    <row r="31" spans="2:5" x14ac:dyDescent="0.25">
      <c r="B31" s="5" t="s">
        <v>491</v>
      </c>
      <c r="C31" s="106">
        <v>270807</v>
      </c>
      <c r="D31" s="7">
        <v>2000</v>
      </c>
      <c r="E31" s="7">
        <v>2000</v>
      </c>
    </row>
    <row r="32" spans="2:5" x14ac:dyDescent="0.25">
      <c r="B32" s="5" t="s">
        <v>492</v>
      </c>
      <c r="C32" s="106">
        <v>303942</v>
      </c>
      <c r="D32" s="7">
        <v>3000</v>
      </c>
      <c r="E32" s="7">
        <v>3000</v>
      </c>
    </row>
    <row r="33" spans="2:5" x14ac:dyDescent="0.25">
      <c r="B33" s="5" t="s">
        <v>493</v>
      </c>
      <c r="C33" s="106">
        <v>285297</v>
      </c>
      <c r="D33" s="7">
        <v>3000</v>
      </c>
      <c r="E33" s="7">
        <v>3000</v>
      </c>
    </row>
    <row r="34" spans="2:5" x14ac:dyDescent="0.25">
      <c r="B34" s="5" t="s">
        <v>494</v>
      </c>
      <c r="C34" s="106">
        <v>232707</v>
      </c>
      <c r="D34" s="7">
        <v>2000</v>
      </c>
      <c r="E34" s="7">
        <v>2000</v>
      </c>
    </row>
    <row r="35" spans="2:5" x14ac:dyDescent="0.25">
      <c r="B35" s="5" t="s">
        <v>495</v>
      </c>
      <c r="C35" s="106">
        <v>194567</v>
      </c>
      <c r="D35" s="7">
        <v>1250</v>
      </c>
      <c r="E35" s="7">
        <v>1250</v>
      </c>
    </row>
    <row r="36" spans="2:5" x14ac:dyDescent="0.25">
      <c r="B36" s="5" t="s">
        <v>496</v>
      </c>
      <c r="C36" s="106">
        <v>220643</v>
      </c>
      <c r="D36" s="7">
        <v>1250</v>
      </c>
      <c r="E36" s="7">
        <v>1250</v>
      </c>
    </row>
    <row r="37" spans="2:5" x14ac:dyDescent="0.25">
      <c r="B37" s="5" t="s">
        <v>497</v>
      </c>
      <c r="C37" s="106">
        <v>214056</v>
      </c>
      <c r="D37" s="7">
        <v>1250</v>
      </c>
      <c r="E37" s="7">
        <v>1250</v>
      </c>
    </row>
    <row r="38" spans="2:5" x14ac:dyDescent="0.25">
      <c r="B38" s="5" t="s">
        <v>498</v>
      </c>
      <c r="C38" s="106">
        <v>255475</v>
      </c>
      <c r="D38" s="7">
        <v>2000</v>
      </c>
      <c r="E38" s="7">
        <v>2000</v>
      </c>
    </row>
    <row r="39" spans="2:5" x14ac:dyDescent="0.25">
      <c r="B39" s="5" t="s">
        <v>499</v>
      </c>
      <c r="C39" s="106">
        <v>119668</v>
      </c>
      <c r="D39" s="7">
        <v>0</v>
      </c>
      <c r="E39" s="7">
        <v>0</v>
      </c>
    </row>
    <row r="40" spans="2:5" x14ac:dyDescent="0.25">
      <c r="B40" s="5" t="s">
        <v>500</v>
      </c>
      <c r="C40" s="106">
        <v>162139</v>
      </c>
      <c r="D40" s="7">
        <v>750</v>
      </c>
      <c r="E40" s="7">
        <v>750</v>
      </c>
    </row>
    <row r="41" spans="2:5" x14ac:dyDescent="0.25">
      <c r="B41" s="5" t="s">
        <v>501</v>
      </c>
      <c r="C41" s="106">
        <v>118109</v>
      </c>
      <c r="D41" s="7">
        <v>0</v>
      </c>
      <c r="E41" s="7">
        <v>0</v>
      </c>
    </row>
    <row r="42" spans="2:5" x14ac:dyDescent="0.25">
      <c r="B42" s="5" t="s">
        <v>502</v>
      </c>
      <c r="C42" s="106">
        <v>348634</v>
      </c>
      <c r="D42" s="7">
        <v>3750</v>
      </c>
      <c r="E42" s="7">
        <v>3750</v>
      </c>
    </row>
    <row r="43" spans="2:5" x14ac:dyDescent="0.25">
      <c r="B43" s="5" t="s">
        <v>503</v>
      </c>
      <c r="C43" s="106">
        <v>102540</v>
      </c>
      <c r="D43" s="7">
        <v>0</v>
      </c>
      <c r="E43" s="7">
        <v>0</v>
      </c>
    </row>
    <row r="44" spans="2:5" x14ac:dyDescent="0.25">
      <c r="B44" s="5" t="s">
        <v>504</v>
      </c>
      <c r="C44" s="106">
        <v>132372</v>
      </c>
      <c r="D44" s="7">
        <v>750</v>
      </c>
      <c r="E44" s="7">
        <v>750</v>
      </c>
    </row>
    <row r="45" spans="2:5" x14ac:dyDescent="0.25">
      <c r="B45" s="5" t="s">
        <v>505</v>
      </c>
      <c r="C45" s="106">
        <v>146861</v>
      </c>
      <c r="D45" s="7">
        <v>750</v>
      </c>
      <c r="E45" s="7">
        <v>750</v>
      </c>
    </row>
    <row r="46" spans="2:5" x14ac:dyDescent="0.25">
      <c r="B46" s="5" t="s">
        <v>506</v>
      </c>
      <c r="C46" s="106">
        <v>341909</v>
      </c>
      <c r="D46" s="7">
        <v>3750</v>
      </c>
      <c r="E46" s="7">
        <v>3750</v>
      </c>
    </row>
    <row r="47" spans="2:5" x14ac:dyDescent="0.25">
      <c r="B47" s="5" t="s">
        <v>507</v>
      </c>
      <c r="C47" s="106">
        <v>336782</v>
      </c>
      <c r="D47" s="7">
        <v>3750</v>
      </c>
      <c r="E47" s="7">
        <v>3750</v>
      </c>
    </row>
    <row r="48" spans="2:5" x14ac:dyDescent="0.25">
      <c r="B48" s="5" t="s">
        <v>508</v>
      </c>
      <c r="C48" s="106">
        <v>178736</v>
      </c>
      <c r="D48" s="7">
        <v>1250</v>
      </c>
      <c r="E48" s="7">
        <v>1250</v>
      </c>
    </row>
    <row r="49" spans="2:5" x14ac:dyDescent="0.25">
      <c r="B49" s="5" t="s">
        <v>509</v>
      </c>
      <c r="C49" s="106">
        <v>101658</v>
      </c>
      <c r="D49" s="7">
        <v>0</v>
      </c>
      <c r="E49" s="7">
        <v>0</v>
      </c>
    </row>
    <row r="50" spans="2:5" x14ac:dyDescent="0.25">
      <c r="B50" s="5" t="s">
        <v>510</v>
      </c>
      <c r="C50" s="106">
        <v>318570</v>
      </c>
      <c r="D50" s="7">
        <v>3000</v>
      </c>
      <c r="E50" s="7">
        <v>3000</v>
      </c>
    </row>
    <row r="51" spans="2:5" x14ac:dyDescent="0.25">
      <c r="B51" s="5" t="s">
        <v>511</v>
      </c>
      <c r="C51" s="106">
        <v>253992</v>
      </c>
      <c r="D51" s="7">
        <v>2000</v>
      </c>
      <c r="E51" s="7">
        <v>2000</v>
      </c>
    </row>
    <row r="52" spans="2:5" x14ac:dyDescent="0.25">
      <c r="B52" s="5" t="s">
        <v>512</v>
      </c>
      <c r="C52" s="106">
        <v>154237</v>
      </c>
      <c r="D52" s="7">
        <v>750</v>
      </c>
      <c r="E52" s="7">
        <v>750</v>
      </c>
    </row>
    <row r="53" spans="2:5" x14ac:dyDescent="0.25">
      <c r="B53" s="5" t="s">
        <v>513</v>
      </c>
      <c r="C53" s="106">
        <v>239926</v>
      </c>
      <c r="D53" s="7">
        <v>2000</v>
      </c>
      <c r="E53" s="7">
        <v>2000</v>
      </c>
    </row>
    <row r="54" spans="2:5" x14ac:dyDescent="0.25">
      <c r="B54" s="5" t="s">
        <v>514</v>
      </c>
      <c r="C54" s="106">
        <v>342890</v>
      </c>
      <c r="D54" s="7">
        <v>3750</v>
      </c>
      <c r="E54" s="7">
        <v>3750</v>
      </c>
    </row>
    <row r="55" spans="2:5" x14ac:dyDescent="0.25">
      <c r="B55" s="5" t="s">
        <v>515</v>
      </c>
      <c r="C55" s="106">
        <v>309112</v>
      </c>
      <c r="D55" s="7">
        <v>3000</v>
      </c>
      <c r="E55" s="7">
        <v>3000</v>
      </c>
    </row>
    <row r="56" spans="2:5" x14ac:dyDescent="0.25">
      <c r="B56" s="5" t="s">
        <v>516</v>
      </c>
      <c r="C56" s="106">
        <v>158108</v>
      </c>
      <c r="D56" s="7">
        <v>750</v>
      </c>
      <c r="E56" s="7">
        <v>750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A6F1-7DCC-4E82-9320-3A25F28A63AE}">
  <sheetPr>
    <tabColor rgb="FF0000FF"/>
  </sheetPr>
  <dimension ref="A1:H12"/>
  <sheetViews>
    <sheetView zoomScale="130" zoomScaleNormal="130" workbookViewId="0"/>
  </sheetViews>
  <sheetFormatPr defaultColWidth="8.85546875" defaultRowHeight="15" x14ac:dyDescent="0.25"/>
  <cols>
    <col min="1" max="1" width="0.85546875" customWidth="1"/>
    <col min="2" max="2" width="20.7109375" bestFit="1" customWidth="1"/>
    <col min="3" max="3" width="18" bestFit="1" customWidth="1"/>
    <col min="4" max="4" width="3.42578125" customWidth="1"/>
    <col min="5" max="5" width="12.42578125" customWidth="1"/>
    <col min="6" max="6" width="18" bestFit="1" customWidth="1"/>
    <col min="7" max="7" width="3.42578125" customWidth="1"/>
  </cols>
  <sheetData>
    <row r="1" spans="1:8" ht="4.5" customHeight="1" x14ac:dyDescent="0.25">
      <c r="A1" s="74"/>
    </row>
    <row r="2" spans="1:8" x14ac:dyDescent="0.25">
      <c r="B2" s="4" t="s">
        <v>641</v>
      </c>
    </row>
    <row r="3" spans="1:8" ht="4.5" customHeight="1" x14ac:dyDescent="0.25"/>
    <row r="4" spans="1:8" x14ac:dyDescent="0.25">
      <c r="B4" s="125" t="s">
        <v>519</v>
      </c>
      <c r="C4" s="5">
        <v>414</v>
      </c>
      <c r="E4" s="6" t="s">
        <v>519</v>
      </c>
      <c r="F4" s="6" t="s">
        <v>518</v>
      </c>
      <c r="H4" s="4"/>
    </row>
    <row r="5" spans="1:8" x14ac:dyDescent="0.25">
      <c r="B5" s="6" t="s">
        <v>520</v>
      </c>
      <c r="C5" s="7"/>
      <c r="E5" s="37">
        <v>0</v>
      </c>
      <c r="F5" s="37">
        <v>6</v>
      </c>
    </row>
    <row r="6" spans="1:8" x14ac:dyDescent="0.25">
      <c r="E6" s="37">
        <v>5</v>
      </c>
      <c r="F6" s="37">
        <v>8</v>
      </c>
    </row>
    <row r="7" spans="1:8" x14ac:dyDescent="0.25">
      <c r="B7" t="s">
        <v>642</v>
      </c>
      <c r="E7" s="37">
        <v>20</v>
      </c>
      <c r="F7" s="37">
        <v>12</v>
      </c>
    </row>
    <row r="8" spans="1:8" x14ac:dyDescent="0.25">
      <c r="E8" s="37">
        <v>100</v>
      </c>
      <c r="F8" s="37">
        <v>14</v>
      </c>
    </row>
    <row r="9" spans="1:8" x14ac:dyDescent="0.25">
      <c r="E9" s="37">
        <v>200</v>
      </c>
      <c r="F9" s="37">
        <v>16</v>
      </c>
    </row>
    <row r="10" spans="1:8" x14ac:dyDescent="0.25">
      <c r="E10" s="37">
        <v>300</v>
      </c>
      <c r="F10" s="37">
        <v>20</v>
      </c>
    </row>
    <row r="11" spans="1:8" x14ac:dyDescent="0.25">
      <c r="E11" s="242">
        <v>500</v>
      </c>
      <c r="F11" s="5">
        <v>25</v>
      </c>
    </row>
    <row r="12" spans="1:8" x14ac:dyDescent="0.25">
      <c r="E12" s="242">
        <v>700</v>
      </c>
      <c r="F12" s="5">
        <v>30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FD1C-ED8F-4862-BA98-5002339985DE}">
  <sheetPr>
    <tabColor rgb="FFFF0000"/>
  </sheetPr>
  <dimension ref="A1:I12"/>
  <sheetViews>
    <sheetView zoomScale="130" zoomScaleNormal="130" workbookViewId="0"/>
  </sheetViews>
  <sheetFormatPr defaultColWidth="8.85546875" defaultRowHeight="15" x14ac:dyDescent="0.25"/>
  <cols>
    <col min="1" max="1" width="0.85546875" customWidth="1"/>
    <col min="2" max="2" width="20.7109375" bestFit="1" customWidth="1"/>
    <col min="3" max="3" width="18" bestFit="1" customWidth="1"/>
    <col min="4" max="4" width="3.42578125" customWidth="1"/>
    <col min="5" max="5" width="12.42578125" customWidth="1"/>
    <col min="6" max="6" width="18" bestFit="1" customWidth="1"/>
    <col min="7" max="7" width="3.42578125" customWidth="1"/>
  </cols>
  <sheetData>
    <row r="1" spans="1:9" ht="4.5" customHeight="1" x14ac:dyDescent="0.25">
      <c r="A1" s="74"/>
    </row>
    <row r="2" spans="1:9" x14ac:dyDescent="0.25">
      <c r="B2" s="4" t="s">
        <v>641</v>
      </c>
    </row>
    <row r="3" spans="1:9" ht="4.5" customHeight="1" x14ac:dyDescent="0.25"/>
    <row r="4" spans="1:9" x14ac:dyDescent="0.25">
      <c r="B4" s="125" t="s">
        <v>519</v>
      </c>
      <c r="C4" s="5">
        <v>414</v>
      </c>
      <c r="E4" s="6" t="s">
        <v>519</v>
      </c>
      <c r="F4" s="6" t="s">
        <v>518</v>
      </c>
      <c r="H4" s="4"/>
      <c r="I4" s="4" t="str">
        <f>"Formula in cell "&amp;ADDRESS(ROW(C5),COLUMN(C5),4)&amp;":"</f>
        <v>Formula in cell C5:</v>
      </c>
    </row>
    <row r="5" spans="1:9" x14ac:dyDescent="0.25">
      <c r="B5" s="6" t="s">
        <v>520</v>
      </c>
      <c r="C5" s="7">
        <f>_xlfn.XLOOKUP(C4,E5:E12,F5:F12,"Enter # Bigger than 0",1)</f>
        <v>25</v>
      </c>
      <c r="E5" s="37">
        <v>0</v>
      </c>
      <c r="F5" s="37">
        <v>6</v>
      </c>
      <c r="I5" t="str">
        <f ca="1">_xlfn.IFNA(_xlfn.FORMULATEXT(C5),"")</f>
        <v>=XLOOKUP(C4,E5:E12,F5:F12,"Enter # Bigger than 0",1)</v>
      </c>
    </row>
    <row r="6" spans="1:9" x14ac:dyDescent="0.25">
      <c r="E6" s="37">
        <v>5</v>
      </c>
      <c r="F6" s="37">
        <v>8</v>
      </c>
      <c r="I6" t="str">
        <f>IF(_xlfn.ISFORMULA(B5),"Formula spills down.","")</f>
        <v/>
      </c>
    </row>
    <row r="7" spans="1:9" x14ac:dyDescent="0.25">
      <c r="B7" t="s">
        <v>642</v>
      </c>
      <c r="E7" s="37">
        <v>20</v>
      </c>
      <c r="F7" s="37">
        <v>12</v>
      </c>
    </row>
    <row r="8" spans="1:9" x14ac:dyDescent="0.25">
      <c r="E8" s="37">
        <v>100</v>
      </c>
      <c r="F8" s="37">
        <v>14</v>
      </c>
    </row>
    <row r="9" spans="1:9" x14ac:dyDescent="0.25">
      <c r="E9" s="37">
        <v>200</v>
      </c>
      <c r="F9" s="37">
        <v>16</v>
      </c>
    </row>
    <row r="10" spans="1:9" x14ac:dyDescent="0.25">
      <c r="E10" s="37">
        <v>300</v>
      </c>
      <c r="F10" s="37">
        <v>20</v>
      </c>
    </row>
    <row r="11" spans="1:9" x14ac:dyDescent="0.25">
      <c r="E11" s="242">
        <v>500</v>
      </c>
      <c r="F11" s="5">
        <v>25</v>
      </c>
    </row>
    <row r="12" spans="1:9" x14ac:dyDescent="0.25">
      <c r="E12" s="242">
        <v>700</v>
      </c>
      <c r="F12" s="5">
        <v>30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065E-3520-4D21-8AF7-235819BBDA41}">
  <sheetPr>
    <tabColor rgb="FF0000FF"/>
  </sheetPr>
  <dimension ref="A1:R30"/>
  <sheetViews>
    <sheetView zoomScale="130" zoomScaleNormal="130" workbookViewId="0"/>
  </sheetViews>
  <sheetFormatPr defaultColWidth="8.85546875" defaultRowHeight="15" x14ac:dyDescent="0.25"/>
  <cols>
    <col min="1" max="1" width="0.85546875" customWidth="1"/>
    <col min="2" max="2" width="12.42578125" customWidth="1"/>
    <col min="3" max="3" width="13.28515625" customWidth="1"/>
    <col min="4" max="4" width="1.85546875" customWidth="1"/>
    <col min="5" max="6" width="4.28515625" bestFit="1" customWidth="1"/>
    <col min="7" max="7" width="4.42578125" bestFit="1" customWidth="1"/>
    <col min="8" max="8" width="4.28515625" bestFit="1" customWidth="1"/>
    <col min="9" max="9" width="4.7109375" bestFit="1" customWidth="1"/>
    <col min="10" max="11" width="4.28515625" bestFit="1" customWidth="1"/>
    <col min="12" max="12" width="4.42578125" bestFit="1" customWidth="1"/>
    <col min="13" max="14" width="4.28515625" bestFit="1" customWidth="1"/>
    <col min="15" max="15" width="4.42578125" bestFit="1" customWidth="1"/>
    <col min="16" max="16" width="4.28515625" bestFit="1" customWidth="1"/>
  </cols>
  <sheetData>
    <row r="1" spans="1:18" ht="4.5" customHeight="1" x14ac:dyDescent="0.25">
      <c r="A1" s="74"/>
    </row>
    <row r="2" spans="1:18" x14ac:dyDescent="0.25">
      <c r="B2" s="4" t="s">
        <v>521</v>
      </c>
    </row>
    <row r="3" spans="1:18" ht="4.5" customHeight="1" x14ac:dyDescent="0.25"/>
    <row r="4" spans="1:18" x14ac:dyDescent="0.25">
      <c r="B4" s="125" t="s">
        <v>643</v>
      </c>
      <c r="C4" s="5" t="s">
        <v>526</v>
      </c>
      <c r="E4" s="4" t="s">
        <v>645</v>
      </c>
      <c r="R4" s="4" t="str">
        <f>"Formula in cell "&amp;ADDRESS(ROW(C5),COLUMN(C5),4)&amp;":"</f>
        <v>Formula in cell C5:</v>
      </c>
    </row>
    <row r="5" spans="1:18" x14ac:dyDescent="0.25">
      <c r="B5" s="6" t="s">
        <v>644</v>
      </c>
      <c r="C5" s="7"/>
      <c r="R5" t="str">
        <f ca="1">_xlfn.IFNA(_xlfn.FORMULATEXT(C5),"")</f>
        <v/>
      </c>
    </row>
    <row r="6" spans="1:18" x14ac:dyDescent="0.25">
      <c r="E6" s="243" t="s">
        <v>522</v>
      </c>
      <c r="F6" s="243" t="s">
        <v>523</v>
      </c>
      <c r="G6" s="243" t="s">
        <v>187</v>
      </c>
      <c r="H6" s="243" t="s">
        <v>188</v>
      </c>
      <c r="I6" s="243" t="s">
        <v>189</v>
      </c>
      <c r="J6" s="243" t="s">
        <v>190</v>
      </c>
      <c r="K6" s="243" t="s">
        <v>191</v>
      </c>
      <c r="L6" s="243" t="s">
        <v>210</v>
      </c>
      <c r="M6" s="243" t="s">
        <v>211</v>
      </c>
      <c r="N6" s="243" t="s">
        <v>524</v>
      </c>
      <c r="O6" s="243" t="s">
        <v>525</v>
      </c>
      <c r="P6" s="243" t="s">
        <v>526</v>
      </c>
    </row>
    <row r="7" spans="1:18" x14ac:dyDescent="0.25">
      <c r="E7" s="244">
        <v>145</v>
      </c>
      <c r="F7" s="244">
        <v>23</v>
      </c>
      <c r="G7" s="16">
        <v>133</v>
      </c>
      <c r="H7" s="16">
        <v>163</v>
      </c>
      <c r="I7" s="16">
        <v>164</v>
      </c>
      <c r="J7" s="16">
        <v>112</v>
      </c>
      <c r="K7" s="16">
        <v>161</v>
      </c>
      <c r="L7" s="16">
        <v>93</v>
      </c>
      <c r="M7" s="16">
        <v>125</v>
      </c>
      <c r="N7" s="16">
        <v>115</v>
      </c>
      <c r="O7" s="16">
        <v>51</v>
      </c>
      <c r="P7" s="16">
        <v>86</v>
      </c>
    </row>
    <row r="8" spans="1:18" x14ac:dyDescent="0.25">
      <c r="E8" s="244">
        <v>117</v>
      </c>
      <c r="F8" s="244">
        <v>51</v>
      </c>
      <c r="G8" s="16">
        <v>76</v>
      </c>
      <c r="H8" s="16">
        <v>161</v>
      </c>
      <c r="I8" s="16">
        <v>123</v>
      </c>
      <c r="J8" s="16">
        <v>95</v>
      </c>
      <c r="K8" s="16">
        <v>21</v>
      </c>
      <c r="L8" s="16">
        <v>107</v>
      </c>
      <c r="M8" s="16">
        <v>131</v>
      </c>
      <c r="N8" s="16">
        <v>56</v>
      </c>
      <c r="O8" s="16">
        <v>111</v>
      </c>
      <c r="P8" s="16">
        <v>84</v>
      </c>
    </row>
    <row r="9" spans="1:18" x14ac:dyDescent="0.25">
      <c r="E9" s="244">
        <v>160</v>
      </c>
      <c r="F9" s="244">
        <v>40</v>
      </c>
      <c r="G9" s="16">
        <v>123</v>
      </c>
      <c r="H9" s="16">
        <v>131</v>
      </c>
      <c r="I9" s="16">
        <v>50</v>
      </c>
      <c r="J9" s="16">
        <v>144</v>
      </c>
      <c r="K9" s="16">
        <v>103</v>
      </c>
      <c r="L9" s="16">
        <v>84</v>
      </c>
      <c r="M9" s="16">
        <v>13</v>
      </c>
      <c r="N9" s="16">
        <v>48</v>
      </c>
      <c r="O9" s="16">
        <v>121</v>
      </c>
      <c r="P9" s="16">
        <v>89</v>
      </c>
    </row>
    <row r="10" spans="1:18" x14ac:dyDescent="0.25">
      <c r="E10" s="244">
        <v>88</v>
      </c>
      <c r="F10" s="244">
        <v>66</v>
      </c>
      <c r="G10" s="16">
        <v>52</v>
      </c>
      <c r="H10" s="16">
        <v>148</v>
      </c>
      <c r="I10" s="16">
        <v>44</v>
      </c>
      <c r="J10" s="16">
        <v>151</v>
      </c>
      <c r="K10" s="16">
        <v>139</v>
      </c>
      <c r="L10" s="16">
        <v>70</v>
      </c>
      <c r="M10" s="16">
        <v>106</v>
      </c>
      <c r="N10" s="16">
        <v>101</v>
      </c>
      <c r="O10" s="16">
        <v>161</v>
      </c>
      <c r="P10" s="16">
        <v>94</v>
      </c>
    </row>
    <row r="11" spans="1:18" x14ac:dyDescent="0.25">
      <c r="E11" s="244">
        <v>69</v>
      </c>
      <c r="F11" s="244">
        <v>88</v>
      </c>
      <c r="G11" s="16">
        <v>135</v>
      </c>
      <c r="H11" s="16">
        <v>23</v>
      </c>
      <c r="I11" s="16">
        <v>151</v>
      </c>
      <c r="J11" s="16">
        <v>140</v>
      </c>
      <c r="K11" s="16">
        <v>19</v>
      </c>
      <c r="L11" s="16">
        <v>49</v>
      </c>
      <c r="M11" s="16">
        <v>169</v>
      </c>
      <c r="N11" s="16">
        <v>103</v>
      </c>
      <c r="O11" s="16">
        <v>100</v>
      </c>
      <c r="P11" s="16">
        <v>55</v>
      </c>
    </row>
    <row r="12" spans="1:18" x14ac:dyDescent="0.25">
      <c r="E12" s="244">
        <v>88</v>
      </c>
      <c r="F12" s="244">
        <v>74</v>
      </c>
      <c r="G12" s="16">
        <v>83</v>
      </c>
      <c r="H12" s="16">
        <v>129</v>
      </c>
      <c r="I12" s="16">
        <v>91</v>
      </c>
      <c r="J12" s="16">
        <v>146</v>
      </c>
      <c r="K12" s="16">
        <v>30</v>
      </c>
      <c r="L12" s="16">
        <v>129</v>
      </c>
      <c r="M12" s="16">
        <v>137</v>
      </c>
      <c r="N12" s="16">
        <v>21</v>
      </c>
      <c r="O12" s="16">
        <v>146</v>
      </c>
      <c r="P12" s="16">
        <v>40</v>
      </c>
    </row>
    <row r="13" spans="1:18" x14ac:dyDescent="0.25">
      <c r="E13" s="245">
        <v>93</v>
      </c>
      <c r="F13" s="16">
        <v>87</v>
      </c>
      <c r="G13" s="16">
        <v>161</v>
      </c>
      <c r="H13" s="16">
        <v>168</v>
      </c>
      <c r="I13" s="16">
        <v>97</v>
      </c>
      <c r="J13" s="16">
        <v>158</v>
      </c>
      <c r="K13" s="16">
        <v>16</v>
      </c>
      <c r="L13" s="16">
        <v>8</v>
      </c>
      <c r="M13" s="16">
        <v>137</v>
      </c>
      <c r="N13" s="16">
        <v>125</v>
      </c>
      <c r="O13" s="16">
        <v>133</v>
      </c>
      <c r="P13" s="16">
        <v>28</v>
      </c>
    </row>
    <row r="14" spans="1:18" x14ac:dyDescent="0.25">
      <c r="E14" s="245">
        <v>84</v>
      </c>
      <c r="F14" s="16">
        <v>147</v>
      </c>
      <c r="G14" s="16">
        <v>107</v>
      </c>
      <c r="H14" s="16">
        <v>141</v>
      </c>
      <c r="I14" s="16">
        <v>18</v>
      </c>
      <c r="J14" s="16">
        <v>126</v>
      </c>
      <c r="K14" s="16">
        <v>129</v>
      </c>
      <c r="L14" s="16">
        <v>64</v>
      </c>
      <c r="M14" s="16">
        <v>159</v>
      </c>
      <c r="N14" s="16">
        <v>122</v>
      </c>
      <c r="O14" s="16">
        <v>85</v>
      </c>
      <c r="P14" s="16">
        <v>92</v>
      </c>
    </row>
    <row r="15" spans="1:18" x14ac:dyDescent="0.25">
      <c r="E15" s="16">
        <v>64</v>
      </c>
      <c r="F15" s="16">
        <v>47</v>
      </c>
      <c r="G15" s="16">
        <v>129</v>
      </c>
      <c r="H15" s="16">
        <v>24</v>
      </c>
      <c r="I15" s="16">
        <v>138</v>
      </c>
      <c r="J15" s="16">
        <v>153</v>
      </c>
      <c r="K15" s="16">
        <v>105</v>
      </c>
      <c r="L15" s="16">
        <v>94</v>
      </c>
      <c r="M15" s="16">
        <v>45</v>
      </c>
      <c r="N15" s="16">
        <v>64</v>
      </c>
      <c r="O15" s="16">
        <v>37</v>
      </c>
      <c r="P15" s="16">
        <v>139</v>
      </c>
    </row>
    <row r="16" spans="1:18" x14ac:dyDescent="0.25">
      <c r="E16" s="16">
        <v>15</v>
      </c>
      <c r="F16" s="16">
        <v>56</v>
      </c>
      <c r="G16" s="16">
        <v>119</v>
      </c>
      <c r="H16" s="16">
        <v>135</v>
      </c>
      <c r="I16" s="16">
        <v>143</v>
      </c>
      <c r="J16" s="16">
        <v>76</v>
      </c>
      <c r="K16" s="16">
        <v>127</v>
      </c>
      <c r="L16" s="16">
        <v>129</v>
      </c>
      <c r="M16" s="16">
        <v>161</v>
      </c>
      <c r="N16" s="16">
        <v>109</v>
      </c>
      <c r="O16" s="16">
        <v>109</v>
      </c>
      <c r="P16" s="16">
        <v>16</v>
      </c>
    </row>
    <row r="17" spans="5:16" x14ac:dyDescent="0.25">
      <c r="E17" s="16">
        <v>166</v>
      </c>
      <c r="F17" s="16">
        <v>135</v>
      </c>
      <c r="G17" s="16">
        <v>10</v>
      </c>
      <c r="H17" s="16">
        <v>123</v>
      </c>
      <c r="I17" s="16">
        <v>28</v>
      </c>
      <c r="J17" s="16">
        <v>115</v>
      </c>
      <c r="K17" s="16">
        <v>129</v>
      </c>
      <c r="L17" s="16">
        <v>25</v>
      </c>
      <c r="M17" s="16">
        <v>127</v>
      </c>
      <c r="N17" s="16">
        <v>109</v>
      </c>
      <c r="O17" s="16">
        <v>67</v>
      </c>
      <c r="P17" s="16">
        <v>24</v>
      </c>
    </row>
    <row r="18" spans="5:16" x14ac:dyDescent="0.25">
      <c r="E18" s="16">
        <v>109</v>
      </c>
      <c r="F18" s="16">
        <v>106</v>
      </c>
      <c r="G18" s="16">
        <v>128</v>
      </c>
      <c r="H18" s="16">
        <v>66</v>
      </c>
      <c r="I18" s="16">
        <v>99</v>
      </c>
      <c r="J18" s="16">
        <v>68</v>
      </c>
      <c r="K18" s="16">
        <v>41</v>
      </c>
      <c r="L18" s="16">
        <v>85</v>
      </c>
      <c r="M18" s="16">
        <v>15</v>
      </c>
      <c r="N18" s="16">
        <v>44</v>
      </c>
      <c r="O18" s="16">
        <v>35</v>
      </c>
      <c r="P18" s="16">
        <v>53</v>
      </c>
    </row>
    <row r="19" spans="5:16" x14ac:dyDescent="0.25">
      <c r="E19" s="16">
        <v>122</v>
      </c>
      <c r="F19" s="16">
        <v>112</v>
      </c>
      <c r="G19" s="16">
        <v>79</v>
      </c>
      <c r="H19" s="16">
        <v>63</v>
      </c>
      <c r="I19" s="16">
        <v>105</v>
      </c>
      <c r="J19" s="16">
        <v>114</v>
      </c>
      <c r="K19" s="16">
        <v>52</v>
      </c>
      <c r="L19" s="16">
        <v>143</v>
      </c>
      <c r="M19" s="16">
        <v>48</v>
      </c>
      <c r="N19" s="16">
        <v>75</v>
      </c>
      <c r="O19" s="16">
        <v>40</v>
      </c>
      <c r="P19" s="16">
        <v>53</v>
      </c>
    </row>
    <row r="20" spans="5:16" x14ac:dyDescent="0.25">
      <c r="E20" s="16">
        <v>156</v>
      </c>
      <c r="F20" s="16">
        <v>142</v>
      </c>
      <c r="G20" s="16">
        <v>134</v>
      </c>
      <c r="H20" s="16">
        <v>126</v>
      </c>
      <c r="I20" s="16">
        <v>85</v>
      </c>
      <c r="J20" s="16">
        <v>33</v>
      </c>
      <c r="K20" s="16">
        <v>44</v>
      </c>
      <c r="L20" s="16">
        <v>117</v>
      </c>
      <c r="M20" s="16">
        <v>56</v>
      </c>
      <c r="N20" s="16">
        <v>67</v>
      </c>
      <c r="O20" s="16">
        <v>95</v>
      </c>
      <c r="P20" s="16">
        <v>37</v>
      </c>
    </row>
    <row r="21" spans="5:16" x14ac:dyDescent="0.25">
      <c r="E21" s="16">
        <v>54</v>
      </c>
      <c r="F21" s="16">
        <v>44</v>
      </c>
      <c r="G21" s="16">
        <v>99</v>
      </c>
      <c r="H21" s="16">
        <v>87</v>
      </c>
      <c r="I21" s="16">
        <v>31</v>
      </c>
      <c r="J21" s="16">
        <v>100</v>
      </c>
      <c r="K21" s="16">
        <v>84</v>
      </c>
      <c r="L21" s="16">
        <v>75</v>
      </c>
      <c r="M21" s="16">
        <v>144</v>
      </c>
      <c r="N21" s="16">
        <v>92</v>
      </c>
      <c r="O21" s="16">
        <v>54</v>
      </c>
      <c r="P21" s="16">
        <v>12</v>
      </c>
    </row>
    <row r="22" spans="5:16" x14ac:dyDescent="0.25">
      <c r="E22" s="16">
        <v>154</v>
      </c>
      <c r="F22" s="16">
        <v>16</v>
      </c>
      <c r="G22" s="16">
        <v>74</v>
      </c>
      <c r="H22" s="16">
        <v>13</v>
      </c>
      <c r="I22" s="16">
        <v>166</v>
      </c>
      <c r="J22" s="16">
        <v>86</v>
      </c>
      <c r="K22" s="16">
        <v>156</v>
      </c>
      <c r="L22" s="16">
        <v>53</v>
      </c>
      <c r="M22" s="16">
        <v>76</v>
      </c>
      <c r="N22" s="16">
        <v>119</v>
      </c>
      <c r="O22" s="16">
        <v>17</v>
      </c>
      <c r="P22" s="16">
        <v>48</v>
      </c>
    </row>
    <row r="23" spans="5:16" x14ac:dyDescent="0.25">
      <c r="E23" s="16">
        <v>89</v>
      </c>
      <c r="F23" s="16">
        <v>99</v>
      </c>
      <c r="G23" s="16">
        <v>70</v>
      </c>
      <c r="H23" s="16">
        <v>159</v>
      </c>
      <c r="I23" s="16">
        <v>106</v>
      </c>
      <c r="J23" s="16">
        <v>65</v>
      </c>
      <c r="K23" s="16">
        <v>107</v>
      </c>
      <c r="L23" s="16">
        <v>91</v>
      </c>
      <c r="M23" s="16">
        <v>50</v>
      </c>
      <c r="N23" s="16">
        <v>26</v>
      </c>
      <c r="O23" s="16">
        <v>165</v>
      </c>
      <c r="P23" s="16">
        <v>39</v>
      </c>
    </row>
    <row r="24" spans="5:16" x14ac:dyDescent="0.25">
      <c r="E24" s="16">
        <v>90</v>
      </c>
      <c r="F24" s="16">
        <v>93</v>
      </c>
      <c r="G24" s="16">
        <v>57</v>
      </c>
      <c r="H24" s="16">
        <v>104</v>
      </c>
      <c r="I24" s="16">
        <v>139</v>
      </c>
      <c r="J24" s="16">
        <v>95</v>
      </c>
      <c r="K24" s="16">
        <v>163</v>
      </c>
      <c r="L24" s="16">
        <v>119</v>
      </c>
      <c r="M24" s="16">
        <v>26</v>
      </c>
      <c r="N24" s="16">
        <v>99</v>
      </c>
      <c r="O24" s="16">
        <v>24</v>
      </c>
      <c r="P24" s="16">
        <v>12</v>
      </c>
    </row>
    <row r="25" spans="5:16" x14ac:dyDescent="0.25">
      <c r="E25" s="16">
        <v>50</v>
      </c>
      <c r="F25" s="16">
        <v>143</v>
      </c>
      <c r="G25" s="16">
        <v>52</v>
      </c>
      <c r="H25" s="16">
        <v>152</v>
      </c>
      <c r="I25" s="16">
        <v>84</v>
      </c>
      <c r="J25" s="16">
        <v>129</v>
      </c>
      <c r="K25" s="16">
        <v>141</v>
      </c>
      <c r="L25" s="16">
        <v>35</v>
      </c>
      <c r="M25" s="16">
        <v>145</v>
      </c>
      <c r="N25" s="16">
        <v>11</v>
      </c>
      <c r="O25" s="16">
        <v>144</v>
      </c>
      <c r="P25" s="16">
        <v>28</v>
      </c>
    </row>
    <row r="26" spans="5:16" x14ac:dyDescent="0.25">
      <c r="E26" s="16">
        <v>104</v>
      </c>
      <c r="F26" s="16">
        <v>26</v>
      </c>
      <c r="G26" s="16">
        <v>154</v>
      </c>
      <c r="H26" s="16">
        <v>98</v>
      </c>
      <c r="I26" s="16">
        <v>59</v>
      </c>
      <c r="J26" s="16">
        <v>125</v>
      </c>
      <c r="K26" s="16">
        <v>144</v>
      </c>
      <c r="L26" s="16">
        <v>4</v>
      </c>
      <c r="M26" s="16">
        <v>147</v>
      </c>
      <c r="N26" s="16">
        <v>59</v>
      </c>
      <c r="O26" s="16">
        <v>105</v>
      </c>
      <c r="P26" s="16">
        <v>30</v>
      </c>
    </row>
    <row r="27" spans="5:16" x14ac:dyDescent="0.25">
      <c r="E27" s="16">
        <v>111</v>
      </c>
      <c r="F27" s="16">
        <v>62</v>
      </c>
      <c r="G27" s="16">
        <v>58</v>
      </c>
      <c r="H27" s="16">
        <v>24</v>
      </c>
      <c r="I27" s="16">
        <v>42</v>
      </c>
      <c r="J27" s="16">
        <v>138</v>
      </c>
      <c r="K27" s="16">
        <v>147</v>
      </c>
      <c r="L27" s="16">
        <v>58</v>
      </c>
      <c r="M27" s="16">
        <v>83</v>
      </c>
      <c r="N27" s="16">
        <v>54</v>
      </c>
      <c r="O27" s="16">
        <v>63</v>
      </c>
      <c r="P27" s="16">
        <v>14</v>
      </c>
    </row>
    <row r="28" spans="5:16" x14ac:dyDescent="0.25">
      <c r="E28" s="16">
        <v>100</v>
      </c>
      <c r="F28" s="16">
        <v>104</v>
      </c>
      <c r="G28" s="16">
        <v>115</v>
      </c>
      <c r="H28" s="16">
        <v>20</v>
      </c>
      <c r="I28" s="16">
        <v>128</v>
      </c>
      <c r="J28" s="16">
        <v>71</v>
      </c>
      <c r="K28" s="16">
        <v>63</v>
      </c>
      <c r="L28" s="16">
        <v>22</v>
      </c>
      <c r="M28" s="16">
        <v>106</v>
      </c>
      <c r="N28" s="16">
        <v>41</v>
      </c>
      <c r="O28" s="16">
        <v>65</v>
      </c>
      <c r="P28" s="16">
        <v>18</v>
      </c>
    </row>
    <row r="29" spans="5:16" x14ac:dyDescent="0.25">
      <c r="E29" s="16">
        <v>215</v>
      </c>
      <c r="F29" s="16">
        <v>89</v>
      </c>
      <c r="G29" s="16">
        <v>113</v>
      </c>
      <c r="H29" s="16">
        <v>72</v>
      </c>
      <c r="I29" s="16">
        <v>168</v>
      </c>
      <c r="J29" s="16">
        <v>91</v>
      </c>
      <c r="K29" s="16">
        <v>22</v>
      </c>
      <c r="L29" s="16">
        <v>53</v>
      </c>
      <c r="M29" s="16">
        <v>132</v>
      </c>
      <c r="N29" s="16">
        <v>84</v>
      </c>
      <c r="O29" s="16">
        <v>127</v>
      </c>
      <c r="P29" s="16">
        <v>12</v>
      </c>
    </row>
    <row r="30" spans="5:16" x14ac:dyDescent="0.25">
      <c r="E30" s="16">
        <v>287</v>
      </c>
      <c r="F30" s="16">
        <v>105</v>
      </c>
      <c r="G30" s="16">
        <v>47</v>
      </c>
      <c r="H30" s="16">
        <v>123</v>
      </c>
      <c r="I30" s="16">
        <v>37</v>
      </c>
      <c r="J30" s="16">
        <v>73</v>
      </c>
      <c r="K30" s="16">
        <v>83</v>
      </c>
      <c r="L30" s="16">
        <v>10</v>
      </c>
      <c r="M30" s="16">
        <v>45</v>
      </c>
      <c r="N30" s="16">
        <v>97</v>
      </c>
      <c r="O30" s="16">
        <v>89</v>
      </c>
      <c r="P30" s="16">
        <v>21</v>
      </c>
    </row>
  </sheetData>
  <phoneticPr fontId="8" type="noConversion"/>
  <conditionalFormatting sqref="E7:P30">
    <cfRule type="expression" dxfId="32" priority="1">
      <formula>E7&lt;&gt;""</formula>
    </cfRule>
  </conditionalFormatting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89F3-E6B7-475E-A9C7-2A2166B5CFCD}">
  <sheetPr>
    <tabColor rgb="FFFF0000"/>
  </sheetPr>
  <dimension ref="A1:R30"/>
  <sheetViews>
    <sheetView zoomScale="130" zoomScaleNormal="130" workbookViewId="0"/>
  </sheetViews>
  <sheetFormatPr defaultColWidth="8.85546875" defaultRowHeight="15" x14ac:dyDescent="0.25"/>
  <cols>
    <col min="1" max="1" width="0.85546875" customWidth="1"/>
    <col min="2" max="2" width="12.42578125" customWidth="1"/>
    <col min="3" max="3" width="13.28515625" customWidth="1"/>
    <col min="4" max="4" width="1.85546875" customWidth="1"/>
    <col min="5" max="6" width="4.28515625" bestFit="1" customWidth="1"/>
    <col min="7" max="7" width="4.42578125" bestFit="1" customWidth="1"/>
    <col min="8" max="8" width="4.28515625" bestFit="1" customWidth="1"/>
    <col min="9" max="9" width="4.7109375" bestFit="1" customWidth="1"/>
    <col min="10" max="11" width="4.28515625" bestFit="1" customWidth="1"/>
    <col min="12" max="12" width="4.42578125" bestFit="1" customWidth="1"/>
    <col min="13" max="14" width="4.28515625" bestFit="1" customWidth="1"/>
    <col min="15" max="15" width="4.42578125" bestFit="1" customWidth="1"/>
    <col min="16" max="16" width="4.28515625" bestFit="1" customWidth="1"/>
  </cols>
  <sheetData>
    <row r="1" spans="1:18" ht="4.5" customHeight="1" x14ac:dyDescent="0.25">
      <c r="A1" s="74"/>
    </row>
    <row r="2" spans="1:18" x14ac:dyDescent="0.25">
      <c r="B2" s="4" t="s">
        <v>521</v>
      </c>
    </row>
    <row r="3" spans="1:18" ht="4.5" customHeight="1" x14ac:dyDescent="0.25"/>
    <row r="4" spans="1:18" x14ac:dyDescent="0.25">
      <c r="B4" s="125" t="s">
        <v>643</v>
      </c>
      <c r="C4" s="5" t="s">
        <v>526</v>
      </c>
      <c r="E4" s="259" t="s">
        <v>645</v>
      </c>
      <c r="R4" s="4" t="str">
        <f>"Formula in cell "&amp;ADDRESS(ROW(C5),COLUMN(C5),4)&amp;":"</f>
        <v>Formula in cell C5:</v>
      </c>
    </row>
    <row r="5" spans="1:18" x14ac:dyDescent="0.25">
      <c r="B5" s="6" t="s">
        <v>644</v>
      </c>
      <c r="C5" s="7">
        <f>SUM(_xlfn.XLOOKUP(C4,E6:P6,E7:P30))</f>
        <v>1124</v>
      </c>
      <c r="R5" t="str">
        <f ca="1">_xlfn.IFNA(_xlfn.FORMULATEXT(C5),"")</f>
        <v>=SUM(XLOOKUP(C4,E6:P6,E7:P30))</v>
      </c>
    </row>
    <row r="6" spans="1:18" x14ac:dyDescent="0.25">
      <c r="E6" s="243" t="s">
        <v>522</v>
      </c>
      <c r="F6" s="243" t="s">
        <v>523</v>
      </c>
      <c r="G6" s="243" t="s">
        <v>187</v>
      </c>
      <c r="H6" s="243" t="s">
        <v>188</v>
      </c>
      <c r="I6" s="243" t="s">
        <v>189</v>
      </c>
      <c r="J6" s="243" t="s">
        <v>190</v>
      </c>
      <c r="K6" s="243" t="s">
        <v>191</v>
      </c>
      <c r="L6" s="243" t="s">
        <v>210</v>
      </c>
      <c r="M6" s="243" t="s">
        <v>211</v>
      </c>
      <c r="N6" s="243" t="s">
        <v>524</v>
      </c>
      <c r="O6" s="243" t="s">
        <v>525</v>
      </c>
      <c r="P6" s="243" t="s">
        <v>526</v>
      </c>
    </row>
    <row r="7" spans="1:18" x14ac:dyDescent="0.25">
      <c r="E7" s="244">
        <v>145</v>
      </c>
      <c r="F7" s="244">
        <v>23</v>
      </c>
      <c r="G7" s="16">
        <v>133</v>
      </c>
      <c r="H7" s="16">
        <v>163</v>
      </c>
      <c r="I7" s="16">
        <v>164</v>
      </c>
      <c r="J7" s="16">
        <v>112</v>
      </c>
      <c r="K7" s="16">
        <v>161</v>
      </c>
      <c r="L7" s="16">
        <v>93</v>
      </c>
      <c r="M7" s="16">
        <v>125</v>
      </c>
      <c r="N7" s="16">
        <v>115</v>
      </c>
      <c r="O7" s="16">
        <v>51</v>
      </c>
      <c r="P7" s="16">
        <v>86</v>
      </c>
    </row>
    <row r="8" spans="1:18" x14ac:dyDescent="0.25">
      <c r="E8" s="244">
        <v>117</v>
      </c>
      <c r="F8" s="244">
        <v>51</v>
      </c>
      <c r="G8" s="16">
        <v>76</v>
      </c>
      <c r="H8" s="16">
        <v>161</v>
      </c>
      <c r="I8" s="16">
        <v>123</v>
      </c>
      <c r="J8" s="16">
        <v>95</v>
      </c>
      <c r="K8" s="16">
        <v>21</v>
      </c>
      <c r="L8" s="16">
        <v>107</v>
      </c>
      <c r="M8" s="16">
        <v>131</v>
      </c>
      <c r="N8" s="16">
        <v>56</v>
      </c>
      <c r="O8" s="16">
        <v>111</v>
      </c>
      <c r="P8" s="16">
        <v>84</v>
      </c>
    </row>
    <row r="9" spans="1:18" x14ac:dyDescent="0.25">
      <c r="E9" s="244">
        <v>160</v>
      </c>
      <c r="F9" s="244">
        <v>40</v>
      </c>
      <c r="G9" s="16">
        <v>123</v>
      </c>
      <c r="H9" s="16">
        <v>131</v>
      </c>
      <c r="I9" s="16">
        <v>50</v>
      </c>
      <c r="J9" s="16">
        <v>144</v>
      </c>
      <c r="K9" s="16">
        <v>103</v>
      </c>
      <c r="L9" s="16">
        <v>84</v>
      </c>
      <c r="M9" s="16">
        <v>13</v>
      </c>
      <c r="N9" s="16">
        <v>48</v>
      </c>
      <c r="O9" s="16">
        <v>121</v>
      </c>
      <c r="P9" s="16">
        <v>89</v>
      </c>
    </row>
    <row r="10" spans="1:18" x14ac:dyDescent="0.25">
      <c r="E10" s="244">
        <v>88</v>
      </c>
      <c r="F10" s="244">
        <v>66</v>
      </c>
      <c r="G10" s="16">
        <v>52</v>
      </c>
      <c r="H10" s="16">
        <v>148</v>
      </c>
      <c r="I10" s="16">
        <v>44</v>
      </c>
      <c r="J10" s="16">
        <v>151</v>
      </c>
      <c r="K10" s="16">
        <v>139</v>
      </c>
      <c r="L10" s="16">
        <v>70</v>
      </c>
      <c r="M10" s="16">
        <v>106</v>
      </c>
      <c r="N10" s="16">
        <v>101</v>
      </c>
      <c r="O10" s="16">
        <v>161</v>
      </c>
      <c r="P10" s="16">
        <v>94</v>
      </c>
    </row>
    <row r="11" spans="1:18" x14ac:dyDescent="0.25">
      <c r="E11" s="244">
        <v>69</v>
      </c>
      <c r="F11" s="244">
        <v>88</v>
      </c>
      <c r="G11" s="16">
        <v>135</v>
      </c>
      <c r="H11" s="16">
        <v>23</v>
      </c>
      <c r="I11" s="16">
        <v>151</v>
      </c>
      <c r="J11" s="16">
        <v>140</v>
      </c>
      <c r="K11" s="16">
        <v>19</v>
      </c>
      <c r="L11" s="16">
        <v>49</v>
      </c>
      <c r="M11" s="16">
        <v>169</v>
      </c>
      <c r="N11" s="16">
        <v>103</v>
      </c>
      <c r="O11" s="16">
        <v>100</v>
      </c>
      <c r="P11" s="16">
        <v>55</v>
      </c>
    </row>
    <row r="12" spans="1:18" x14ac:dyDescent="0.25">
      <c r="E12" s="244">
        <v>88</v>
      </c>
      <c r="F12" s="244">
        <v>74</v>
      </c>
      <c r="G12" s="16">
        <v>83</v>
      </c>
      <c r="H12" s="16">
        <v>129</v>
      </c>
      <c r="I12" s="16">
        <v>91</v>
      </c>
      <c r="J12" s="16">
        <v>146</v>
      </c>
      <c r="K12" s="16">
        <v>30</v>
      </c>
      <c r="L12" s="16">
        <v>129</v>
      </c>
      <c r="M12" s="16">
        <v>137</v>
      </c>
      <c r="N12" s="16">
        <v>21</v>
      </c>
      <c r="O12" s="16">
        <v>146</v>
      </c>
      <c r="P12" s="16">
        <v>40</v>
      </c>
    </row>
    <row r="13" spans="1:18" x14ac:dyDescent="0.25">
      <c r="E13" s="245">
        <v>93</v>
      </c>
      <c r="F13" s="16">
        <v>87</v>
      </c>
      <c r="G13" s="16">
        <v>161</v>
      </c>
      <c r="H13" s="16">
        <v>168</v>
      </c>
      <c r="I13" s="16">
        <v>97</v>
      </c>
      <c r="J13" s="16">
        <v>158</v>
      </c>
      <c r="K13" s="16">
        <v>16</v>
      </c>
      <c r="L13" s="16">
        <v>8</v>
      </c>
      <c r="M13" s="16">
        <v>137</v>
      </c>
      <c r="N13" s="16">
        <v>125</v>
      </c>
      <c r="O13" s="16">
        <v>133</v>
      </c>
      <c r="P13" s="16">
        <v>28</v>
      </c>
    </row>
    <row r="14" spans="1:18" x14ac:dyDescent="0.25">
      <c r="E14" s="245">
        <v>84</v>
      </c>
      <c r="F14" s="16">
        <v>147</v>
      </c>
      <c r="G14" s="16">
        <v>107</v>
      </c>
      <c r="H14" s="16">
        <v>141</v>
      </c>
      <c r="I14" s="16">
        <v>18</v>
      </c>
      <c r="J14" s="16">
        <v>126</v>
      </c>
      <c r="K14" s="16">
        <v>129</v>
      </c>
      <c r="L14" s="16">
        <v>64</v>
      </c>
      <c r="M14" s="16">
        <v>159</v>
      </c>
      <c r="N14" s="16">
        <v>122</v>
      </c>
      <c r="O14" s="16">
        <v>85</v>
      </c>
      <c r="P14" s="16">
        <v>92</v>
      </c>
    </row>
    <row r="15" spans="1:18" x14ac:dyDescent="0.25">
      <c r="E15" s="16">
        <v>64</v>
      </c>
      <c r="F15" s="16">
        <v>47</v>
      </c>
      <c r="G15" s="16">
        <v>129</v>
      </c>
      <c r="H15" s="16">
        <v>24</v>
      </c>
      <c r="I15" s="16">
        <v>138</v>
      </c>
      <c r="J15" s="16">
        <v>153</v>
      </c>
      <c r="K15" s="16">
        <v>105</v>
      </c>
      <c r="L15" s="16">
        <v>94</v>
      </c>
      <c r="M15" s="16">
        <v>45</v>
      </c>
      <c r="N15" s="16">
        <v>64</v>
      </c>
      <c r="O15" s="16">
        <v>37</v>
      </c>
      <c r="P15" s="16">
        <v>139</v>
      </c>
    </row>
    <row r="16" spans="1:18" x14ac:dyDescent="0.25">
      <c r="E16" s="16">
        <v>15</v>
      </c>
      <c r="F16" s="16">
        <v>56</v>
      </c>
      <c r="G16" s="16">
        <v>119</v>
      </c>
      <c r="H16" s="16">
        <v>135</v>
      </c>
      <c r="I16" s="16">
        <v>143</v>
      </c>
      <c r="J16" s="16">
        <v>76</v>
      </c>
      <c r="K16" s="16">
        <v>127</v>
      </c>
      <c r="L16" s="16">
        <v>129</v>
      </c>
      <c r="M16" s="16">
        <v>161</v>
      </c>
      <c r="N16" s="16">
        <v>109</v>
      </c>
      <c r="O16" s="16">
        <v>109</v>
      </c>
      <c r="P16" s="16">
        <v>16</v>
      </c>
    </row>
    <row r="17" spans="5:16" x14ac:dyDescent="0.25">
      <c r="E17" s="16">
        <v>166</v>
      </c>
      <c r="F17" s="16">
        <v>135</v>
      </c>
      <c r="G17" s="16">
        <v>10</v>
      </c>
      <c r="H17" s="16">
        <v>123</v>
      </c>
      <c r="I17" s="16">
        <v>28</v>
      </c>
      <c r="J17" s="16">
        <v>115</v>
      </c>
      <c r="K17" s="16">
        <v>129</v>
      </c>
      <c r="L17" s="16">
        <v>25</v>
      </c>
      <c r="M17" s="16">
        <v>127</v>
      </c>
      <c r="N17" s="16">
        <v>109</v>
      </c>
      <c r="O17" s="16">
        <v>67</v>
      </c>
      <c r="P17" s="16">
        <v>24</v>
      </c>
    </row>
    <row r="18" spans="5:16" x14ac:dyDescent="0.25">
      <c r="E18" s="16">
        <v>109</v>
      </c>
      <c r="F18" s="16">
        <v>106</v>
      </c>
      <c r="G18" s="16">
        <v>128</v>
      </c>
      <c r="H18" s="16">
        <v>66</v>
      </c>
      <c r="I18" s="16">
        <v>99</v>
      </c>
      <c r="J18" s="16">
        <v>68</v>
      </c>
      <c r="K18" s="16">
        <v>41</v>
      </c>
      <c r="L18" s="16">
        <v>85</v>
      </c>
      <c r="M18" s="16">
        <v>15</v>
      </c>
      <c r="N18" s="16">
        <v>44</v>
      </c>
      <c r="O18" s="16">
        <v>35</v>
      </c>
      <c r="P18" s="16">
        <v>53</v>
      </c>
    </row>
    <row r="19" spans="5:16" x14ac:dyDescent="0.25">
      <c r="E19" s="16">
        <v>122</v>
      </c>
      <c r="F19" s="16">
        <v>112</v>
      </c>
      <c r="G19" s="16">
        <v>79</v>
      </c>
      <c r="H19" s="16">
        <v>63</v>
      </c>
      <c r="I19" s="16">
        <v>105</v>
      </c>
      <c r="J19" s="16">
        <v>114</v>
      </c>
      <c r="K19" s="16">
        <v>52</v>
      </c>
      <c r="L19" s="16">
        <v>143</v>
      </c>
      <c r="M19" s="16">
        <v>48</v>
      </c>
      <c r="N19" s="16">
        <v>75</v>
      </c>
      <c r="O19" s="16">
        <v>40</v>
      </c>
      <c r="P19" s="16">
        <v>53</v>
      </c>
    </row>
    <row r="20" spans="5:16" x14ac:dyDescent="0.25">
      <c r="E20" s="16">
        <v>156</v>
      </c>
      <c r="F20" s="16">
        <v>142</v>
      </c>
      <c r="G20" s="16">
        <v>134</v>
      </c>
      <c r="H20" s="16">
        <v>126</v>
      </c>
      <c r="I20" s="16">
        <v>85</v>
      </c>
      <c r="J20" s="16">
        <v>33</v>
      </c>
      <c r="K20" s="16">
        <v>44</v>
      </c>
      <c r="L20" s="16">
        <v>117</v>
      </c>
      <c r="M20" s="16">
        <v>56</v>
      </c>
      <c r="N20" s="16">
        <v>67</v>
      </c>
      <c r="O20" s="16">
        <v>95</v>
      </c>
      <c r="P20" s="16">
        <v>37</v>
      </c>
    </row>
    <row r="21" spans="5:16" x14ac:dyDescent="0.25">
      <c r="E21" s="16">
        <v>54</v>
      </c>
      <c r="F21" s="16">
        <v>44</v>
      </c>
      <c r="G21" s="16">
        <v>99</v>
      </c>
      <c r="H21" s="16">
        <v>87</v>
      </c>
      <c r="I21" s="16">
        <v>31</v>
      </c>
      <c r="J21" s="16">
        <v>100</v>
      </c>
      <c r="K21" s="16">
        <v>84</v>
      </c>
      <c r="L21" s="16">
        <v>75</v>
      </c>
      <c r="M21" s="16">
        <v>144</v>
      </c>
      <c r="N21" s="16">
        <v>92</v>
      </c>
      <c r="O21" s="16">
        <v>54</v>
      </c>
      <c r="P21" s="16">
        <v>12</v>
      </c>
    </row>
    <row r="22" spans="5:16" x14ac:dyDescent="0.25">
      <c r="E22" s="16">
        <v>154</v>
      </c>
      <c r="F22" s="16">
        <v>16</v>
      </c>
      <c r="G22" s="16">
        <v>74</v>
      </c>
      <c r="H22" s="16">
        <v>13</v>
      </c>
      <c r="I22" s="16">
        <v>166</v>
      </c>
      <c r="J22" s="16">
        <v>86</v>
      </c>
      <c r="K22" s="16">
        <v>156</v>
      </c>
      <c r="L22" s="16">
        <v>53</v>
      </c>
      <c r="M22" s="16">
        <v>76</v>
      </c>
      <c r="N22" s="16">
        <v>119</v>
      </c>
      <c r="O22" s="16">
        <v>17</v>
      </c>
      <c r="P22" s="16">
        <v>48</v>
      </c>
    </row>
    <row r="23" spans="5:16" x14ac:dyDescent="0.25">
      <c r="E23" s="16">
        <v>89</v>
      </c>
      <c r="F23" s="16">
        <v>99</v>
      </c>
      <c r="G23" s="16">
        <v>70</v>
      </c>
      <c r="H23" s="16">
        <v>159</v>
      </c>
      <c r="I23" s="16">
        <v>106</v>
      </c>
      <c r="J23" s="16">
        <v>65</v>
      </c>
      <c r="K23" s="16">
        <v>107</v>
      </c>
      <c r="L23" s="16">
        <v>91</v>
      </c>
      <c r="M23" s="16">
        <v>50</v>
      </c>
      <c r="N23" s="16">
        <v>26</v>
      </c>
      <c r="O23" s="16">
        <v>165</v>
      </c>
      <c r="P23" s="16">
        <v>39</v>
      </c>
    </row>
    <row r="24" spans="5:16" x14ac:dyDescent="0.25">
      <c r="E24" s="16">
        <v>90</v>
      </c>
      <c r="F24" s="16">
        <v>93</v>
      </c>
      <c r="G24" s="16">
        <v>57</v>
      </c>
      <c r="H24" s="16">
        <v>104</v>
      </c>
      <c r="I24" s="16">
        <v>139</v>
      </c>
      <c r="J24" s="16">
        <v>95</v>
      </c>
      <c r="K24" s="16">
        <v>163</v>
      </c>
      <c r="L24" s="16">
        <v>119</v>
      </c>
      <c r="M24" s="16">
        <v>26</v>
      </c>
      <c r="N24" s="16">
        <v>99</v>
      </c>
      <c r="O24" s="16">
        <v>24</v>
      </c>
      <c r="P24" s="16">
        <v>12</v>
      </c>
    </row>
    <row r="25" spans="5:16" x14ac:dyDescent="0.25">
      <c r="E25" s="16">
        <v>50</v>
      </c>
      <c r="F25" s="16">
        <v>143</v>
      </c>
      <c r="G25" s="16">
        <v>52</v>
      </c>
      <c r="H25" s="16">
        <v>152</v>
      </c>
      <c r="I25" s="16">
        <v>84</v>
      </c>
      <c r="J25" s="16">
        <v>129</v>
      </c>
      <c r="K25" s="16">
        <v>141</v>
      </c>
      <c r="L25" s="16">
        <v>35</v>
      </c>
      <c r="M25" s="16">
        <v>145</v>
      </c>
      <c r="N25" s="16">
        <v>11</v>
      </c>
      <c r="O25" s="16">
        <v>144</v>
      </c>
      <c r="P25" s="16">
        <v>28</v>
      </c>
    </row>
    <row r="26" spans="5:16" x14ac:dyDescent="0.25">
      <c r="E26" s="16">
        <v>104</v>
      </c>
      <c r="F26" s="16">
        <v>26</v>
      </c>
      <c r="G26" s="16">
        <v>154</v>
      </c>
      <c r="H26" s="16">
        <v>98</v>
      </c>
      <c r="I26" s="16">
        <v>59</v>
      </c>
      <c r="J26" s="16">
        <v>125</v>
      </c>
      <c r="K26" s="16">
        <v>144</v>
      </c>
      <c r="L26" s="16">
        <v>4</v>
      </c>
      <c r="M26" s="16">
        <v>147</v>
      </c>
      <c r="N26" s="16">
        <v>59</v>
      </c>
      <c r="O26" s="16">
        <v>105</v>
      </c>
      <c r="P26" s="16">
        <v>30</v>
      </c>
    </row>
    <row r="27" spans="5:16" x14ac:dyDescent="0.25">
      <c r="E27" s="16">
        <v>111</v>
      </c>
      <c r="F27" s="16">
        <v>62</v>
      </c>
      <c r="G27" s="16">
        <v>58</v>
      </c>
      <c r="H27" s="16">
        <v>24</v>
      </c>
      <c r="I27" s="16">
        <v>42</v>
      </c>
      <c r="J27" s="16">
        <v>138</v>
      </c>
      <c r="K27" s="16">
        <v>147</v>
      </c>
      <c r="L27" s="16">
        <v>58</v>
      </c>
      <c r="M27" s="16">
        <v>83</v>
      </c>
      <c r="N27" s="16">
        <v>54</v>
      </c>
      <c r="O27" s="16">
        <v>63</v>
      </c>
      <c r="P27" s="16">
        <v>14</v>
      </c>
    </row>
    <row r="28" spans="5:16" x14ac:dyDescent="0.25">
      <c r="E28" s="16">
        <v>100</v>
      </c>
      <c r="F28" s="16">
        <v>104</v>
      </c>
      <c r="G28" s="16">
        <v>115</v>
      </c>
      <c r="H28" s="16">
        <v>20</v>
      </c>
      <c r="I28" s="16">
        <v>128</v>
      </c>
      <c r="J28" s="16">
        <v>71</v>
      </c>
      <c r="K28" s="16">
        <v>63</v>
      </c>
      <c r="L28" s="16">
        <v>22</v>
      </c>
      <c r="M28" s="16">
        <v>106</v>
      </c>
      <c r="N28" s="16">
        <v>41</v>
      </c>
      <c r="O28" s="16">
        <v>65</v>
      </c>
      <c r="P28" s="16">
        <v>18</v>
      </c>
    </row>
    <row r="29" spans="5:16" x14ac:dyDescent="0.25">
      <c r="E29" s="16">
        <v>215</v>
      </c>
      <c r="F29" s="16">
        <v>89</v>
      </c>
      <c r="G29" s="16">
        <v>113</v>
      </c>
      <c r="H29" s="16">
        <v>72</v>
      </c>
      <c r="I29" s="16">
        <v>168</v>
      </c>
      <c r="J29" s="16">
        <v>91</v>
      </c>
      <c r="K29" s="16">
        <v>22</v>
      </c>
      <c r="L29" s="16">
        <v>53</v>
      </c>
      <c r="M29" s="16">
        <v>132</v>
      </c>
      <c r="N29" s="16">
        <v>84</v>
      </c>
      <c r="O29" s="16">
        <v>127</v>
      </c>
      <c r="P29" s="16">
        <v>12</v>
      </c>
    </row>
    <row r="30" spans="5:16" x14ac:dyDescent="0.25">
      <c r="E30" s="16">
        <v>287</v>
      </c>
      <c r="F30" s="16">
        <v>105</v>
      </c>
      <c r="G30" s="16">
        <v>47</v>
      </c>
      <c r="H30" s="16">
        <v>123</v>
      </c>
      <c r="I30" s="16">
        <v>37</v>
      </c>
      <c r="J30" s="16">
        <v>73</v>
      </c>
      <c r="K30" s="16">
        <v>83</v>
      </c>
      <c r="L30" s="16">
        <v>10</v>
      </c>
      <c r="M30" s="16">
        <v>45</v>
      </c>
      <c r="N30" s="16">
        <v>97</v>
      </c>
      <c r="O30" s="16">
        <v>89</v>
      </c>
      <c r="P30" s="16">
        <v>21</v>
      </c>
    </row>
  </sheetData>
  <conditionalFormatting sqref="E7:P30">
    <cfRule type="expression" dxfId="31" priority="1">
      <formula>E7&lt;&gt;""</formula>
    </cfRule>
  </conditionalFormatting>
  <dataValidations count="1">
    <dataValidation type="list" allowBlank="1" showInputMessage="1" showErrorMessage="1" sqref="C4" xr:uid="{56ABAA24-E5A5-4A3F-96C4-6AD2CC6F8BD8}">
      <formula1>$E$6:$P$6</formula1>
    </dataValidation>
  </dataValidations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1034-F590-4A68-9551-8C0B0D625BF6}">
  <sheetPr>
    <tabColor rgb="FF0000FF"/>
  </sheetPr>
  <dimension ref="A1:AC44"/>
  <sheetViews>
    <sheetView zoomScale="115" zoomScaleNormal="115" workbookViewId="0"/>
  </sheetViews>
  <sheetFormatPr defaultColWidth="8.85546875" defaultRowHeight="15" x14ac:dyDescent="0.25"/>
  <cols>
    <col min="1" max="1" width="0.85546875" customWidth="1"/>
    <col min="2" max="2" width="14" customWidth="1"/>
    <col min="3" max="3" width="13.42578125" customWidth="1"/>
    <col min="4" max="4" width="1.42578125" customWidth="1"/>
    <col min="5" max="5" width="20.7109375" bestFit="1" customWidth="1"/>
    <col min="6" max="17" width="4.7109375" customWidth="1"/>
    <col min="18" max="18" width="2.28515625" customWidth="1"/>
  </cols>
  <sheetData>
    <row r="1" spans="1:29" ht="5.25" customHeight="1" x14ac:dyDescent="0.25">
      <c r="A1" s="74"/>
    </row>
    <row r="2" spans="1:29" x14ac:dyDescent="0.25">
      <c r="B2" s="4" t="s">
        <v>646</v>
      </c>
      <c r="AC2" s="4" t="s">
        <v>527</v>
      </c>
    </row>
    <row r="3" spans="1:29" x14ac:dyDescent="0.25">
      <c r="B3" s="260" t="s">
        <v>648</v>
      </c>
      <c r="AC3" s="4"/>
    </row>
    <row r="4" spans="1:29" x14ac:dyDescent="0.25">
      <c r="B4" s="74" t="s">
        <v>663</v>
      </c>
      <c r="AC4" s="4"/>
    </row>
    <row r="5" spans="1:29" x14ac:dyDescent="0.25">
      <c r="B5" s="260" t="s">
        <v>664</v>
      </c>
      <c r="AC5" s="4"/>
    </row>
    <row r="6" spans="1:29" ht="4.5" customHeight="1" x14ac:dyDescent="0.25">
      <c r="B6" s="4"/>
      <c r="AC6" s="4"/>
    </row>
    <row r="7" spans="1:29" ht="45" x14ac:dyDescent="0.25">
      <c r="F7" s="109" t="s">
        <v>651</v>
      </c>
      <c r="G7" s="109" t="s">
        <v>652</v>
      </c>
      <c r="H7" s="109" t="s">
        <v>653</v>
      </c>
      <c r="I7" s="109" t="s">
        <v>654</v>
      </c>
      <c r="J7" s="109" t="s">
        <v>655</v>
      </c>
      <c r="K7" s="109" t="s">
        <v>656</v>
      </c>
      <c r="L7" s="109" t="s">
        <v>657</v>
      </c>
      <c r="M7" s="109" t="s">
        <v>658</v>
      </c>
      <c r="N7" s="109" t="s">
        <v>659</v>
      </c>
      <c r="O7" s="109" t="s">
        <v>660</v>
      </c>
      <c r="P7" s="109" t="s">
        <v>661</v>
      </c>
      <c r="Q7" s="109" t="s">
        <v>662</v>
      </c>
      <c r="AC7">
        <f ca="1">CHOOSE(RANDBETWEEN(1,21),MROUND(RANDBETWEEN(3,20),5),2,3,5,10,12,10,15,15,15,2,3,0,0,0,0,15,15,15,15,7)</f>
        <v>5</v>
      </c>
    </row>
    <row r="8" spans="1:29" x14ac:dyDescent="0.25">
      <c r="B8" s="125" t="s">
        <v>519</v>
      </c>
      <c r="C8" s="5" t="s">
        <v>498</v>
      </c>
      <c r="E8" s="243" t="s">
        <v>293</v>
      </c>
      <c r="F8" s="246" t="s">
        <v>533</v>
      </c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S8" s="4"/>
    </row>
    <row r="9" spans="1:29" x14ac:dyDescent="0.25">
      <c r="B9" s="182" t="s">
        <v>528</v>
      </c>
      <c r="C9" s="5" t="s">
        <v>651</v>
      </c>
      <c r="E9" s="5" t="s">
        <v>494</v>
      </c>
      <c r="F9" s="37">
        <v>2</v>
      </c>
      <c r="G9" s="37">
        <v>15</v>
      </c>
      <c r="H9" s="5">
        <v>0</v>
      </c>
      <c r="I9" s="5">
        <v>5</v>
      </c>
      <c r="J9" s="5">
        <v>0</v>
      </c>
      <c r="K9" s="5">
        <v>15</v>
      </c>
      <c r="L9" s="5">
        <v>0</v>
      </c>
      <c r="M9" s="5">
        <v>15</v>
      </c>
      <c r="N9" s="5">
        <v>3</v>
      </c>
      <c r="O9" s="5">
        <v>10</v>
      </c>
      <c r="P9" s="5">
        <v>3</v>
      </c>
      <c r="Q9" s="5">
        <v>0</v>
      </c>
    </row>
    <row r="10" spans="1:29" x14ac:dyDescent="0.25">
      <c r="B10" s="182" t="s">
        <v>529</v>
      </c>
      <c r="C10" s="5" t="s">
        <v>657</v>
      </c>
      <c r="E10" s="5" t="s">
        <v>495</v>
      </c>
      <c r="F10" s="37">
        <v>5</v>
      </c>
      <c r="G10" s="37">
        <v>7</v>
      </c>
      <c r="H10" s="5">
        <v>12</v>
      </c>
      <c r="I10" s="5">
        <v>0</v>
      </c>
      <c r="J10" s="5">
        <v>2</v>
      </c>
      <c r="K10" s="5">
        <v>3</v>
      </c>
      <c r="L10" s="5">
        <v>10</v>
      </c>
      <c r="M10" s="5">
        <v>15</v>
      </c>
      <c r="N10" s="5">
        <v>2</v>
      </c>
      <c r="O10" s="5">
        <v>10</v>
      </c>
      <c r="P10" s="5">
        <v>15</v>
      </c>
      <c r="Q10" s="5">
        <v>5</v>
      </c>
    </row>
    <row r="11" spans="1:29" x14ac:dyDescent="0.25">
      <c r="B11" s="6" t="s">
        <v>520</v>
      </c>
      <c r="C11" s="7"/>
      <c r="E11" s="5" t="s">
        <v>496</v>
      </c>
      <c r="F11" s="37">
        <v>15</v>
      </c>
      <c r="G11" s="37">
        <v>10</v>
      </c>
      <c r="H11" s="5">
        <v>0</v>
      </c>
      <c r="I11" s="5">
        <v>5</v>
      </c>
      <c r="J11" s="5">
        <v>0</v>
      </c>
      <c r="K11" s="5">
        <v>15</v>
      </c>
      <c r="L11" s="5">
        <v>15</v>
      </c>
      <c r="M11" s="5">
        <v>0</v>
      </c>
      <c r="N11" s="5">
        <v>15</v>
      </c>
      <c r="O11" s="5">
        <v>15</v>
      </c>
      <c r="P11" s="5">
        <v>15</v>
      </c>
      <c r="Q11" s="5">
        <v>10</v>
      </c>
    </row>
    <row r="12" spans="1:29" x14ac:dyDescent="0.25">
      <c r="E12" s="5" t="s">
        <v>497</v>
      </c>
      <c r="F12" s="37">
        <v>2</v>
      </c>
      <c r="G12" s="37">
        <v>10</v>
      </c>
      <c r="H12" s="5">
        <v>15</v>
      </c>
      <c r="I12" s="5">
        <v>0</v>
      </c>
      <c r="J12" s="5">
        <v>2</v>
      </c>
      <c r="K12" s="5">
        <v>0</v>
      </c>
      <c r="L12" s="5">
        <v>15</v>
      </c>
      <c r="M12" s="5">
        <v>12</v>
      </c>
      <c r="N12" s="5">
        <v>15</v>
      </c>
      <c r="O12" s="5">
        <v>15</v>
      </c>
      <c r="P12" s="5">
        <v>0</v>
      </c>
      <c r="Q12" s="5">
        <v>0</v>
      </c>
    </row>
    <row r="13" spans="1:29" x14ac:dyDescent="0.25">
      <c r="E13" s="5" t="s">
        <v>498</v>
      </c>
      <c r="F13" s="37">
        <v>7</v>
      </c>
      <c r="G13" s="37">
        <v>0</v>
      </c>
      <c r="H13" s="5">
        <v>15</v>
      </c>
      <c r="I13" s="5">
        <v>0</v>
      </c>
      <c r="J13" s="5">
        <v>15</v>
      </c>
      <c r="K13" s="5">
        <v>15</v>
      </c>
      <c r="L13" s="5">
        <v>10</v>
      </c>
      <c r="M13" s="5">
        <v>15</v>
      </c>
      <c r="N13" s="5">
        <v>15</v>
      </c>
      <c r="O13" s="5">
        <v>15</v>
      </c>
      <c r="P13" s="5">
        <v>2</v>
      </c>
      <c r="Q13" s="5">
        <v>12</v>
      </c>
    </row>
    <row r="14" spans="1:29" x14ac:dyDescent="0.25">
      <c r="E14" s="5" t="s">
        <v>499</v>
      </c>
      <c r="F14" s="37">
        <v>15</v>
      </c>
      <c r="G14" s="37">
        <v>15</v>
      </c>
      <c r="H14" s="5">
        <v>7</v>
      </c>
      <c r="I14" s="5">
        <v>15</v>
      </c>
      <c r="J14" s="5">
        <v>10</v>
      </c>
      <c r="K14" s="5">
        <v>0</v>
      </c>
      <c r="L14" s="5">
        <v>0</v>
      </c>
      <c r="M14" s="5">
        <v>3</v>
      </c>
      <c r="N14" s="5">
        <v>0</v>
      </c>
      <c r="O14" s="5">
        <v>15</v>
      </c>
      <c r="P14" s="5">
        <v>5</v>
      </c>
      <c r="Q14" s="5">
        <v>15</v>
      </c>
    </row>
    <row r="15" spans="1:29" x14ac:dyDescent="0.25">
      <c r="E15" s="5" t="s">
        <v>500</v>
      </c>
      <c r="F15" s="242">
        <v>12</v>
      </c>
      <c r="G15" s="5">
        <v>2</v>
      </c>
      <c r="H15" s="5">
        <v>3</v>
      </c>
      <c r="I15" s="5">
        <v>2</v>
      </c>
      <c r="J15" s="5">
        <v>10</v>
      </c>
      <c r="K15" s="5">
        <v>0</v>
      </c>
      <c r="L15" s="5">
        <v>0</v>
      </c>
      <c r="M15" s="5">
        <v>3</v>
      </c>
      <c r="N15" s="5">
        <v>10</v>
      </c>
      <c r="O15" s="5">
        <v>7</v>
      </c>
      <c r="P15" s="5">
        <v>2</v>
      </c>
      <c r="Q15" s="5">
        <v>5</v>
      </c>
    </row>
    <row r="16" spans="1:29" x14ac:dyDescent="0.25">
      <c r="E16" s="5" t="s">
        <v>501</v>
      </c>
      <c r="F16" s="242">
        <v>5</v>
      </c>
      <c r="G16" s="5">
        <v>10</v>
      </c>
      <c r="H16" s="5">
        <v>2</v>
      </c>
      <c r="I16" s="5">
        <v>10</v>
      </c>
      <c r="J16" s="5">
        <v>10</v>
      </c>
      <c r="K16" s="5">
        <v>0</v>
      </c>
      <c r="L16" s="5">
        <v>7</v>
      </c>
      <c r="M16" s="5">
        <v>3</v>
      </c>
      <c r="N16" s="5">
        <v>0</v>
      </c>
      <c r="O16" s="5">
        <v>0</v>
      </c>
      <c r="P16" s="5">
        <v>7</v>
      </c>
      <c r="Q16" s="5">
        <v>0</v>
      </c>
    </row>
    <row r="17" spans="5:19" x14ac:dyDescent="0.25">
      <c r="E17" s="5" t="s">
        <v>502</v>
      </c>
      <c r="F17" s="5">
        <v>0</v>
      </c>
      <c r="G17" s="5">
        <v>15</v>
      </c>
      <c r="H17" s="5">
        <v>2</v>
      </c>
      <c r="I17" s="5">
        <v>0</v>
      </c>
      <c r="J17" s="5">
        <v>0</v>
      </c>
      <c r="K17" s="5">
        <v>2</v>
      </c>
      <c r="L17" s="5">
        <v>15</v>
      </c>
      <c r="M17" s="5">
        <v>15</v>
      </c>
      <c r="N17" s="5">
        <v>7</v>
      </c>
      <c r="O17" s="5">
        <v>10</v>
      </c>
      <c r="P17" s="5">
        <v>0</v>
      </c>
      <c r="Q17" s="5">
        <v>10</v>
      </c>
    </row>
    <row r="18" spans="5:19" x14ac:dyDescent="0.25">
      <c r="E18" s="5" t="s">
        <v>503</v>
      </c>
      <c r="F18" s="5">
        <v>15</v>
      </c>
      <c r="G18" s="5">
        <v>15</v>
      </c>
      <c r="H18" s="5">
        <v>0</v>
      </c>
      <c r="I18" s="5">
        <v>10</v>
      </c>
      <c r="J18" s="5">
        <v>3</v>
      </c>
      <c r="K18" s="5">
        <v>0</v>
      </c>
      <c r="L18" s="5">
        <v>3</v>
      </c>
      <c r="M18" s="5">
        <v>15</v>
      </c>
      <c r="N18" s="5">
        <v>7</v>
      </c>
      <c r="O18" s="5">
        <v>15</v>
      </c>
      <c r="P18" s="5">
        <v>0</v>
      </c>
      <c r="Q18" s="5">
        <v>15</v>
      </c>
    </row>
    <row r="19" spans="5:19" x14ac:dyDescent="0.25">
      <c r="E19" s="5" t="s">
        <v>504</v>
      </c>
      <c r="F19" s="5">
        <v>3</v>
      </c>
      <c r="G19" s="5">
        <v>15</v>
      </c>
      <c r="H19" s="5">
        <v>3</v>
      </c>
      <c r="I19" s="5">
        <v>0</v>
      </c>
      <c r="J19" s="5">
        <v>0</v>
      </c>
      <c r="K19" s="5">
        <v>12</v>
      </c>
      <c r="L19" s="5">
        <v>15</v>
      </c>
      <c r="M19" s="5">
        <v>15</v>
      </c>
      <c r="N19" s="5">
        <v>10</v>
      </c>
      <c r="O19" s="5">
        <v>0</v>
      </c>
      <c r="P19" s="5">
        <v>5</v>
      </c>
      <c r="Q19" s="5">
        <v>3</v>
      </c>
    </row>
    <row r="20" spans="5:19" x14ac:dyDescent="0.25">
      <c r="E20" s="5" t="s">
        <v>505</v>
      </c>
      <c r="F20" s="5">
        <v>15</v>
      </c>
      <c r="G20" s="5">
        <v>3</v>
      </c>
      <c r="H20" s="5">
        <v>7</v>
      </c>
      <c r="I20" s="5">
        <v>15</v>
      </c>
      <c r="J20" s="5">
        <v>10</v>
      </c>
      <c r="K20" s="5">
        <v>15</v>
      </c>
      <c r="L20" s="5">
        <v>2</v>
      </c>
      <c r="M20" s="5">
        <v>5</v>
      </c>
      <c r="N20" s="5">
        <v>15</v>
      </c>
      <c r="O20" s="5">
        <v>15</v>
      </c>
      <c r="P20" s="5">
        <v>3</v>
      </c>
      <c r="Q20" s="5">
        <v>15</v>
      </c>
    </row>
    <row r="21" spans="5:19" x14ac:dyDescent="0.25">
      <c r="E21" s="5" t="s">
        <v>506</v>
      </c>
      <c r="F21" s="5">
        <v>3</v>
      </c>
      <c r="G21" s="5">
        <v>15</v>
      </c>
      <c r="H21" s="5">
        <v>15</v>
      </c>
      <c r="I21" s="5">
        <v>5</v>
      </c>
      <c r="J21" s="5">
        <v>12</v>
      </c>
      <c r="K21" s="5">
        <v>7</v>
      </c>
      <c r="L21" s="5">
        <v>15</v>
      </c>
      <c r="M21" s="5">
        <v>15</v>
      </c>
      <c r="N21" s="5">
        <v>10</v>
      </c>
      <c r="O21" s="5">
        <v>0</v>
      </c>
      <c r="P21" s="5">
        <v>0</v>
      </c>
      <c r="Q21" s="5">
        <v>2</v>
      </c>
    </row>
    <row r="22" spans="5:19" x14ac:dyDescent="0.25">
      <c r="E22" s="5" t="s">
        <v>507</v>
      </c>
      <c r="F22" s="5">
        <v>15</v>
      </c>
      <c r="G22" s="5">
        <v>2</v>
      </c>
      <c r="H22" s="5">
        <v>15</v>
      </c>
      <c r="I22" s="5">
        <v>2</v>
      </c>
      <c r="J22" s="5">
        <v>10</v>
      </c>
      <c r="K22" s="5">
        <v>15</v>
      </c>
      <c r="L22" s="5">
        <v>2</v>
      </c>
      <c r="M22" s="5">
        <v>0</v>
      </c>
      <c r="N22" s="5">
        <v>0</v>
      </c>
      <c r="O22" s="5">
        <v>10</v>
      </c>
      <c r="P22" s="5">
        <v>0</v>
      </c>
      <c r="Q22" s="5">
        <v>3</v>
      </c>
    </row>
    <row r="23" spans="5:19" x14ac:dyDescent="0.25">
      <c r="E23" s="5" t="s">
        <v>508</v>
      </c>
      <c r="F23" s="5">
        <v>2</v>
      </c>
      <c r="G23" s="5">
        <v>2</v>
      </c>
      <c r="H23" s="5">
        <v>12</v>
      </c>
      <c r="I23" s="5">
        <v>15</v>
      </c>
      <c r="J23" s="5">
        <v>5</v>
      </c>
      <c r="K23" s="5">
        <v>0</v>
      </c>
      <c r="L23" s="5">
        <v>0</v>
      </c>
      <c r="M23" s="5">
        <v>12</v>
      </c>
      <c r="N23" s="5">
        <v>0</v>
      </c>
      <c r="O23" s="5">
        <v>0</v>
      </c>
      <c r="P23" s="5">
        <v>10</v>
      </c>
      <c r="Q23" s="5">
        <v>15</v>
      </c>
    </row>
    <row r="24" spans="5:19" x14ac:dyDescent="0.25">
      <c r="E24" s="5" t="s">
        <v>509</v>
      </c>
      <c r="F24" s="5">
        <v>5</v>
      </c>
      <c r="G24" s="5">
        <v>15</v>
      </c>
      <c r="H24" s="5">
        <v>7</v>
      </c>
      <c r="I24" s="5">
        <v>10</v>
      </c>
      <c r="J24" s="5">
        <v>0</v>
      </c>
      <c r="K24" s="5">
        <v>0</v>
      </c>
      <c r="L24" s="5">
        <v>10</v>
      </c>
      <c r="M24" s="5">
        <v>15</v>
      </c>
      <c r="N24" s="5">
        <v>10</v>
      </c>
      <c r="O24" s="5">
        <v>3</v>
      </c>
      <c r="P24" s="5">
        <v>15</v>
      </c>
      <c r="Q24" s="5">
        <v>15</v>
      </c>
    </row>
    <row r="27" spans="5:19" x14ac:dyDescent="0.25">
      <c r="F27" s="4" t="s">
        <v>532</v>
      </c>
    </row>
    <row r="29" spans="5:19" x14ac:dyDescent="0.25">
      <c r="F29" s="37"/>
      <c r="G29" s="37"/>
      <c r="H29" s="5"/>
      <c r="I29" s="5"/>
      <c r="J29" s="5"/>
      <c r="K29" s="5"/>
      <c r="L29" s="5"/>
      <c r="M29" s="5"/>
      <c r="N29" s="5"/>
      <c r="O29" s="5"/>
      <c r="P29" s="5"/>
      <c r="Q29" s="5"/>
      <c r="S29" s="4"/>
    </row>
    <row r="30" spans="5:19" x14ac:dyDescent="0.25">
      <c r="F30" s="37"/>
      <c r="G30" s="37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5:19" x14ac:dyDescent="0.25">
      <c r="F31" s="37"/>
      <c r="G31" s="37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5:19" x14ac:dyDescent="0.25">
      <c r="F32" s="37"/>
      <c r="G32" s="37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6:17" x14ac:dyDescent="0.25">
      <c r="F33" s="37"/>
      <c r="G33" s="37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6:17" x14ac:dyDescent="0.25">
      <c r="F34" s="37"/>
      <c r="G34" s="37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6:17" x14ac:dyDescent="0.25">
      <c r="F35" s="2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6:17" x14ac:dyDescent="0.25">
      <c r="F36" s="24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6:17" x14ac:dyDescent="0.25"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6:17" x14ac:dyDescent="0.25"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6:17" x14ac:dyDescent="0.25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6:17" x14ac:dyDescent="0.25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6:17" x14ac:dyDescent="0.25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6:17" x14ac:dyDescent="0.25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6:17" x14ac:dyDescent="0.25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6:17" x14ac:dyDescent="0.25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</sheetData>
  <dataValidations count="1">
    <dataValidation type="list" allowBlank="1" showInputMessage="1" showErrorMessage="1" sqref="C9:C10" xr:uid="{DE6AA692-42F5-4B99-9981-5CC3316DDB83}">
      <formula1>$F$7:$Q$7</formula1>
    </dataValidation>
  </dataValidations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0EF4-5316-4614-B552-556134A798A1}">
  <sheetPr>
    <tabColor rgb="FFFF0000"/>
  </sheetPr>
  <dimension ref="A1:AC44"/>
  <sheetViews>
    <sheetView zoomScale="115" zoomScaleNormal="115" workbookViewId="0"/>
  </sheetViews>
  <sheetFormatPr defaultColWidth="8.85546875" defaultRowHeight="15" x14ac:dyDescent="0.25"/>
  <cols>
    <col min="1" max="1" width="0.85546875" customWidth="1"/>
    <col min="2" max="2" width="14" customWidth="1"/>
    <col min="3" max="3" width="13.42578125" customWidth="1"/>
    <col min="4" max="4" width="1.42578125" customWidth="1"/>
    <col min="5" max="5" width="20.7109375" bestFit="1" customWidth="1"/>
    <col min="6" max="6" width="8.85546875" customWidth="1"/>
    <col min="7" max="17" width="6.28515625" bestFit="1" customWidth="1"/>
    <col min="18" max="18" width="2.28515625" customWidth="1"/>
  </cols>
  <sheetData>
    <row r="1" spans="1:29" ht="5.25" customHeight="1" x14ac:dyDescent="0.25">
      <c r="A1" s="74"/>
    </row>
    <row r="2" spans="1:29" x14ac:dyDescent="0.25">
      <c r="B2" s="4" t="s">
        <v>647</v>
      </c>
      <c r="AC2" s="4" t="s">
        <v>527</v>
      </c>
    </row>
    <row r="3" spans="1:29" x14ac:dyDescent="0.25">
      <c r="B3" s="261" t="s">
        <v>648</v>
      </c>
      <c r="AC3" s="4"/>
    </row>
    <row r="4" spans="1:29" x14ac:dyDescent="0.25">
      <c r="B4" s="74" t="s">
        <v>663</v>
      </c>
      <c r="AC4" s="4"/>
    </row>
    <row r="5" spans="1:29" x14ac:dyDescent="0.25">
      <c r="B5" s="261" t="s">
        <v>664</v>
      </c>
      <c r="AC5" s="4"/>
    </row>
    <row r="6" spans="1:29" ht="4.5" customHeight="1" x14ac:dyDescent="0.25">
      <c r="B6" s="4"/>
      <c r="AC6" s="4"/>
    </row>
    <row r="7" spans="1:29" ht="30" x14ac:dyDescent="0.25">
      <c r="F7" s="109" t="s">
        <v>651</v>
      </c>
      <c r="G7" s="109" t="s">
        <v>652</v>
      </c>
      <c r="H7" s="109" t="s">
        <v>653</v>
      </c>
      <c r="I7" s="109" t="s">
        <v>654</v>
      </c>
      <c r="J7" s="109" t="s">
        <v>655</v>
      </c>
      <c r="K7" s="109" t="s">
        <v>656</v>
      </c>
      <c r="L7" s="109" t="s">
        <v>657</v>
      </c>
      <c r="M7" s="109" t="s">
        <v>658</v>
      </c>
      <c r="N7" s="109" t="s">
        <v>659</v>
      </c>
      <c r="O7" s="109" t="s">
        <v>660</v>
      </c>
      <c r="P7" s="109" t="s">
        <v>661</v>
      </c>
      <c r="Q7" s="109" t="s">
        <v>662</v>
      </c>
      <c r="AC7">
        <f ca="1">CHOOSE(RANDBETWEEN(1,21),MROUND(RANDBETWEEN(3,20),5),2,3,5,10,12,10,15,15,15,2,3,0,0,0,0,15,15,15,15,7)</f>
        <v>0</v>
      </c>
    </row>
    <row r="8" spans="1:29" x14ac:dyDescent="0.25">
      <c r="B8" s="125" t="s">
        <v>519</v>
      </c>
      <c r="C8" s="5" t="s">
        <v>498</v>
      </c>
      <c r="E8" s="243" t="s">
        <v>293</v>
      </c>
      <c r="F8" s="246" t="s">
        <v>533</v>
      </c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S8" s="4" t="str">
        <f>"Formula in cell "&amp;ADDRESS(ROW(C11),COLUMN(C11),4)&amp;":"</f>
        <v>Formula in cell C11:</v>
      </c>
    </row>
    <row r="9" spans="1:29" x14ac:dyDescent="0.25">
      <c r="B9" s="182" t="s">
        <v>528</v>
      </c>
      <c r="C9" s="5" t="s">
        <v>651</v>
      </c>
      <c r="E9" s="5" t="s">
        <v>494</v>
      </c>
      <c r="F9" s="37">
        <v>2</v>
      </c>
      <c r="G9" s="37">
        <v>15</v>
      </c>
      <c r="H9" s="5">
        <v>0</v>
      </c>
      <c r="I9" s="5">
        <v>5</v>
      </c>
      <c r="J9" s="5">
        <v>0</v>
      </c>
      <c r="K9" s="5">
        <v>15</v>
      </c>
      <c r="L9" s="5">
        <v>0</v>
      </c>
      <c r="M9" s="5">
        <v>15</v>
      </c>
      <c r="N9" s="5">
        <v>3</v>
      </c>
      <c r="O9" s="5">
        <v>10</v>
      </c>
      <c r="P9" s="5">
        <v>3</v>
      </c>
      <c r="Q9" s="5">
        <v>0</v>
      </c>
      <c r="S9" t="str">
        <f ca="1">_xlfn.IFNA(_xlfn.FORMULATEXT(C11),"")</f>
        <v>=SUM(XLOOKUP(C8,E9:E24,XLOOKUP(C9,F7:Q7,F9:Q9):XLOOKUP(C10,F7:Q7,F24:Q24)))</v>
      </c>
    </row>
    <row r="10" spans="1:29" x14ac:dyDescent="0.25">
      <c r="B10" s="182" t="s">
        <v>529</v>
      </c>
      <c r="C10" s="5" t="s">
        <v>657</v>
      </c>
      <c r="E10" s="5" t="s">
        <v>495</v>
      </c>
      <c r="F10" s="37">
        <v>5</v>
      </c>
      <c r="G10" s="37">
        <v>7</v>
      </c>
      <c r="H10" s="5">
        <v>12</v>
      </c>
      <c r="I10" s="5">
        <v>0</v>
      </c>
      <c r="J10" s="5">
        <v>2</v>
      </c>
      <c r="K10" s="5">
        <v>3</v>
      </c>
      <c r="L10" s="5">
        <v>10</v>
      </c>
      <c r="M10" s="5">
        <v>15</v>
      </c>
      <c r="N10" s="5">
        <v>2</v>
      </c>
      <c r="O10" s="5">
        <v>10</v>
      </c>
      <c r="P10" s="5">
        <v>15</v>
      </c>
      <c r="Q10" s="5">
        <v>5</v>
      </c>
    </row>
    <row r="11" spans="1:29" x14ac:dyDescent="0.25">
      <c r="B11" s="6" t="s">
        <v>520</v>
      </c>
      <c r="C11" s="7">
        <f>SUM(_xlfn.XLOOKUP(C8,E9:E24,_xlfn.XLOOKUP(C9,F7:Q7,F9:Q9):_xlfn.XLOOKUP(C10,F7:Q7,F24:Q24)))</f>
        <v>62</v>
      </c>
      <c r="E11" s="5" t="s">
        <v>496</v>
      </c>
      <c r="F11" s="37">
        <v>15</v>
      </c>
      <c r="G11" s="37">
        <v>10</v>
      </c>
      <c r="H11" s="5">
        <v>0</v>
      </c>
      <c r="I11" s="5">
        <v>5</v>
      </c>
      <c r="J11" s="5">
        <v>0</v>
      </c>
      <c r="K11" s="5">
        <v>15</v>
      </c>
      <c r="L11" s="5">
        <v>15</v>
      </c>
      <c r="M11" s="5">
        <v>0</v>
      </c>
      <c r="N11" s="5">
        <v>15</v>
      </c>
      <c r="O11" s="5">
        <v>15</v>
      </c>
      <c r="P11" s="5">
        <v>15</v>
      </c>
      <c r="Q11" s="5">
        <v>10</v>
      </c>
    </row>
    <row r="12" spans="1:29" x14ac:dyDescent="0.25">
      <c r="E12" s="5" t="s">
        <v>497</v>
      </c>
      <c r="F12" s="37">
        <v>2</v>
      </c>
      <c r="G12" s="37">
        <v>10</v>
      </c>
      <c r="H12" s="5">
        <v>15</v>
      </c>
      <c r="I12" s="5">
        <v>0</v>
      </c>
      <c r="J12" s="5">
        <v>2</v>
      </c>
      <c r="K12" s="5">
        <v>0</v>
      </c>
      <c r="L12" s="5">
        <v>15</v>
      </c>
      <c r="M12" s="5">
        <v>12</v>
      </c>
      <c r="N12" s="5">
        <v>15</v>
      </c>
      <c r="O12" s="5">
        <v>15</v>
      </c>
      <c r="P12" s="5">
        <v>0</v>
      </c>
      <c r="Q12" s="5">
        <v>0</v>
      </c>
    </row>
    <row r="13" spans="1:29" x14ac:dyDescent="0.25">
      <c r="E13" s="5" t="s">
        <v>498</v>
      </c>
      <c r="F13" s="37">
        <v>7</v>
      </c>
      <c r="G13" s="37">
        <v>0</v>
      </c>
      <c r="H13" s="5">
        <v>15</v>
      </c>
      <c r="I13" s="5">
        <v>0</v>
      </c>
      <c r="J13" s="5">
        <v>15</v>
      </c>
      <c r="K13" s="5">
        <v>15</v>
      </c>
      <c r="L13" s="5">
        <v>10</v>
      </c>
      <c r="M13" s="5">
        <v>15</v>
      </c>
      <c r="N13" s="5">
        <v>15</v>
      </c>
      <c r="O13" s="5">
        <v>15</v>
      </c>
      <c r="P13" s="5">
        <v>2</v>
      </c>
      <c r="Q13" s="5">
        <v>12</v>
      </c>
    </row>
    <row r="14" spans="1:29" x14ac:dyDescent="0.25">
      <c r="E14" s="5" t="s">
        <v>499</v>
      </c>
      <c r="F14" s="37">
        <v>15</v>
      </c>
      <c r="G14" s="37">
        <v>15</v>
      </c>
      <c r="H14" s="5">
        <v>7</v>
      </c>
      <c r="I14" s="5">
        <v>15</v>
      </c>
      <c r="J14" s="5">
        <v>10</v>
      </c>
      <c r="K14" s="5">
        <v>0</v>
      </c>
      <c r="L14" s="5">
        <v>0</v>
      </c>
      <c r="M14" s="5">
        <v>3</v>
      </c>
      <c r="N14" s="5">
        <v>0</v>
      </c>
      <c r="O14" s="5">
        <v>15</v>
      </c>
      <c r="P14" s="5">
        <v>5</v>
      </c>
      <c r="Q14" s="5">
        <v>15</v>
      </c>
    </row>
    <row r="15" spans="1:29" x14ac:dyDescent="0.25">
      <c r="E15" s="5" t="s">
        <v>500</v>
      </c>
      <c r="F15" s="242">
        <v>12</v>
      </c>
      <c r="G15" s="5">
        <v>2</v>
      </c>
      <c r="H15" s="5">
        <v>3</v>
      </c>
      <c r="I15" s="5">
        <v>2</v>
      </c>
      <c r="J15" s="5">
        <v>10</v>
      </c>
      <c r="K15" s="5">
        <v>0</v>
      </c>
      <c r="L15" s="5">
        <v>0</v>
      </c>
      <c r="M15" s="5">
        <v>3</v>
      </c>
      <c r="N15" s="5">
        <v>10</v>
      </c>
      <c r="O15" s="5">
        <v>7</v>
      </c>
      <c r="P15" s="5">
        <v>2</v>
      </c>
      <c r="Q15" s="5">
        <v>5</v>
      </c>
    </row>
    <row r="16" spans="1:29" x14ac:dyDescent="0.25">
      <c r="E16" s="5" t="s">
        <v>501</v>
      </c>
      <c r="F16" s="242">
        <v>5</v>
      </c>
      <c r="G16" s="5">
        <v>10</v>
      </c>
      <c r="H16" s="5">
        <v>2</v>
      </c>
      <c r="I16" s="5">
        <v>10</v>
      </c>
      <c r="J16" s="5">
        <v>10</v>
      </c>
      <c r="K16" s="5">
        <v>0</v>
      </c>
      <c r="L16" s="5">
        <v>7</v>
      </c>
      <c r="M16" s="5">
        <v>3</v>
      </c>
      <c r="N16" s="5">
        <v>0</v>
      </c>
      <c r="O16" s="5">
        <v>0</v>
      </c>
      <c r="P16" s="5">
        <v>7</v>
      </c>
      <c r="Q16" s="5">
        <v>0</v>
      </c>
    </row>
    <row r="17" spans="5:19" x14ac:dyDescent="0.25">
      <c r="E17" s="5" t="s">
        <v>502</v>
      </c>
      <c r="F17" s="5">
        <v>0</v>
      </c>
      <c r="G17" s="5">
        <v>15</v>
      </c>
      <c r="H17" s="5">
        <v>2</v>
      </c>
      <c r="I17" s="5">
        <v>0</v>
      </c>
      <c r="J17" s="5">
        <v>0</v>
      </c>
      <c r="K17" s="5">
        <v>2</v>
      </c>
      <c r="L17" s="5">
        <v>15</v>
      </c>
      <c r="M17" s="5">
        <v>15</v>
      </c>
      <c r="N17" s="5">
        <v>7</v>
      </c>
      <c r="O17" s="5">
        <v>10</v>
      </c>
      <c r="P17" s="5">
        <v>0</v>
      </c>
      <c r="Q17" s="5">
        <v>10</v>
      </c>
    </row>
    <row r="18" spans="5:19" x14ac:dyDescent="0.25">
      <c r="E18" s="5" t="s">
        <v>503</v>
      </c>
      <c r="F18" s="5">
        <v>15</v>
      </c>
      <c r="G18" s="5">
        <v>15</v>
      </c>
      <c r="H18" s="5">
        <v>0</v>
      </c>
      <c r="I18" s="5">
        <v>10</v>
      </c>
      <c r="J18" s="5">
        <v>3</v>
      </c>
      <c r="K18" s="5">
        <v>0</v>
      </c>
      <c r="L18" s="5">
        <v>3</v>
      </c>
      <c r="M18" s="5">
        <v>15</v>
      </c>
      <c r="N18" s="5">
        <v>7</v>
      </c>
      <c r="O18" s="5">
        <v>15</v>
      </c>
      <c r="P18" s="5">
        <v>0</v>
      </c>
      <c r="Q18" s="5">
        <v>15</v>
      </c>
    </row>
    <row r="19" spans="5:19" x14ac:dyDescent="0.25">
      <c r="E19" s="5" t="s">
        <v>504</v>
      </c>
      <c r="F19" s="5">
        <v>3</v>
      </c>
      <c r="G19" s="5">
        <v>15</v>
      </c>
      <c r="H19" s="5">
        <v>3</v>
      </c>
      <c r="I19" s="5">
        <v>0</v>
      </c>
      <c r="J19" s="5">
        <v>0</v>
      </c>
      <c r="K19" s="5">
        <v>12</v>
      </c>
      <c r="L19" s="5">
        <v>15</v>
      </c>
      <c r="M19" s="5">
        <v>15</v>
      </c>
      <c r="N19" s="5">
        <v>10</v>
      </c>
      <c r="O19" s="5">
        <v>0</v>
      </c>
      <c r="P19" s="5">
        <v>5</v>
      </c>
      <c r="Q19" s="5">
        <v>3</v>
      </c>
    </row>
    <row r="20" spans="5:19" x14ac:dyDescent="0.25">
      <c r="E20" s="5" t="s">
        <v>505</v>
      </c>
      <c r="F20" s="5">
        <v>15</v>
      </c>
      <c r="G20" s="5">
        <v>3</v>
      </c>
      <c r="H20" s="5">
        <v>7</v>
      </c>
      <c r="I20" s="5">
        <v>15</v>
      </c>
      <c r="J20" s="5">
        <v>10</v>
      </c>
      <c r="K20" s="5">
        <v>15</v>
      </c>
      <c r="L20" s="5">
        <v>2</v>
      </c>
      <c r="M20" s="5">
        <v>5</v>
      </c>
      <c r="N20" s="5">
        <v>15</v>
      </c>
      <c r="O20" s="5">
        <v>15</v>
      </c>
      <c r="P20" s="5">
        <v>3</v>
      </c>
      <c r="Q20" s="5">
        <v>15</v>
      </c>
    </row>
    <row r="21" spans="5:19" x14ac:dyDescent="0.25">
      <c r="E21" s="5" t="s">
        <v>506</v>
      </c>
      <c r="F21" s="5">
        <v>3</v>
      </c>
      <c r="G21" s="5">
        <v>15</v>
      </c>
      <c r="H21" s="5">
        <v>15</v>
      </c>
      <c r="I21" s="5">
        <v>5</v>
      </c>
      <c r="J21" s="5">
        <v>12</v>
      </c>
      <c r="K21" s="5">
        <v>7</v>
      </c>
      <c r="L21" s="5">
        <v>15</v>
      </c>
      <c r="M21" s="5">
        <v>15</v>
      </c>
      <c r="N21" s="5">
        <v>10</v>
      </c>
      <c r="O21" s="5">
        <v>0</v>
      </c>
      <c r="P21" s="5">
        <v>0</v>
      </c>
      <c r="Q21" s="5">
        <v>2</v>
      </c>
    </row>
    <row r="22" spans="5:19" x14ac:dyDescent="0.25">
      <c r="E22" s="5" t="s">
        <v>507</v>
      </c>
      <c r="F22" s="5">
        <v>15</v>
      </c>
      <c r="G22" s="5">
        <v>2</v>
      </c>
      <c r="H22" s="5">
        <v>15</v>
      </c>
      <c r="I22" s="5">
        <v>2</v>
      </c>
      <c r="J22" s="5">
        <v>10</v>
      </c>
      <c r="K22" s="5">
        <v>15</v>
      </c>
      <c r="L22" s="5">
        <v>2</v>
      </c>
      <c r="M22" s="5">
        <v>0</v>
      </c>
      <c r="N22" s="5">
        <v>0</v>
      </c>
      <c r="O22" s="5">
        <v>10</v>
      </c>
      <c r="P22" s="5">
        <v>0</v>
      </c>
      <c r="Q22" s="5">
        <v>3</v>
      </c>
    </row>
    <row r="23" spans="5:19" x14ac:dyDescent="0.25">
      <c r="E23" s="5" t="s">
        <v>508</v>
      </c>
      <c r="F23" s="5">
        <v>2</v>
      </c>
      <c r="G23" s="5">
        <v>2</v>
      </c>
      <c r="H23" s="5">
        <v>12</v>
      </c>
      <c r="I23" s="5">
        <v>15</v>
      </c>
      <c r="J23" s="5">
        <v>5</v>
      </c>
      <c r="K23" s="5">
        <v>0</v>
      </c>
      <c r="L23" s="5">
        <v>0</v>
      </c>
      <c r="M23" s="5">
        <v>12</v>
      </c>
      <c r="N23" s="5">
        <v>0</v>
      </c>
      <c r="O23" s="5">
        <v>0</v>
      </c>
      <c r="P23" s="5">
        <v>10</v>
      </c>
      <c r="Q23" s="5">
        <v>15</v>
      </c>
    </row>
    <row r="24" spans="5:19" x14ac:dyDescent="0.25">
      <c r="E24" s="5" t="s">
        <v>509</v>
      </c>
      <c r="F24" s="5">
        <v>5</v>
      </c>
      <c r="G24" s="5">
        <v>15</v>
      </c>
      <c r="H24" s="5">
        <v>7</v>
      </c>
      <c r="I24" s="5">
        <v>10</v>
      </c>
      <c r="J24" s="5">
        <v>0</v>
      </c>
      <c r="K24" s="5">
        <v>0</v>
      </c>
      <c r="L24" s="5">
        <v>10</v>
      </c>
      <c r="M24" s="5">
        <v>15</v>
      </c>
      <c r="N24" s="5">
        <v>10</v>
      </c>
      <c r="O24" s="5">
        <v>3</v>
      </c>
      <c r="P24" s="5">
        <v>15</v>
      </c>
      <c r="Q24" s="5">
        <v>15</v>
      </c>
    </row>
    <row r="27" spans="5:19" x14ac:dyDescent="0.25">
      <c r="F27" s="4" t="s">
        <v>532</v>
      </c>
    </row>
    <row r="29" spans="5:19" x14ac:dyDescent="0.25">
      <c r="F29" s="37" t="b">
        <f>AND(COLUMNS($F9:F9)&gt;=_xlfn.XMATCH($C$9,$F$7:$Q$7),COLUMNS($F9:F9)&lt;=_xlfn.XMATCH($C$10,$F$7:$Q$7),$E9=$C$8)</f>
        <v>0</v>
      </c>
      <c r="G29" s="37" t="b">
        <f>AND(COLUMNS($F9:G9)&gt;=_xlfn.XMATCH($C$9,$F$7:$Q$7),COLUMNS($F9:G9)&lt;=_xlfn.XMATCH($C$10,$F$7:$Q$7),$E9=$C$8)</f>
        <v>0</v>
      </c>
      <c r="H29" s="5" t="b">
        <f>AND(COLUMNS($F9:H9)&gt;=_xlfn.XMATCH($C$9,$F$7:$Q$7),COLUMNS($F9:H9)&lt;=_xlfn.XMATCH($C$10,$F$7:$Q$7),$E9=$C$8)</f>
        <v>0</v>
      </c>
      <c r="I29" s="5" t="b">
        <f>AND(COLUMNS($F9:I9)&gt;=_xlfn.XMATCH($C$9,$F$7:$Q$7),COLUMNS($F9:I9)&lt;=_xlfn.XMATCH($C$10,$F$7:$Q$7),$E9=$C$8)</f>
        <v>0</v>
      </c>
      <c r="J29" s="5" t="b">
        <f>AND(COLUMNS($F9:J9)&gt;=_xlfn.XMATCH($C$9,$F$7:$Q$7),COLUMNS($F9:J9)&lt;=_xlfn.XMATCH($C$10,$F$7:$Q$7),$E9=$C$8)</f>
        <v>0</v>
      </c>
      <c r="K29" s="5" t="b">
        <f>AND(COLUMNS($F9:K9)&gt;=_xlfn.XMATCH($C$9,$F$7:$Q$7),COLUMNS($F9:K9)&lt;=_xlfn.XMATCH($C$10,$F$7:$Q$7),$E9=$C$8)</f>
        <v>0</v>
      </c>
      <c r="L29" s="5" t="b">
        <f>AND(COLUMNS($F9:L9)&gt;=_xlfn.XMATCH($C$9,$F$7:$Q$7),COLUMNS($F9:L9)&lt;=_xlfn.XMATCH($C$10,$F$7:$Q$7),$E9=$C$8)</f>
        <v>0</v>
      </c>
      <c r="M29" s="5" t="b">
        <f>AND(COLUMNS($F9:M9)&gt;=_xlfn.XMATCH($C$9,$F$7:$Q$7),COLUMNS($F9:M9)&lt;=_xlfn.XMATCH($C$10,$F$7:$Q$7),$E9=$C$8)</f>
        <v>0</v>
      </c>
      <c r="N29" s="5" t="b">
        <f>AND(COLUMNS($F9:N9)&gt;=_xlfn.XMATCH($C$9,$F$7:$Q$7),COLUMNS($F9:N9)&lt;=_xlfn.XMATCH($C$10,$F$7:$Q$7),$E9=$C$8)</f>
        <v>0</v>
      </c>
      <c r="O29" s="5" t="b">
        <f>AND(COLUMNS($F9:O9)&gt;=_xlfn.XMATCH($C$9,$F$7:$Q$7),COLUMNS($F9:O9)&lt;=_xlfn.XMATCH($C$10,$F$7:$Q$7),$E9=$C$8)</f>
        <v>0</v>
      </c>
      <c r="P29" s="5" t="b">
        <f>AND(COLUMNS($F9:P9)&gt;=_xlfn.XMATCH($C$9,$F$7:$Q$7),COLUMNS($F9:P9)&lt;=_xlfn.XMATCH($C$10,$F$7:$Q$7),$E9=$C$8)</f>
        <v>0</v>
      </c>
      <c r="Q29" s="5" t="b">
        <f>AND(COLUMNS($F9:Q9)&gt;=_xlfn.XMATCH($C$9,$F$7:$Q$7),COLUMNS($F9:Q9)&lt;=_xlfn.XMATCH($C$10,$F$7:$Q$7),$E9=$C$8)</f>
        <v>0</v>
      </c>
      <c r="S29" s="4" t="str">
        <f>"Formula in cell "&amp;ADDRESS(ROW(F29),COLUMN(F29),4)&amp;":"</f>
        <v>Formula in cell F29:</v>
      </c>
    </row>
    <row r="30" spans="5:19" x14ac:dyDescent="0.25">
      <c r="F30" s="37" t="b">
        <f>AND(COLUMNS($F10:F10)&gt;=_xlfn.XMATCH($C$9,$F$7:$Q$7),COLUMNS($F10:F10)&lt;=_xlfn.XMATCH($C$10,$F$7:$Q$7),$E10=$C$8)</f>
        <v>0</v>
      </c>
      <c r="G30" s="37" t="b">
        <f>AND(COLUMNS($F10:G10)&gt;=_xlfn.XMATCH($C$9,$F$7:$Q$7),COLUMNS($F10:G10)&lt;=_xlfn.XMATCH($C$10,$F$7:$Q$7),$E10=$C$8)</f>
        <v>0</v>
      </c>
      <c r="H30" s="5" t="b">
        <f>AND(COLUMNS($F10:H10)&gt;=_xlfn.XMATCH($C$9,$F$7:$Q$7),COLUMNS($F10:H10)&lt;=_xlfn.XMATCH($C$10,$F$7:$Q$7),$E10=$C$8)</f>
        <v>0</v>
      </c>
      <c r="I30" s="5" t="b">
        <f>AND(COLUMNS($F10:I10)&gt;=_xlfn.XMATCH($C$9,$F$7:$Q$7),COLUMNS($F10:I10)&lt;=_xlfn.XMATCH($C$10,$F$7:$Q$7),$E10=$C$8)</f>
        <v>0</v>
      </c>
      <c r="J30" s="5" t="b">
        <f>AND(COLUMNS($F10:J10)&gt;=_xlfn.XMATCH($C$9,$F$7:$Q$7),COLUMNS($F10:J10)&lt;=_xlfn.XMATCH($C$10,$F$7:$Q$7),$E10=$C$8)</f>
        <v>0</v>
      </c>
      <c r="K30" s="5" t="b">
        <f>AND(COLUMNS($F10:K10)&gt;=_xlfn.XMATCH($C$9,$F$7:$Q$7),COLUMNS($F10:K10)&lt;=_xlfn.XMATCH($C$10,$F$7:$Q$7),$E10=$C$8)</f>
        <v>0</v>
      </c>
      <c r="L30" s="5" t="b">
        <f>AND(COLUMNS($F10:L10)&gt;=_xlfn.XMATCH($C$9,$F$7:$Q$7),COLUMNS($F10:L10)&lt;=_xlfn.XMATCH($C$10,$F$7:$Q$7),$E10=$C$8)</f>
        <v>0</v>
      </c>
      <c r="M30" s="5" t="b">
        <f>AND(COLUMNS($F10:M10)&gt;=_xlfn.XMATCH($C$9,$F$7:$Q$7),COLUMNS($F10:M10)&lt;=_xlfn.XMATCH($C$10,$F$7:$Q$7),$E10=$C$8)</f>
        <v>0</v>
      </c>
      <c r="N30" s="5" t="b">
        <f>AND(COLUMNS($F10:N10)&gt;=_xlfn.XMATCH($C$9,$F$7:$Q$7),COLUMNS($F10:N10)&lt;=_xlfn.XMATCH($C$10,$F$7:$Q$7),$E10=$C$8)</f>
        <v>0</v>
      </c>
      <c r="O30" s="5" t="b">
        <f>AND(COLUMNS($F10:O10)&gt;=_xlfn.XMATCH($C$9,$F$7:$Q$7),COLUMNS($F10:O10)&lt;=_xlfn.XMATCH($C$10,$F$7:$Q$7),$E10=$C$8)</f>
        <v>0</v>
      </c>
      <c r="P30" s="5" t="b">
        <f>AND(COLUMNS($F10:P10)&gt;=_xlfn.XMATCH($C$9,$F$7:$Q$7),COLUMNS($F10:P10)&lt;=_xlfn.XMATCH($C$10,$F$7:$Q$7),$E10=$C$8)</f>
        <v>0</v>
      </c>
      <c r="Q30" s="5" t="b">
        <f>AND(COLUMNS($F10:Q10)&gt;=_xlfn.XMATCH($C$9,$F$7:$Q$7),COLUMNS($F10:Q10)&lt;=_xlfn.XMATCH($C$10,$F$7:$Q$7),$E10=$C$8)</f>
        <v>0</v>
      </c>
      <c r="S30" t="str">
        <f ca="1">_xlfn.IFNA(_xlfn.FORMULATEXT(F29),"")</f>
        <v>=AND(COLUMNS($F9:F9)&gt;=XMATCH($C$9,$F$7:$Q$7),COLUMNS($F9:F9)&lt;=XMATCH($C$10,$F$7:$Q$7),$E9=$C$8)</v>
      </c>
    </row>
    <row r="31" spans="5:19" x14ac:dyDescent="0.25">
      <c r="F31" s="37" t="b">
        <f>AND(COLUMNS($F11:F11)&gt;=_xlfn.XMATCH($C$9,$F$7:$Q$7),COLUMNS($F11:F11)&lt;=_xlfn.XMATCH($C$10,$F$7:$Q$7),$E11=$C$8)</f>
        <v>0</v>
      </c>
      <c r="G31" s="37" t="b">
        <f>AND(COLUMNS($F11:G11)&gt;=_xlfn.XMATCH($C$9,$F$7:$Q$7),COLUMNS($F11:G11)&lt;=_xlfn.XMATCH($C$10,$F$7:$Q$7),$E11=$C$8)</f>
        <v>0</v>
      </c>
      <c r="H31" s="5" t="b">
        <f>AND(COLUMNS($F11:H11)&gt;=_xlfn.XMATCH($C$9,$F$7:$Q$7),COLUMNS($F11:H11)&lt;=_xlfn.XMATCH($C$10,$F$7:$Q$7),$E11=$C$8)</f>
        <v>0</v>
      </c>
      <c r="I31" s="5" t="b">
        <f>AND(COLUMNS($F11:I11)&gt;=_xlfn.XMATCH($C$9,$F$7:$Q$7),COLUMNS($F11:I11)&lt;=_xlfn.XMATCH($C$10,$F$7:$Q$7),$E11=$C$8)</f>
        <v>0</v>
      </c>
      <c r="J31" s="5" t="b">
        <f>AND(COLUMNS($F11:J11)&gt;=_xlfn.XMATCH($C$9,$F$7:$Q$7),COLUMNS($F11:J11)&lt;=_xlfn.XMATCH($C$10,$F$7:$Q$7),$E11=$C$8)</f>
        <v>0</v>
      </c>
      <c r="K31" s="5" t="b">
        <f>AND(COLUMNS($F11:K11)&gt;=_xlfn.XMATCH($C$9,$F$7:$Q$7),COLUMNS($F11:K11)&lt;=_xlfn.XMATCH($C$10,$F$7:$Q$7),$E11=$C$8)</f>
        <v>0</v>
      </c>
      <c r="L31" s="5" t="b">
        <f>AND(COLUMNS($F11:L11)&gt;=_xlfn.XMATCH($C$9,$F$7:$Q$7),COLUMNS($F11:L11)&lt;=_xlfn.XMATCH($C$10,$F$7:$Q$7),$E11=$C$8)</f>
        <v>0</v>
      </c>
      <c r="M31" s="5" t="b">
        <f>AND(COLUMNS($F11:M11)&gt;=_xlfn.XMATCH($C$9,$F$7:$Q$7),COLUMNS($F11:M11)&lt;=_xlfn.XMATCH($C$10,$F$7:$Q$7),$E11=$C$8)</f>
        <v>0</v>
      </c>
      <c r="N31" s="5" t="b">
        <f>AND(COLUMNS($F11:N11)&gt;=_xlfn.XMATCH($C$9,$F$7:$Q$7),COLUMNS($F11:N11)&lt;=_xlfn.XMATCH($C$10,$F$7:$Q$7),$E11=$C$8)</f>
        <v>0</v>
      </c>
      <c r="O31" s="5" t="b">
        <f>AND(COLUMNS($F11:O11)&gt;=_xlfn.XMATCH($C$9,$F$7:$Q$7),COLUMNS($F11:O11)&lt;=_xlfn.XMATCH($C$10,$F$7:$Q$7),$E11=$C$8)</f>
        <v>0</v>
      </c>
      <c r="P31" s="5" t="b">
        <f>AND(COLUMNS($F11:P11)&gt;=_xlfn.XMATCH($C$9,$F$7:$Q$7),COLUMNS($F11:P11)&lt;=_xlfn.XMATCH($C$10,$F$7:$Q$7),$E11=$C$8)</f>
        <v>0</v>
      </c>
      <c r="Q31" s="5" t="b">
        <f>AND(COLUMNS($F11:Q11)&gt;=_xlfn.XMATCH($C$9,$F$7:$Q$7),COLUMNS($F11:Q11)&lt;=_xlfn.XMATCH($C$10,$F$7:$Q$7),$E11=$C$8)</f>
        <v>0</v>
      </c>
    </row>
    <row r="32" spans="5:19" x14ac:dyDescent="0.25">
      <c r="F32" s="37" t="b">
        <f>AND(COLUMNS($F12:F12)&gt;=_xlfn.XMATCH($C$9,$F$7:$Q$7),COLUMNS($F12:F12)&lt;=_xlfn.XMATCH($C$10,$F$7:$Q$7),$E12=$C$8)</f>
        <v>0</v>
      </c>
      <c r="G32" s="37" t="b">
        <f>AND(COLUMNS($F12:G12)&gt;=_xlfn.XMATCH($C$9,$F$7:$Q$7),COLUMNS($F12:G12)&lt;=_xlfn.XMATCH($C$10,$F$7:$Q$7),$E12=$C$8)</f>
        <v>0</v>
      </c>
      <c r="H32" s="5" t="b">
        <f>AND(COLUMNS($F12:H12)&gt;=_xlfn.XMATCH($C$9,$F$7:$Q$7),COLUMNS($F12:H12)&lt;=_xlfn.XMATCH($C$10,$F$7:$Q$7),$E12=$C$8)</f>
        <v>0</v>
      </c>
      <c r="I32" s="5" t="b">
        <f>AND(COLUMNS($F12:I12)&gt;=_xlfn.XMATCH($C$9,$F$7:$Q$7),COLUMNS($F12:I12)&lt;=_xlfn.XMATCH($C$10,$F$7:$Q$7),$E12=$C$8)</f>
        <v>0</v>
      </c>
      <c r="J32" s="5" t="b">
        <f>AND(COLUMNS($F12:J12)&gt;=_xlfn.XMATCH($C$9,$F$7:$Q$7),COLUMNS($F12:J12)&lt;=_xlfn.XMATCH($C$10,$F$7:$Q$7),$E12=$C$8)</f>
        <v>0</v>
      </c>
      <c r="K32" s="5" t="b">
        <f>AND(COLUMNS($F12:K12)&gt;=_xlfn.XMATCH($C$9,$F$7:$Q$7),COLUMNS($F12:K12)&lt;=_xlfn.XMATCH($C$10,$F$7:$Q$7),$E12=$C$8)</f>
        <v>0</v>
      </c>
      <c r="L32" s="5" t="b">
        <f>AND(COLUMNS($F12:L12)&gt;=_xlfn.XMATCH($C$9,$F$7:$Q$7),COLUMNS($F12:L12)&lt;=_xlfn.XMATCH($C$10,$F$7:$Q$7),$E12=$C$8)</f>
        <v>0</v>
      </c>
      <c r="M32" s="5" t="b">
        <f>AND(COLUMNS($F12:M12)&gt;=_xlfn.XMATCH($C$9,$F$7:$Q$7),COLUMNS($F12:M12)&lt;=_xlfn.XMATCH($C$10,$F$7:$Q$7),$E12=$C$8)</f>
        <v>0</v>
      </c>
      <c r="N32" s="5" t="b">
        <f>AND(COLUMNS($F12:N12)&gt;=_xlfn.XMATCH($C$9,$F$7:$Q$7),COLUMNS($F12:N12)&lt;=_xlfn.XMATCH($C$10,$F$7:$Q$7),$E12=$C$8)</f>
        <v>0</v>
      </c>
      <c r="O32" s="5" t="b">
        <f>AND(COLUMNS($F12:O12)&gt;=_xlfn.XMATCH($C$9,$F$7:$Q$7),COLUMNS($F12:O12)&lt;=_xlfn.XMATCH($C$10,$F$7:$Q$7),$E12=$C$8)</f>
        <v>0</v>
      </c>
      <c r="P32" s="5" t="b">
        <f>AND(COLUMNS($F12:P12)&gt;=_xlfn.XMATCH($C$9,$F$7:$Q$7),COLUMNS($F12:P12)&lt;=_xlfn.XMATCH($C$10,$F$7:$Q$7),$E12=$C$8)</f>
        <v>0</v>
      </c>
      <c r="Q32" s="5" t="b">
        <f>AND(COLUMNS($F12:Q12)&gt;=_xlfn.XMATCH($C$9,$F$7:$Q$7),COLUMNS($F12:Q12)&lt;=_xlfn.XMATCH($C$10,$F$7:$Q$7),$E12=$C$8)</f>
        <v>0</v>
      </c>
    </row>
    <row r="33" spans="6:17" x14ac:dyDescent="0.25">
      <c r="F33" s="37" t="b">
        <f>AND(COLUMNS($F13:F13)&gt;=_xlfn.XMATCH($C$9,$F$7:$Q$7),COLUMNS($F13:F13)&lt;=_xlfn.XMATCH($C$10,$F$7:$Q$7),$E13=$C$8)</f>
        <v>1</v>
      </c>
      <c r="G33" s="37" t="b">
        <f>AND(COLUMNS($F13:G13)&gt;=_xlfn.XMATCH($C$9,$F$7:$Q$7),COLUMNS($F13:G13)&lt;=_xlfn.XMATCH($C$10,$F$7:$Q$7),$E13=$C$8)</f>
        <v>1</v>
      </c>
      <c r="H33" s="5" t="b">
        <f>AND(COLUMNS($F13:H13)&gt;=_xlfn.XMATCH($C$9,$F$7:$Q$7),COLUMNS($F13:H13)&lt;=_xlfn.XMATCH($C$10,$F$7:$Q$7),$E13=$C$8)</f>
        <v>1</v>
      </c>
      <c r="I33" s="5" t="b">
        <f>AND(COLUMNS($F13:I13)&gt;=_xlfn.XMATCH($C$9,$F$7:$Q$7),COLUMNS($F13:I13)&lt;=_xlfn.XMATCH($C$10,$F$7:$Q$7),$E13=$C$8)</f>
        <v>1</v>
      </c>
      <c r="J33" s="5" t="b">
        <f>AND(COLUMNS($F13:J13)&gt;=_xlfn.XMATCH($C$9,$F$7:$Q$7),COLUMNS($F13:J13)&lt;=_xlfn.XMATCH($C$10,$F$7:$Q$7),$E13=$C$8)</f>
        <v>1</v>
      </c>
      <c r="K33" s="5" t="b">
        <f>AND(COLUMNS($F13:K13)&gt;=_xlfn.XMATCH($C$9,$F$7:$Q$7),COLUMNS($F13:K13)&lt;=_xlfn.XMATCH($C$10,$F$7:$Q$7),$E13=$C$8)</f>
        <v>1</v>
      </c>
      <c r="L33" s="5" t="b">
        <f>AND(COLUMNS($F13:L13)&gt;=_xlfn.XMATCH($C$9,$F$7:$Q$7),COLUMNS($F13:L13)&lt;=_xlfn.XMATCH($C$10,$F$7:$Q$7),$E13=$C$8)</f>
        <v>1</v>
      </c>
      <c r="M33" s="5" t="b">
        <f>AND(COLUMNS($F13:M13)&gt;=_xlfn.XMATCH($C$9,$F$7:$Q$7),COLUMNS($F13:M13)&lt;=_xlfn.XMATCH($C$10,$F$7:$Q$7),$E13=$C$8)</f>
        <v>0</v>
      </c>
      <c r="N33" s="5" t="b">
        <f>AND(COLUMNS($F13:N13)&gt;=_xlfn.XMATCH($C$9,$F$7:$Q$7),COLUMNS($F13:N13)&lt;=_xlfn.XMATCH($C$10,$F$7:$Q$7),$E13=$C$8)</f>
        <v>0</v>
      </c>
      <c r="O33" s="5" t="b">
        <f>AND(COLUMNS($F13:O13)&gt;=_xlfn.XMATCH($C$9,$F$7:$Q$7),COLUMNS($F13:O13)&lt;=_xlfn.XMATCH($C$10,$F$7:$Q$7),$E13=$C$8)</f>
        <v>0</v>
      </c>
      <c r="P33" s="5" t="b">
        <f>AND(COLUMNS($F13:P13)&gt;=_xlfn.XMATCH($C$9,$F$7:$Q$7),COLUMNS($F13:P13)&lt;=_xlfn.XMATCH($C$10,$F$7:$Q$7),$E13=$C$8)</f>
        <v>0</v>
      </c>
      <c r="Q33" s="5" t="b">
        <f>AND(COLUMNS($F13:Q13)&gt;=_xlfn.XMATCH($C$9,$F$7:$Q$7),COLUMNS($F13:Q13)&lt;=_xlfn.XMATCH($C$10,$F$7:$Q$7),$E13=$C$8)</f>
        <v>0</v>
      </c>
    </row>
    <row r="34" spans="6:17" x14ac:dyDescent="0.25">
      <c r="F34" s="37" t="b">
        <f>AND(COLUMNS($F14:F14)&gt;=_xlfn.XMATCH($C$9,$F$7:$Q$7),COLUMNS($F14:F14)&lt;=_xlfn.XMATCH($C$10,$F$7:$Q$7),$E14=$C$8)</f>
        <v>0</v>
      </c>
      <c r="G34" s="37" t="b">
        <f>AND(COLUMNS($F14:G14)&gt;=_xlfn.XMATCH($C$9,$F$7:$Q$7),COLUMNS($F14:G14)&lt;=_xlfn.XMATCH($C$10,$F$7:$Q$7),$E14=$C$8)</f>
        <v>0</v>
      </c>
      <c r="H34" s="5" t="b">
        <f>AND(COLUMNS($F14:H14)&gt;=_xlfn.XMATCH($C$9,$F$7:$Q$7),COLUMNS($F14:H14)&lt;=_xlfn.XMATCH($C$10,$F$7:$Q$7),$E14=$C$8)</f>
        <v>0</v>
      </c>
      <c r="I34" s="5" t="b">
        <f>AND(COLUMNS($F14:I14)&gt;=_xlfn.XMATCH($C$9,$F$7:$Q$7),COLUMNS($F14:I14)&lt;=_xlfn.XMATCH($C$10,$F$7:$Q$7),$E14=$C$8)</f>
        <v>0</v>
      </c>
      <c r="J34" s="5" t="b">
        <f>AND(COLUMNS($F14:J14)&gt;=_xlfn.XMATCH($C$9,$F$7:$Q$7),COLUMNS($F14:J14)&lt;=_xlfn.XMATCH($C$10,$F$7:$Q$7),$E14=$C$8)</f>
        <v>0</v>
      </c>
      <c r="K34" s="5" t="b">
        <f>AND(COLUMNS($F14:K14)&gt;=_xlfn.XMATCH($C$9,$F$7:$Q$7),COLUMNS($F14:K14)&lt;=_xlfn.XMATCH($C$10,$F$7:$Q$7),$E14=$C$8)</f>
        <v>0</v>
      </c>
      <c r="L34" s="5" t="b">
        <f>AND(COLUMNS($F14:L14)&gt;=_xlfn.XMATCH($C$9,$F$7:$Q$7),COLUMNS($F14:L14)&lt;=_xlfn.XMATCH($C$10,$F$7:$Q$7),$E14=$C$8)</f>
        <v>0</v>
      </c>
      <c r="M34" s="5" t="b">
        <f>AND(COLUMNS($F14:M14)&gt;=_xlfn.XMATCH($C$9,$F$7:$Q$7),COLUMNS($F14:M14)&lt;=_xlfn.XMATCH($C$10,$F$7:$Q$7),$E14=$C$8)</f>
        <v>0</v>
      </c>
      <c r="N34" s="5" t="b">
        <f>AND(COLUMNS($F14:N14)&gt;=_xlfn.XMATCH($C$9,$F$7:$Q$7),COLUMNS($F14:N14)&lt;=_xlfn.XMATCH($C$10,$F$7:$Q$7),$E14=$C$8)</f>
        <v>0</v>
      </c>
      <c r="O34" s="5" t="b">
        <f>AND(COLUMNS($F14:O14)&gt;=_xlfn.XMATCH($C$9,$F$7:$Q$7),COLUMNS($F14:O14)&lt;=_xlfn.XMATCH($C$10,$F$7:$Q$7),$E14=$C$8)</f>
        <v>0</v>
      </c>
      <c r="P34" s="5" t="b">
        <f>AND(COLUMNS($F14:P14)&gt;=_xlfn.XMATCH($C$9,$F$7:$Q$7),COLUMNS($F14:P14)&lt;=_xlfn.XMATCH($C$10,$F$7:$Q$7),$E14=$C$8)</f>
        <v>0</v>
      </c>
      <c r="Q34" s="5" t="b">
        <f>AND(COLUMNS($F14:Q14)&gt;=_xlfn.XMATCH($C$9,$F$7:$Q$7),COLUMNS($F14:Q14)&lt;=_xlfn.XMATCH($C$10,$F$7:$Q$7),$E14=$C$8)</f>
        <v>0</v>
      </c>
    </row>
    <row r="35" spans="6:17" x14ac:dyDescent="0.25">
      <c r="F35" s="242" t="b">
        <f>AND(COLUMNS($F15:F15)&gt;=_xlfn.XMATCH($C$9,$F$7:$Q$7),COLUMNS($F15:F15)&lt;=_xlfn.XMATCH($C$10,$F$7:$Q$7),$E15=$C$8)</f>
        <v>0</v>
      </c>
      <c r="G35" s="5" t="b">
        <f>AND(COLUMNS($F15:G15)&gt;=_xlfn.XMATCH($C$9,$F$7:$Q$7),COLUMNS($F15:G15)&lt;=_xlfn.XMATCH($C$10,$F$7:$Q$7),$E15=$C$8)</f>
        <v>0</v>
      </c>
      <c r="H35" s="5" t="b">
        <f>AND(COLUMNS($F15:H15)&gt;=_xlfn.XMATCH($C$9,$F$7:$Q$7),COLUMNS($F15:H15)&lt;=_xlfn.XMATCH($C$10,$F$7:$Q$7),$E15=$C$8)</f>
        <v>0</v>
      </c>
      <c r="I35" s="5" t="b">
        <f>AND(COLUMNS($F15:I15)&gt;=_xlfn.XMATCH($C$9,$F$7:$Q$7),COLUMNS($F15:I15)&lt;=_xlfn.XMATCH($C$10,$F$7:$Q$7),$E15=$C$8)</f>
        <v>0</v>
      </c>
      <c r="J35" s="5" t="b">
        <f>AND(COLUMNS($F15:J15)&gt;=_xlfn.XMATCH($C$9,$F$7:$Q$7),COLUMNS($F15:J15)&lt;=_xlfn.XMATCH($C$10,$F$7:$Q$7),$E15=$C$8)</f>
        <v>0</v>
      </c>
      <c r="K35" s="5" t="b">
        <f>AND(COLUMNS($F15:K15)&gt;=_xlfn.XMATCH($C$9,$F$7:$Q$7),COLUMNS($F15:K15)&lt;=_xlfn.XMATCH($C$10,$F$7:$Q$7),$E15=$C$8)</f>
        <v>0</v>
      </c>
      <c r="L35" s="5" t="b">
        <f>AND(COLUMNS($F15:L15)&gt;=_xlfn.XMATCH($C$9,$F$7:$Q$7),COLUMNS($F15:L15)&lt;=_xlfn.XMATCH($C$10,$F$7:$Q$7),$E15=$C$8)</f>
        <v>0</v>
      </c>
      <c r="M35" s="5" t="b">
        <f>AND(COLUMNS($F15:M15)&gt;=_xlfn.XMATCH($C$9,$F$7:$Q$7),COLUMNS($F15:M15)&lt;=_xlfn.XMATCH($C$10,$F$7:$Q$7),$E15=$C$8)</f>
        <v>0</v>
      </c>
      <c r="N35" s="5" t="b">
        <f>AND(COLUMNS($F15:N15)&gt;=_xlfn.XMATCH($C$9,$F$7:$Q$7),COLUMNS($F15:N15)&lt;=_xlfn.XMATCH($C$10,$F$7:$Q$7),$E15=$C$8)</f>
        <v>0</v>
      </c>
      <c r="O35" s="5" t="b">
        <f>AND(COLUMNS($F15:O15)&gt;=_xlfn.XMATCH($C$9,$F$7:$Q$7),COLUMNS($F15:O15)&lt;=_xlfn.XMATCH($C$10,$F$7:$Q$7),$E15=$C$8)</f>
        <v>0</v>
      </c>
      <c r="P35" s="5" t="b">
        <f>AND(COLUMNS($F15:P15)&gt;=_xlfn.XMATCH($C$9,$F$7:$Q$7),COLUMNS($F15:P15)&lt;=_xlfn.XMATCH($C$10,$F$7:$Q$7),$E15=$C$8)</f>
        <v>0</v>
      </c>
      <c r="Q35" s="5" t="b">
        <f>AND(COLUMNS($F15:Q15)&gt;=_xlfn.XMATCH($C$9,$F$7:$Q$7),COLUMNS($F15:Q15)&lt;=_xlfn.XMATCH($C$10,$F$7:$Q$7),$E15=$C$8)</f>
        <v>0</v>
      </c>
    </row>
    <row r="36" spans="6:17" x14ac:dyDescent="0.25">
      <c r="F36" s="242" t="b">
        <f>AND(COLUMNS($F16:F16)&gt;=_xlfn.XMATCH($C$9,$F$7:$Q$7),COLUMNS($F16:F16)&lt;=_xlfn.XMATCH($C$10,$F$7:$Q$7),$E16=$C$8)</f>
        <v>0</v>
      </c>
      <c r="G36" s="5" t="b">
        <f>AND(COLUMNS($F16:G16)&gt;=_xlfn.XMATCH($C$9,$F$7:$Q$7),COLUMNS($F16:G16)&lt;=_xlfn.XMATCH($C$10,$F$7:$Q$7),$E16=$C$8)</f>
        <v>0</v>
      </c>
      <c r="H36" s="5" t="b">
        <f>AND(COLUMNS($F16:H16)&gt;=_xlfn.XMATCH($C$9,$F$7:$Q$7),COLUMNS($F16:H16)&lt;=_xlfn.XMATCH($C$10,$F$7:$Q$7),$E16=$C$8)</f>
        <v>0</v>
      </c>
      <c r="I36" s="5" t="b">
        <f>AND(COLUMNS($F16:I16)&gt;=_xlfn.XMATCH($C$9,$F$7:$Q$7),COLUMNS($F16:I16)&lt;=_xlfn.XMATCH($C$10,$F$7:$Q$7),$E16=$C$8)</f>
        <v>0</v>
      </c>
      <c r="J36" s="5" t="b">
        <f>AND(COLUMNS($F16:J16)&gt;=_xlfn.XMATCH($C$9,$F$7:$Q$7),COLUMNS($F16:J16)&lt;=_xlfn.XMATCH($C$10,$F$7:$Q$7),$E16=$C$8)</f>
        <v>0</v>
      </c>
      <c r="K36" s="5" t="b">
        <f>AND(COLUMNS($F16:K16)&gt;=_xlfn.XMATCH($C$9,$F$7:$Q$7),COLUMNS($F16:K16)&lt;=_xlfn.XMATCH($C$10,$F$7:$Q$7),$E16=$C$8)</f>
        <v>0</v>
      </c>
      <c r="L36" s="5" t="b">
        <f>AND(COLUMNS($F16:L16)&gt;=_xlfn.XMATCH($C$9,$F$7:$Q$7),COLUMNS($F16:L16)&lt;=_xlfn.XMATCH($C$10,$F$7:$Q$7),$E16=$C$8)</f>
        <v>0</v>
      </c>
      <c r="M36" s="5" t="b">
        <f>AND(COLUMNS($F16:M16)&gt;=_xlfn.XMATCH($C$9,$F$7:$Q$7),COLUMNS($F16:M16)&lt;=_xlfn.XMATCH($C$10,$F$7:$Q$7),$E16=$C$8)</f>
        <v>0</v>
      </c>
      <c r="N36" s="5" t="b">
        <f>AND(COLUMNS($F16:N16)&gt;=_xlfn.XMATCH($C$9,$F$7:$Q$7),COLUMNS($F16:N16)&lt;=_xlfn.XMATCH($C$10,$F$7:$Q$7),$E16=$C$8)</f>
        <v>0</v>
      </c>
      <c r="O36" s="5" t="b">
        <f>AND(COLUMNS($F16:O16)&gt;=_xlfn.XMATCH($C$9,$F$7:$Q$7),COLUMNS($F16:O16)&lt;=_xlfn.XMATCH($C$10,$F$7:$Q$7),$E16=$C$8)</f>
        <v>0</v>
      </c>
      <c r="P36" s="5" t="b">
        <f>AND(COLUMNS($F16:P16)&gt;=_xlfn.XMATCH($C$9,$F$7:$Q$7),COLUMNS($F16:P16)&lt;=_xlfn.XMATCH($C$10,$F$7:$Q$7),$E16=$C$8)</f>
        <v>0</v>
      </c>
      <c r="Q36" s="5" t="b">
        <f>AND(COLUMNS($F16:Q16)&gt;=_xlfn.XMATCH($C$9,$F$7:$Q$7),COLUMNS($F16:Q16)&lt;=_xlfn.XMATCH($C$10,$F$7:$Q$7),$E16=$C$8)</f>
        <v>0</v>
      </c>
    </row>
    <row r="37" spans="6:17" x14ac:dyDescent="0.25">
      <c r="F37" s="5" t="b">
        <f>AND(COLUMNS($F17:F17)&gt;=_xlfn.XMATCH($C$9,$F$7:$Q$7),COLUMNS($F17:F17)&lt;=_xlfn.XMATCH($C$10,$F$7:$Q$7),$E17=$C$8)</f>
        <v>0</v>
      </c>
      <c r="G37" s="5" t="b">
        <f>AND(COLUMNS($F17:G17)&gt;=_xlfn.XMATCH($C$9,$F$7:$Q$7),COLUMNS($F17:G17)&lt;=_xlfn.XMATCH($C$10,$F$7:$Q$7),$E17=$C$8)</f>
        <v>0</v>
      </c>
      <c r="H37" s="5" t="b">
        <f>AND(COLUMNS($F17:H17)&gt;=_xlfn.XMATCH($C$9,$F$7:$Q$7),COLUMNS($F17:H17)&lt;=_xlfn.XMATCH($C$10,$F$7:$Q$7),$E17=$C$8)</f>
        <v>0</v>
      </c>
      <c r="I37" s="5" t="b">
        <f>AND(COLUMNS($F17:I17)&gt;=_xlfn.XMATCH($C$9,$F$7:$Q$7),COLUMNS($F17:I17)&lt;=_xlfn.XMATCH($C$10,$F$7:$Q$7),$E17=$C$8)</f>
        <v>0</v>
      </c>
      <c r="J37" s="5" t="b">
        <f>AND(COLUMNS($F17:J17)&gt;=_xlfn.XMATCH($C$9,$F$7:$Q$7),COLUMNS($F17:J17)&lt;=_xlfn.XMATCH($C$10,$F$7:$Q$7),$E17=$C$8)</f>
        <v>0</v>
      </c>
      <c r="K37" s="5" t="b">
        <f>AND(COLUMNS($F17:K17)&gt;=_xlfn.XMATCH($C$9,$F$7:$Q$7),COLUMNS($F17:K17)&lt;=_xlfn.XMATCH($C$10,$F$7:$Q$7),$E17=$C$8)</f>
        <v>0</v>
      </c>
      <c r="L37" s="5" t="b">
        <f>AND(COLUMNS($F17:L17)&gt;=_xlfn.XMATCH($C$9,$F$7:$Q$7),COLUMNS($F17:L17)&lt;=_xlfn.XMATCH($C$10,$F$7:$Q$7),$E17=$C$8)</f>
        <v>0</v>
      </c>
      <c r="M37" s="5" t="b">
        <f>AND(COLUMNS($F17:M17)&gt;=_xlfn.XMATCH($C$9,$F$7:$Q$7),COLUMNS($F17:M17)&lt;=_xlfn.XMATCH($C$10,$F$7:$Q$7),$E17=$C$8)</f>
        <v>0</v>
      </c>
      <c r="N37" s="5" t="b">
        <f>AND(COLUMNS($F17:N17)&gt;=_xlfn.XMATCH($C$9,$F$7:$Q$7),COLUMNS($F17:N17)&lt;=_xlfn.XMATCH($C$10,$F$7:$Q$7),$E17=$C$8)</f>
        <v>0</v>
      </c>
      <c r="O37" s="5" t="b">
        <f>AND(COLUMNS($F17:O17)&gt;=_xlfn.XMATCH($C$9,$F$7:$Q$7),COLUMNS($F17:O17)&lt;=_xlfn.XMATCH($C$10,$F$7:$Q$7),$E17=$C$8)</f>
        <v>0</v>
      </c>
      <c r="P37" s="5" t="b">
        <f>AND(COLUMNS($F17:P17)&gt;=_xlfn.XMATCH($C$9,$F$7:$Q$7),COLUMNS($F17:P17)&lt;=_xlfn.XMATCH($C$10,$F$7:$Q$7),$E17=$C$8)</f>
        <v>0</v>
      </c>
      <c r="Q37" s="5" t="b">
        <f>AND(COLUMNS($F17:Q17)&gt;=_xlfn.XMATCH($C$9,$F$7:$Q$7),COLUMNS($F17:Q17)&lt;=_xlfn.XMATCH($C$10,$F$7:$Q$7),$E17=$C$8)</f>
        <v>0</v>
      </c>
    </row>
    <row r="38" spans="6:17" x14ac:dyDescent="0.25">
      <c r="F38" s="5" t="b">
        <f>AND(COLUMNS($F18:F18)&gt;=_xlfn.XMATCH($C$9,$F$7:$Q$7),COLUMNS($F18:F18)&lt;=_xlfn.XMATCH($C$10,$F$7:$Q$7),$E18=$C$8)</f>
        <v>0</v>
      </c>
      <c r="G38" s="5" t="b">
        <f>AND(COLUMNS($F18:G18)&gt;=_xlfn.XMATCH($C$9,$F$7:$Q$7),COLUMNS($F18:G18)&lt;=_xlfn.XMATCH($C$10,$F$7:$Q$7),$E18=$C$8)</f>
        <v>0</v>
      </c>
      <c r="H38" s="5" t="b">
        <f>AND(COLUMNS($F18:H18)&gt;=_xlfn.XMATCH($C$9,$F$7:$Q$7),COLUMNS($F18:H18)&lt;=_xlfn.XMATCH($C$10,$F$7:$Q$7),$E18=$C$8)</f>
        <v>0</v>
      </c>
      <c r="I38" s="5" t="b">
        <f>AND(COLUMNS($F18:I18)&gt;=_xlfn.XMATCH($C$9,$F$7:$Q$7),COLUMNS($F18:I18)&lt;=_xlfn.XMATCH($C$10,$F$7:$Q$7),$E18=$C$8)</f>
        <v>0</v>
      </c>
      <c r="J38" s="5" t="b">
        <f>AND(COLUMNS($F18:J18)&gt;=_xlfn.XMATCH($C$9,$F$7:$Q$7),COLUMNS($F18:J18)&lt;=_xlfn.XMATCH($C$10,$F$7:$Q$7),$E18=$C$8)</f>
        <v>0</v>
      </c>
      <c r="K38" s="5" t="b">
        <f>AND(COLUMNS($F18:K18)&gt;=_xlfn.XMATCH($C$9,$F$7:$Q$7),COLUMNS($F18:K18)&lt;=_xlfn.XMATCH($C$10,$F$7:$Q$7),$E18=$C$8)</f>
        <v>0</v>
      </c>
      <c r="L38" s="5" t="b">
        <f>AND(COLUMNS($F18:L18)&gt;=_xlfn.XMATCH($C$9,$F$7:$Q$7),COLUMNS($F18:L18)&lt;=_xlfn.XMATCH($C$10,$F$7:$Q$7),$E18=$C$8)</f>
        <v>0</v>
      </c>
      <c r="M38" s="5" t="b">
        <f>AND(COLUMNS($F18:M18)&gt;=_xlfn.XMATCH($C$9,$F$7:$Q$7),COLUMNS($F18:M18)&lt;=_xlfn.XMATCH($C$10,$F$7:$Q$7),$E18=$C$8)</f>
        <v>0</v>
      </c>
      <c r="N38" s="5" t="b">
        <f>AND(COLUMNS($F18:N18)&gt;=_xlfn.XMATCH($C$9,$F$7:$Q$7),COLUMNS($F18:N18)&lt;=_xlfn.XMATCH($C$10,$F$7:$Q$7),$E18=$C$8)</f>
        <v>0</v>
      </c>
      <c r="O38" s="5" t="b">
        <f>AND(COLUMNS($F18:O18)&gt;=_xlfn.XMATCH($C$9,$F$7:$Q$7),COLUMNS($F18:O18)&lt;=_xlfn.XMATCH($C$10,$F$7:$Q$7),$E18=$C$8)</f>
        <v>0</v>
      </c>
      <c r="P38" s="5" t="b">
        <f>AND(COLUMNS($F18:P18)&gt;=_xlfn.XMATCH($C$9,$F$7:$Q$7),COLUMNS($F18:P18)&lt;=_xlfn.XMATCH($C$10,$F$7:$Q$7),$E18=$C$8)</f>
        <v>0</v>
      </c>
      <c r="Q38" s="5" t="b">
        <f>AND(COLUMNS($F18:Q18)&gt;=_xlfn.XMATCH($C$9,$F$7:$Q$7),COLUMNS($F18:Q18)&lt;=_xlfn.XMATCH($C$10,$F$7:$Q$7),$E18=$C$8)</f>
        <v>0</v>
      </c>
    </row>
    <row r="39" spans="6:17" x14ac:dyDescent="0.25">
      <c r="F39" s="5" t="b">
        <f>AND(COLUMNS($F19:F19)&gt;=_xlfn.XMATCH($C$9,$F$7:$Q$7),COLUMNS($F19:F19)&lt;=_xlfn.XMATCH($C$10,$F$7:$Q$7),$E19=$C$8)</f>
        <v>0</v>
      </c>
      <c r="G39" s="5" t="b">
        <f>AND(COLUMNS($F19:G19)&gt;=_xlfn.XMATCH($C$9,$F$7:$Q$7),COLUMNS($F19:G19)&lt;=_xlfn.XMATCH($C$10,$F$7:$Q$7),$E19=$C$8)</f>
        <v>0</v>
      </c>
      <c r="H39" s="5" t="b">
        <f>AND(COLUMNS($F19:H19)&gt;=_xlfn.XMATCH($C$9,$F$7:$Q$7),COLUMNS($F19:H19)&lt;=_xlfn.XMATCH($C$10,$F$7:$Q$7),$E19=$C$8)</f>
        <v>0</v>
      </c>
      <c r="I39" s="5" t="b">
        <f>AND(COLUMNS($F19:I19)&gt;=_xlfn.XMATCH($C$9,$F$7:$Q$7),COLUMNS($F19:I19)&lt;=_xlfn.XMATCH($C$10,$F$7:$Q$7),$E19=$C$8)</f>
        <v>0</v>
      </c>
      <c r="J39" s="5" t="b">
        <f>AND(COLUMNS($F19:J19)&gt;=_xlfn.XMATCH($C$9,$F$7:$Q$7),COLUMNS($F19:J19)&lt;=_xlfn.XMATCH($C$10,$F$7:$Q$7),$E19=$C$8)</f>
        <v>0</v>
      </c>
      <c r="K39" s="5" t="b">
        <f>AND(COLUMNS($F19:K19)&gt;=_xlfn.XMATCH($C$9,$F$7:$Q$7),COLUMNS($F19:K19)&lt;=_xlfn.XMATCH($C$10,$F$7:$Q$7),$E19=$C$8)</f>
        <v>0</v>
      </c>
      <c r="L39" s="5" t="b">
        <f>AND(COLUMNS($F19:L19)&gt;=_xlfn.XMATCH($C$9,$F$7:$Q$7),COLUMNS($F19:L19)&lt;=_xlfn.XMATCH($C$10,$F$7:$Q$7),$E19=$C$8)</f>
        <v>0</v>
      </c>
      <c r="M39" s="5" t="b">
        <f>AND(COLUMNS($F19:M19)&gt;=_xlfn.XMATCH($C$9,$F$7:$Q$7),COLUMNS($F19:M19)&lt;=_xlfn.XMATCH($C$10,$F$7:$Q$7),$E19=$C$8)</f>
        <v>0</v>
      </c>
      <c r="N39" s="5" t="b">
        <f>AND(COLUMNS($F19:N19)&gt;=_xlfn.XMATCH($C$9,$F$7:$Q$7),COLUMNS($F19:N19)&lt;=_xlfn.XMATCH($C$10,$F$7:$Q$7),$E19=$C$8)</f>
        <v>0</v>
      </c>
      <c r="O39" s="5" t="b">
        <f>AND(COLUMNS($F19:O19)&gt;=_xlfn.XMATCH($C$9,$F$7:$Q$7),COLUMNS($F19:O19)&lt;=_xlfn.XMATCH($C$10,$F$7:$Q$7),$E19=$C$8)</f>
        <v>0</v>
      </c>
      <c r="P39" s="5" t="b">
        <f>AND(COLUMNS($F19:P19)&gt;=_xlfn.XMATCH($C$9,$F$7:$Q$7),COLUMNS($F19:P19)&lt;=_xlfn.XMATCH($C$10,$F$7:$Q$7),$E19=$C$8)</f>
        <v>0</v>
      </c>
      <c r="Q39" s="5" t="b">
        <f>AND(COLUMNS($F19:Q19)&gt;=_xlfn.XMATCH($C$9,$F$7:$Q$7),COLUMNS($F19:Q19)&lt;=_xlfn.XMATCH($C$10,$F$7:$Q$7),$E19=$C$8)</f>
        <v>0</v>
      </c>
    </row>
    <row r="40" spans="6:17" x14ac:dyDescent="0.25">
      <c r="F40" s="5" t="b">
        <f>AND(COLUMNS($F20:F20)&gt;=_xlfn.XMATCH($C$9,$F$7:$Q$7),COLUMNS($F20:F20)&lt;=_xlfn.XMATCH($C$10,$F$7:$Q$7),$E20=$C$8)</f>
        <v>0</v>
      </c>
      <c r="G40" s="5" t="b">
        <f>AND(COLUMNS($F20:G20)&gt;=_xlfn.XMATCH($C$9,$F$7:$Q$7),COLUMNS($F20:G20)&lt;=_xlfn.XMATCH($C$10,$F$7:$Q$7),$E20=$C$8)</f>
        <v>0</v>
      </c>
      <c r="H40" s="5" t="b">
        <f>AND(COLUMNS($F20:H20)&gt;=_xlfn.XMATCH($C$9,$F$7:$Q$7),COLUMNS($F20:H20)&lt;=_xlfn.XMATCH($C$10,$F$7:$Q$7),$E20=$C$8)</f>
        <v>0</v>
      </c>
      <c r="I40" s="5" t="b">
        <f>AND(COLUMNS($F20:I20)&gt;=_xlfn.XMATCH($C$9,$F$7:$Q$7),COLUMNS($F20:I20)&lt;=_xlfn.XMATCH($C$10,$F$7:$Q$7),$E20=$C$8)</f>
        <v>0</v>
      </c>
      <c r="J40" s="5" t="b">
        <f>AND(COLUMNS($F20:J20)&gt;=_xlfn.XMATCH($C$9,$F$7:$Q$7),COLUMNS($F20:J20)&lt;=_xlfn.XMATCH($C$10,$F$7:$Q$7),$E20=$C$8)</f>
        <v>0</v>
      </c>
      <c r="K40" s="5" t="b">
        <f>AND(COLUMNS($F20:K20)&gt;=_xlfn.XMATCH($C$9,$F$7:$Q$7),COLUMNS($F20:K20)&lt;=_xlfn.XMATCH($C$10,$F$7:$Q$7),$E20=$C$8)</f>
        <v>0</v>
      </c>
      <c r="L40" s="5" t="b">
        <f>AND(COLUMNS($F20:L20)&gt;=_xlfn.XMATCH($C$9,$F$7:$Q$7),COLUMNS($F20:L20)&lt;=_xlfn.XMATCH($C$10,$F$7:$Q$7),$E20=$C$8)</f>
        <v>0</v>
      </c>
      <c r="M40" s="5" t="b">
        <f>AND(COLUMNS($F20:M20)&gt;=_xlfn.XMATCH($C$9,$F$7:$Q$7),COLUMNS($F20:M20)&lt;=_xlfn.XMATCH($C$10,$F$7:$Q$7),$E20=$C$8)</f>
        <v>0</v>
      </c>
      <c r="N40" s="5" t="b">
        <f>AND(COLUMNS($F20:N20)&gt;=_xlfn.XMATCH($C$9,$F$7:$Q$7),COLUMNS($F20:N20)&lt;=_xlfn.XMATCH($C$10,$F$7:$Q$7),$E20=$C$8)</f>
        <v>0</v>
      </c>
      <c r="O40" s="5" t="b">
        <f>AND(COLUMNS($F20:O20)&gt;=_xlfn.XMATCH($C$9,$F$7:$Q$7),COLUMNS($F20:O20)&lt;=_xlfn.XMATCH($C$10,$F$7:$Q$7),$E20=$C$8)</f>
        <v>0</v>
      </c>
      <c r="P40" s="5" t="b">
        <f>AND(COLUMNS($F20:P20)&gt;=_xlfn.XMATCH($C$9,$F$7:$Q$7),COLUMNS($F20:P20)&lt;=_xlfn.XMATCH($C$10,$F$7:$Q$7),$E20=$C$8)</f>
        <v>0</v>
      </c>
      <c r="Q40" s="5" t="b">
        <f>AND(COLUMNS($F20:Q20)&gt;=_xlfn.XMATCH($C$9,$F$7:$Q$7),COLUMNS($F20:Q20)&lt;=_xlfn.XMATCH($C$10,$F$7:$Q$7),$E20=$C$8)</f>
        <v>0</v>
      </c>
    </row>
    <row r="41" spans="6:17" x14ac:dyDescent="0.25">
      <c r="F41" s="5" t="b">
        <f>AND(COLUMNS($F21:F21)&gt;=_xlfn.XMATCH($C$9,$F$7:$Q$7),COLUMNS($F21:F21)&lt;=_xlfn.XMATCH($C$10,$F$7:$Q$7),$E21=$C$8)</f>
        <v>0</v>
      </c>
      <c r="G41" s="5" t="b">
        <f>AND(COLUMNS($F21:G21)&gt;=_xlfn.XMATCH($C$9,$F$7:$Q$7),COLUMNS($F21:G21)&lt;=_xlfn.XMATCH($C$10,$F$7:$Q$7),$E21=$C$8)</f>
        <v>0</v>
      </c>
      <c r="H41" s="5" t="b">
        <f>AND(COLUMNS($F21:H21)&gt;=_xlfn.XMATCH($C$9,$F$7:$Q$7),COLUMNS($F21:H21)&lt;=_xlfn.XMATCH($C$10,$F$7:$Q$7),$E21=$C$8)</f>
        <v>0</v>
      </c>
      <c r="I41" s="5" t="b">
        <f>AND(COLUMNS($F21:I21)&gt;=_xlfn.XMATCH($C$9,$F$7:$Q$7),COLUMNS($F21:I21)&lt;=_xlfn.XMATCH($C$10,$F$7:$Q$7),$E21=$C$8)</f>
        <v>0</v>
      </c>
      <c r="J41" s="5" t="b">
        <f>AND(COLUMNS($F21:J21)&gt;=_xlfn.XMATCH($C$9,$F$7:$Q$7),COLUMNS($F21:J21)&lt;=_xlfn.XMATCH($C$10,$F$7:$Q$7),$E21=$C$8)</f>
        <v>0</v>
      </c>
      <c r="K41" s="5" t="b">
        <f>AND(COLUMNS($F21:K21)&gt;=_xlfn.XMATCH($C$9,$F$7:$Q$7),COLUMNS($F21:K21)&lt;=_xlfn.XMATCH($C$10,$F$7:$Q$7),$E21=$C$8)</f>
        <v>0</v>
      </c>
      <c r="L41" s="5" t="b">
        <f>AND(COLUMNS($F21:L21)&gt;=_xlfn.XMATCH($C$9,$F$7:$Q$7),COLUMNS($F21:L21)&lt;=_xlfn.XMATCH($C$10,$F$7:$Q$7),$E21=$C$8)</f>
        <v>0</v>
      </c>
      <c r="M41" s="5" t="b">
        <f>AND(COLUMNS($F21:M21)&gt;=_xlfn.XMATCH($C$9,$F$7:$Q$7),COLUMNS($F21:M21)&lt;=_xlfn.XMATCH($C$10,$F$7:$Q$7),$E21=$C$8)</f>
        <v>0</v>
      </c>
      <c r="N41" s="5" t="b">
        <f>AND(COLUMNS($F21:N21)&gt;=_xlfn.XMATCH($C$9,$F$7:$Q$7),COLUMNS($F21:N21)&lt;=_xlfn.XMATCH($C$10,$F$7:$Q$7),$E21=$C$8)</f>
        <v>0</v>
      </c>
      <c r="O41" s="5" t="b">
        <f>AND(COLUMNS($F21:O21)&gt;=_xlfn.XMATCH($C$9,$F$7:$Q$7),COLUMNS($F21:O21)&lt;=_xlfn.XMATCH($C$10,$F$7:$Q$7),$E21=$C$8)</f>
        <v>0</v>
      </c>
      <c r="P41" s="5" t="b">
        <f>AND(COLUMNS($F21:P21)&gt;=_xlfn.XMATCH($C$9,$F$7:$Q$7),COLUMNS($F21:P21)&lt;=_xlfn.XMATCH($C$10,$F$7:$Q$7),$E21=$C$8)</f>
        <v>0</v>
      </c>
      <c r="Q41" s="5" t="b">
        <f>AND(COLUMNS($F21:Q21)&gt;=_xlfn.XMATCH($C$9,$F$7:$Q$7),COLUMNS($F21:Q21)&lt;=_xlfn.XMATCH($C$10,$F$7:$Q$7),$E21=$C$8)</f>
        <v>0</v>
      </c>
    </row>
    <row r="42" spans="6:17" x14ac:dyDescent="0.25">
      <c r="F42" s="5" t="b">
        <f>AND(COLUMNS($F22:F22)&gt;=_xlfn.XMATCH($C$9,$F$7:$Q$7),COLUMNS($F22:F22)&lt;=_xlfn.XMATCH($C$10,$F$7:$Q$7),$E22=$C$8)</f>
        <v>0</v>
      </c>
      <c r="G42" s="5" t="b">
        <f>AND(COLUMNS($F22:G22)&gt;=_xlfn.XMATCH($C$9,$F$7:$Q$7),COLUMNS($F22:G22)&lt;=_xlfn.XMATCH($C$10,$F$7:$Q$7),$E22=$C$8)</f>
        <v>0</v>
      </c>
      <c r="H42" s="5" t="b">
        <f>AND(COLUMNS($F22:H22)&gt;=_xlfn.XMATCH($C$9,$F$7:$Q$7),COLUMNS($F22:H22)&lt;=_xlfn.XMATCH($C$10,$F$7:$Q$7),$E22=$C$8)</f>
        <v>0</v>
      </c>
      <c r="I42" s="5" t="b">
        <f>AND(COLUMNS($F22:I22)&gt;=_xlfn.XMATCH($C$9,$F$7:$Q$7),COLUMNS($F22:I22)&lt;=_xlfn.XMATCH($C$10,$F$7:$Q$7),$E22=$C$8)</f>
        <v>0</v>
      </c>
      <c r="J42" s="5" t="b">
        <f>AND(COLUMNS($F22:J22)&gt;=_xlfn.XMATCH($C$9,$F$7:$Q$7),COLUMNS($F22:J22)&lt;=_xlfn.XMATCH($C$10,$F$7:$Q$7),$E22=$C$8)</f>
        <v>0</v>
      </c>
      <c r="K42" s="5" t="b">
        <f>AND(COLUMNS($F22:K22)&gt;=_xlfn.XMATCH($C$9,$F$7:$Q$7),COLUMNS($F22:K22)&lt;=_xlfn.XMATCH($C$10,$F$7:$Q$7),$E22=$C$8)</f>
        <v>0</v>
      </c>
      <c r="L42" s="5" t="b">
        <f>AND(COLUMNS($F22:L22)&gt;=_xlfn.XMATCH($C$9,$F$7:$Q$7),COLUMNS($F22:L22)&lt;=_xlfn.XMATCH($C$10,$F$7:$Q$7),$E22=$C$8)</f>
        <v>0</v>
      </c>
      <c r="M42" s="5" t="b">
        <f>AND(COLUMNS($F22:M22)&gt;=_xlfn.XMATCH($C$9,$F$7:$Q$7),COLUMNS($F22:M22)&lt;=_xlfn.XMATCH($C$10,$F$7:$Q$7),$E22=$C$8)</f>
        <v>0</v>
      </c>
      <c r="N42" s="5" t="b">
        <f>AND(COLUMNS($F22:N22)&gt;=_xlfn.XMATCH($C$9,$F$7:$Q$7),COLUMNS($F22:N22)&lt;=_xlfn.XMATCH($C$10,$F$7:$Q$7),$E22=$C$8)</f>
        <v>0</v>
      </c>
      <c r="O42" s="5" t="b">
        <f>AND(COLUMNS($F22:O22)&gt;=_xlfn.XMATCH($C$9,$F$7:$Q$7),COLUMNS($F22:O22)&lt;=_xlfn.XMATCH($C$10,$F$7:$Q$7),$E22=$C$8)</f>
        <v>0</v>
      </c>
      <c r="P42" s="5" t="b">
        <f>AND(COLUMNS($F22:P22)&gt;=_xlfn.XMATCH($C$9,$F$7:$Q$7),COLUMNS($F22:P22)&lt;=_xlfn.XMATCH($C$10,$F$7:$Q$7),$E22=$C$8)</f>
        <v>0</v>
      </c>
      <c r="Q42" s="5" t="b">
        <f>AND(COLUMNS($F22:Q22)&gt;=_xlfn.XMATCH($C$9,$F$7:$Q$7),COLUMNS($F22:Q22)&lt;=_xlfn.XMATCH($C$10,$F$7:$Q$7),$E22=$C$8)</f>
        <v>0</v>
      </c>
    </row>
    <row r="43" spans="6:17" x14ac:dyDescent="0.25">
      <c r="F43" s="5" t="b">
        <f>AND(COLUMNS($F23:F23)&gt;=_xlfn.XMATCH($C$9,$F$7:$Q$7),COLUMNS($F23:F23)&lt;=_xlfn.XMATCH($C$10,$F$7:$Q$7),$E23=$C$8)</f>
        <v>0</v>
      </c>
      <c r="G43" s="5" t="b">
        <f>AND(COLUMNS($F23:G23)&gt;=_xlfn.XMATCH($C$9,$F$7:$Q$7),COLUMNS($F23:G23)&lt;=_xlfn.XMATCH($C$10,$F$7:$Q$7),$E23=$C$8)</f>
        <v>0</v>
      </c>
      <c r="H43" s="5" t="b">
        <f>AND(COLUMNS($F23:H23)&gt;=_xlfn.XMATCH($C$9,$F$7:$Q$7),COLUMNS($F23:H23)&lt;=_xlfn.XMATCH($C$10,$F$7:$Q$7),$E23=$C$8)</f>
        <v>0</v>
      </c>
      <c r="I43" s="5" t="b">
        <f>AND(COLUMNS($F23:I23)&gt;=_xlfn.XMATCH($C$9,$F$7:$Q$7),COLUMNS($F23:I23)&lt;=_xlfn.XMATCH($C$10,$F$7:$Q$7),$E23=$C$8)</f>
        <v>0</v>
      </c>
      <c r="J43" s="5" t="b">
        <f>AND(COLUMNS($F23:J23)&gt;=_xlfn.XMATCH($C$9,$F$7:$Q$7),COLUMNS($F23:J23)&lt;=_xlfn.XMATCH($C$10,$F$7:$Q$7),$E23=$C$8)</f>
        <v>0</v>
      </c>
      <c r="K43" s="5" t="b">
        <f>AND(COLUMNS($F23:K23)&gt;=_xlfn.XMATCH($C$9,$F$7:$Q$7),COLUMNS($F23:K23)&lt;=_xlfn.XMATCH($C$10,$F$7:$Q$7),$E23=$C$8)</f>
        <v>0</v>
      </c>
      <c r="L43" s="5" t="b">
        <f>AND(COLUMNS($F23:L23)&gt;=_xlfn.XMATCH($C$9,$F$7:$Q$7),COLUMNS($F23:L23)&lt;=_xlfn.XMATCH($C$10,$F$7:$Q$7),$E23=$C$8)</f>
        <v>0</v>
      </c>
      <c r="M43" s="5" t="b">
        <f>AND(COLUMNS($F23:M23)&gt;=_xlfn.XMATCH($C$9,$F$7:$Q$7),COLUMNS($F23:M23)&lt;=_xlfn.XMATCH($C$10,$F$7:$Q$7),$E23=$C$8)</f>
        <v>0</v>
      </c>
      <c r="N43" s="5" t="b">
        <f>AND(COLUMNS($F23:N23)&gt;=_xlfn.XMATCH($C$9,$F$7:$Q$7),COLUMNS($F23:N23)&lt;=_xlfn.XMATCH($C$10,$F$7:$Q$7),$E23=$C$8)</f>
        <v>0</v>
      </c>
      <c r="O43" s="5" t="b">
        <f>AND(COLUMNS($F23:O23)&gt;=_xlfn.XMATCH($C$9,$F$7:$Q$7),COLUMNS($F23:O23)&lt;=_xlfn.XMATCH($C$10,$F$7:$Q$7),$E23=$C$8)</f>
        <v>0</v>
      </c>
      <c r="P43" s="5" t="b">
        <f>AND(COLUMNS($F23:P23)&gt;=_xlfn.XMATCH($C$9,$F$7:$Q$7),COLUMNS($F23:P23)&lt;=_xlfn.XMATCH($C$10,$F$7:$Q$7),$E23=$C$8)</f>
        <v>0</v>
      </c>
      <c r="Q43" s="5" t="b">
        <f>AND(COLUMNS($F23:Q23)&gt;=_xlfn.XMATCH($C$9,$F$7:$Q$7),COLUMNS($F23:Q23)&lt;=_xlfn.XMATCH($C$10,$F$7:$Q$7),$E23=$C$8)</f>
        <v>0</v>
      </c>
    </row>
    <row r="44" spans="6:17" x14ac:dyDescent="0.25">
      <c r="F44" s="5" t="b">
        <f>AND(COLUMNS($F24:F24)&gt;=_xlfn.XMATCH($C$9,$F$7:$Q$7),COLUMNS($F24:F24)&lt;=_xlfn.XMATCH($C$10,$F$7:$Q$7),$E24=$C$8)</f>
        <v>0</v>
      </c>
      <c r="G44" s="5" t="b">
        <f>AND(COLUMNS($F24:G24)&gt;=_xlfn.XMATCH($C$9,$F$7:$Q$7),COLUMNS($F24:G24)&lt;=_xlfn.XMATCH($C$10,$F$7:$Q$7),$E24=$C$8)</f>
        <v>0</v>
      </c>
      <c r="H44" s="5" t="b">
        <f>AND(COLUMNS($F24:H24)&gt;=_xlfn.XMATCH($C$9,$F$7:$Q$7),COLUMNS($F24:H24)&lt;=_xlfn.XMATCH($C$10,$F$7:$Q$7),$E24=$C$8)</f>
        <v>0</v>
      </c>
      <c r="I44" s="5" t="b">
        <f>AND(COLUMNS($F24:I24)&gt;=_xlfn.XMATCH($C$9,$F$7:$Q$7),COLUMNS($F24:I24)&lt;=_xlfn.XMATCH($C$10,$F$7:$Q$7),$E24=$C$8)</f>
        <v>0</v>
      </c>
      <c r="J44" s="5" t="b">
        <f>AND(COLUMNS($F24:J24)&gt;=_xlfn.XMATCH($C$9,$F$7:$Q$7),COLUMNS($F24:J24)&lt;=_xlfn.XMATCH($C$10,$F$7:$Q$7),$E24=$C$8)</f>
        <v>0</v>
      </c>
      <c r="K44" s="5" t="b">
        <f>AND(COLUMNS($F24:K24)&gt;=_xlfn.XMATCH($C$9,$F$7:$Q$7),COLUMNS($F24:K24)&lt;=_xlfn.XMATCH($C$10,$F$7:$Q$7),$E24=$C$8)</f>
        <v>0</v>
      </c>
      <c r="L44" s="5" t="b">
        <f>AND(COLUMNS($F24:L24)&gt;=_xlfn.XMATCH($C$9,$F$7:$Q$7),COLUMNS($F24:L24)&lt;=_xlfn.XMATCH($C$10,$F$7:$Q$7),$E24=$C$8)</f>
        <v>0</v>
      </c>
      <c r="M44" s="5" t="b">
        <f>AND(COLUMNS($F24:M24)&gt;=_xlfn.XMATCH($C$9,$F$7:$Q$7),COLUMNS($F24:M24)&lt;=_xlfn.XMATCH($C$10,$F$7:$Q$7),$E24=$C$8)</f>
        <v>0</v>
      </c>
      <c r="N44" s="5" t="b">
        <f>AND(COLUMNS($F24:N24)&gt;=_xlfn.XMATCH($C$9,$F$7:$Q$7),COLUMNS($F24:N24)&lt;=_xlfn.XMATCH($C$10,$F$7:$Q$7),$E24=$C$8)</f>
        <v>0</v>
      </c>
      <c r="O44" s="5" t="b">
        <f>AND(COLUMNS($F24:O24)&gt;=_xlfn.XMATCH($C$9,$F$7:$Q$7),COLUMNS($F24:O24)&lt;=_xlfn.XMATCH($C$10,$F$7:$Q$7),$E24=$C$8)</f>
        <v>0</v>
      </c>
      <c r="P44" s="5" t="b">
        <f>AND(COLUMNS($F24:P24)&gt;=_xlfn.XMATCH($C$9,$F$7:$Q$7),COLUMNS($F24:P24)&lt;=_xlfn.XMATCH($C$10,$F$7:$Q$7),$E24=$C$8)</f>
        <v>0</v>
      </c>
      <c r="Q44" s="5" t="b">
        <f>AND(COLUMNS($F24:Q24)&gt;=_xlfn.XMATCH($C$9,$F$7:$Q$7),COLUMNS($F24:Q24)&lt;=_xlfn.XMATCH($C$10,$F$7:$Q$7),$E24=$C$8)</f>
        <v>0</v>
      </c>
    </row>
  </sheetData>
  <conditionalFormatting sqref="F9:Q24">
    <cfRule type="expression" dxfId="30" priority="8">
      <formula>AND(COLUMNS($F9:F9)&gt;=_xlfn.XMATCH($C$9,$F$7:$Q$7),COLUMNS($F9:F9)&lt;=_xlfn.XMATCH($C$10,$F$7:$Q$7),$E9=$C$8)</formula>
    </cfRule>
  </conditionalFormatting>
  <dataValidations count="2">
    <dataValidation type="list" allowBlank="1" showInputMessage="1" showErrorMessage="1" sqref="C9:C10" xr:uid="{016D9F44-41D1-479F-B852-CAE70C07DDB2}">
      <formula1>$F$7:$Q$7</formula1>
    </dataValidation>
    <dataValidation type="list" allowBlank="1" showInputMessage="1" showErrorMessage="1" sqref="C8" xr:uid="{5DD69A2F-0C7A-47E4-8138-A3A9EFFC8C52}">
      <formula1>$E$9:$E$24</formula1>
    </dataValidation>
  </dataValidations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CCA1-0BD3-4A1A-A13D-ECC5FDD3B1B0}">
  <sheetPr>
    <tabColor rgb="FF0000FF"/>
  </sheetPr>
  <dimension ref="A1:E28"/>
  <sheetViews>
    <sheetView zoomScale="160" zoomScaleNormal="160" workbookViewId="0"/>
  </sheetViews>
  <sheetFormatPr defaultColWidth="8.85546875" defaultRowHeight="15" x14ac:dyDescent="0.25"/>
  <cols>
    <col min="1" max="1" width="0.85546875" customWidth="1"/>
    <col min="2" max="2" width="7.28515625" customWidth="1"/>
    <col min="3" max="3" width="20.7109375" bestFit="1" customWidth="1"/>
    <col min="4" max="4" width="3.42578125" customWidth="1"/>
    <col min="5" max="5" width="19.42578125" bestFit="1" customWidth="1"/>
    <col min="6" max="6" width="18" customWidth="1"/>
    <col min="7" max="7" width="22.85546875" customWidth="1"/>
    <col min="8" max="8" width="17.42578125" bestFit="1" customWidth="1"/>
  </cols>
  <sheetData>
    <row r="1" spans="1:5" ht="5.25" customHeight="1" x14ac:dyDescent="0.25">
      <c r="A1" s="74"/>
    </row>
    <row r="2" spans="1:5" x14ac:dyDescent="0.25">
      <c r="B2" s="4" t="s">
        <v>554</v>
      </c>
    </row>
    <row r="3" spans="1:5" x14ac:dyDescent="0.25">
      <c r="B3" s="249" t="s">
        <v>552</v>
      </c>
    </row>
    <row r="4" spans="1:5" x14ac:dyDescent="0.25">
      <c r="B4" s="250" t="s">
        <v>674</v>
      </c>
    </row>
    <row r="5" spans="1:5" x14ac:dyDescent="0.25">
      <c r="B5" s="264" t="s">
        <v>675</v>
      </c>
    </row>
    <row r="6" spans="1:5" ht="6" customHeight="1" x14ac:dyDescent="0.25">
      <c r="B6" s="74"/>
    </row>
    <row r="7" spans="1:5" x14ac:dyDescent="0.25">
      <c r="B7" s="74"/>
      <c r="C7" s="232" t="s">
        <v>534</v>
      </c>
      <c r="E7" s="232" t="s">
        <v>534</v>
      </c>
    </row>
    <row r="8" spans="1:5" ht="6" customHeight="1" x14ac:dyDescent="0.25"/>
    <row r="9" spans="1:5" ht="30" x14ac:dyDescent="0.25">
      <c r="C9" s="124" t="s">
        <v>530</v>
      </c>
      <c r="E9" s="124" t="s">
        <v>531</v>
      </c>
    </row>
    <row r="10" spans="1:5" x14ac:dyDescent="0.25">
      <c r="C10" s="5" t="s">
        <v>494</v>
      </c>
      <c r="E10" s="5" t="s">
        <v>535</v>
      </c>
    </row>
    <row r="11" spans="1:5" x14ac:dyDescent="0.25">
      <c r="C11" s="5" t="s">
        <v>495</v>
      </c>
      <c r="E11" s="5" t="s">
        <v>536</v>
      </c>
    </row>
    <row r="12" spans="1:5" x14ac:dyDescent="0.25">
      <c r="C12" s="5" t="s">
        <v>496</v>
      </c>
      <c r="E12" s="5" t="s">
        <v>537</v>
      </c>
    </row>
    <row r="13" spans="1:5" x14ac:dyDescent="0.25">
      <c r="C13" s="5" t="s">
        <v>497</v>
      </c>
      <c r="E13" s="5" t="s">
        <v>538</v>
      </c>
    </row>
    <row r="14" spans="1:5" x14ac:dyDescent="0.25">
      <c r="C14" s="5" t="s">
        <v>498</v>
      </c>
      <c r="E14" s="5" t="s">
        <v>539</v>
      </c>
    </row>
    <row r="15" spans="1:5" x14ac:dyDescent="0.25">
      <c r="C15" s="5" t="s">
        <v>499</v>
      </c>
      <c r="E15" s="5" t="s">
        <v>540</v>
      </c>
    </row>
    <row r="16" spans="1:5" x14ac:dyDescent="0.25">
      <c r="C16" s="5" t="s">
        <v>500</v>
      </c>
      <c r="E16" s="5" t="s">
        <v>541</v>
      </c>
    </row>
    <row r="17" spans="3:5" x14ac:dyDescent="0.25">
      <c r="C17" s="5" t="s">
        <v>501</v>
      </c>
      <c r="E17" s="5" t="s">
        <v>542</v>
      </c>
    </row>
    <row r="18" spans="3:5" x14ac:dyDescent="0.25">
      <c r="C18" s="5" t="s">
        <v>502</v>
      </c>
      <c r="E18" s="5" t="s">
        <v>543</v>
      </c>
    </row>
    <row r="19" spans="3:5" x14ac:dyDescent="0.25">
      <c r="C19" s="5" t="s">
        <v>503</v>
      </c>
      <c r="E19" s="5" t="s">
        <v>544</v>
      </c>
    </row>
    <row r="20" spans="3:5" x14ac:dyDescent="0.25">
      <c r="C20" s="5" t="s">
        <v>504</v>
      </c>
      <c r="E20" s="5" t="s">
        <v>496</v>
      </c>
    </row>
    <row r="21" spans="3:5" x14ac:dyDescent="0.25">
      <c r="C21" s="5" t="s">
        <v>505</v>
      </c>
      <c r="E21" s="5" t="s">
        <v>503</v>
      </c>
    </row>
    <row r="22" spans="3:5" x14ac:dyDescent="0.25">
      <c r="C22" s="5" t="s">
        <v>506</v>
      </c>
      <c r="E22" s="5" t="s">
        <v>508</v>
      </c>
    </row>
    <row r="23" spans="3:5" x14ac:dyDescent="0.25">
      <c r="C23" s="5" t="s">
        <v>507</v>
      </c>
      <c r="E23" s="5" t="s">
        <v>545</v>
      </c>
    </row>
    <row r="24" spans="3:5" x14ac:dyDescent="0.25">
      <c r="C24" s="5" t="s">
        <v>508</v>
      </c>
      <c r="E24" s="5" t="s">
        <v>546</v>
      </c>
    </row>
    <row r="25" spans="3:5" x14ac:dyDescent="0.25">
      <c r="C25" s="5" t="s">
        <v>509</v>
      </c>
      <c r="E25" s="5" t="s">
        <v>547</v>
      </c>
    </row>
    <row r="26" spans="3:5" x14ac:dyDescent="0.25">
      <c r="C26" s="5" t="s">
        <v>539</v>
      </c>
      <c r="E26" s="5" t="s">
        <v>548</v>
      </c>
    </row>
    <row r="27" spans="3:5" x14ac:dyDescent="0.25">
      <c r="C27" s="5" t="s">
        <v>536</v>
      </c>
      <c r="E27" s="5" t="s">
        <v>549</v>
      </c>
    </row>
    <row r="28" spans="3:5" x14ac:dyDescent="0.25">
      <c r="E28" s="5" t="s">
        <v>550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71BF-37AD-429C-AE08-8C4FBC5D7FD0}">
  <sheetPr>
    <tabColor rgb="FFFF0000"/>
  </sheetPr>
  <dimension ref="A1:P28"/>
  <sheetViews>
    <sheetView zoomScaleNormal="100" workbookViewId="0"/>
  </sheetViews>
  <sheetFormatPr defaultColWidth="8.85546875" defaultRowHeight="15" x14ac:dyDescent="0.25"/>
  <cols>
    <col min="1" max="1" width="0.85546875" customWidth="1"/>
    <col min="2" max="2" width="7.28515625" customWidth="1"/>
    <col min="3" max="3" width="20.7109375" bestFit="1" customWidth="1"/>
    <col min="4" max="4" width="3.42578125" customWidth="1"/>
    <col min="5" max="5" width="19.42578125" bestFit="1" customWidth="1"/>
    <col min="6" max="6" width="18" customWidth="1"/>
    <col min="7" max="7" width="1.7109375" customWidth="1"/>
    <col min="8" max="8" width="3.7109375" bestFit="1" customWidth="1"/>
    <col min="9" max="9" width="1.7109375" customWidth="1"/>
    <col min="10" max="10" width="18" customWidth="1"/>
    <col min="11" max="11" width="1.7109375" customWidth="1"/>
    <col min="12" max="12" width="3.7109375" bestFit="1" customWidth="1"/>
    <col min="13" max="13" width="1.7109375" customWidth="1"/>
    <col min="14" max="14" width="18" customWidth="1"/>
    <col min="15" max="15" width="1.42578125" customWidth="1"/>
    <col min="16" max="16" width="34.42578125" bestFit="1" customWidth="1"/>
    <col min="17" max="17" width="16.85546875" bestFit="1" customWidth="1"/>
    <col min="18" max="18" width="17.7109375" bestFit="1" customWidth="1"/>
    <col min="19" max="19" width="17.42578125" bestFit="1" customWidth="1"/>
  </cols>
  <sheetData>
    <row r="1" spans="1:16" ht="5.25" customHeight="1" x14ac:dyDescent="0.25">
      <c r="A1" s="74"/>
    </row>
    <row r="2" spans="1:16" x14ac:dyDescent="0.25">
      <c r="B2" s="4" t="s">
        <v>555</v>
      </c>
    </row>
    <row r="3" spans="1:16" x14ac:dyDescent="0.25">
      <c r="B3" s="249" t="s">
        <v>552</v>
      </c>
    </row>
    <row r="4" spans="1:16" x14ac:dyDescent="0.25">
      <c r="B4" s="249" t="s">
        <v>674</v>
      </c>
    </row>
    <row r="5" spans="1:16" x14ac:dyDescent="0.25">
      <c r="B5" s="263" t="s">
        <v>675</v>
      </c>
    </row>
    <row r="6" spans="1:16" ht="4.5" customHeight="1" x14ac:dyDescent="0.25">
      <c r="B6" s="74"/>
    </row>
    <row r="7" spans="1:16" x14ac:dyDescent="0.25">
      <c r="B7" s="74"/>
      <c r="C7" s="232" t="s">
        <v>534</v>
      </c>
      <c r="E7" s="232" t="s">
        <v>534</v>
      </c>
    </row>
    <row r="8" spans="1:16" ht="4.5" customHeight="1" x14ac:dyDescent="0.25"/>
    <row r="9" spans="1:16" ht="30" x14ac:dyDescent="0.25">
      <c r="C9" s="124" t="s">
        <v>530</v>
      </c>
      <c r="E9" s="124" t="s">
        <v>531</v>
      </c>
      <c r="F9" s="124" t="s">
        <v>551</v>
      </c>
      <c r="J9" s="124" t="s">
        <v>551</v>
      </c>
      <c r="N9" s="124" t="s">
        <v>551</v>
      </c>
      <c r="P9" s="4" t="str">
        <f>"Formula in cell "&amp;ADDRESS(ROW(F10),COLUMN(F10),4)&amp;":"</f>
        <v>Formula in cell F10:</v>
      </c>
    </row>
    <row r="10" spans="1:16" x14ac:dyDescent="0.25">
      <c r="C10" s="5" t="s">
        <v>494</v>
      </c>
      <c r="E10" s="5" t="s">
        <v>535</v>
      </c>
      <c r="F10" s="7" t="b" cm="1">
        <f t="array" ref="F10:F28">ISNUMBER(_xlfn.XMATCH(E10:E28,C10:C27))</f>
        <v>0</v>
      </c>
      <c r="H10" s="4" t="s">
        <v>194</v>
      </c>
      <c r="J10" s="7" cm="1">
        <f t="array" ref="J10:J28">COUNTIFS(C10:C27,E10:E28)</f>
        <v>0</v>
      </c>
      <c r="L10" s="4" t="s">
        <v>194</v>
      </c>
      <c r="N10" s="7" t="str" cm="1">
        <f t="array" ref="N10:N28">IF(ISNUMBER(_xlfn.XMATCH(E10:E28,C10:C27)),"Also in Fall 2020","")</f>
        <v/>
      </c>
      <c r="P10" t="str">
        <f ca="1">_xlfn.IFNA(_xlfn.FORMULATEXT(F10),"")</f>
        <v>=ISNUMBER(XMATCH(E10:E28,C10:C27))</v>
      </c>
    </row>
    <row r="11" spans="1:16" x14ac:dyDescent="0.25">
      <c r="C11" s="5" t="s">
        <v>495</v>
      </c>
      <c r="E11" s="5" t="s">
        <v>536</v>
      </c>
      <c r="F11" s="7" t="b">
        <v>1</v>
      </c>
      <c r="J11" s="7">
        <v>1</v>
      </c>
      <c r="N11" s="7" t="str">
        <v>Also in Fall 2020</v>
      </c>
    </row>
    <row r="12" spans="1:16" x14ac:dyDescent="0.25">
      <c r="C12" s="5" t="s">
        <v>496</v>
      </c>
      <c r="E12" s="5" t="s">
        <v>537</v>
      </c>
      <c r="F12" s="7" t="b">
        <v>0</v>
      </c>
      <c r="J12" s="7">
        <v>0</v>
      </c>
      <c r="N12" s="7" t="str">
        <v/>
      </c>
      <c r="P12" s="4" t="str">
        <f>"Formula in cell "&amp;ADDRESS(ROW(J10),COLUMN(J10),4)&amp;":"</f>
        <v>Formula in cell J10:</v>
      </c>
    </row>
    <row r="13" spans="1:16" x14ac:dyDescent="0.25">
      <c r="C13" s="5" t="s">
        <v>497</v>
      </c>
      <c r="E13" s="5" t="s">
        <v>538</v>
      </c>
      <c r="F13" s="7" t="b">
        <v>0</v>
      </c>
      <c r="J13" s="7">
        <v>0</v>
      </c>
      <c r="N13" s="7" t="str">
        <v/>
      </c>
      <c r="P13" t="str">
        <f ca="1">_xlfn.IFNA(_xlfn.FORMULATEXT(J10),"")</f>
        <v>=COUNTIFS(C10:C27,E10:E28)</v>
      </c>
    </row>
    <row r="14" spans="1:16" x14ac:dyDescent="0.25">
      <c r="C14" s="5" t="s">
        <v>498</v>
      </c>
      <c r="E14" s="5" t="s">
        <v>539</v>
      </c>
      <c r="F14" s="7" t="b">
        <v>1</v>
      </c>
      <c r="J14" s="7">
        <v>1</v>
      </c>
      <c r="N14" s="7" t="str">
        <v>Also in Fall 2020</v>
      </c>
    </row>
    <row r="15" spans="1:16" x14ac:dyDescent="0.25">
      <c r="C15" s="5" t="s">
        <v>499</v>
      </c>
      <c r="E15" s="5" t="s">
        <v>540</v>
      </c>
      <c r="F15" s="7" t="b">
        <v>0</v>
      </c>
      <c r="J15" s="7">
        <v>0</v>
      </c>
      <c r="N15" s="7" t="str">
        <v/>
      </c>
      <c r="P15" s="4" t="str">
        <f>"Formula in cell "&amp;ADDRESS(ROW(N10),COLUMN(N10),4)&amp;":"</f>
        <v>Formula in cell N10:</v>
      </c>
    </row>
    <row r="16" spans="1:16" x14ac:dyDescent="0.25">
      <c r="C16" s="5" t="s">
        <v>500</v>
      </c>
      <c r="E16" s="5" t="s">
        <v>541</v>
      </c>
      <c r="F16" s="7" t="b">
        <v>0</v>
      </c>
      <c r="J16" s="7">
        <v>0</v>
      </c>
      <c r="N16" s="7" t="str">
        <v/>
      </c>
      <c r="P16" t="str">
        <f ca="1">_xlfn.IFNA(_xlfn.FORMULATEXT(N10),"")</f>
        <v>=IF(ISNUMBER(XMATCH(E10:E28,C10:C27)),"Also in Fall 2020","")</v>
      </c>
    </row>
    <row r="17" spans="3:14" x14ac:dyDescent="0.25">
      <c r="C17" s="5" t="s">
        <v>501</v>
      </c>
      <c r="E17" s="5" t="s">
        <v>542</v>
      </c>
      <c r="F17" s="7" t="b">
        <v>0</v>
      </c>
      <c r="J17" s="7">
        <v>0</v>
      </c>
      <c r="N17" s="7" t="str">
        <v/>
      </c>
    </row>
    <row r="18" spans="3:14" x14ac:dyDescent="0.25">
      <c r="C18" s="5" t="s">
        <v>502</v>
      </c>
      <c r="E18" s="5" t="s">
        <v>543</v>
      </c>
      <c r="F18" s="7" t="b">
        <v>0</v>
      </c>
      <c r="J18" s="7">
        <v>0</v>
      </c>
      <c r="N18" s="7" t="str">
        <v/>
      </c>
    </row>
    <row r="19" spans="3:14" x14ac:dyDescent="0.25">
      <c r="C19" s="5" t="s">
        <v>503</v>
      </c>
      <c r="E19" s="5" t="s">
        <v>544</v>
      </c>
      <c r="F19" s="7" t="b">
        <v>0</v>
      </c>
      <c r="J19" s="7">
        <v>0</v>
      </c>
      <c r="N19" s="7" t="str">
        <v/>
      </c>
    </row>
    <row r="20" spans="3:14" x14ac:dyDescent="0.25">
      <c r="C20" s="5" t="s">
        <v>504</v>
      </c>
      <c r="E20" s="5" t="s">
        <v>496</v>
      </c>
      <c r="F20" s="7" t="b">
        <v>1</v>
      </c>
      <c r="J20" s="7">
        <v>1</v>
      </c>
      <c r="N20" s="7" t="str">
        <v>Also in Fall 2020</v>
      </c>
    </row>
    <row r="21" spans="3:14" x14ac:dyDescent="0.25">
      <c r="C21" s="5" t="s">
        <v>505</v>
      </c>
      <c r="E21" s="5" t="s">
        <v>503</v>
      </c>
      <c r="F21" s="7" t="b">
        <v>1</v>
      </c>
      <c r="J21" s="7">
        <v>1</v>
      </c>
      <c r="N21" s="7" t="str">
        <v>Also in Fall 2020</v>
      </c>
    </row>
    <row r="22" spans="3:14" x14ac:dyDescent="0.25">
      <c r="C22" s="5" t="s">
        <v>506</v>
      </c>
      <c r="E22" s="5" t="s">
        <v>508</v>
      </c>
      <c r="F22" s="7" t="b">
        <v>1</v>
      </c>
      <c r="J22" s="7">
        <v>1</v>
      </c>
      <c r="N22" s="7" t="str">
        <v>Also in Fall 2020</v>
      </c>
    </row>
    <row r="23" spans="3:14" x14ac:dyDescent="0.25">
      <c r="C23" s="5" t="s">
        <v>507</v>
      </c>
      <c r="E23" s="5" t="s">
        <v>545</v>
      </c>
      <c r="F23" s="7" t="b">
        <v>0</v>
      </c>
      <c r="J23" s="7">
        <v>0</v>
      </c>
      <c r="N23" s="7" t="str">
        <v/>
      </c>
    </row>
    <row r="24" spans="3:14" x14ac:dyDescent="0.25">
      <c r="C24" s="5" t="s">
        <v>508</v>
      </c>
      <c r="E24" s="5" t="s">
        <v>546</v>
      </c>
      <c r="F24" s="7" t="b">
        <v>0</v>
      </c>
      <c r="J24" s="7">
        <v>0</v>
      </c>
      <c r="N24" s="7" t="str">
        <v/>
      </c>
    </row>
    <row r="25" spans="3:14" x14ac:dyDescent="0.25">
      <c r="C25" s="5" t="s">
        <v>509</v>
      </c>
      <c r="E25" s="5" t="s">
        <v>547</v>
      </c>
      <c r="F25" s="7" t="b">
        <v>0</v>
      </c>
      <c r="J25" s="7">
        <v>0</v>
      </c>
      <c r="N25" s="7" t="str">
        <v/>
      </c>
    </row>
    <row r="26" spans="3:14" x14ac:dyDescent="0.25">
      <c r="C26" s="5" t="s">
        <v>539</v>
      </c>
      <c r="E26" s="5" t="s">
        <v>548</v>
      </c>
      <c r="F26" s="7" t="b">
        <v>0</v>
      </c>
      <c r="J26" s="7">
        <v>0</v>
      </c>
      <c r="N26" s="7" t="str">
        <v/>
      </c>
    </row>
    <row r="27" spans="3:14" x14ac:dyDescent="0.25">
      <c r="C27" s="5" t="s">
        <v>536</v>
      </c>
      <c r="E27" s="5" t="s">
        <v>549</v>
      </c>
      <c r="F27" s="7" t="b">
        <v>0</v>
      </c>
      <c r="J27" s="7">
        <v>0</v>
      </c>
      <c r="N27" s="7" t="str">
        <v/>
      </c>
    </row>
    <row r="28" spans="3:14" x14ac:dyDescent="0.25">
      <c r="E28" s="5" t="s">
        <v>550</v>
      </c>
      <c r="F28" s="7" t="b">
        <v>0</v>
      </c>
      <c r="J28" s="7">
        <v>0</v>
      </c>
      <c r="N28" s="7" t="str">
        <v/>
      </c>
    </row>
  </sheetData>
  <conditionalFormatting sqref="E10:E28">
    <cfRule type="expression" dxfId="29" priority="1">
      <formula>_xlfn.XMATCH(E10,$C$10:$C$27)</formula>
    </cfRule>
  </conditionalFormatting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6E01-C525-4C48-A217-9B24F1E56489}">
  <sheetPr>
    <tabColor rgb="FF0000FF"/>
  </sheetPr>
  <dimension ref="A1:G26"/>
  <sheetViews>
    <sheetView zoomScaleNormal="100" workbookViewId="0"/>
  </sheetViews>
  <sheetFormatPr defaultColWidth="8.85546875" defaultRowHeight="15" x14ac:dyDescent="0.25"/>
  <cols>
    <col min="1" max="1" width="0.85546875" customWidth="1"/>
    <col min="2" max="2" width="7.28515625" customWidth="1"/>
    <col min="3" max="3" width="20.7109375" bestFit="1" customWidth="1"/>
    <col min="4" max="4" width="3.42578125" customWidth="1"/>
    <col min="5" max="5" width="19.42578125" bestFit="1" customWidth="1"/>
    <col min="6" max="6" width="11.85546875" customWidth="1"/>
    <col min="7" max="7" width="33.42578125" customWidth="1"/>
    <col min="8" max="8" width="17.42578125" bestFit="1" customWidth="1"/>
  </cols>
  <sheetData>
    <row r="1" spans="1:7" ht="5.25" customHeight="1" x14ac:dyDescent="0.25">
      <c r="A1" s="74"/>
    </row>
    <row r="2" spans="1:7" x14ac:dyDescent="0.25">
      <c r="B2" s="4" t="s">
        <v>556</v>
      </c>
    </row>
    <row r="3" spans="1:7" x14ac:dyDescent="0.25">
      <c r="B3" s="250" t="s">
        <v>557</v>
      </c>
    </row>
    <row r="4" spans="1:7" x14ac:dyDescent="0.25">
      <c r="B4" s="74"/>
    </row>
    <row r="5" spans="1:7" x14ac:dyDescent="0.25">
      <c r="B5" s="74"/>
      <c r="C5" s="232" t="s">
        <v>534</v>
      </c>
      <c r="E5" s="232" t="s">
        <v>534</v>
      </c>
    </row>
    <row r="7" spans="1:7" ht="30" x14ac:dyDescent="0.25">
      <c r="C7" s="124" t="s">
        <v>530</v>
      </c>
      <c r="E7" s="124" t="s">
        <v>531</v>
      </c>
      <c r="G7" s="124" t="s">
        <v>553</v>
      </c>
    </row>
    <row r="8" spans="1:7" x14ac:dyDescent="0.25">
      <c r="C8" s="5" t="s">
        <v>494</v>
      </c>
      <c r="E8" s="5" t="s">
        <v>535</v>
      </c>
    </row>
    <row r="9" spans="1:7" x14ac:dyDescent="0.25">
      <c r="C9" s="5" t="s">
        <v>495</v>
      </c>
      <c r="E9" s="5" t="s">
        <v>536</v>
      </c>
    </row>
    <row r="10" spans="1:7" x14ac:dyDescent="0.25">
      <c r="C10" s="5" t="s">
        <v>496</v>
      </c>
      <c r="E10" s="5" t="s">
        <v>537</v>
      </c>
    </row>
    <row r="11" spans="1:7" x14ac:dyDescent="0.25">
      <c r="C11" s="5" t="s">
        <v>497</v>
      </c>
      <c r="E11" s="5" t="s">
        <v>538</v>
      </c>
    </row>
    <row r="12" spans="1:7" hidden="1" x14ac:dyDescent="0.25">
      <c r="C12" s="5" t="s">
        <v>498</v>
      </c>
      <c r="E12" s="5" t="s">
        <v>539</v>
      </c>
    </row>
    <row r="13" spans="1:7" hidden="1" x14ac:dyDescent="0.25">
      <c r="C13" s="5" t="s">
        <v>499</v>
      </c>
      <c r="E13" s="5" t="s">
        <v>540</v>
      </c>
    </row>
    <row r="14" spans="1:7" hidden="1" x14ac:dyDescent="0.25">
      <c r="C14" s="5" t="s">
        <v>500</v>
      </c>
      <c r="E14" s="5" t="s">
        <v>541</v>
      </c>
    </row>
    <row r="15" spans="1:7" hidden="1" x14ac:dyDescent="0.25">
      <c r="C15" s="5" t="s">
        <v>501</v>
      </c>
      <c r="E15" s="5" t="s">
        <v>542</v>
      </c>
    </row>
    <row r="16" spans="1:7" hidden="1" x14ac:dyDescent="0.25">
      <c r="C16" s="5" t="s">
        <v>502</v>
      </c>
      <c r="E16" s="5" t="s">
        <v>543</v>
      </c>
    </row>
    <row r="17" spans="3:5" hidden="1" x14ac:dyDescent="0.25">
      <c r="C17" s="5" t="s">
        <v>503</v>
      </c>
      <c r="E17" s="5" t="s">
        <v>544</v>
      </c>
    </row>
    <row r="18" spans="3:5" hidden="1" x14ac:dyDescent="0.25">
      <c r="C18" s="5" t="s">
        <v>504</v>
      </c>
      <c r="E18" s="5" t="s">
        <v>496</v>
      </c>
    </row>
    <row r="19" spans="3:5" hidden="1" x14ac:dyDescent="0.25">
      <c r="C19" s="5" t="s">
        <v>505</v>
      </c>
      <c r="E19" s="5" t="s">
        <v>503</v>
      </c>
    </row>
    <row r="20" spans="3:5" hidden="1" x14ac:dyDescent="0.25">
      <c r="C20" s="5" t="s">
        <v>506</v>
      </c>
      <c r="E20" s="5" t="s">
        <v>508</v>
      </c>
    </row>
    <row r="21" spans="3:5" hidden="1" x14ac:dyDescent="0.25">
      <c r="C21" s="5" t="s">
        <v>507</v>
      </c>
      <c r="E21" s="5" t="s">
        <v>545</v>
      </c>
    </row>
    <row r="22" spans="3:5" hidden="1" x14ac:dyDescent="0.25">
      <c r="C22" s="5" t="s">
        <v>508</v>
      </c>
      <c r="E22" s="5" t="s">
        <v>546</v>
      </c>
    </row>
    <row r="23" spans="3:5" hidden="1" x14ac:dyDescent="0.25">
      <c r="C23" s="5" t="s">
        <v>509</v>
      </c>
      <c r="E23" s="5" t="s">
        <v>547</v>
      </c>
    </row>
    <row r="24" spans="3:5" x14ac:dyDescent="0.25">
      <c r="C24" s="5" t="s">
        <v>539</v>
      </c>
      <c r="E24" s="5" t="s">
        <v>548</v>
      </c>
    </row>
    <row r="25" spans="3:5" x14ac:dyDescent="0.25">
      <c r="C25" s="5" t="s">
        <v>536</v>
      </c>
      <c r="E25" s="5" t="s">
        <v>549</v>
      </c>
    </row>
    <row r="26" spans="3:5" x14ac:dyDescent="0.25">
      <c r="E26" s="5" t="s">
        <v>550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EE62-246F-4AE1-AF1F-7900657B6E2B}">
  <sheetPr>
    <tabColor rgb="FFFF0000"/>
  </sheetPr>
  <dimension ref="A1:I26"/>
  <sheetViews>
    <sheetView zoomScaleNormal="100" workbookViewId="0"/>
  </sheetViews>
  <sheetFormatPr defaultColWidth="8.85546875" defaultRowHeight="15" x14ac:dyDescent="0.25"/>
  <cols>
    <col min="1" max="1" width="0.85546875" customWidth="1"/>
    <col min="2" max="2" width="7.28515625" customWidth="1"/>
    <col min="3" max="3" width="20.7109375" bestFit="1" customWidth="1"/>
    <col min="4" max="4" width="3.42578125" customWidth="1"/>
    <col min="5" max="5" width="19.42578125" bestFit="1" customWidth="1"/>
    <col min="6" max="6" width="18" customWidth="1"/>
    <col min="7" max="7" width="33.42578125" customWidth="1"/>
    <col min="8" max="8" width="17.42578125" bestFit="1" customWidth="1"/>
  </cols>
  <sheetData>
    <row r="1" spans="1:9" ht="5.25" customHeight="1" x14ac:dyDescent="0.25">
      <c r="A1" s="74"/>
    </row>
    <row r="2" spans="1:9" x14ac:dyDescent="0.25">
      <c r="B2" s="4" t="s">
        <v>556</v>
      </c>
    </row>
    <row r="3" spans="1:9" x14ac:dyDescent="0.25">
      <c r="B3" s="250" t="s">
        <v>557</v>
      </c>
    </row>
    <row r="4" spans="1:9" x14ac:dyDescent="0.25">
      <c r="B4" s="74"/>
    </row>
    <row r="5" spans="1:9" x14ac:dyDescent="0.25">
      <c r="B5" s="74"/>
      <c r="C5" s="232" t="s">
        <v>534</v>
      </c>
      <c r="E5" s="232" t="s">
        <v>534</v>
      </c>
    </row>
    <row r="7" spans="1:9" ht="30" x14ac:dyDescent="0.25">
      <c r="C7" s="124" t="s">
        <v>530</v>
      </c>
      <c r="E7" s="124" t="s">
        <v>531</v>
      </c>
      <c r="G7" s="124" t="s">
        <v>553</v>
      </c>
      <c r="I7" s="4" t="str">
        <f>"Formula in cell "&amp;ADDRESS(ROW(G8),COLUMN(G8),4)&amp;":"</f>
        <v>Formula in cell G8:</v>
      </c>
    </row>
    <row r="8" spans="1:9" x14ac:dyDescent="0.25">
      <c r="C8" s="5" t="s">
        <v>494</v>
      </c>
      <c r="E8" s="5" t="s">
        <v>535</v>
      </c>
      <c r="G8" t="str" cm="1">
        <f t="array" ref="G8:G21">_xlfn._xlws.FILTER(E8:E26,ISNA(_xlfn.XMATCH(E8:E26,C8:C25)))</f>
        <v>Cheryl Estrada</v>
      </c>
      <c r="I8" t="str">
        <f ca="1">_xlfn.IFNA(_xlfn.FORMULATEXT(G8),"")</f>
        <v>=FILTER(E8:E26,ISNA(XMATCH(E8:E26,C8:C25)))</v>
      </c>
    </row>
    <row r="9" spans="1:9" x14ac:dyDescent="0.25">
      <c r="C9" s="5" t="s">
        <v>495</v>
      </c>
      <c r="E9" s="5" t="s">
        <v>536</v>
      </c>
      <c r="G9" t="str">
        <v>Wade Grant</v>
      </c>
    </row>
    <row r="10" spans="1:9" x14ac:dyDescent="0.25">
      <c r="C10" s="5" t="s">
        <v>496</v>
      </c>
      <c r="E10" s="5" t="s">
        <v>537</v>
      </c>
      <c r="G10" t="str">
        <v>Isaac Owens</v>
      </c>
    </row>
    <row r="11" spans="1:9" x14ac:dyDescent="0.25">
      <c r="C11" s="5" t="s">
        <v>497</v>
      </c>
      <c r="E11" s="5" t="s">
        <v>538</v>
      </c>
      <c r="G11" t="str">
        <v>Lynette Harmon</v>
      </c>
    </row>
    <row r="12" spans="1:9" x14ac:dyDescent="0.25">
      <c r="C12" s="5" t="s">
        <v>498</v>
      </c>
      <c r="E12" s="5" t="s">
        <v>539</v>
      </c>
      <c r="G12" t="str">
        <v>Carl Stokes</v>
      </c>
    </row>
    <row r="13" spans="1:9" x14ac:dyDescent="0.25">
      <c r="C13" s="5" t="s">
        <v>499</v>
      </c>
      <c r="E13" s="5" t="s">
        <v>540</v>
      </c>
      <c r="G13" t="str">
        <v>Maggie Ortega</v>
      </c>
    </row>
    <row r="14" spans="1:9" x14ac:dyDescent="0.25">
      <c r="C14" s="5" t="s">
        <v>500</v>
      </c>
      <c r="E14" s="5" t="s">
        <v>541</v>
      </c>
      <c r="G14" t="str">
        <v>Allison Stevenson</v>
      </c>
    </row>
    <row r="15" spans="1:9" x14ac:dyDescent="0.25">
      <c r="C15" s="5" t="s">
        <v>501</v>
      </c>
      <c r="E15" s="5" t="s">
        <v>542</v>
      </c>
      <c r="G15" t="str">
        <v>Mathew Weber</v>
      </c>
    </row>
    <row r="16" spans="1:9" x14ac:dyDescent="0.25">
      <c r="C16" s="5" t="s">
        <v>502</v>
      </c>
      <c r="E16" s="5" t="s">
        <v>543</v>
      </c>
      <c r="G16" t="str">
        <v>Joshua Pratt</v>
      </c>
    </row>
    <row r="17" spans="3:7" x14ac:dyDescent="0.25">
      <c r="C17" s="5" t="s">
        <v>503</v>
      </c>
      <c r="E17" s="5" t="s">
        <v>544</v>
      </c>
      <c r="G17" t="str">
        <v>Edgar Ferguson</v>
      </c>
    </row>
    <row r="18" spans="3:7" x14ac:dyDescent="0.25">
      <c r="C18" s="5" t="s">
        <v>504</v>
      </c>
      <c r="E18" s="5" t="s">
        <v>496</v>
      </c>
      <c r="G18" t="str">
        <v>Cesar Dunn</v>
      </c>
    </row>
    <row r="19" spans="3:7" x14ac:dyDescent="0.25">
      <c r="C19" s="5" t="s">
        <v>505</v>
      </c>
      <c r="E19" s="5" t="s">
        <v>503</v>
      </c>
      <c r="G19" t="str">
        <v>Allan Nguyen</v>
      </c>
    </row>
    <row r="20" spans="3:7" x14ac:dyDescent="0.25">
      <c r="C20" s="5" t="s">
        <v>506</v>
      </c>
      <c r="E20" s="5" t="s">
        <v>508</v>
      </c>
      <c r="G20" t="str">
        <v>Roderick Mendez</v>
      </c>
    </row>
    <row r="21" spans="3:7" x14ac:dyDescent="0.25">
      <c r="C21" s="5" t="s">
        <v>507</v>
      </c>
      <c r="E21" s="5" t="s">
        <v>545</v>
      </c>
      <c r="G21" t="str">
        <v>Blanche Stanley</v>
      </c>
    </row>
    <row r="22" spans="3:7" x14ac:dyDescent="0.25">
      <c r="C22" s="5" t="s">
        <v>508</v>
      </c>
      <c r="E22" s="5" t="s">
        <v>546</v>
      </c>
    </row>
    <row r="23" spans="3:7" x14ac:dyDescent="0.25">
      <c r="C23" s="5" t="s">
        <v>509</v>
      </c>
      <c r="E23" s="5" t="s">
        <v>547</v>
      </c>
    </row>
    <row r="24" spans="3:7" x14ac:dyDescent="0.25">
      <c r="C24" s="5" t="s">
        <v>539</v>
      </c>
      <c r="E24" s="5" t="s">
        <v>548</v>
      </c>
    </row>
    <row r="25" spans="3:7" x14ac:dyDescent="0.25">
      <c r="C25" s="5" t="s">
        <v>536</v>
      </c>
      <c r="E25" s="5" t="s">
        <v>549</v>
      </c>
    </row>
    <row r="26" spans="3:7" x14ac:dyDescent="0.25">
      <c r="E26" s="5" t="s">
        <v>550</v>
      </c>
    </row>
  </sheetData>
  <conditionalFormatting sqref="E8:E26">
    <cfRule type="expression" dxfId="28" priority="2">
      <formula>ISNA(_xlfn.XMATCH(E8,$C$8:$C$25))</formula>
    </cfRule>
  </conditionalFormatting>
  <conditionalFormatting sqref="G8:G26">
    <cfRule type="expression" dxfId="27" priority="1">
      <formula>G8&lt;&gt;""</formula>
    </cfRule>
  </conditionalFormatting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FEB1-7D47-4333-B5EE-43790C77C777}">
  <sheetPr>
    <tabColor rgb="FF0000FF"/>
  </sheetPr>
  <dimension ref="A1:O129"/>
  <sheetViews>
    <sheetView zoomScale="130" zoomScaleNormal="130" workbookViewId="0"/>
  </sheetViews>
  <sheetFormatPr defaultColWidth="8.85546875" defaultRowHeight="15" x14ac:dyDescent="0.25"/>
  <cols>
    <col min="1" max="1" width="0.85546875" customWidth="1"/>
    <col min="2" max="2" width="10.42578125" customWidth="1"/>
    <col min="3" max="3" width="21.42578125" customWidth="1"/>
    <col min="4" max="4" width="20.7109375" customWidth="1"/>
    <col min="5" max="5" width="9.140625" customWidth="1"/>
    <col min="6" max="6" width="1.28515625" customWidth="1"/>
    <col min="7" max="7" width="8.28515625" customWidth="1"/>
    <col min="8" max="8" width="21.42578125" bestFit="1" customWidth="1"/>
    <col min="9" max="9" width="20.7109375" bestFit="1" customWidth="1"/>
    <col min="11" max="11" width="1.28515625" customWidth="1"/>
    <col min="12" max="12" width="8.28515625" customWidth="1"/>
    <col min="13" max="13" width="21.42578125" bestFit="1" customWidth="1"/>
    <col min="14" max="14" width="20.7109375" bestFit="1" customWidth="1"/>
  </cols>
  <sheetData>
    <row r="1" spans="1:15" ht="5.25" customHeight="1" x14ac:dyDescent="0.25">
      <c r="A1" s="74"/>
    </row>
    <row r="2" spans="1:15" x14ac:dyDescent="0.25">
      <c r="B2" s="4" t="s">
        <v>618</v>
      </c>
    </row>
    <row r="3" spans="1:15" x14ac:dyDescent="0.25">
      <c r="B3" s="247" t="s">
        <v>615</v>
      </c>
    </row>
    <row r="4" spans="1:15" x14ac:dyDescent="0.25">
      <c r="B4" s="248" t="s">
        <v>616</v>
      </c>
    </row>
    <row r="5" spans="1:15" x14ac:dyDescent="0.25">
      <c r="B5" s="248" t="s">
        <v>617</v>
      </c>
    </row>
    <row r="6" spans="1:15" x14ac:dyDescent="0.25">
      <c r="B6" s="74"/>
    </row>
    <row r="7" spans="1:15" x14ac:dyDescent="0.25">
      <c r="B7" s="138" t="s">
        <v>608</v>
      </c>
      <c r="C7" s="141">
        <v>1970</v>
      </c>
    </row>
    <row r="8" spans="1:15" x14ac:dyDescent="0.25">
      <c r="B8" s="138" t="s">
        <v>609</v>
      </c>
      <c r="C8" s="141">
        <v>1979</v>
      </c>
    </row>
    <row r="10" spans="1:15" x14ac:dyDescent="0.25">
      <c r="B10" s="232" t="str">
        <f>"Baseball World Series Teams from "&amp;MIN(B13:B129)&amp;" to "&amp;MAX(B13:B129)&amp;":"</f>
        <v>Baseball World Series Teams from 1903 to 2019:</v>
      </c>
      <c r="C10" s="232"/>
      <c r="D10" s="232"/>
    </row>
    <row r="12" spans="1:15" x14ac:dyDescent="0.25">
      <c r="B12" s="110" t="s">
        <v>558</v>
      </c>
      <c r="C12" s="110" t="s">
        <v>559</v>
      </c>
      <c r="D12" s="110" t="s">
        <v>561</v>
      </c>
      <c r="E12" s="110" t="s">
        <v>560</v>
      </c>
      <c r="G12" s="110" t="s">
        <v>558</v>
      </c>
      <c r="H12" s="110" t="s">
        <v>559</v>
      </c>
      <c r="I12" s="110" t="s">
        <v>561</v>
      </c>
      <c r="J12" s="110" t="s">
        <v>560</v>
      </c>
      <c r="L12" s="110" t="s">
        <v>558</v>
      </c>
      <c r="M12" s="110" t="s">
        <v>559</v>
      </c>
      <c r="N12" s="110" t="s">
        <v>561</v>
      </c>
      <c r="O12" s="110" t="s">
        <v>560</v>
      </c>
    </row>
    <row r="13" spans="1:15" x14ac:dyDescent="0.25">
      <c r="B13" s="5">
        <v>1903</v>
      </c>
      <c r="C13" s="5" t="s">
        <v>567</v>
      </c>
      <c r="D13" s="5" t="s">
        <v>568</v>
      </c>
      <c r="E13" s="5" t="s">
        <v>610</v>
      </c>
    </row>
    <row r="14" spans="1:15" x14ac:dyDescent="0.25">
      <c r="B14" s="5">
        <v>1904</v>
      </c>
      <c r="C14" s="5" t="s">
        <v>562</v>
      </c>
      <c r="D14" s="5" t="s">
        <v>562</v>
      </c>
      <c r="E14" s="5" t="s">
        <v>611</v>
      </c>
    </row>
    <row r="15" spans="1:15" x14ac:dyDescent="0.25">
      <c r="B15" s="5">
        <v>1905</v>
      </c>
      <c r="C15" s="5" t="s">
        <v>569</v>
      </c>
      <c r="D15" s="5" t="s">
        <v>570</v>
      </c>
      <c r="E15" s="5" t="s">
        <v>563</v>
      </c>
    </row>
    <row r="16" spans="1:15" x14ac:dyDescent="0.25">
      <c r="B16" s="5">
        <v>1906</v>
      </c>
      <c r="C16" s="5" t="s">
        <v>571</v>
      </c>
      <c r="D16" s="5" t="s">
        <v>572</v>
      </c>
      <c r="E16" s="5" t="s">
        <v>564</v>
      </c>
    </row>
    <row r="17" spans="2:5" x14ac:dyDescent="0.25">
      <c r="B17" s="5">
        <v>1907</v>
      </c>
      <c r="C17" s="5" t="s">
        <v>572</v>
      </c>
      <c r="D17" s="5" t="s">
        <v>573</v>
      </c>
      <c r="E17" s="5" t="s">
        <v>612</v>
      </c>
    </row>
    <row r="18" spans="2:5" x14ac:dyDescent="0.25">
      <c r="B18" s="5">
        <v>1908</v>
      </c>
      <c r="C18" s="5" t="s">
        <v>572</v>
      </c>
      <c r="D18" s="5" t="s">
        <v>573</v>
      </c>
      <c r="E18" s="5" t="s">
        <v>563</v>
      </c>
    </row>
    <row r="19" spans="2:5" x14ac:dyDescent="0.25">
      <c r="B19" s="5">
        <v>1909</v>
      </c>
      <c r="C19" s="5" t="s">
        <v>568</v>
      </c>
      <c r="D19" s="5" t="s">
        <v>573</v>
      </c>
      <c r="E19" s="5" t="s">
        <v>565</v>
      </c>
    </row>
    <row r="20" spans="2:5" x14ac:dyDescent="0.25">
      <c r="B20" s="5">
        <v>1910</v>
      </c>
      <c r="C20" s="5" t="s">
        <v>570</v>
      </c>
      <c r="D20" s="5" t="s">
        <v>572</v>
      </c>
      <c r="E20" s="5" t="s">
        <v>563</v>
      </c>
    </row>
    <row r="21" spans="2:5" x14ac:dyDescent="0.25">
      <c r="B21" s="5">
        <v>1911</v>
      </c>
      <c r="C21" s="5" t="s">
        <v>570</v>
      </c>
      <c r="D21" s="5" t="s">
        <v>569</v>
      </c>
      <c r="E21" s="5" t="s">
        <v>564</v>
      </c>
    </row>
    <row r="22" spans="2:5" x14ac:dyDescent="0.25">
      <c r="B22" s="5">
        <v>1912</v>
      </c>
      <c r="C22" s="5" t="s">
        <v>574</v>
      </c>
      <c r="D22" s="5" t="s">
        <v>569</v>
      </c>
      <c r="E22" s="5" t="s">
        <v>613</v>
      </c>
    </row>
    <row r="23" spans="2:5" x14ac:dyDescent="0.25">
      <c r="B23" s="5">
        <v>1913</v>
      </c>
      <c r="C23" s="5" t="s">
        <v>570</v>
      </c>
      <c r="D23" s="5" t="s">
        <v>569</v>
      </c>
      <c r="E23" s="5" t="s">
        <v>563</v>
      </c>
    </row>
    <row r="24" spans="2:5" x14ac:dyDescent="0.25">
      <c r="B24" s="5">
        <v>1914</v>
      </c>
      <c r="C24" s="5" t="s">
        <v>575</v>
      </c>
      <c r="D24" s="5" t="s">
        <v>570</v>
      </c>
      <c r="E24" s="5" t="s">
        <v>566</v>
      </c>
    </row>
    <row r="25" spans="2:5" x14ac:dyDescent="0.25">
      <c r="B25" s="5">
        <v>1915</v>
      </c>
      <c r="C25" s="5" t="s">
        <v>574</v>
      </c>
      <c r="D25" s="5" t="s">
        <v>576</v>
      </c>
      <c r="E25" s="5" t="s">
        <v>563</v>
      </c>
    </row>
    <row r="26" spans="2:5" x14ac:dyDescent="0.25">
      <c r="B26" s="5">
        <v>1916</v>
      </c>
      <c r="C26" s="5" t="s">
        <v>574</v>
      </c>
      <c r="D26" s="5" t="s">
        <v>577</v>
      </c>
      <c r="E26" s="5" t="s">
        <v>563</v>
      </c>
    </row>
    <row r="27" spans="2:5" x14ac:dyDescent="0.25">
      <c r="B27" s="5">
        <v>1917</v>
      </c>
      <c r="C27" s="5" t="s">
        <v>571</v>
      </c>
      <c r="D27" s="5" t="s">
        <v>569</v>
      </c>
      <c r="E27" s="5" t="s">
        <v>564</v>
      </c>
    </row>
    <row r="28" spans="2:5" x14ac:dyDescent="0.25">
      <c r="B28" s="5">
        <v>1918</v>
      </c>
      <c r="C28" s="5" t="s">
        <v>574</v>
      </c>
      <c r="D28" s="5" t="s">
        <v>572</v>
      </c>
      <c r="E28" s="5" t="s">
        <v>564</v>
      </c>
    </row>
    <row r="29" spans="2:5" x14ac:dyDescent="0.25">
      <c r="B29" s="5">
        <v>1919</v>
      </c>
      <c r="C29" s="5" t="s">
        <v>578</v>
      </c>
      <c r="D29" s="5" t="s">
        <v>571</v>
      </c>
      <c r="E29" s="5" t="s">
        <v>610</v>
      </c>
    </row>
    <row r="30" spans="2:5" x14ac:dyDescent="0.25">
      <c r="B30" s="5">
        <v>1920</v>
      </c>
      <c r="C30" s="5" t="s">
        <v>579</v>
      </c>
      <c r="D30" s="5" t="s">
        <v>577</v>
      </c>
      <c r="E30" s="5" t="s">
        <v>614</v>
      </c>
    </row>
    <row r="31" spans="2:5" x14ac:dyDescent="0.25">
      <c r="B31" s="5">
        <v>1921</v>
      </c>
      <c r="C31" s="5" t="s">
        <v>569</v>
      </c>
      <c r="D31" s="5" t="s">
        <v>580</v>
      </c>
      <c r="E31" s="5" t="s">
        <v>610</v>
      </c>
    </row>
    <row r="32" spans="2:5" x14ac:dyDescent="0.25">
      <c r="B32" s="5">
        <v>1922</v>
      </c>
      <c r="C32" s="5" t="s">
        <v>569</v>
      </c>
      <c r="D32" s="5" t="s">
        <v>581</v>
      </c>
      <c r="E32" s="5" t="s">
        <v>612</v>
      </c>
    </row>
    <row r="33" spans="2:5" x14ac:dyDescent="0.25">
      <c r="B33" s="5">
        <v>1923</v>
      </c>
      <c r="C33" s="5" t="s">
        <v>580</v>
      </c>
      <c r="D33" s="5" t="s">
        <v>569</v>
      </c>
      <c r="E33" s="5" t="s">
        <v>564</v>
      </c>
    </row>
    <row r="34" spans="2:5" x14ac:dyDescent="0.25">
      <c r="B34" s="5">
        <v>1924</v>
      </c>
      <c r="C34" s="5" t="s">
        <v>582</v>
      </c>
      <c r="D34" s="5" t="s">
        <v>569</v>
      </c>
      <c r="E34" s="5" t="s">
        <v>565</v>
      </c>
    </row>
    <row r="35" spans="2:5" x14ac:dyDescent="0.25">
      <c r="B35" s="5">
        <v>1925</v>
      </c>
      <c r="C35" s="5" t="s">
        <v>568</v>
      </c>
      <c r="D35" s="5" t="s">
        <v>582</v>
      </c>
      <c r="E35" s="5" t="s">
        <v>565</v>
      </c>
    </row>
    <row r="36" spans="2:5" x14ac:dyDescent="0.25">
      <c r="B36" s="5">
        <v>1926</v>
      </c>
      <c r="C36" s="5" t="s">
        <v>583</v>
      </c>
      <c r="D36" s="5" t="s">
        <v>580</v>
      </c>
      <c r="E36" s="5" t="s">
        <v>565</v>
      </c>
    </row>
    <row r="37" spans="2:5" x14ac:dyDescent="0.25">
      <c r="B37" s="5">
        <v>1927</v>
      </c>
      <c r="C37" s="5" t="s">
        <v>580</v>
      </c>
      <c r="D37" s="5" t="s">
        <v>568</v>
      </c>
      <c r="E37" s="5" t="s">
        <v>566</v>
      </c>
    </row>
    <row r="38" spans="2:5" x14ac:dyDescent="0.25">
      <c r="B38" s="5">
        <v>1928</v>
      </c>
      <c r="C38" s="5" t="s">
        <v>580</v>
      </c>
      <c r="D38" s="5" t="s">
        <v>583</v>
      </c>
      <c r="E38" s="5" t="s">
        <v>566</v>
      </c>
    </row>
    <row r="39" spans="2:5" x14ac:dyDescent="0.25">
      <c r="B39" s="5">
        <v>1929</v>
      </c>
      <c r="C39" s="5" t="s">
        <v>570</v>
      </c>
      <c r="D39" s="5" t="s">
        <v>572</v>
      </c>
      <c r="E39" s="5" t="s">
        <v>563</v>
      </c>
    </row>
    <row r="40" spans="2:5" x14ac:dyDescent="0.25">
      <c r="B40" s="5">
        <v>1930</v>
      </c>
      <c r="C40" s="5" t="s">
        <v>570</v>
      </c>
      <c r="D40" s="5" t="s">
        <v>583</v>
      </c>
      <c r="E40" s="5" t="s">
        <v>564</v>
      </c>
    </row>
    <row r="41" spans="2:5" x14ac:dyDescent="0.25">
      <c r="B41" s="5">
        <v>1931</v>
      </c>
      <c r="C41" s="5" t="s">
        <v>583</v>
      </c>
      <c r="D41" s="5" t="s">
        <v>570</v>
      </c>
      <c r="E41" s="5" t="s">
        <v>565</v>
      </c>
    </row>
    <row r="42" spans="2:5" x14ac:dyDescent="0.25">
      <c r="B42" s="5">
        <v>1932</v>
      </c>
      <c r="C42" s="5" t="s">
        <v>580</v>
      </c>
      <c r="D42" s="5" t="s">
        <v>572</v>
      </c>
      <c r="E42" s="5" t="s">
        <v>566</v>
      </c>
    </row>
    <row r="43" spans="2:5" x14ac:dyDescent="0.25">
      <c r="B43" s="5">
        <v>1933</v>
      </c>
      <c r="C43" s="5" t="s">
        <v>569</v>
      </c>
      <c r="D43" s="5" t="s">
        <v>582</v>
      </c>
      <c r="E43" s="5" t="s">
        <v>563</v>
      </c>
    </row>
    <row r="44" spans="2:5" x14ac:dyDescent="0.25">
      <c r="B44" s="5">
        <v>1934</v>
      </c>
      <c r="C44" s="5" t="s">
        <v>583</v>
      </c>
      <c r="D44" s="5" t="s">
        <v>573</v>
      </c>
      <c r="E44" s="5" t="s">
        <v>565</v>
      </c>
    </row>
    <row r="45" spans="2:5" x14ac:dyDescent="0.25">
      <c r="B45" s="5">
        <v>1935</v>
      </c>
      <c r="C45" s="5" t="s">
        <v>573</v>
      </c>
      <c r="D45" s="5" t="s">
        <v>572</v>
      </c>
      <c r="E45" s="5" t="s">
        <v>564</v>
      </c>
    </row>
    <row r="46" spans="2:5" x14ac:dyDescent="0.25">
      <c r="B46" s="5">
        <v>1936</v>
      </c>
      <c r="C46" s="5" t="s">
        <v>580</v>
      </c>
      <c r="D46" s="5" t="s">
        <v>569</v>
      </c>
      <c r="E46" s="5" t="s">
        <v>564</v>
      </c>
    </row>
    <row r="47" spans="2:5" x14ac:dyDescent="0.25">
      <c r="B47" s="5">
        <v>1937</v>
      </c>
      <c r="C47" s="5" t="s">
        <v>580</v>
      </c>
      <c r="D47" s="5" t="s">
        <v>569</v>
      </c>
      <c r="E47" s="5" t="s">
        <v>563</v>
      </c>
    </row>
    <row r="48" spans="2:5" x14ac:dyDescent="0.25">
      <c r="B48" s="5">
        <v>1938</v>
      </c>
      <c r="C48" s="5" t="s">
        <v>580</v>
      </c>
      <c r="D48" s="5" t="s">
        <v>572</v>
      </c>
      <c r="E48" s="5" t="s">
        <v>566</v>
      </c>
    </row>
    <row r="49" spans="2:5" x14ac:dyDescent="0.25">
      <c r="B49" s="5">
        <v>1939</v>
      </c>
      <c r="C49" s="5" t="s">
        <v>580</v>
      </c>
      <c r="D49" s="5" t="s">
        <v>578</v>
      </c>
      <c r="E49" s="5" t="s">
        <v>566</v>
      </c>
    </row>
    <row r="50" spans="2:5" x14ac:dyDescent="0.25">
      <c r="B50" s="5">
        <v>1940</v>
      </c>
      <c r="C50" s="5" t="s">
        <v>578</v>
      </c>
      <c r="D50" s="5" t="s">
        <v>573</v>
      </c>
      <c r="E50" s="5" t="s">
        <v>565</v>
      </c>
    </row>
    <row r="51" spans="2:5" x14ac:dyDescent="0.25">
      <c r="B51" s="5">
        <v>1941</v>
      </c>
      <c r="C51" s="5" t="s">
        <v>580</v>
      </c>
      <c r="D51" s="5" t="s">
        <v>584</v>
      </c>
      <c r="E51" s="5" t="s">
        <v>563</v>
      </c>
    </row>
    <row r="52" spans="2:5" x14ac:dyDescent="0.25">
      <c r="B52" s="5">
        <v>1942</v>
      </c>
      <c r="C52" s="5" t="s">
        <v>583</v>
      </c>
      <c r="D52" s="5" t="s">
        <v>580</v>
      </c>
      <c r="E52" s="5" t="s">
        <v>563</v>
      </c>
    </row>
    <row r="53" spans="2:5" x14ac:dyDescent="0.25">
      <c r="B53" s="5">
        <v>1943</v>
      </c>
      <c r="C53" s="5" t="s">
        <v>580</v>
      </c>
      <c r="D53" s="5" t="s">
        <v>583</v>
      </c>
      <c r="E53" s="5" t="s">
        <v>563</v>
      </c>
    </row>
    <row r="54" spans="2:5" x14ac:dyDescent="0.25">
      <c r="B54" s="5">
        <v>1944</v>
      </c>
      <c r="C54" s="5" t="s">
        <v>583</v>
      </c>
      <c r="D54" s="5" t="s">
        <v>585</v>
      </c>
      <c r="E54" s="5" t="s">
        <v>564</v>
      </c>
    </row>
    <row r="55" spans="2:5" x14ac:dyDescent="0.25">
      <c r="B55" s="5">
        <v>1945</v>
      </c>
      <c r="C55" s="5" t="s">
        <v>573</v>
      </c>
      <c r="D55" s="5" t="s">
        <v>572</v>
      </c>
      <c r="E55" s="5" t="s">
        <v>565</v>
      </c>
    </row>
    <row r="56" spans="2:5" x14ac:dyDescent="0.25">
      <c r="B56" s="5">
        <v>1946</v>
      </c>
      <c r="C56" s="5" t="s">
        <v>583</v>
      </c>
      <c r="D56" s="5" t="s">
        <v>574</v>
      </c>
      <c r="E56" s="5" t="s">
        <v>565</v>
      </c>
    </row>
    <row r="57" spans="2:5" x14ac:dyDescent="0.25">
      <c r="B57" s="5">
        <v>1947</v>
      </c>
      <c r="C57" s="5" t="s">
        <v>580</v>
      </c>
      <c r="D57" s="5" t="s">
        <v>584</v>
      </c>
      <c r="E57" s="5" t="s">
        <v>565</v>
      </c>
    </row>
    <row r="58" spans="2:5" x14ac:dyDescent="0.25">
      <c r="B58" s="5">
        <v>1948</v>
      </c>
      <c r="C58" s="5" t="s">
        <v>579</v>
      </c>
      <c r="D58" s="5" t="s">
        <v>575</v>
      </c>
      <c r="E58" s="5" t="s">
        <v>564</v>
      </c>
    </row>
    <row r="59" spans="2:5" x14ac:dyDescent="0.25">
      <c r="B59" s="5">
        <v>1949</v>
      </c>
      <c r="C59" s="5" t="s">
        <v>580</v>
      </c>
      <c r="D59" s="5" t="s">
        <v>584</v>
      </c>
      <c r="E59" s="5" t="s">
        <v>563</v>
      </c>
    </row>
    <row r="60" spans="2:5" x14ac:dyDescent="0.25">
      <c r="B60" s="5">
        <v>1950</v>
      </c>
      <c r="C60" s="5" t="s">
        <v>580</v>
      </c>
      <c r="D60" s="5" t="s">
        <v>576</v>
      </c>
      <c r="E60" s="5" t="s">
        <v>566</v>
      </c>
    </row>
    <row r="61" spans="2:5" x14ac:dyDescent="0.25">
      <c r="B61" s="5">
        <v>1951</v>
      </c>
      <c r="C61" s="5" t="s">
        <v>580</v>
      </c>
      <c r="D61" s="5" t="s">
        <v>569</v>
      </c>
      <c r="E61" s="5" t="s">
        <v>564</v>
      </c>
    </row>
    <row r="62" spans="2:5" x14ac:dyDescent="0.25">
      <c r="B62" s="5">
        <v>1952</v>
      </c>
      <c r="C62" s="5" t="s">
        <v>580</v>
      </c>
      <c r="D62" s="5" t="s">
        <v>584</v>
      </c>
      <c r="E62" s="5" t="s">
        <v>565</v>
      </c>
    </row>
    <row r="63" spans="2:5" x14ac:dyDescent="0.25">
      <c r="B63" s="5">
        <v>1953</v>
      </c>
      <c r="C63" s="5" t="s">
        <v>580</v>
      </c>
      <c r="D63" s="5" t="s">
        <v>584</v>
      </c>
      <c r="E63" s="5" t="s">
        <v>564</v>
      </c>
    </row>
    <row r="64" spans="2:5" x14ac:dyDescent="0.25">
      <c r="B64" s="5">
        <v>1954</v>
      </c>
      <c r="C64" s="5" t="s">
        <v>569</v>
      </c>
      <c r="D64" s="5" t="s">
        <v>579</v>
      </c>
      <c r="E64" s="5" t="s">
        <v>566</v>
      </c>
    </row>
    <row r="65" spans="2:5" x14ac:dyDescent="0.25">
      <c r="B65" s="5">
        <v>1955</v>
      </c>
      <c r="C65" s="5" t="s">
        <v>584</v>
      </c>
      <c r="D65" s="5" t="s">
        <v>580</v>
      </c>
      <c r="E65" s="5" t="s">
        <v>565</v>
      </c>
    </row>
    <row r="66" spans="2:5" x14ac:dyDescent="0.25">
      <c r="B66" s="5">
        <v>1956</v>
      </c>
      <c r="C66" s="5" t="s">
        <v>580</v>
      </c>
      <c r="D66" s="5" t="s">
        <v>584</v>
      </c>
      <c r="E66" s="5" t="s">
        <v>565</v>
      </c>
    </row>
    <row r="67" spans="2:5" x14ac:dyDescent="0.25">
      <c r="B67" s="5">
        <v>1957</v>
      </c>
      <c r="C67" s="5" t="s">
        <v>586</v>
      </c>
      <c r="D67" s="5" t="s">
        <v>580</v>
      </c>
      <c r="E67" s="5" t="s">
        <v>565</v>
      </c>
    </row>
    <row r="68" spans="2:5" x14ac:dyDescent="0.25">
      <c r="B68" s="5">
        <v>1958</v>
      </c>
      <c r="C68" s="5" t="s">
        <v>580</v>
      </c>
      <c r="D68" s="5" t="s">
        <v>586</v>
      </c>
      <c r="E68" s="5" t="s">
        <v>565</v>
      </c>
    </row>
    <row r="69" spans="2:5" x14ac:dyDescent="0.25">
      <c r="B69" s="5">
        <v>1959</v>
      </c>
      <c r="C69" s="5" t="s">
        <v>587</v>
      </c>
      <c r="D69" s="5" t="s">
        <v>571</v>
      </c>
      <c r="E69" s="5" t="s">
        <v>564</v>
      </c>
    </row>
    <row r="70" spans="2:5" x14ac:dyDescent="0.25">
      <c r="B70" s="5">
        <v>1960</v>
      </c>
      <c r="C70" s="5" t="s">
        <v>568</v>
      </c>
      <c r="D70" s="5" t="s">
        <v>580</v>
      </c>
      <c r="E70" s="5" t="s">
        <v>565</v>
      </c>
    </row>
    <row r="71" spans="2:5" x14ac:dyDescent="0.25">
      <c r="B71" s="5">
        <v>1961</v>
      </c>
      <c r="C71" s="5" t="s">
        <v>580</v>
      </c>
      <c r="D71" s="5" t="s">
        <v>578</v>
      </c>
      <c r="E71" s="5" t="s">
        <v>563</v>
      </c>
    </row>
    <row r="72" spans="2:5" x14ac:dyDescent="0.25">
      <c r="B72" s="5">
        <v>1962</v>
      </c>
      <c r="C72" s="5" t="s">
        <v>580</v>
      </c>
      <c r="D72" s="5" t="s">
        <v>588</v>
      </c>
      <c r="E72" s="5" t="s">
        <v>565</v>
      </c>
    </row>
    <row r="73" spans="2:5" x14ac:dyDescent="0.25">
      <c r="B73" s="5">
        <v>1963</v>
      </c>
      <c r="C73" s="5" t="s">
        <v>587</v>
      </c>
      <c r="D73" s="5" t="s">
        <v>580</v>
      </c>
      <c r="E73" s="5" t="s">
        <v>566</v>
      </c>
    </row>
    <row r="74" spans="2:5" x14ac:dyDescent="0.25">
      <c r="B74" s="5">
        <v>1964</v>
      </c>
      <c r="C74" s="5" t="s">
        <v>589</v>
      </c>
      <c r="D74" s="5" t="s">
        <v>580</v>
      </c>
      <c r="E74" s="5" t="s">
        <v>565</v>
      </c>
    </row>
    <row r="75" spans="2:5" x14ac:dyDescent="0.25">
      <c r="B75" s="5">
        <v>1965</v>
      </c>
      <c r="C75" s="5" t="s">
        <v>587</v>
      </c>
      <c r="D75" s="5" t="s">
        <v>590</v>
      </c>
      <c r="E75" s="5" t="s">
        <v>565</v>
      </c>
    </row>
    <row r="76" spans="2:5" x14ac:dyDescent="0.25">
      <c r="B76" s="5">
        <v>1966</v>
      </c>
      <c r="C76" s="5" t="s">
        <v>591</v>
      </c>
      <c r="D76" s="5" t="s">
        <v>587</v>
      </c>
      <c r="E76" s="5" t="s">
        <v>566</v>
      </c>
    </row>
    <row r="77" spans="2:5" x14ac:dyDescent="0.25">
      <c r="B77" s="5">
        <v>1967</v>
      </c>
      <c r="C77" s="5" t="s">
        <v>583</v>
      </c>
      <c r="D77" s="5" t="s">
        <v>574</v>
      </c>
      <c r="E77" s="5" t="s">
        <v>565</v>
      </c>
    </row>
    <row r="78" spans="2:5" x14ac:dyDescent="0.25">
      <c r="B78" s="5">
        <v>1968</v>
      </c>
      <c r="C78" s="5" t="s">
        <v>573</v>
      </c>
      <c r="D78" s="5" t="s">
        <v>583</v>
      </c>
      <c r="E78" s="5" t="s">
        <v>565</v>
      </c>
    </row>
    <row r="79" spans="2:5" x14ac:dyDescent="0.25">
      <c r="B79" s="5">
        <v>1969</v>
      </c>
      <c r="C79" s="5" t="s">
        <v>592</v>
      </c>
      <c r="D79" s="5" t="s">
        <v>591</v>
      </c>
      <c r="E79" s="5" t="s">
        <v>563</v>
      </c>
    </row>
    <row r="80" spans="2:5" x14ac:dyDescent="0.25">
      <c r="B80" s="5">
        <v>1970</v>
      </c>
      <c r="C80" s="5" t="s">
        <v>591</v>
      </c>
      <c r="D80" s="5" t="s">
        <v>578</v>
      </c>
      <c r="E80" s="5" t="s">
        <v>563</v>
      </c>
    </row>
    <row r="81" spans="2:5" x14ac:dyDescent="0.25">
      <c r="B81" s="5">
        <v>1971</v>
      </c>
      <c r="C81" s="5" t="s">
        <v>568</v>
      </c>
      <c r="D81" s="5" t="s">
        <v>591</v>
      </c>
      <c r="E81" s="5" t="s">
        <v>565</v>
      </c>
    </row>
    <row r="82" spans="2:5" x14ac:dyDescent="0.25">
      <c r="B82" s="5">
        <v>1972</v>
      </c>
      <c r="C82" s="5" t="s">
        <v>593</v>
      </c>
      <c r="D82" s="5" t="s">
        <v>578</v>
      </c>
      <c r="E82" s="5" t="s">
        <v>565</v>
      </c>
    </row>
    <row r="83" spans="2:5" x14ac:dyDescent="0.25">
      <c r="B83" s="5">
        <v>1973</v>
      </c>
      <c r="C83" s="5" t="s">
        <v>593</v>
      </c>
      <c r="D83" s="5" t="s">
        <v>592</v>
      </c>
      <c r="E83" s="5" t="s">
        <v>565</v>
      </c>
    </row>
    <row r="84" spans="2:5" x14ac:dyDescent="0.25">
      <c r="B84" s="5">
        <v>1974</v>
      </c>
      <c r="C84" s="5" t="s">
        <v>593</v>
      </c>
      <c r="D84" s="5" t="s">
        <v>587</v>
      </c>
      <c r="E84" s="5" t="s">
        <v>563</v>
      </c>
    </row>
    <row r="85" spans="2:5" x14ac:dyDescent="0.25">
      <c r="B85" s="5">
        <v>1975</v>
      </c>
      <c r="C85" s="5" t="s">
        <v>578</v>
      </c>
      <c r="D85" s="5" t="s">
        <v>574</v>
      </c>
      <c r="E85" s="5" t="s">
        <v>565</v>
      </c>
    </row>
    <row r="86" spans="2:5" x14ac:dyDescent="0.25">
      <c r="B86" s="5">
        <v>1976</v>
      </c>
      <c r="C86" s="5" t="s">
        <v>578</v>
      </c>
      <c r="D86" s="5" t="s">
        <v>580</v>
      </c>
      <c r="E86" s="5" t="s">
        <v>566</v>
      </c>
    </row>
    <row r="87" spans="2:5" x14ac:dyDescent="0.25">
      <c r="B87" s="5">
        <v>1977</v>
      </c>
      <c r="C87" s="5" t="s">
        <v>580</v>
      </c>
      <c r="D87" s="5" t="s">
        <v>587</v>
      </c>
      <c r="E87" s="5" t="s">
        <v>564</v>
      </c>
    </row>
    <row r="88" spans="2:5" x14ac:dyDescent="0.25">
      <c r="B88" s="5">
        <v>1978</v>
      </c>
      <c r="C88" s="5" t="s">
        <v>580</v>
      </c>
      <c r="D88" s="5" t="s">
        <v>587</v>
      </c>
      <c r="E88" s="5" t="s">
        <v>564</v>
      </c>
    </row>
    <row r="89" spans="2:5" x14ac:dyDescent="0.25">
      <c r="B89" s="5">
        <v>1979</v>
      </c>
      <c r="C89" s="5" t="s">
        <v>568</v>
      </c>
      <c r="D89" s="5" t="s">
        <v>591</v>
      </c>
      <c r="E89" s="5" t="s">
        <v>565</v>
      </c>
    </row>
    <row r="90" spans="2:5" x14ac:dyDescent="0.25">
      <c r="B90" s="5">
        <v>1980</v>
      </c>
      <c r="C90" s="5" t="s">
        <v>576</v>
      </c>
      <c r="D90" s="5" t="s">
        <v>594</v>
      </c>
      <c r="E90" s="5" t="s">
        <v>564</v>
      </c>
    </row>
    <row r="91" spans="2:5" x14ac:dyDescent="0.25">
      <c r="B91" s="5">
        <v>1981</v>
      </c>
      <c r="C91" s="5" t="s">
        <v>587</v>
      </c>
      <c r="D91" s="5" t="s">
        <v>580</v>
      </c>
      <c r="E91" s="5" t="s">
        <v>564</v>
      </c>
    </row>
    <row r="92" spans="2:5" x14ac:dyDescent="0.25">
      <c r="B92" s="5">
        <v>1982</v>
      </c>
      <c r="C92" s="5" t="s">
        <v>583</v>
      </c>
      <c r="D92" s="5" t="s">
        <v>595</v>
      </c>
      <c r="E92" s="5" t="s">
        <v>565</v>
      </c>
    </row>
    <row r="93" spans="2:5" x14ac:dyDescent="0.25">
      <c r="B93" s="5">
        <v>1983</v>
      </c>
      <c r="C93" s="5" t="s">
        <v>591</v>
      </c>
      <c r="D93" s="5" t="s">
        <v>576</v>
      </c>
      <c r="E93" s="5" t="s">
        <v>563</v>
      </c>
    </row>
    <row r="94" spans="2:5" x14ac:dyDescent="0.25">
      <c r="B94" s="5">
        <v>1984</v>
      </c>
      <c r="C94" s="5" t="s">
        <v>573</v>
      </c>
      <c r="D94" s="5" t="s">
        <v>596</v>
      </c>
      <c r="E94" s="5" t="s">
        <v>563</v>
      </c>
    </row>
    <row r="95" spans="2:5" x14ac:dyDescent="0.25">
      <c r="B95" s="5">
        <v>1985</v>
      </c>
      <c r="C95" s="5" t="s">
        <v>594</v>
      </c>
      <c r="D95" s="5" t="s">
        <v>583</v>
      </c>
      <c r="E95" s="5" t="s">
        <v>565</v>
      </c>
    </row>
    <row r="96" spans="2:5" x14ac:dyDescent="0.25">
      <c r="B96" s="5">
        <v>1986</v>
      </c>
      <c r="C96" s="5" t="s">
        <v>592</v>
      </c>
      <c r="D96" s="5" t="s">
        <v>574</v>
      </c>
      <c r="E96" s="5" t="s">
        <v>565</v>
      </c>
    </row>
    <row r="97" spans="2:5" x14ac:dyDescent="0.25">
      <c r="B97" s="5">
        <v>1987</v>
      </c>
      <c r="C97" s="5" t="s">
        <v>590</v>
      </c>
      <c r="D97" s="5" t="s">
        <v>583</v>
      </c>
      <c r="E97" s="5" t="s">
        <v>565</v>
      </c>
    </row>
    <row r="98" spans="2:5" x14ac:dyDescent="0.25">
      <c r="B98" s="5">
        <v>1988</v>
      </c>
      <c r="C98" s="5" t="s">
        <v>587</v>
      </c>
      <c r="D98" s="5" t="s">
        <v>593</v>
      </c>
      <c r="E98" s="5" t="s">
        <v>563</v>
      </c>
    </row>
    <row r="99" spans="2:5" x14ac:dyDescent="0.25">
      <c r="B99" s="5">
        <v>1989</v>
      </c>
      <c r="C99" s="5" t="s">
        <v>593</v>
      </c>
      <c r="D99" s="5" t="s">
        <v>588</v>
      </c>
      <c r="E99" s="5" t="s">
        <v>566</v>
      </c>
    </row>
    <row r="100" spans="2:5" x14ac:dyDescent="0.25">
      <c r="B100" s="5">
        <v>1990</v>
      </c>
      <c r="C100" s="5" t="s">
        <v>578</v>
      </c>
      <c r="D100" s="5" t="s">
        <v>593</v>
      </c>
      <c r="E100" s="5" t="s">
        <v>566</v>
      </c>
    </row>
    <row r="101" spans="2:5" x14ac:dyDescent="0.25">
      <c r="B101" s="5">
        <v>1991</v>
      </c>
      <c r="C101" s="5" t="s">
        <v>590</v>
      </c>
      <c r="D101" s="5" t="s">
        <v>597</v>
      </c>
      <c r="E101" s="5" t="s">
        <v>565</v>
      </c>
    </row>
    <row r="102" spans="2:5" x14ac:dyDescent="0.25">
      <c r="B102" s="5">
        <v>1992</v>
      </c>
      <c r="C102" s="5" t="s">
        <v>598</v>
      </c>
      <c r="D102" s="5" t="s">
        <v>597</v>
      </c>
      <c r="E102" s="5" t="s">
        <v>564</v>
      </c>
    </row>
    <row r="103" spans="2:5" x14ac:dyDescent="0.25">
      <c r="B103" s="5">
        <v>1993</v>
      </c>
      <c r="C103" s="5" t="s">
        <v>598</v>
      </c>
      <c r="D103" s="5" t="s">
        <v>576</v>
      </c>
      <c r="E103" s="5" t="s">
        <v>564</v>
      </c>
    </row>
    <row r="104" spans="2:5" x14ac:dyDescent="0.25">
      <c r="B104" s="5">
        <v>1994</v>
      </c>
      <c r="C104" s="5" t="s">
        <v>562</v>
      </c>
      <c r="D104" s="5" t="s">
        <v>562</v>
      </c>
      <c r="E104" s="5" t="s">
        <v>611</v>
      </c>
    </row>
    <row r="105" spans="2:5" x14ac:dyDescent="0.25">
      <c r="B105" s="5">
        <v>1995</v>
      </c>
      <c r="C105" s="5" t="s">
        <v>597</v>
      </c>
      <c r="D105" s="5" t="s">
        <v>579</v>
      </c>
      <c r="E105" s="5" t="s">
        <v>564</v>
      </c>
    </row>
    <row r="106" spans="2:5" x14ac:dyDescent="0.25">
      <c r="B106" s="5">
        <v>1996</v>
      </c>
      <c r="C106" s="5" t="s">
        <v>580</v>
      </c>
      <c r="D106" s="5" t="s">
        <v>597</v>
      </c>
      <c r="E106" s="5" t="s">
        <v>564</v>
      </c>
    </row>
    <row r="107" spans="2:5" x14ac:dyDescent="0.25">
      <c r="B107" s="5">
        <v>1997</v>
      </c>
      <c r="C107" s="5" t="s">
        <v>599</v>
      </c>
      <c r="D107" s="5" t="s">
        <v>579</v>
      </c>
      <c r="E107" s="5" t="s">
        <v>565</v>
      </c>
    </row>
    <row r="108" spans="2:5" x14ac:dyDescent="0.25">
      <c r="B108" s="5">
        <v>1998</v>
      </c>
      <c r="C108" s="5" t="s">
        <v>580</v>
      </c>
      <c r="D108" s="5" t="s">
        <v>596</v>
      </c>
      <c r="E108" s="5" t="s">
        <v>566</v>
      </c>
    </row>
    <row r="109" spans="2:5" x14ac:dyDescent="0.25">
      <c r="B109" s="5">
        <v>1999</v>
      </c>
      <c r="C109" s="5" t="s">
        <v>580</v>
      </c>
      <c r="D109" s="5" t="s">
        <v>597</v>
      </c>
      <c r="E109" s="5" t="s">
        <v>566</v>
      </c>
    </row>
    <row r="110" spans="2:5" x14ac:dyDescent="0.25">
      <c r="B110" s="5">
        <v>2000</v>
      </c>
      <c r="C110" s="5" t="s">
        <v>580</v>
      </c>
      <c r="D110" s="5" t="s">
        <v>592</v>
      </c>
      <c r="E110" s="5" t="s">
        <v>563</v>
      </c>
    </row>
    <row r="111" spans="2:5" x14ac:dyDescent="0.25">
      <c r="B111" s="5">
        <v>2001</v>
      </c>
      <c r="C111" s="5" t="s">
        <v>600</v>
      </c>
      <c r="D111" s="5" t="s">
        <v>580</v>
      </c>
      <c r="E111" s="5" t="s">
        <v>565</v>
      </c>
    </row>
    <row r="112" spans="2:5" x14ac:dyDescent="0.25">
      <c r="B112" s="5">
        <v>2002</v>
      </c>
      <c r="C112" s="5" t="s">
        <v>601</v>
      </c>
      <c r="D112" s="5" t="s">
        <v>588</v>
      </c>
      <c r="E112" s="5" t="s">
        <v>565</v>
      </c>
    </row>
    <row r="113" spans="2:5" x14ac:dyDescent="0.25">
      <c r="B113" s="5">
        <v>2003</v>
      </c>
      <c r="C113" s="5" t="s">
        <v>599</v>
      </c>
      <c r="D113" s="5" t="s">
        <v>580</v>
      </c>
      <c r="E113" s="5" t="s">
        <v>564</v>
      </c>
    </row>
    <row r="114" spans="2:5" x14ac:dyDescent="0.25">
      <c r="B114" s="5">
        <v>2004</v>
      </c>
      <c r="C114" s="5" t="s">
        <v>574</v>
      </c>
      <c r="D114" s="5" t="s">
        <v>583</v>
      </c>
      <c r="E114" s="5" t="s">
        <v>566</v>
      </c>
    </row>
    <row r="115" spans="2:5" x14ac:dyDescent="0.25">
      <c r="B115" s="5">
        <v>2005</v>
      </c>
      <c r="C115" s="5" t="s">
        <v>571</v>
      </c>
      <c r="D115" s="5" t="s">
        <v>602</v>
      </c>
      <c r="E115" s="5" t="s">
        <v>566</v>
      </c>
    </row>
    <row r="116" spans="2:5" x14ac:dyDescent="0.25">
      <c r="B116" s="5">
        <v>2006</v>
      </c>
      <c r="C116" s="5" t="s">
        <v>583</v>
      </c>
      <c r="D116" s="5" t="s">
        <v>573</v>
      </c>
      <c r="E116" s="5" t="s">
        <v>563</v>
      </c>
    </row>
    <row r="117" spans="2:5" x14ac:dyDescent="0.25">
      <c r="B117" s="5">
        <v>2007</v>
      </c>
      <c r="C117" s="5" t="s">
        <v>574</v>
      </c>
      <c r="D117" s="5" t="s">
        <v>603</v>
      </c>
      <c r="E117" s="5" t="s">
        <v>566</v>
      </c>
    </row>
    <row r="118" spans="2:5" x14ac:dyDescent="0.25">
      <c r="B118" s="5">
        <v>2008</v>
      </c>
      <c r="C118" s="5" t="s">
        <v>576</v>
      </c>
      <c r="D118" s="5" t="s">
        <v>604</v>
      </c>
      <c r="E118" s="5" t="s">
        <v>563</v>
      </c>
    </row>
    <row r="119" spans="2:5" x14ac:dyDescent="0.25">
      <c r="B119" s="5">
        <v>2009</v>
      </c>
      <c r="C119" s="5" t="s">
        <v>580</v>
      </c>
      <c r="D119" s="5" t="s">
        <v>576</v>
      </c>
      <c r="E119" s="5" t="s">
        <v>564</v>
      </c>
    </row>
    <row r="120" spans="2:5" x14ac:dyDescent="0.25">
      <c r="B120" s="5">
        <v>2010</v>
      </c>
      <c r="C120" s="5" t="s">
        <v>588</v>
      </c>
      <c r="D120" s="5" t="s">
        <v>605</v>
      </c>
      <c r="E120" s="5" t="s">
        <v>563</v>
      </c>
    </row>
    <row r="121" spans="2:5" x14ac:dyDescent="0.25">
      <c r="B121" s="5">
        <v>2011</v>
      </c>
      <c r="C121" s="5" t="s">
        <v>583</v>
      </c>
      <c r="D121" s="5" t="s">
        <v>605</v>
      </c>
      <c r="E121" s="5" t="s">
        <v>565</v>
      </c>
    </row>
    <row r="122" spans="2:5" x14ac:dyDescent="0.25">
      <c r="B122" s="5">
        <v>2012</v>
      </c>
      <c r="C122" s="5" t="s">
        <v>588</v>
      </c>
      <c r="D122" s="5" t="s">
        <v>573</v>
      </c>
      <c r="E122" s="5" t="s">
        <v>566</v>
      </c>
    </row>
    <row r="123" spans="2:5" x14ac:dyDescent="0.25">
      <c r="B123" s="5">
        <v>2013</v>
      </c>
      <c r="C123" s="5" t="s">
        <v>574</v>
      </c>
      <c r="D123" s="5" t="s">
        <v>583</v>
      </c>
      <c r="E123" s="5" t="s">
        <v>564</v>
      </c>
    </row>
    <row r="124" spans="2:5" x14ac:dyDescent="0.25">
      <c r="B124" s="5">
        <v>2014</v>
      </c>
      <c r="C124" s="5" t="s">
        <v>606</v>
      </c>
      <c r="D124" s="5" t="s">
        <v>594</v>
      </c>
      <c r="E124" s="5" t="s">
        <v>565</v>
      </c>
    </row>
    <row r="125" spans="2:5" x14ac:dyDescent="0.25">
      <c r="B125" s="5">
        <v>2015</v>
      </c>
      <c r="C125" s="5" t="s">
        <v>594</v>
      </c>
      <c r="D125" s="5" t="s">
        <v>592</v>
      </c>
      <c r="E125" s="5" t="s">
        <v>563</v>
      </c>
    </row>
    <row r="126" spans="2:5" x14ac:dyDescent="0.25">
      <c r="B126" s="5">
        <v>2016</v>
      </c>
      <c r="C126" s="5" t="s">
        <v>572</v>
      </c>
      <c r="D126" s="5" t="s">
        <v>579</v>
      </c>
      <c r="E126" s="5" t="s">
        <v>565</v>
      </c>
    </row>
    <row r="127" spans="2:5" x14ac:dyDescent="0.25">
      <c r="B127" s="5">
        <v>2017</v>
      </c>
      <c r="C127" s="5" t="s">
        <v>602</v>
      </c>
      <c r="D127" s="5" t="s">
        <v>587</v>
      </c>
      <c r="E127" s="5" t="s">
        <v>565</v>
      </c>
    </row>
    <row r="128" spans="2:5" x14ac:dyDescent="0.25">
      <c r="B128" s="5">
        <v>2018</v>
      </c>
      <c r="C128" s="5" t="s">
        <v>574</v>
      </c>
      <c r="D128" s="5" t="s">
        <v>587</v>
      </c>
      <c r="E128" s="5" t="s">
        <v>563</v>
      </c>
    </row>
    <row r="129" spans="2:5" x14ac:dyDescent="0.25">
      <c r="B129" s="5">
        <v>2019</v>
      </c>
      <c r="C129" s="5" t="s">
        <v>607</v>
      </c>
      <c r="D129" s="5" t="s">
        <v>602</v>
      </c>
      <c r="E129" s="5" t="s">
        <v>565</v>
      </c>
    </row>
  </sheetData>
  <dataValidations count="1">
    <dataValidation type="list" allowBlank="1" showInputMessage="1" showErrorMessage="1" sqref="C7:C8" xr:uid="{527B0253-5BD4-4DC8-A1E6-1B81A4304ED7}">
      <formula1>$B$13:$B$129</formula1>
    </dataValidation>
  </dataValidations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1CBC-69CF-441F-834F-98622D38EA33}">
  <sheetPr>
    <tabColor rgb="FFFF0000"/>
  </sheetPr>
  <dimension ref="A1:T129"/>
  <sheetViews>
    <sheetView zoomScaleNormal="100" workbookViewId="0"/>
  </sheetViews>
  <sheetFormatPr defaultColWidth="8.85546875" defaultRowHeight="15" x14ac:dyDescent="0.25"/>
  <cols>
    <col min="1" max="1" width="0.85546875" customWidth="1"/>
    <col min="2" max="2" width="10.42578125" customWidth="1"/>
    <col min="3" max="3" width="21.42578125" bestFit="1" customWidth="1"/>
    <col min="4" max="4" width="20.7109375" bestFit="1" customWidth="1"/>
    <col min="6" max="6" width="1.28515625" customWidth="1"/>
    <col min="7" max="7" width="8.28515625" customWidth="1"/>
    <col min="8" max="8" width="21.42578125" bestFit="1" customWidth="1"/>
    <col min="9" max="9" width="20.7109375" bestFit="1" customWidth="1"/>
    <col min="11" max="11" width="1.28515625" customWidth="1"/>
    <col min="12" max="12" width="8.28515625" customWidth="1"/>
    <col min="13" max="13" width="21.42578125" bestFit="1" customWidth="1"/>
    <col min="14" max="14" width="20.7109375" bestFit="1" customWidth="1"/>
    <col min="18" max="18" width="17.42578125" bestFit="1" customWidth="1"/>
    <col min="19" max="19" width="19.42578125" bestFit="1" customWidth="1"/>
    <col min="20" max="20" width="7.140625" bestFit="1" customWidth="1"/>
  </cols>
  <sheetData>
    <row r="1" spans="1:20" ht="5.25" customHeight="1" x14ac:dyDescent="0.25">
      <c r="A1" s="74"/>
    </row>
    <row r="2" spans="1:20" x14ac:dyDescent="0.25">
      <c r="B2" s="4" t="s">
        <v>618</v>
      </c>
    </row>
    <row r="3" spans="1:20" x14ac:dyDescent="0.25">
      <c r="B3" s="247" t="s">
        <v>615</v>
      </c>
    </row>
    <row r="4" spans="1:20" x14ac:dyDescent="0.25">
      <c r="B4" s="248" t="s">
        <v>616</v>
      </c>
    </row>
    <row r="5" spans="1:20" x14ac:dyDescent="0.25">
      <c r="B5" s="248" t="s">
        <v>617</v>
      </c>
    </row>
    <row r="6" spans="1:20" x14ac:dyDescent="0.25">
      <c r="B6" s="74"/>
    </row>
    <row r="7" spans="1:20" x14ac:dyDescent="0.25">
      <c r="B7" s="138" t="s">
        <v>608</v>
      </c>
      <c r="C7" s="141">
        <v>1970</v>
      </c>
    </row>
    <row r="8" spans="1:20" x14ac:dyDescent="0.25">
      <c r="B8" s="138" t="s">
        <v>609</v>
      </c>
      <c r="C8" s="141">
        <v>1979</v>
      </c>
      <c r="G8" s="4" t="str">
        <f>"Formula in cell "&amp;ADDRESS(ROW(G13),COLUMN(G13),4)&amp;":"</f>
        <v>Formula in cell G13:</v>
      </c>
      <c r="L8" s="4" t="str">
        <f>"Formula in cell "&amp;ADDRESS(ROW(L13),COLUMN(L13),4)&amp;":"</f>
        <v>Formula in cell L13:</v>
      </c>
      <c r="Q8" s="4" t="str">
        <f>"Formula in cell "&amp;ADDRESS(ROW(Q13),COLUMN(Q13),4)&amp;":"</f>
        <v>Formula in cell Q13:</v>
      </c>
    </row>
    <row r="9" spans="1:20" x14ac:dyDescent="0.25">
      <c r="G9" t="str">
        <f ca="1">_xlfn.IFNA(_xlfn.FORMULATEXT(G13),"")</f>
        <v>=FILTER(B13:E129,(B13:B129&gt;=C7)*(B13:B129&lt;=C8))</v>
      </c>
      <c r="L9" t="str">
        <f ca="1">_xlfn.IFNA(_xlfn.FORMULATEXT(L13),"")</f>
        <v>=XLOOKUP(C7,B13:B129,B13:B129):XLOOKUP(C8,B13:B129,E13:E129)</v>
      </c>
      <c r="Q9" t="str">
        <f ca="1">_xlfn.IFNA(_xlfn.FORMULATEXT(Q13),"")</f>
        <v>=OFFSET(B12:E12,XMATCH(C7,B13:B129),,C8-C7+1)</v>
      </c>
    </row>
    <row r="10" spans="1:20" x14ac:dyDescent="0.25">
      <c r="B10" s="232" t="str">
        <f>"Baseball World Series Teams from "&amp;MIN(B13:B129)&amp;" to "&amp;MAX(B13:B129)&amp;":"</f>
        <v>Baseball World Series Teams from 1903 to 2019:</v>
      </c>
      <c r="C10" s="232"/>
      <c r="D10" s="232"/>
    </row>
    <row r="12" spans="1:20" x14ac:dyDescent="0.25">
      <c r="B12" s="110" t="s">
        <v>558</v>
      </c>
      <c r="C12" s="110" t="s">
        <v>559</v>
      </c>
      <c r="D12" s="110" t="s">
        <v>561</v>
      </c>
      <c r="E12" s="110" t="s">
        <v>560</v>
      </c>
      <c r="G12" s="110" t="s">
        <v>558</v>
      </c>
      <c r="H12" s="110" t="s">
        <v>559</v>
      </c>
      <c r="I12" s="110" t="s">
        <v>561</v>
      </c>
      <c r="J12" s="110" t="s">
        <v>560</v>
      </c>
      <c r="L12" s="110" t="s">
        <v>558</v>
      </c>
      <c r="M12" s="110" t="s">
        <v>559</v>
      </c>
      <c r="N12" s="110" t="s">
        <v>561</v>
      </c>
      <c r="O12" s="110" t="s">
        <v>560</v>
      </c>
      <c r="Q12" s="110" t="s">
        <v>558</v>
      </c>
      <c r="R12" s="110" t="s">
        <v>559</v>
      </c>
      <c r="S12" s="110" t="s">
        <v>561</v>
      </c>
      <c r="T12" s="110" t="s">
        <v>560</v>
      </c>
    </row>
    <row r="13" spans="1:20" x14ac:dyDescent="0.25">
      <c r="B13" s="5">
        <v>1903</v>
      </c>
      <c r="C13" s="5" t="s">
        <v>567</v>
      </c>
      <c r="D13" s="5" t="s">
        <v>568</v>
      </c>
      <c r="E13" s="5" t="s">
        <v>610</v>
      </c>
      <c r="G13" cm="1">
        <f t="array" ref="G13:J22">_xlfn._xlws.FILTER(B13:E129,(B13:B129&gt;=C7)*(B13:B129&lt;=C8))</f>
        <v>1970</v>
      </c>
      <c r="H13" t="str">
        <v>Baltimore Orioles</v>
      </c>
      <c r="I13" t="str">
        <v>Cincinnati Reds</v>
      </c>
      <c r="J13" t="str">
        <v>4–1</v>
      </c>
      <c r="L13" cm="1">
        <f t="array" ref="L13:O22">_xlfn.XLOOKUP(C7,B13:B129,B13:B129):_xlfn.XLOOKUP(C8,B13:B129,E13:E129)</f>
        <v>1970</v>
      </c>
      <c r="M13" t="str">
        <v>Baltimore Orioles</v>
      </c>
      <c r="N13" t="str">
        <v>Cincinnati Reds</v>
      </c>
      <c r="O13" t="str">
        <v>4–1</v>
      </c>
      <c r="Q13" cm="1">
        <f t="array" aca="1" ref="Q13:T22" ca="1">OFFSET(B12:E12,_xlfn.XMATCH(C7,B13:B129),,C8-C7+1)</f>
        <v>1970</v>
      </c>
      <c r="R13" t="str">
        <f ca="1"/>
        <v>Baltimore Orioles</v>
      </c>
      <c r="S13" t="str">
        <f ca="1"/>
        <v>Cincinnati Reds</v>
      </c>
      <c r="T13" t="str">
        <f ca="1"/>
        <v>4–1</v>
      </c>
    </row>
    <row r="14" spans="1:20" x14ac:dyDescent="0.25">
      <c r="B14" s="5">
        <v>1904</v>
      </c>
      <c r="C14" s="5" t="s">
        <v>562</v>
      </c>
      <c r="D14" s="5" t="s">
        <v>562</v>
      </c>
      <c r="E14" s="5" t="s">
        <v>611</v>
      </c>
      <c r="G14">
        <v>1971</v>
      </c>
      <c r="H14" t="str">
        <v>Pittsburgh Pirates</v>
      </c>
      <c r="I14" t="str">
        <v>Baltimore Orioles</v>
      </c>
      <c r="J14" t="str">
        <v>4–3</v>
      </c>
      <c r="L14">
        <v>1971</v>
      </c>
      <c r="M14" t="str">
        <v>Pittsburgh Pirates</v>
      </c>
      <c r="N14" t="str">
        <v>Baltimore Orioles</v>
      </c>
      <c r="O14" t="str">
        <v>4–3</v>
      </c>
      <c r="Q14">
        <f ca="1"/>
        <v>1971</v>
      </c>
      <c r="R14" t="str">
        <f ca="1"/>
        <v>Pittsburgh Pirates</v>
      </c>
      <c r="S14" t="str">
        <f ca="1"/>
        <v>Baltimore Orioles</v>
      </c>
      <c r="T14" t="str">
        <f ca="1"/>
        <v>4–3</v>
      </c>
    </row>
    <row r="15" spans="1:20" x14ac:dyDescent="0.25">
      <c r="B15" s="5">
        <v>1905</v>
      </c>
      <c r="C15" s="5" t="s">
        <v>569</v>
      </c>
      <c r="D15" s="5" t="s">
        <v>570</v>
      </c>
      <c r="E15" s="5" t="s">
        <v>563</v>
      </c>
      <c r="G15">
        <v>1972</v>
      </c>
      <c r="H15" t="str">
        <v>Oakland Athletics</v>
      </c>
      <c r="I15" t="str">
        <v>Cincinnati Reds</v>
      </c>
      <c r="J15" t="str">
        <v>4–3</v>
      </c>
      <c r="L15">
        <v>1972</v>
      </c>
      <c r="M15" t="str">
        <v>Oakland Athletics</v>
      </c>
      <c r="N15" t="str">
        <v>Cincinnati Reds</v>
      </c>
      <c r="O15" t="str">
        <v>4–3</v>
      </c>
      <c r="Q15">
        <f ca="1"/>
        <v>1972</v>
      </c>
      <c r="R15" t="str">
        <f ca="1"/>
        <v>Oakland Athletics</v>
      </c>
      <c r="S15" t="str">
        <f ca="1"/>
        <v>Cincinnati Reds</v>
      </c>
      <c r="T15" t="str">
        <f ca="1"/>
        <v>4–3</v>
      </c>
    </row>
    <row r="16" spans="1:20" x14ac:dyDescent="0.25">
      <c r="B16" s="5">
        <v>1906</v>
      </c>
      <c r="C16" s="5" t="s">
        <v>571</v>
      </c>
      <c r="D16" s="5" t="s">
        <v>572</v>
      </c>
      <c r="E16" s="5" t="s">
        <v>564</v>
      </c>
      <c r="G16">
        <v>1973</v>
      </c>
      <c r="H16" t="str">
        <v>Oakland Athletics</v>
      </c>
      <c r="I16" t="str">
        <v>New York Mets</v>
      </c>
      <c r="J16" t="str">
        <v>4–3</v>
      </c>
      <c r="L16">
        <v>1973</v>
      </c>
      <c r="M16" t="str">
        <v>Oakland Athletics</v>
      </c>
      <c r="N16" t="str">
        <v>New York Mets</v>
      </c>
      <c r="O16" t="str">
        <v>4–3</v>
      </c>
      <c r="Q16">
        <f ca="1"/>
        <v>1973</v>
      </c>
      <c r="R16" t="str">
        <f ca="1"/>
        <v>Oakland Athletics</v>
      </c>
      <c r="S16" t="str">
        <f ca="1"/>
        <v>New York Mets</v>
      </c>
      <c r="T16" t="str">
        <f ca="1"/>
        <v>4–3</v>
      </c>
    </row>
    <row r="17" spans="2:20" x14ac:dyDescent="0.25">
      <c r="B17" s="5">
        <v>1907</v>
      </c>
      <c r="C17" s="5" t="s">
        <v>572</v>
      </c>
      <c r="D17" s="5" t="s">
        <v>573</v>
      </c>
      <c r="E17" s="5" t="s">
        <v>612</v>
      </c>
      <c r="G17">
        <v>1974</v>
      </c>
      <c r="H17" t="str">
        <v>Oakland Athletics</v>
      </c>
      <c r="I17" t="str">
        <v>Los Angeles Dodgers</v>
      </c>
      <c r="J17" t="str">
        <v>4–1</v>
      </c>
      <c r="L17">
        <v>1974</v>
      </c>
      <c r="M17" t="str">
        <v>Oakland Athletics</v>
      </c>
      <c r="N17" t="str">
        <v>Los Angeles Dodgers</v>
      </c>
      <c r="O17" t="str">
        <v>4–1</v>
      </c>
      <c r="Q17">
        <f ca="1"/>
        <v>1974</v>
      </c>
      <c r="R17" t="str">
        <f ca="1"/>
        <v>Oakland Athletics</v>
      </c>
      <c r="S17" t="str">
        <f ca="1"/>
        <v>Los Angeles Dodgers</v>
      </c>
      <c r="T17" t="str">
        <f ca="1"/>
        <v>4–1</v>
      </c>
    </row>
    <row r="18" spans="2:20" x14ac:dyDescent="0.25">
      <c r="B18" s="5">
        <v>1908</v>
      </c>
      <c r="C18" s="5" t="s">
        <v>572</v>
      </c>
      <c r="D18" s="5" t="s">
        <v>573</v>
      </c>
      <c r="E18" s="5" t="s">
        <v>563</v>
      </c>
      <c r="G18">
        <v>1975</v>
      </c>
      <c r="H18" t="str">
        <v>Cincinnati Reds</v>
      </c>
      <c r="I18" t="str">
        <v>Boston Red Sox</v>
      </c>
      <c r="J18" t="str">
        <v>4–3</v>
      </c>
      <c r="L18">
        <v>1975</v>
      </c>
      <c r="M18" t="str">
        <v>Cincinnati Reds</v>
      </c>
      <c r="N18" t="str">
        <v>Boston Red Sox</v>
      </c>
      <c r="O18" t="str">
        <v>4–3</v>
      </c>
      <c r="Q18">
        <f ca="1"/>
        <v>1975</v>
      </c>
      <c r="R18" t="str">
        <f ca="1"/>
        <v>Cincinnati Reds</v>
      </c>
      <c r="S18" t="str">
        <f ca="1"/>
        <v>Boston Red Sox</v>
      </c>
      <c r="T18" t="str">
        <f ca="1"/>
        <v>4–3</v>
      </c>
    </row>
    <row r="19" spans="2:20" x14ac:dyDescent="0.25">
      <c r="B19" s="5">
        <v>1909</v>
      </c>
      <c r="C19" s="5" t="s">
        <v>568</v>
      </c>
      <c r="D19" s="5" t="s">
        <v>573</v>
      </c>
      <c r="E19" s="5" t="s">
        <v>565</v>
      </c>
      <c r="G19">
        <v>1976</v>
      </c>
      <c r="H19" t="str">
        <v>Cincinnati Reds</v>
      </c>
      <c r="I19" t="str">
        <v>New York Yankees</v>
      </c>
      <c r="J19" t="str">
        <v>4–0</v>
      </c>
      <c r="L19">
        <v>1976</v>
      </c>
      <c r="M19" t="str">
        <v>Cincinnati Reds</v>
      </c>
      <c r="N19" t="str">
        <v>New York Yankees</v>
      </c>
      <c r="O19" t="str">
        <v>4–0</v>
      </c>
      <c r="Q19">
        <f ca="1"/>
        <v>1976</v>
      </c>
      <c r="R19" t="str">
        <f ca="1"/>
        <v>Cincinnati Reds</v>
      </c>
      <c r="S19" t="str">
        <f ca="1"/>
        <v>New York Yankees</v>
      </c>
      <c r="T19" t="str">
        <f ca="1"/>
        <v>4–0</v>
      </c>
    </row>
    <row r="20" spans="2:20" x14ac:dyDescent="0.25">
      <c r="B20" s="5">
        <v>1910</v>
      </c>
      <c r="C20" s="5" t="s">
        <v>570</v>
      </c>
      <c r="D20" s="5" t="s">
        <v>572</v>
      </c>
      <c r="E20" s="5" t="s">
        <v>563</v>
      </c>
      <c r="G20">
        <v>1977</v>
      </c>
      <c r="H20" t="str">
        <v>New York Yankees</v>
      </c>
      <c r="I20" t="str">
        <v>Los Angeles Dodgers</v>
      </c>
      <c r="J20" t="str">
        <v>4–2</v>
      </c>
      <c r="L20">
        <v>1977</v>
      </c>
      <c r="M20" t="str">
        <v>New York Yankees</v>
      </c>
      <c r="N20" t="str">
        <v>Los Angeles Dodgers</v>
      </c>
      <c r="O20" t="str">
        <v>4–2</v>
      </c>
      <c r="Q20">
        <f ca="1"/>
        <v>1977</v>
      </c>
      <c r="R20" t="str">
        <f ca="1"/>
        <v>New York Yankees</v>
      </c>
      <c r="S20" t="str">
        <f ca="1"/>
        <v>Los Angeles Dodgers</v>
      </c>
      <c r="T20" t="str">
        <f ca="1"/>
        <v>4–2</v>
      </c>
    </row>
    <row r="21" spans="2:20" x14ac:dyDescent="0.25">
      <c r="B21" s="5">
        <v>1911</v>
      </c>
      <c r="C21" s="5" t="s">
        <v>570</v>
      </c>
      <c r="D21" s="5" t="s">
        <v>569</v>
      </c>
      <c r="E21" s="5" t="s">
        <v>564</v>
      </c>
      <c r="G21">
        <v>1978</v>
      </c>
      <c r="H21" t="str">
        <v>New York Yankees</v>
      </c>
      <c r="I21" t="str">
        <v>Los Angeles Dodgers</v>
      </c>
      <c r="J21" t="str">
        <v>4–2</v>
      </c>
      <c r="L21">
        <v>1978</v>
      </c>
      <c r="M21" t="str">
        <v>New York Yankees</v>
      </c>
      <c r="N21" t="str">
        <v>Los Angeles Dodgers</v>
      </c>
      <c r="O21" t="str">
        <v>4–2</v>
      </c>
      <c r="Q21">
        <f ca="1"/>
        <v>1978</v>
      </c>
      <c r="R21" t="str">
        <f ca="1"/>
        <v>New York Yankees</v>
      </c>
      <c r="S21" t="str">
        <f ca="1"/>
        <v>Los Angeles Dodgers</v>
      </c>
      <c r="T21" t="str">
        <f ca="1"/>
        <v>4–2</v>
      </c>
    </row>
    <row r="22" spans="2:20" x14ac:dyDescent="0.25">
      <c r="B22" s="5">
        <v>1912</v>
      </c>
      <c r="C22" s="5" t="s">
        <v>574</v>
      </c>
      <c r="D22" s="5" t="s">
        <v>569</v>
      </c>
      <c r="E22" s="5" t="s">
        <v>613</v>
      </c>
      <c r="G22">
        <v>1979</v>
      </c>
      <c r="H22" t="str">
        <v>Pittsburgh Pirates</v>
      </c>
      <c r="I22" t="str">
        <v>Baltimore Orioles</v>
      </c>
      <c r="J22" t="str">
        <v>4–3</v>
      </c>
      <c r="L22">
        <v>1979</v>
      </c>
      <c r="M22" t="str">
        <v>Pittsburgh Pirates</v>
      </c>
      <c r="N22" t="str">
        <v>Baltimore Orioles</v>
      </c>
      <c r="O22" t="str">
        <v>4–3</v>
      </c>
      <c r="Q22">
        <f ca="1"/>
        <v>1979</v>
      </c>
      <c r="R22" t="str">
        <f ca="1"/>
        <v>Pittsburgh Pirates</v>
      </c>
      <c r="S22" t="str">
        <f ca="1"/>
        <v>Baltimore Orioles</v>
      </c>
      <c r="T22" t="str">
        <f ca="1"/>
        <v>4–3</v>
      </c>
    </row>
    <row r="23" spans="2:20" x14ac:dyDescent="0.25">
      <c r="B23" s="5">
        <v>1913</v>
      </c>
      <c r="C23" s="5" t="s">
        <v>570</v>
      </c>
      <c r="D23" s="5" t="s">
        <v>569</v>
      </c>
      <c r="E23" s="5" t="s">
        <v>563</v>
      </c>
    </row>
    <row r="24" spans="2:20" x14ac:dyDescent="0.25">
      <c r="B24" s="5">
        <v>1914</v>
      </c>
      <c r="C24" s="5" t="s">
        <v>575</v>
      </c>
      <c r="D24" s="5" t="s">
        <v>570</v>
      </c>
      <c r="E24" s="5" t="s">
        <v>566</v>
      </c>
    </row>
    <row r="25" spans="2:20" x14ac:dyDescent="0.25">
      <c r="B25" s="5">
        <v>1915</v>
      </c>
      <c r="C25" s="5" t="s">
        <v>574</v>
      </c>
      <c r="D25" s="5" t="s">
        <v>576</v>
      </c>
      <c r="E25" s="5" t="s">
        <v>563</v>
      </c>
    </row>
    <row r="26" spans="2:20" x14ac:dyDescent="0.25">
      <c r="B26" s="5">
        <v>1916</v>
      </c>
      <c r="C26" s="5" t="s">
        <v>574</v>
      </c>
      <c r="D26" s="5" t="s">
        <v>577</v>
      </c>
      <c r="E26" s="5" t="s">
        <v>563</v>
      </c>
    </row>
    <row r="27" spans="2:20" x14ac:dyDescent="0.25">
      <c r="B27" s="5">
        <v>1917</v>
      </c>
      <c r="C27" s="5" t="s">
        <v>571</v>
      </c>
      <c r="D27" s="5" t="s">
        <v>569</v>
      </c>
      <c r="E27" s="5" t="s">
        <v>564</v>
      </c>
    </row>
    <row r="28" spans="2:20" x14ac:dyDescent="0.25">
      <c r="B28" s="5">
        <v>1918</v>
      </c>
      <c r="C28" s="5" t="s">
        <v>574</v>
      </c>
      <c r="D28" s="5" t="s">
        <v>572</v>
      </c>
      <c r="E28" s="5" t="s">
        <v>564</v>
      </c>
    </row>
    <row r="29" spans="2:20" x14ac:dyDescent="0.25">
      <c r="B29" s="5">
        <v>1919</v>
      </c>
      <c r="C29" s="5" t="s">
        <v>578</v>
      </c>
      <c r="D29" s="5" t="s">
        <v>571</v>
      </c>
      <c r="E29" s="5" t="s">
        <v>610</v>
      </c>
    </row>
    <row r="30" spans="2:20" x14ac:dyDescent="0.25">
      <c r="B30" s="5">
        <v>1920</v>
      </c>
      <c r="C30" s="5" t="s">
        <v>579</v>
      </c>
      <c r="D30" s="5" t="s">
        <v>577</v>
      </c>
      <c r="E30" s="5" t="s">
        <v>614</v>
      </c>
    </row>
    <row r="31" spans="2:20" x14ac:dyDescent="0.25">
      <c r="B31" s="5">
        <v>1921</v>
      </c>
      <c r="C31" s="5" t="s">
        <v>569</v>
      </c>
      <c r="D31" s="5" t="s">
        <v>580</v>
      </c>
      <c r="E31" s="5" t="s">
        <v>610</v>
      </c>
    </row>
    <row r="32" spans="2:20" x14ac:dyDescent="0.25">
      <c r="B32" s="5">
        <v>1922</v>
      </c>
      <c r="C32" s="5" t="s">
        <v>569</v>
      </c>
      <c r="D32" s="5" t="s">
        <v>581</v>
      </c>
      <c r="E32" s="5" t="s">
        <v>612</v>
      </c>
    </row>
    <row r="33" spans="2:5" x14ac:dyDescent="0.25">
      <c r="B33" s="5">
        <v>1923</v>
      </c>
      <c r="C33" s="5" t="s">
        <v>580</v>
      </c>
      <c r="D33" s="5" t="s">
        <v>569</v>
      </c>
      <c r="E33" s="5" t="s">
        <v>564</v>
      </c>
    </row>
    <row r="34" spans="2:5" x14ac:dyDescent="0.25">
      <c r="B34" s="5">
        <v>1924</v>
      </c>
      <c r="C34" s="5" t="s">
        <v>582</v>
      </c>
      <c r="D34" s="5" t="s">
        <v>569</v>
      </c>
      <c r="E34" s="5" t="s">
        <v>565</v>
      </c>
    </row>
    <row r="35" spans="2:5" x14ac:dyDescent="0.25">
      <c r="B35" s="5">
        <v>1925</v>
      </c>
      <c r="C35" s="5" t="s">
        <v>568</v>
      </c>
      <c r="D35" s="5" t="s">
        <v>582</v>
      </c>
      <c r="E35" s="5" t="s">
        <v>565</v>
      </c>
    </row>
    <row r="36" spans="2:5" x14ac:dyDescent="0.25">
      <c r="B36" s="5">
        <v>1926</v>
      </c>
      <c r="C36" s="5" t="s">
        <v>583</v>
      </c>
      <c r="D36" s="5" t="s">
        <v>580</v>
      </c>
      <c r="E36" s="5" t="s">
        <v>565</v>
      </c>
    </row>
    <row r="37" spans="2:5" x14ac:dyDescent="0.25">
      <c r="B37" s="5">
        <v>1927</v>
      </c>
      <c r="C37" s="5" t="s">
        <v>580</v>
      </c>
      <c r="D37" s="5" t="s">
        <v>568</v>
      </c>
      <c r="E37" s="5" t="s">
        <v>566</v>
      </c>
    </row>
    <row r="38" spans="2:5" x14ac:dyDescent="0.25">
      <c r="B38" s="5">
        <v>1928</v>
      </c>
      <c r="C38" s="5" t="s">
        <v>580</v>
      </c>
      <c r="D38" s="5" t="s">
        <v>583</v>
      </c>
      <c r="E38" s="5" t="s">
        <v>566</v>
      </c>
    </row>
    <row r="39" spans="2:5" x14ac:dyDescent="0.25">
      <c r="B39" s="5">
        <v>1929</v>
      </c>
      <c r="C39" s="5" t="s">
        <v>570</v>
      </c>
      <c r="D39" s="5" t="s">
        <v>572</v>
      </c>
      <c r="E39" s="5" t="s">
        <v>563</v>
      </c>
    </row>
    <row r="40" spans="2:5" x14ac:dyDescent="0.25">
      <c r="B40" s="5">
        <v>1930</v>
      </c>
      <c r="C40" s="5" t="s">
        <v>570</v>
      </c>
      <c r="D40" s="5" t="s">
        <v>583</v>
      </c>
      <c r="E40" s="5" t="s">
        <v>564</v>
      </c>
    </row>
    <row r="41" spans="2:5" x14ac:dyDescent="0.25">
      <c r="B41" s="5">
        <v>1931</v>
      </c>
      <c r="C41" s="5" t="s">
        <v>583</v>
      </c>
      <c r="D41" s="5" t="s">
        <v>570</v>
      </c>
      <c r="E41" s="5" t="s">
        <v>565</v>
      </c>
    </row>
    <row r="42" spans="2:5" x14ac:dyDescent="0.25">
      <c r="B42" s="5">
        <v>1932</v>
      </c>
      <c r="C42" s="5" t="s">
        <v>580</v>
      </c>
      <c r="D42" s="5" t="s">
        <v>572</v>
      </c>
      <c r="E42" s="5" t="s">
        <v>566</v>
      </c>
    </row>
    <row r="43" spans="2:5" x14ac:dyDescent="0.25">
      <c r="B43" s="5">
        <v>1933</v>
      </c>
      <c r="C43" s="5" t="s">
        <v>569</v>
      </c>
      <c r="D43" s="5" t="s">
        <v>582</v>
      </c>
      <c r="E43" s="5" t="s">
        <v>563</v>
      </c>
    </row>
    <row r="44" spans="2:5" x14ac:dyDescent="0.25">
      <c r="B44" s="5">
        <v>1934</v>
      </c>
      <c r="C44" s="5" t="s">
        <v>583</v>
      </c>
      <c r="D44" s="5" t="s">
        <v>573</v>
      </c>
      <c r="E44" s="5" t="s">
        <v>565</v>
      </c>
    </row>
    <row r="45" spans="2:5" x14ac:dyDescent="0.25">
      <c r="B45" s="5">
        <v>1935</v>
      </c>
      <c r="C45" s="5" t="s">
        <v>573</v>
      </c>
      <c r="D45" s="5" t="s">
        <v>572</v>
      </c>
      <c r="E45" s="5" t="s">
        <v>564</v>
      </c>
    </row>
    <row r="46" spans="2:5" x14ac:dyDescent="0.25">
      <c r="B46" s="5">
        <v>1936</v>
      </c>
      <c r="C46" s="5" t="s">
        <v>580</v>
      </c>
      <c r="D46" s="5" t="s">
        <v>569</v>
      </c>
      <c r="E46" s="5" t="s">
        <v>564</v>
      </c>
    </row>
    <row r="47" spans="2:5" x14ac:dyDescent="0.25">
      <c r="B47" s="5">
        <v>1937</v>
      </c>
      <c r="C47" s="5" t="s">
        <v>580</v>
      </c>
      <c r="D47" s="5" t="s">
        <v>569</v>
      </c>
      <c r="E47" s="5" t="s">
        <v>563</v>
      </c>
    </row>
    <row r="48" spans="2:5" x14ac:dyDescent="0.25">
      <c r="B48" s="5">
        <v>1938</v>
      </c>
      <c r="C48" s="5" t="s">
        <v>580</v>
      </c>
      <c r="D48" s="5" t="s">
        <v>572</v>
      </c>
      <c r="E48" s="5" t="s">
        <v>566</v>
      </c>
    </row>
    <row r="49" spans="2:5" x14ac:dyDescent="0.25">
      <c r="B49" s="5">
        <v>1939</v>
      </c>
      <c r="C49" s="5" t="s">
        <v>580</v>
      </c>
      <c r="D49" s="5" t="s">
        <v>578</v>
      </c>
      <c r="E49" s="5" t="s">
        <v>566</v>
      </c>
    </row>
    <row r="50" spans="2:5" x14ac:dyDescent="0.25">
      <c r="B50" s="5">
        <v>1940</v>
      </c>
      <c r="C50" s="5" t="s">
        <v>578</v>
      </c>
      <c r="D50" s="5" t="s">
        <v>573</v>
      </c>
      <c r="E50" s="5" t="s">
        <v>565</v>
      </c>
    </row>
    <row r="51" spans="2:5" x14ac:dyDescent="0.25">
      <c r="B51" s="5">
        <v>1941</v>
      </c>
      <c r="C51" s="5" t="s">
        <v>580</v>
      </c>
      <c r="D51" s="5" t="s">
        <v>584</v>
      </c>
      <c r="E51" s="5" t="s">
        <v>563</v>
      </c>
    </row>
    <row r="52" spans="2:5" x14ac:dyDescent="0.25">
      <c r="B52" s="5">
        <v>1942</v>
      </c>
      <c r="C52" s="5" t="s">
        <v>583</v>
      </c>
      <c r="D52" s="5" t="s">
        <v>580</v>
      </c>
      <c r="E52" s="5" t="s">
        <v>563</v>
      </c>
    </row>
    <row r="53" spans="2:5" x14ac:dyDescent="0.25">
      <c r="B53" s="5">
        <v>1943</v>
      </c>
      <c r="C53" s="5" t="s">
        <v>580</v>
      </c>
      <c r="D53" s="5" t="s">
        <v>583</v>
      </c>
      <c r="E53" s="5" t="s">
        <v>563</v>
      </c>
    </row>
    <row r="54" spans="2:5" x14ac:dyDescent="0.25">
      <c r="B54" s="5">
        <v>1944</v>
      </c>
      <c r="C54" s="5" t="s">
        <v>583</v>
      </c>
      <c r="D54" s="5" t="s">
        <v>585</v>
      </c>
      <c r="E54" s="5" t="s">
        <v>564</v>
      </c>
    </row>
    <row r="55" spans="2:5" x14ac:dyDescent="0.25">
      <c r="B55" s="5">
        <v>1945</v>
      </c>
      <c r="C55" s="5" t="s">
        <v>573</v>
      </c>
      <c r="D55" s="5" t="s">
        <v>572</v>
      </c>
      <c r="E55" s="5" t="s">
        <v>565</v>
      </c>
    </row>
    <row r="56" spans="2:5" x14ac:dyDescent="0.25">
      <c r="B56" s="5">
        <v>1946</v>
      </c>
      <c r="C56" s="5" t="s">
        <v>583</v>
      </c>
      <c r="D56" s="5" t="s">
        <v>574</v>
      </c>
      <c r="E56" s="5" t="s">
        <v>565</v>
      </c>
    </row>
    <row r="57" spans="2:5" x14ac:dyDescent="0.25">
      <c r="B57" s="5">
        <v>1947</v>
      </c>
      <c r="C57" s="5" t="s">
        <v>580</v>
      </c>
      <c r="D57" s="5" t="s">
        <v>584</v>
      </c>
      <c r="E57" s="5" t="s">
        <v>565</v>
      </c>
    </row>
    <row r="58" spans="2:5" x14ac:dyDescent="0.25">
      <c r="B58" s="5">
        <v>1948</v>
      </c>
      <c r="C58" s="5" t="s">
        <v>579</v>
      </c>
      <c r="D58" s="5" t="s">
        <v>575</v>
      </c>
      <c r="E58" s="5" t="s">
        <v>564</v>
      </c>
    </row>
    <row r="59" spans="2:5" x14ac:dyDescent="0.25">
      <c r="B59" s="5">
        <v>1949</v>
      </c>
      <c r="C59" s="5" t="s">
        <v>580</v>
      </c>
      <c r="D59" s="5" t="s">
        <v>584</v>
      </c>
      <c r="E59" s="5" t="s">
        <v>563</v>
      </c>
    </row>
    <row r="60" spans="2:5" x14ac:dyDescent="0.25">
      <c r="B60" s="5">
        <v>1950</v>
      </c>
      <c r="C60" s="5" t="s">
        <v>580</v>
      </c>
      <c r="D60" s="5" t="s">
        <v>576</v>
      </c>
      <c r="E60" s="5" t="s">
        <v>566</v>
      </c>
    </row>
    <row r="61" spans="2:5" x14ac:dyDescent="0.25">
      <c r="B61" s="5">
        <v>1951</v>
      </c>
      <c r="C61" s="5" t="s">
        <v>580</v>
      </c>
      <c r="D61" s="5" t="s">
        <v>569</v>
      </c>
      <c r="E61" s="5" t="s">
        <v>564</v>
      </c>
    </row>
    <row r="62" spans="2:5" x14ac:dyDescent="0.25">
      <c r="B62" s="5">
        <v>1952</v>
      </c>
      <c r="C62" s="5" t="s">
        <v>580</v>
      </c>
      <c r="D62" s="5" t="s">
        <v>584</v>
      </c>
      <c r="E62" s="5" t="s">
        <v>565</v>
      </c>
    </row>
    <row r="63" spans="2:5" x14ac:dyDescent="0.25">
      <c r="B63" s="5">
        <v>1953</v>
      </c>
      <c r="C63" s="5" t="s">
        <v>580</v>
      </c>
      <c r="D63" s="5" t="s">
        <v>584</v>
      </c>
      <c r="E63" s="5" t="s">
        <v>564</v>
      </c>
    </row>
    <row r="64" spans="2:5" x14ac:dyDescent="0.25">
      <c r="B64" s="5">
        <v>1954</v>
      </c>
      <c r="C64" s="5" t="s">
        <v>569</v>
      </c>
      <c r="D64" s="5" t="s">
        <v>579</v>
      </c>
      <c r="E64" s="5" t="s">
        <v>566</v>
      </c>
    </row>
    <row r="65" spans="2:5" x14ac:dyDescent="0.25">
      <c r="B65" s="5">
        <v>1955</v>
      </c>
      <c r="C65" s="5" t="s">
        <v>584</v>
      </c>
      <c r="D65" s="5" t="s">
        <v>580</v>
      </c>
      <c r="E65" s="5" t="s">
        <v>565</v>
      </c>
    </row>
    <row r="66" spans="2:5" x14ac:dyDescent="0.25">
      <c r="B66" s="5">
        <v>1956</v>
      </c>
      <c r="C66" s="5" t="s">
        <v>580</v>
      </c>
      <c r="D66" s="5" t="s">
        <v>584</v>
      </c>
      <c r="E66" s="5" t="s">
        <v>565</v>
      </c>
    </row>
    <row r="67" spans="2:5" x14ac:dyDescent="0.25">
      <c r="B67" s="5">
        <v>1957</v>
      </c>
      <c r="C67" s="5" t="s">
        <v>586</v>
      </c>
      <c r="D67" s="5" t="s">
        <v>580</v>
      </c>
      <c r="E67" s="5" t="s">
        <v>565</v>
      </c>
    </row>
    <row r="68" spans="2:5" x14ac:dyDescent="0.25">
      <c r="B68" s="5">
        <v>1958</v>
      </c>
      <c r="C68" s="5" t="s">
        <v>580</v>
      </c>
      <c r="D68" s="5" t="s">
        <v>586</v>
      </c>
      <c r="E68" s="5" t="s">
        <v>565</v>
      </c>
    </row>
    <row r="69" spans="2:5" x14ac:dyDescent="0.25">
      <c r="B69" s="5">
        <v>1959</v>
      </c>
      <c r="C69" s="5" t="s">
        <v>587</v>
      </c>
      <c r="D69" s="5" t="s">
        <v>571</v>
      </c>
      <c r="E69" s="5" t="s">
        <v>564</v>
      </c>
    </row>
    <row r="70" spans="2:5" x14ac:dyDescent="0.25">
      <c r="B70" s="5">
        <v>1960</v>
      </c>
      <c r="C70" s="5" t="s">
        <v>568</v>
      </c>
      <c r="D70" s="5" t="s">
        <v>580</v>
      </c>
      <c r="E70" s="5" t="s">
        <v>565</v>
      </c>
    </row>
    <row r="71" spans="2:5" x14ac:dyDescent="0.25">
      <c r="B71" s="5">
        <v>1961</v>
      </c>
      <c r="C71" s="5" t="s">
        <v>580</v>
      </c>
      <c r="D71" s="5" t="s">
        <v>578</v>
      </c>
      <c r="E71" s="5" t="s">
        <v>563</v>
      </c>
    </row>
    <row r="72" spans="2:5" x14ac:dyDescent="0.25">
      <c r="B72" s="5">
        <v>1962</v>
      </c>
      <c r="C72" s="5" t="s">
        <v>580</v>
      </c>
      <c r="D72" s="5" t="s">
        <v>588</v>
      </c>
      <c r="E72" s="5" t="s">
        <v>565</v>
      </c>
    </row>
    <row r="73" spans="2:5" x14ac:dyDescent="0.25">
      <c r="B73" s="5">
        <v>1963</v>
      </c>
      <c r="C73" s="5" t="s">
        <v>587</v>
      </c>
      <c r="D73" s="5" t="s">
        <v>580</v>
      </c>
      <c r="E73" s="5" t="s">
        <v>566</v>
      </c>
    </row>
    <row r="74" spans="2:5" x14ac:dyDescent="0.25">
      <c r="B74" s="5">
        <v>1964</v>
      </c>
      <c r="C74" s="5" t="s">
        <v>589</v>
      </c>
      <c r="D74" s="5" t="s">
        <v>580</v>
      </c>
      <c r="E74" s="5" t="s">
        <v>565</v>
      </c>
    </row>
    <row r="75" spans="2:5" x14ac:dyDescent="0.25">
      <c r="B75" s="5">
        <v>1965</v>
      </c>
      <c r="C75" s="5" t="s">
        <v>587</v>
      </c>
      <c r="D75" s="5" t="s">
        <v>590</v>
      </c>
      <c r="E75" s="5" t="s">
        <v>565</v>
      </c>
    </row>
    <row r="76" spans="2:5" x14ac:dyDescent="0.25">
      <c r="B76" s="5">
        <v>1966</v>
      </c>
      <c r="C76" s="5" t="s">
        <v>591</v>
      </c>
      <c r="D76" s="5" t="s">
        <v>587</v>
      </c>
      <c r="E76" s="5" t="s">
        <v>566</v>
      </c>
    </row>
    <row r="77" spans="2:5" x14ac:dyDescent="0.25">
      <c r="B77" s="5">
        <v>1967</v>
      </c>
      <c r="C77" s="5" t="s">
        <v>583</v>
      </c>
      <c r="D77" s="5" t="s">
        <v>574</v>
      </c>
      <c r="E77" s="5" t="s">
        <v>565</v>
      </c>
    </row>
    <row r="78" spans="2:5" x14ac:dyDescent="0.25">
      <c r="B78" s="5">
        <v>1968</v>
      </c>
      <c r="C78" s="5" t="s">
        <v>573</v>
      </c>
      <c r="D78" s="5" t="s">
        <v>583</v>
      </c>
      <c r="E78" s="5" t="s">
        <v>565</v>
      </c>
    </row>
    <row r="79" spans="2:5" x14ac:dyDescent="0.25">
      <c r="B79" s="5">
        <v>1969</v>
      </c>
      <c r="C79" s="5" t="s">
        <v>592</v>
      </c>
      <c r="D79" s="5" t="s">
        <v>591</v>
      </c>
      <c r="E79" s="5" t="s">
        <v>563</v>
      </c>
    </row>
    <row r="80" spans="2:5" x14ac:dyDescent="0.25">
      <c r="B80" s="5">
        <v>1970</v>
      </c>
      <c r="C80" s="5" t="s">
        <v>591</v>
      </c>
      <c r="D80" s="5" t="s">
        <v>578</v>
      </c>
      <c r="E80" s="5" t="s">
        <v>563</v>
      </c>
    </row>
    <row r="81" spans="2:5" x14ac:dyDescent="0.25">
      <c r="B81" s="5">
        <v>1971</v>
      </c>
      <c r="C81" s="5" t="s">
        <v>568</v>
      </c>
      <c r="D81" s="5" t="s">
        <v>591</v>
      </c>
      <c r="E81" s="5" t="s">
        <v>565</v>
      </c>
    </row>
    <row r="82" spans="2:5" x14ac:dyDescent="0.25">
      <c r="B82" s="5">
        <v>1972</v>
      </c>
      <c r="C82" s="5" t="s">
        <v>593</v>
      </c>
      <c r="D82" s="5" t="s">
        <v>578</v>
      </c>
      <c r="E82" s="5" t="s">
        <v>565</v>
      </c>
    </row>
    <row r="83" spans="2:5" x14ac:dyDescent="0.25">
      <c r="B83" s="5">
        <v>1973</v>
      </c>
      <c r="C83" s="5" t="s">
        <v>593</v>
      </c>
      <c r="D83" s="5" t="s">
        <v>592</v>
      </c>
      <c r="E83" s="5" t="s">
        <v>565</v>
      </c>
    </row>
    <row r="84" spans="2:5" x14ac:dyDescent="0.25">
      <c r="B84" s="5">
        <v>1974</v>
      </c>
      <c r="C84" s="5" t="s">
        <v>593</v>
      </c>
      <c r="D84" s="5" t="s">
        <v>587</v>
      </c>
      <c r="E84" s="5" t="s">
        <v>563</v>
      </c>
    </row>
    <row r="85" spans="2:5" x14ac:dyDescent="0.25">
      <c r="B85" s="5">
        <v>1975</v>
      </c>
      <c r="C85" s="5" t="s">
        <v>578</v>
      </c>
      <c r="D85" s="5" t="s">
        <v>574</v>
      </c>
      <c r="E85" s="5" t="s">
        <v>565</v>
      </c>
    </row>
    <row r="86" spans="2:5" x14ac:dyDescent="0.25">
      <c r="B86" s="5">
        <v>1976</v>
      </c>
      <c r="C86" s="5" t="s">
        <v>578</v>
      </c>
      <c r="D86" s="5" t="s">
        <v>580</v>
      </c>
      <c r="E86" s="5" t="s">
        <v>566</v>
      </c>
    </row>
    <row r="87" spans="2:5" x14ac:dyDescent="0.25">
      <c r="B87" s="5">
        <v>1977</v>
      </c>
      <c r="C87" s="5" t="s">
        <v>580</v>
      </c>
      <c r="D87" s="5" t="s">
        <v>587</v>
      </c>
      <c r="E87" s="5" t="s">
        <v>564</v>
      </c>
    </row>
    <row r="88" spans="2:5" x14ac:dyDescent="0.25">
      <c r="B88" s="5">
        <v>1978</v>
      </c>
      <c r="C88" s="5" t="s">
        <v>580</v>
      </c>
      <c r="D88" s="5" t="s">
        <v>587</v>
      </c>
      <c r="E88" s="5" t="s">
        <v>564</v>
      </c>
    </row>
    <row r="89" spans="2:5" x14ac:dyDescent="0.25">
      <c r="B89" s="5">
        <v>1979</v>
      </c>
      <c r="C89" s="5" t="s">
        <v>568</v>
      </c>
      <c r="D89" s="5" t="s">
        <v>591</v>
      </c>
      <c r="E89" s="5" t="s">
        <v>565</v>
      </c>
    </row>
    <row r="90" spans="2:5" x14ac:dyDescent="0.25">
      <c r="B90" s="5">
        <v>1980</v>
      </c>
      <c r="C90" s="5" t="s">
        <v>576</v>
      </c>
      <c r="D90" s="5" t="s">
        <v>594</v>
      </c>
      <c r="E90" s="5" t="s">
        <v>564</v>
      </c>
    </row>
    <row r="91" spans="2:5" x14ac:dyDescent="0.25">
      <c r="B91" s="5">
        <v>1981</v>
      </c>
      <c r="C91" s="5" t="s">
        <v>587</v>
      </c>
      <c r="D91" s="5" t="s">
        <v>580</v>
      </c>
      <c r="E91" s="5" t="s">
        <v>564</v>
      </c>
    </row>
    <row r="92" spans="2:5" x14ac:dyDescent="0.25">
      <c r="B92" s="5">
        <v>1982</v>
      </c>
      <c r="C92" s="5" t="s">
        <v>583</v>
      </c>
      <c r="D92" s="5" t="s">
        <v>595</v>
      </c>
      <c r="E92" s="5" t="s">
        <v>565</v>
      </c>
    </row>
    <row r="93" spans="2:5" x14ac:dyDescent="0.25">
      <c r="B93" s="5">
        <v>1983</v>
      </c>
      <c r="C93" s="5" t="s">
        <v>591</v>
      </c>
      <c r="D93" s="5" t="s">
        <v>576</v>
      </c>
      <c r="E93" s="5" t="s">
        <v>563</v>
      </c>
    </row>
    <row r="94" spans="2:5" x14ac:dyDescent="0.25">
      <c r="B94" s="5">
        <v>1984</v>
      </c>
      <c r="C94" s="5" t="s">
        <v>573</v>
      </c>
      <c r="D94" s="5" t="s">
        <v>596</v>
      </c>
      <c r="E94" s="5" t="s">
        <v>563</v>
      </c>
    </row>
    <row r="95" spans="2:5" x14ac:dyDescent="0.25">
      <c r="B95" s="5">
        <v>1985</v>
      </c>
      <c r="C95" s="5" t="s">
        <v>594</v>
      </c>
      <c r="D95" s="5" t="s">
        <v>583</v>
      </c>
      <c r="E95" s="5" t="s">
        <v>565</v>
      </c>
    </row>
    <row r="96" spans="2:5" x14ac:dyDescent="0.25">
      <c r="B96" s="5">
        <v>1986</v>
      </c>
      <c r="C96" s="5" t="s">
        <v>592</v>
      </c>
      <c r="D96" s="5" t="s">
        <v>574</v>
      </c>
      <c r="E96" s="5" t="s">
        <v>565</v>
      </c>
    </row>
    <row r="97" spans="2:5" x14ac:dyDescent="0.25">
      <c r="B97" s="5">
        <v>1987</v>
      </c>
      <c r="C97" s="5" t="s">
        <v>590</v>
      </c>
      <c r="D97" s="5" t="s">
        <v>583</v>
      </c>
      <c r="E97" s="5" t="s">
        <v>565</v>
      </c>
    </row>
    <row r="98" spans="2:5" x14ac:dyDescent="0.25">
      <c r="B98" s="5">
        <v>1988</v>
      </c>
      <c r="C98" s="5" t="s">
        <v>587</v>
      </c>
      <c r="D98" s="5" t="s">
        <v>593</v>
      </c>
      <c r="E98" s="5" t="s">
        <v>563</v>
      </c>
    </row>
    <row r="99" spans="2:5" x14ac:dyDescent="0.25">
      <c r="B99" s="5">
        <v>1989</v>
      </c>
      <c r="C99" s="5" t="s">
        <v>593</v>
      </c>
      <c r="D99" s="5" t="s">
        <v>588</v>
      </c>
      <c r="E99" s="5" t="s">
        <v>566</v>
      </c>
    </row>
    <row r="100" spans="2:5" x14ac:dyDescent="0.25">
      <c r="B100" s="5">
        <v>1990</v>
      </c>
      <c r="C100" s="5" t="s">
        <v>578</v>
      </c>
      <c r="D100" s="5" t="s">
        <v>593</v>
      </c>
      <c r="E100" s="5" t="s">
        <v>566</v>
      </c>
    </row>
    <row r="101" spans="2:5" x14ac:dyDescent="0.25">
      <c r="B101" s="5">
        <v>1991</v>
      </c>
      <c r="C101" s="5" t="s">
        <v>590</v>
      </c>
      <c r="D101" s="5" t="s">
        <v>597</v>
      </c>
      <c r="E101" s="5" t="s">
        <v>565</v>
      </c>
    </row>
    <row r="102" spans="2:5" x14ac:dyDescent="0.25">
      <c r="B102" s="5">
        <v>1992</v>
      </c>
      <c r="C102" s="5" t="s">
        <v>598</v>
      </c>
      <c r="D102" s="5" t="s">
        <v>597</v>
      </c>
      <c r="E102" s="5" t="s">
        <v>564</v>
      </c>
    </row>
    <row r="103" spans="2:5" x14ac:dyDescent="0.25">
      <c r="B103" s="5">
        <v>1993</v>
      </c>
      <c r="C103" s="5" t="s">
        <v>598</v>
      </c>
      <c r="D103" s="5" t="s">
        <v>576</v>
      </c>
      <c r="E103" s="5" t="s">
        <v>564</v>
      </c>
    </row>
    <row r="104" spans="2:5" x14ac:dyDescent="0.25">
      <c r="B104" s="5">
        <v>1994</v>
      </c>
      <c r="C104" s="5" t="s">
        <v>562</v>
      </c>
      <c r="D104" s="5" t="s">
        <v>562</v>
      </c>
      <c r="E104" s="5" t="s">
        <v>611</v>
      </c>
    </row>
    <row r="105" spans="2:5" x14ac:dyDescent="0.25">
      <c r="B105" s="5">
        <v>1995</v>
      </c>
      <c r="C105" s="5" t="s">
        <v>597</v>
      </c>
      <c r="D105" s="5" t="s">
        <v>579</v>
      </c>
      <c r="E105" s="5" t="s">
        <v>564</v>
      </c>
    </row>
    <row r="106" spans="2:5" x14ac:dyDescent="0.25">
      <c r="B106" s="5">
        <v>1996</v>
      </c>
      <c r="C106" s="5" t="s">
        <v>580</v>
      </c>
      <c r="D106" s="5" t="s">
        <v>597</v>
      </c>
      <c r="E106" s="5" t="s">
        <v>564</v>
      </c>
    </row>
    <row r="107" spans="2:5" x14ac:dyDescent="0.25">
      <c r="B107" s="5">
        <v>1997</v>
      </c>
      <c r="C107" s="5" t="s">
        <v>599</v>
      </c>
      <c r="D107" s="5" t="s">
        <v>579</v>
      </c>
      <c r="E107" s="5" t="s">
        <v>565</v>
      </c>
    </row>
    <row r="108" spans="2:5" x14ac:dyDescent="0.25">
      <c r="B108" s="5">
        <v>1998</v>
      </c>
      <c r="C108" s="5" t="s">
        <v>580</v>
      </c>
      <c r="D108" s="5" t="s">
        <v>596</v>
      </c>
      <c r="E108" s="5" t="s">
        <v>566</v>
      </c>
    </row>
    <row r="109" spans="2:5" x14ac:dyDescent="0.25">
      <c r="B109" s="5">
        <v>1999</v>
      </c>
      <c r="C109" s="5" t="s">
        <v>580</v>
      </c>
      <c r="D109" s="5" t="s">
        <v>597</v>
      </c>
      <c r="E109" s="5" t="s">
        <v>566</v>
      </c>
    </row>
    <row r="110" spans="2:5" x14ac:dyDescent="0.25">
      <c r="B110" s="5">
        <v>2000</v>
      </c>
      <c r="C110" s="5" t="s">
        <v>580</v>
      </c>
      <c r="D110" s="5" t="s">
        <v>592</v>
      </c>
      <c r="E110" s="5" t="s">
        <v>563</v>
      </c>
    </row>
    <row r="111" spans="2:5" x14ac:dyDescent="0.25">
      <c r="B111" s="5">
        <v>2001</v>
      </c>
      <c r="C111" s="5" t="s">
        <v>600</v>
      </c>
      <c r="D111" s="5" t="s">
        <v>580</v>
      </c>
      <c r="E111" s="5" t="s">
        <v>565</v>
      </c>
    </row>
    <row r="112" spans="2:5" x14ac:dyDescent="0.25">
      <c r="B112" s="5">
        <v>2002</v>
      </c>
      <c r="C112" s="5" t="s">
        <v>601</v>
      </c>
      <c r="D112" s="5" t="s">
        <v>588</v>
      </c>
      <c r="E112" s="5" t="s">
        <v>565</v>
      </c>
    </row>
    <row r="113" spans="2:5" x14ac:dyDescent="0.25">
      <c r="B113" s="5">
        <v>2003</v>
      </c>
      <c r="C113" s="5" t="s">
        <v>599</v>
      </c>
      <c r="D113" s="5" t="s">
        <v>580</v>
      </c>
      <c r="E113" s="5" t="s">
        <v>564</v>
      </c>
    </row>
    <row r="114" spans="2:5" x14ac:dyDescent="0.25">
      <c r="B114" s="5">
        <v>2004</v>
      </c>
      <c r="C114" s="5" t="s">
        <v>574</v>
      </c>
      <c r="D114" s="5" t="s">
        <v>583</v>
      </c>
      <c r="E114" s="5" t="s">
        <v>566</v>
      </c>
    </row>
    <row r="115" spans="2:5" x14ac:dyDescent="0.25">
      <c r="B115" s="5">
        <v>2005</v>
      </c>
      <c r="C115" s="5" t="s">
        <v>571</v>
      </c>
      <c r="D115" s="5" t="s">
        <v>602</v>
      </c>
      <c r="E115" s="5" t="s">
        <v>566</v>
      </c>
    </row>
    <row r="116" spans="2:5" x14ac:dyDescent="0.25">
      <c r="B116" s="5">
        <v>2006</v>
      </c>
      <c r="C116" s="5" t="s">
        <v>583</v>
      </c>
      <c r="D116" s="5" t="s">
        <v>573</v>
      </c>
      <c r="E116" s="5" t="s">
        <v>563</v>
      </c>
    </row>
    <row r="117" spans="2:5" x14ac:dyDescent="0.25">
      <c r="B117" s="5">
        <v>2007</v>
      </c>
      <c r="C117" s="5" t="s">
        <v>574</v>
      </c>
      <c r="D117" s="5" t="s">
        <v>603</v>
      </c>
      <c r="E117" s="5" t="s">
        <v>566</v>
      </c>
    </row>
    <row r="118" spans="2:5" x14ac:dyDescent="0.25">
      <c r="B118" s="5">
        <v>2008</v>
      </c>
      <c r="C118" s="5" t="s">
        <v>576</v>
      </c>
      <c r="D118" s="5" t="s">
        <v>604</v>
      </c>
      <c r="E118" s="5" t="s">
        <v>563</v>
      </c>
    </row>
    <row r="119" spans="2:5" x14ac:dyDescent="0.25">
      <c r="B119" s="5">
        <v>2009</v>
      </c>
      <c r="C119" s="5" t="s">
        <v>580</v>
      </c>
      <c r="D119" s="5" t="s">
        <v>576</v>
      </c>
      <c r="E119" s="5" t="s">
        <v>564</v>
      </c>
    </row>
    <row r="120" spans="2:5" x14ac:dyDescent="0.25">
      <c r="B120" s="5">
        <v>2010</v>
      </c>
      <c r="C120" s="5" t="s">
        <v>588</v>
      </c>
      <c r="D120" s="5" t="s">
        <v>605</v>
      </c>
      <c r="E120" s="5" t="s">
        <v>563</v>
      </c>
    </row>
    <row r="121" spans="2:5" x14ac:dyDescent="0.25">
      <c r="B121" s="5">
        <v>2011</v>
      </c>
      <c r="C121" s="5" t="s">
        <v>583</v>
      </c>
      <c r="D121" s="5" t="s">
        <v>605</v>
      </c>
      <c r="E121" s="5" t="s">
        <v>565</v>
      </c>
    </row>
    <row r="122" spans="2:5" x14ac:dyDescent="0.25">
      <c r="B122" s="5">
        <v>2012</v>
      </c>
      <c r="C122" s="5" t="s">
        <v>588</v>
      </c>
      <c r="D122" s="5" t="s">
        <v>573</v>
      </c>
      <c r="E122" s="5" t="s">
        <v>566</v>
      </c>
    </row>
    <row r="123" spans="2:5" x14ac:dyDescent="0.25">
      <c r="B123" s="5">
        <v>2013</v>
      </c>
      <c r="C123" s="5" t="s">
        <v>574</v>
      </c>
      <c r="D123" s="5" t="s">
        <v>583</v>
      </c>
      <c r="E123" s="5" t="s">
        <v>564</v>
      </c>
    </row>
    <row r="124" spans="2:5" x14ac:dyDescent="0.25">
      <c r="B124" s="5">
        <v>2014</v>
      </c>
      <c r="C124" s="5" t="s">
        <v>606</v>
      </c>
      <c r="D124" s="5" t="s">
        <v>594</v>
      </c>
      <c r="E124" s="5" t="s">
        <v>565</v>
      </c>
    </row>
    <row r="125" spans="2:5" x14ac:dyDescent="0.25">
      <c r="B125" s="5">
        <v>2015</v>
      </c>
      <c r="C125" s="5" t="s">
        <v>594</v>
      </c>
      <c r="D125" s="5" t="s">
        <v>592</v>
      </c>
      <c r="E125" s="5" t="s">
        <v>563</v>
      </c>
    </row>
    <row r="126" spans="2:5" x14ac:dyDescent="0.25">
      <c r="B126" s="5">
        <v>2016</v>
      </c>
      <c r="C126" s="5" t="s">
        <v>572</v>
      </c>
      <c r="D126" s="5" t="s">
        <v>579</v>
      </c>
      <c r="E126" s="5" t="s">
        <v>565</v>
      </c>
    </row>
    <row r="127" spans="2:5" x14ac:dyDescent="0.25">
      <c r="B127" s="5">
        <v>2017</v>
      </c>
      <c r="C127" s="5" t="s">
        <v>602</v>
      </c>
      <c r="D127" s="5" t="s">
        <v>587</v>
      </c>
      <c r="E127" s="5" t="s">
        <v>565</v>
      </c>
    </row>
    <row r="128" spans="2:5" x14ac:dyDescent="0.25">
      <c r="B128" s="5">
        <v>2018</v>
      </c>
      <c r="C128" s="5" t="s">
        <v>574</v>
      </c>
      <c r="D128" s="5" t="s">
        <v>587</v>
      </c>
      <c r="E128" s="5" t="s">
        <v>563</v>
      </c>
    </row>
    <row r="129" spans="2:5" x14ac:dyDescent="0.25">
      <c r="B129" s="5">
        <v>2019</v>
      </c>
      <c r="C129" s="5" t="s">
        <v>607</v>
      </c>
      <c r="D129" s="5" t="s">
        <v>602</v>
      </c>
      <c r="E129" s="5" t="s">
        <v>565</v>
      </c>
    </row>
  </sheetData>
  <conditionalFormatting sqref="G13:J129">
    <cfRule type="expression" dxfId="26" priority="3">
      <formula>G13&lt;&gt;""</formula>
    </cfRule>
  </conditionalFormatting>
  <conditionalFormatting sqref="L13:O129">
    <cfRule type="expression" dxfId="25" priority="2">
      <formula>L13&lt;&gt;""</formula>
    </cfRule>
  </conditionalFormatting>
  <conditionalFormatting sqref="Q13:T129">
    <cfRule type="expression" dxfId="24" priority="1">
      <formula>Q13&lt;&gt;""</formula>
    </cfRule>
  </conditionalFormatting>
  <dataValidations count="1">
    <dataValidation type="list" allowBlank="1" showInputMessage="1" showErrorMessage="1" sqref="C7:C8" xr:uid="{BD35739C-AFF1-4D59-9C00-911CC42BF6AF}">
      <formula1>$B$13:$B$129</formula1>
    </dataValidation>
  </dataValidations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27A6-D44C-4BEE-9756-6AF64586E7DD}">
  <sheetPr>
    <tabColor rgb="FF0000FF"/>
  </sheetPr>
  <dimension ref="A1:AC55"/>
  <sheetViews>
    <sheetView zoomScale="175" zoomScaleNormal="175" workbookViewId="0"/>
  </sheetViews>
  <sheetFormatPr defaultColWidth="8.85546875" defaultRowHeight="15" x14ac:dyDescent="0.25"/>
  <cols>
    <col min="1" max="1" width="0.85546875" customWidth="1"/>
    <col min="2" max="2" width="10.42578125" customWidth="1"/>
    <col min="3" max="3" width="10.42578125" bestFit="1" customWidth="1"/>
    <col min="6" max="6" width="9.28515625" bestFit="1" customWidth="1"/>
    <col min="7" max="7" width="1.42578125" customWidth="1"/>
    <col min="21" max="21" width="10.42578125" bestFit="1" customWidth="1"/>
  </cols>
  <sheetData>
    <row r="1" spans="1:29" ht="5.25" customHeight="1" x14ac:dyDescent="0.25">
      <c r="A1" s="74"/>
    </row>
    <row r="2" spans="1:29" x14ac:dyDescent="0.25">
      <c r="B2" s="4" t="s">
        <v>626</v>
      </c>
    </row>
    <row r="4" spans="1:29" x14ac:dyDescent="0.25">
      <c r="B4" s="110" t="s">
        <v>96</v>
      </c>
      <c r="C4" s="110" t="s">
        <v>98</v>
      </c>
      <c r="D4" s="110" t="s">
        <v>619</v>
      </c>
      <c r="E4" s="110" t="s">
        <v>7</v>
      </c>
      <c r="F4" s="110" t="s">
        <v>622</v>
      </c>
      <c r="H4" s="138" t="s">
        <v>625</v>
      </c>
      <c r="I4" s="5" t="s">
        <v>10</v>
      </c>
      <c r="U4" s="4" t="s">
        <v>619</v>
      </c>
      <c r="W4" s="4" t="s">
        <v>7</v>
      </c>
      <c r="Y4" s="4" t="s">
        <v>96</v>
      </c>
      <c r="Z4" s="4" t="s">
        <v>98</v>
      </c>
      <c r="AA4" s="4" t="s">
        <v>619</v>
      </c>
      <c r="AB4" s="4" t="s">
        <v>7</v>
      </c>
      <c r="AC4" s="4" t="s">
        <v>622</v>
      </c>
    </row>
    <row r="5" spans="1:29" x14ac:dyDescent="0.25">
      <c r="B5" s="254">
        <v>44226</v>
      </c>
      <c r="C5" s="5" t="s">
        <v>620</v>
      </c>
      <c r="D5" s="5" t="s">
        <v>620</v>
      </c>
      <c r="E5" s="5" t="s">
        <v>10</v>
      </c>
      <c r="F5" s="255">
        <v>4.1666666666666664E-2</v>
      </c>
      <c r="U5" t="s">
        <v>620</v>
      </c>
      <c r="W5" t="s">
        <v>10</v>
      </c>
      <c r="Y5" s="251">
        <f ca="1">RANDBETWEEN("1/1/2021","1/31/2021")</f>
        <v>44212</v>
      </c>
      <c r="Z5" t="str" cm="1">
        <f t="array" aca="1" ref="Z5" ca="1">INDEX($U$5:$U$8,RANDBETWEEN(1,ROWS($U$5:$U$8)))</f>
        <v>Gel.com</v>
      </c>
      <c r="AA5" t="s">
        <v>620</v>
      </c>
      <c r="AB5" t="str" cm="1">
        <f t="array" aca="1" ref="AB5" ca="1">INDEX($W$5:$W$8,RANDBETWEEN(1,ROWS($W$5:$W$8)))</f>
        <v>Quad</v>
      </c>
      <c r="AC5" s="252">
        <f ca="1">RANDBETWEEN(1,239)/10/24</f>
        <v>0.60833333333333328</v>
      </c>
    </row>
    <row r="6" spans="1:29" x14ac:dyDescent="0.25">
      <c r="B6" s="254">
        <v>44223</v>
      </c>
      <c r="C6" s="5" t="s">
        <v>624</v>
      </c>
      <c r="D6" s="5" t="s">
        <v>620</v>
      </c>
      <c r="E6" s="5" t="s">
        <v>10</v>
      </c>
      <c r="F6" s="255">
        <v>0.93333333333333324</v>
      </c>
      <c r="H6" s="110" t="s">
        <v>96</v>
      </c>
      <c r="I6" s="110" t="s">
        <v>98</v>
      </c>
      <c r="J6" s="110" t="s">
        <v>619</v>
      </c>
      <c r="K6" s="110" t="s">
        <v>7</v>
      </c>
      <c r="L6" s="110" t="s">
        <v>622</v>
      </c>
      <c r="U6" t="s">
        <v>624</v>
      </c>
      <c r="W6" t="s">
        <v>12</v>
      </c>
    </row>
    <row r="7" spans="1:29" x14ac:dyDescent="0.25">
      <c r="B7" s="254">
        <v>44220</v>
      </c>
      <c r="C7" s="5" t="s">
        <v>623</v>
      </c>
      <c r="D7" s="5" t="s">
        <v>620</v>
      </c>
      <c r="E7" s="5" t="s">
        <v>12</v>
      </c>
      <c r="F7" s="255">
        <v>0.8041666666666667</v>
      </c>
      <c r="U7" t="s">
        <v>623</v>
      </c>
      <c r="W7" t="s">
        <v>13</v>
      </c>
    </row>
    <row r="8" spans="1:29" x14ac:dyDescent="0.25">
      <c r="B8" s="254">
        <v>44200</v>
      </c>
      <c r="C8" s="5" t="s">
        <v>620</v>
      </c>
      <c r="D8" s="5" t="s">
        <v>620</v>
      </c>
      <c r="E8" s="5" t="s">
        <v>11</v>
      </c>
      <c r="F8" s="255">
        <v>0.74583333333333324</v>
      </c>
      <c r="U8" t="s">
        <v>621</v>
      </c>
      <c r="W8" t="s">
        <v>11</v>
      </c>
    </row>
    <row r="9" spans="1:29" x14ac:dyDescent="0.25">
      <c r="B9" s="254">
        <v>44210</v>
      </c>
      <c r="C9" s="5" t="s">
        <v>621</v>
      </c>
      <c r="D9" s="5" t="s">
        <v>620</v>
      </c>
      <c r="E9" s="5" t="s">
        <v>12</v>
      </c>
      <c r="F9" s="255">
        <v>0.51666666666666672</v>
      </c>
    </row>
    <row r="10" spans="1:29" x14ac:dyDescent="0.25">
      <c r="B10" s="254">
        <v>44218</v>
      </c>
      <c r="C10" s="5" t="s">
        <v>624</v>
      </c>
      <c r="D10" s="5" t="s">
        <v>620</v>
      </c>
      <c r="E10" s="5" t="s">
        <v>10</v>
      </c>
      <c r="F10" s="255">
        <v>0.71250000000000002</v>
      </c>
    </row>
    <row r="11" spans="1:29" x14ac:dyDescent="0.25">
      <c r="B11" s="254">
        <v>44214</v>
      </c>
      <c r="C11" s="5" t="s">
        <v>621</v>
      </c>
      <c r="D11" s="5" t="s">
        <v>620</v>
      </c>
      <c r="E11" s="5" t="s">
        <v>13</v>
      </c>
      <c r="F11" s="255">
        <v>0.46249999999999997</v>
      </c>
    </row>
    <row r="12" spans="1:29" x14ac:dyDescent="0.25">
      <c r="B12" s="254">
        <v>44218</v>
      </c>
      <c r="C12" s="5" t="s">
        <v>623</v>
      </c>
      <c r="D12" s="5" t="s">
        <v>620</v>
      </c>
      <c r="E12" s="5" t="s">
        <v>13</v>
      </c>
      <c r="F12" s="255">
        <v>0.26666666666666666</v>
      </c>
    </row>
    <row r="13" spans="1:29" x14ac:dyDescent="0.25">
      <c r="B13" s="254">
        <v>44205</v>
      </c>
      <c r="C13" s="5" t="s">
        <v>623</v>
      </c>
      <c r="D13" s="5" t="s">
        <v>620</v>
      </c>
      <c r="E13" s="5" t="s">
        <v>10</v>
      </c>
      <c r="F13" s="255">
        <v>0.60416666666666663</v>
      </c>
    </row>
    <row r="14" spans="1:29" x14ac:dyDescent="0.25">
      <c r="B14" s="254">
        <v>44201</v>
      </c>
      <c r="C14" s="5" t="s">
        <v>620</v>
      </c>
      <c r="D14" s="5" t="s">
        <v>620</v>
      </c>
      <c r="E14" s="5" t="s">
        <v>11</v>
      </c>
      <c r="F14" s="255">
        <v>0.73333333333333339</v>
      </c>
    </row>
    <row r="15" spans="1:29" x14ac:dyDescent="0.25">
      <c r="B15" s="254">
        <v>44214</v>
      </c>
      <c r="C15" s="5" t="s">
        <v>620</v>
      </c>
      <c r="D15" s="5" t="s">
        <v>620</v>
      </c>
      <c r="E15" s="5" t="s">
        <v>11</v>
      </c>
      <c r="F15" s="255">
        <v>0.39999999999999997</v>
      </c>
    </row>
    <row r="16" spans="1:29" x14ac:dyDescent="0.25">
      <c r="B16" s="254">
        <v>44224</v>
      </c>
      <c r="C16" s="5" t="s">
        <v>623</v>
      </c>
      <c r="D16" s="5" t="s">
        <v>620</v>
      </c>
      <c r="E16" s="5" t="s">
        <v>13</v>
      </c>
      <c r="F16" s="255">
        <v>0.82500000000000007</v>
      </c>
    </row>
    <row r="17" spans="2:6" x14ac:dyDescent="0.25">
      <c r="B17" s="254">
        <v>44204</v>
      </c>
      <c r="C17" s="5" t="s">
        <v>620</v>
      </c>
      <c r="D17" s="5" t="s">
        <v>620</v>
      </c>
      <c r="E17" s="5" t="s">
        <v>11</v>
      </c>
      <c r="F17" s="255">
        <v>0.8208333333333333</v>
      </c>
    </row>
    <row r="18" spans="2:6" x14ac:dyDescent="0.25">
      <c r="B18" s="254">
        <v>44203</v>
      </c>
      <c r="C18" s="5" t="s">
        <v>621</v>
      </c>
      <c r="D18" s="5" t="s">
        <v>620</v>
      </c>
      <c r="E18" s="5" t="s">
        <v>13</v>
      </c>
      <c r="F18" s="255">
        <v>0.20416666666666669</v>
      </c>
    </row>
    <row r="19" spans="2:6" x14ac:dyDescent="0.25">
      <c r="B19" s="254">
        <v>44211</v>
      </c>
      <c r="C19" s="5" t="s">
        <v>624</v>
      </c>
      <c r="D19" s="5" t="s">
        <v>620</v>
      </c>
      <c r="E19" s="5" t="s">
        <v>13</v>
      </c>
      <c r="F19" s="255">
        <v>0.56666666666666665</v>
      </c>
    </row>
    <row r="20" spans="2:6" x14ac:dyDescent="0.25">
      <c r="B20" s="254">
        <v>44199</v>
      </c>
      <c r="C20" s="5" t="s">
        <v>620</v>
      </c>
      <c r="D20" s="5" t="s">
        <v>620</v>
      </c>
      <c r="E20" s="5" t="s">
        <v>13</v>
      </c>
      <c r="F20" s="255">
        <v>4.1666666666666664E-2</v>
      </c>
    </row>
    <row r="21" spans="2:6" x14ac:dyDescent="0.25">
      <c r="B21" s="254">
        <v>44221</v>
      </c>
      <c r="C21" s="5" t="s">
        <v>621</v>
      </c>
      <c r="D21" s="5" t="s">
        <v>620</v>
      </c>
      <c r="E21" s="5" t="s">
        <v>13</v>
      </c>
      <c r="F21" s="255">
        <v>0.16250000000000001</v>
      </c>
    </row>
    <row r="22" spans="2:6" x14ac:dyDescent="0.25">
      <c r="B22" s="254">
        <v>44216</v>
      </c>
      <c r="C22" s="5" t="s">
        <v>624</v>
      </c>
      <c r="D22" s="5" t="s">
        <v>620</v>
      </c>
      <c r="E22" s="5" t="s">
        <v>10</v>
      </c>
      <c r="F22" s="255">
        <v>0.15</v>
      </c>
    </row>
    <row r="23" spans="2:6" x14ac:dyDescent="0.25">
      <c r="B23" s="254">
        <v>44202</v>
      </c>
      <c r="C23" s="5" t="s">
        <v>624</v>
      </c>
      <c r="D23" s="5" t="s">
        <v>620</v>
      </c>
      <c r="E23" s="5" t="s">
        <v>10</v>
      </c>
      <c r="F23" s="255">
        <v>0.10833333333333334</v>
      </c>
    </row>
    <row r="24" spans="2:6" x14ac:dyDescent="0.25">
      <c r="B24" s="254">
        <v>44204</v>
      </c>
      <c r="C24" s="5" t="s">
        <v>621</v>
      </c>
      <c r="D24" s="5" t="s">
        <v>620</v>
      </c>
      <c r="E24" s="5" t="s">
        <v>11</v>
      </c>
      <c r="F24" s="255">
        <v>0.97083333333333333</v>
      </c>
    </row>
    <row r="25" spans="2:6" x14ac:dyDescent="0.25">
      <c r="B25" s="254">
        <v>44209</v>
      </c>
      <c r="C25" s="5" t="s">
        <v>624</v>
      </c>
      <c r="D25" s="5" t="s">
        <v>620</v>
      </c>
      <c r="E25" s="5" t="s">
        <v>11</v>
      </c>
      <c r="F25" s="255">
        <v>0.8125</v>
      </c>
    </row>
    <row r="26" spans="2:6" x14ac:dyDescent="0.25">
      <c r="B26" s="254">
        <v>44208</v>
      </c>
      <c r="C26" s="5" t="s">
        <v>623</v>
      </c>
      <c r="D26" s="5" t="s">
        <v>620</v>
      </c>
      <c r="E26" s="5" t="s">
        <v>13</v>
      </c>
      <c r="F26" s="255">
        <v>0.79166666666666663</v>
      </c>
    </row>
    <row r="27" spans="2:6" x14ac:dyDescent="0.25">
      <c r="B27" s="254">
        <v>44200</v>
      </c>
      <c r="C27" s="5" t="s">
        <v>621</v>
      </c>
      <c r="D27" s="5" t="s">
        <v>620</v>
      </c>
      <c r="E27" s="5" t="s">
        <v>10</v>
      </c>
      <c r="F27" s="255">
        <v>0.27916666666666667</v>
      </c>
    </row>
    <row r="28" spans="2:6" x14ac:dyDescent="0.25">
      <c r="B28" s="254">
        <v>44225</v>
      </c>
      <c r="C28" s="5" t="s">
        <v>623</v>
      </c>
      <c r="D28" s="5" t="s">
        <v>620</v>
      </c>
      <c r="E28" s="5" t="s">
        <v>13</v>
      </c>
      <c r="F28" s="255">
        <v>0.8666666666666667</v>
      </c>
    </row>
    <row r="29" spans="2:6" x14ac:dyDescent="0.25">
      <c r="B29" s="254">
        <v>44200</v>
      </c>
      <c r="C29" s="5" t="s">
        <v>624</v>
      </c>
      <c r="D29" s="5" t="s">
        <v>620</v>
      </c>
      <c r="E29" s="5" t="s">
        <v>13</v>
      </c>
      <c r="F29" s="255">
        <v>0.70000000000000007</v>
      </c>
    </row>
    <row r="30" spans="2:6" x14ac:dyDescent="0.25">
      <c r="B30" s="254">
        <v>44207</v>
      </c>
      <c r="C30" s="5" t="s">
        <v>624</v>
      </c>
      <c r="D30" s="5" t="s">
        <v>620</v>
      </c>
      <c r="E30" s="5" t="s">
        <v>11</v>
      </c>
      <c r="F30" s="255">
        <v>0.6166666666666667</v>
      </c>
    </row>
    <row r="31" spans="2:6" x14ac:dyDescent="0.25">
      <c r="B31" s="254">
        <v>44214</v>
      </c>
      <c r="C31" s="5" t="s">
        <v>624</v>
      </c>
      <c r="D31" s="5" t="s">
        <v>620</v>
      </c>
      <c r="E31" s="5" t="s">
        <v>11</v>
      </c>
      <c r="F31" s="255">
        <v>0.65</v>
      </c>
    </row>
    <row r="32" spans="2:6" x14ac:dyDescent="0.25">
      <c r="B32" s="254">
        <v>44217</v>
      </c>
      <c r="C32" s="5" t="s">
        <v>620</v>
      </c>
      <c r="D32" s="5" t="s">
        <v>620</v>
      </c>
      <c r="E32" s="5" t="s">
        <v>13</v>
      </c>
      <c r="F32" s="255">
        <v>1.2499999999999999E-2</v>
      </c>
    </row>
    <row r="33" spans="2:6" x14ac:dyDescent="0.25">
      <c r="B33" s="254">
        <v>44206</v>
      </c>
      <c r="C33" s="5" t="s">
        <v>624</v>
      </c>
      <c r="D33" s="5" t="s">
        <v>620</v>
      </c>
      <c r="E33" s="5" t="s">
        <v>12</v>
      </c>
      <c r="F33" s="255">
        <v>0.77083333333333337</v>
      </c>
    </row>
    <row r="34" spans="2:6" x14ac:dyDescent="0.25">
      <c r="B34" s="254">
        <v>44203</v>
      </c>
      <c r="C34" s="5" t="s">
        <v>623</v>
      </c>
      <c r="D34" s="5" t="s">
        <v>620</v>
      </c>
      <c r="E34" s="5" t="s">
        <v>12</v>
      </c>
      <c r="F34" s="255">
        <v>0.79166666666666663</v>
      </c>
    </row>
    <row r="35" spans="2:6" x14ac:dyDescent="0.25">
      <c r="B35" s="254">
        <v>44225</v>
      </c>
      <c r="C35" s="5" t="s">
        <v>620</v>
      </c>
      <c r="D35" s="5" t="s">
        <v>620</v>
      </c>
      <c r="E35" s="5" t="s">
        <v>13</v>
      </c>
      <c r="F35" s="255">
        <v>0.30833333333333335</v>
      </c>
    </row>
    <row r="36" spans="2:6" x14ac:dyDescent="0.25">
      <c r="B36" s="254">
        <v>44209</v>
      </c>
      <c r="C36" s="5" t="s">
        <v>624</v>
      </c>
      <c r="D36" s="5" t="s">
        <v>620</v>
      </c>
      <c r="E36" s="5" t="s">
        <v>11</v>
      </c>
      <c r="F36" s="255">
        <v>0.84583333333333333</v>
      </c>
    </row>
    <row r="37" spans="2:6" x14ac:dyDescent="0.25">
      <c r="B37" s="254">
        <v>44226</v>
      </c>
      <c r="C37" s="5" t="s">
        <v>621</v>
      </c>
      <c r="D37" s="5" t="s">
        <v>620</v>
      </c>
      <c r="E37" s="5" t="s">
        <v>13</v>
      </c>
      <c r="F37" s="255">
        <v>0.94166666666666676</v>
      </c>
    </row>
    <row r="38" spans="2:6" x14ac:dyDescent="0.25">
      <c r="B38" s="254">
        <v>44216</v>
      </c>
      <c r="C38" s="5" t="s">
        <v>620</v>
      </c>
      <c r="D38" s="5" t="s">
        <v>620</v>
      </c>
      <c r="E38" s="5" t="s">
        <v>13</v>
      </c>
      <c r="F38" s="255">
        <v>0.90416666666666667</v>
      </c>
    </row>
    <row r="39" spans="2:6" x14ac:dyDescent="0.25">
      <c r="B39" s="254">
        <v>44203</v>
      </c>
      <c r="C39" s="5" t="s">
        <v>620</v>
      </c>
      <c r="D39" s="5" t="s">
        <v>620</v>
      </c>
      <c r="E39" s="5" t="s">
        <v>10</v>
      </c>
      <c r="F39" s="255">
        <v>0.71250000000000002</v>
      </c>
    </row>
    <row r="40" spans="2:6" x14ac:dyDescent="0.25">
      <c r="B40" s="254">
        <v>44197</v>
      </c>
      <c r="C40" s="5" t="s">
        <v>624</v>
      </c>
      <c r="D40" s="5" t="s">
        <v>620</v>
      </c>
      <c r="E40" s="5" t="s">
        <v>13</v>
      </c>
      <c r="F40" s="255">
        <v>0.31666666666666665</v>
      </c>
    </row>
    <row r="41" spans="2:6" x14ac:dyDescent="0.25">
      <c r="B41" s="254">
        <v>44226</v>
      </c>
      <c r="C41" s="5" t="s">
        <v>620</v>
      </c>
      <c r="D41" s="5" t="s">
        <v>620</v>
      </c>
      <c r="E41" s="5" t="s">
        <v>10</v>
      </c>
      <c r="F41" s="255">
        <v>0.72916666666666663</v>
      </c>
    </row>
    <row r="42" spans="2:6" x14ac:dyDescent="0.25">
      <c r="B42" s="254">
        <v>44211</v>
      </c>
      <c r="C42" s="5" t="s">
        <v>621</v>
      </c>
      <c r="D42" s="5" t="s">
        <v>620</v>
      </c>
      <c r="E42" s="5" t="s">
        <v>13</v>
      </c>
      <c r="F42" s="255">
        <v>0.6</v>
      </c>
    </row>
    <row r="43" spans="2:6" x14ac:dyDescent="0.25">
      <c r="B43" s="254">
        <v>44203</v>
      </c>
      <c r="C43" s="5" t="s">
        <v>623</v>
      </c>
      <c r="D43" s="5" t="s">
        <v>620</v>
      </c>
      <c r="E43" s="5" t="s">
        <v>11</v>
      </c>
      <c r="F43" s="255">
        <v>0.7416666666666667</v>
      </c>
    </row>
    <row r="44" spans="2:6" x14ac:dyDescent="0.25">
      <c r="B44" s="254">
        <v>44205</v>
      </c>
      <c r="C44" s="5" t="s">
        <v>621</v>
      </c>
      <c r="D44" s="5" t="s">
        <v>620</v>
      </c>
      <c r="E44" s="5" t="s">
        <v>10</v>
      </c>
      <c r="F44" s="255">
        <v>0.9291666666666667</v>
      </c>
    </row>
    <row r="45" spans="2:6" x14ac:dyDescent="0.25">
      <c r="B45" s="254">
        <v>44200</v>
      </c>
      <c r="C45" s="5" t="s">
        <v>623</v>
      </c>
      <c r="D45" s="5" t="s">
        <v>620</v>
      </c>
      <c r="E45" s="5" t="s">
        <v>11</v>
      </c>
      <c r="F45" s="255">
        <v>0.27499999999999997</v>
      </c>
    </row>
    <row r="46" spans="2:6" x14ac:dyDescent="0.25">
      <c r="B46" s="254">
        <v>44226</v>
      </c>
      <c r="C46" s="5" t="s">
        <v>624</v>
      </c>
      <c r="D46" s="5" t="s">
        <v>620</v>
      </c>
      <c r="E46" s="5" t="s">
        <v>11</v>
      </c>
      <c r="F46" s="255">
        <v>0.32500000000000001</v>
      </c>
    </row>
    <row r="47" spans="2:6" x14ac:dyDescent="0.25">
      <c r="B47" s="254">
        <v>44199</v>
      </c>
      <c r="C47" s="5" t="s">
        <v>624</v>
      </c>
      <c r="D47" s="5" t="s">
        <v>620</v>
      </c>
      <c r="E47" s="5" t="s">
        <v>10</v>
      </c>
      <c r="F47" s="255">
        <v>0.625</v>
      </c>
    </row>
    <row r="48" spans="2:6" x14ac:dyDescent="0.25">
      <c r="B48" s="254">
        <v>44211</v>
      </c>
      <c r="C48" s="5" t="s">
        <v>623</v>
      </c>
      <c r="D48" s="5" t="s">
        <v>620</v>
      </c>
      <c r="E48" s="5" t="s">
        <v>11</v>
      </c>
      <c r="F48" s="255">
        <v>0.19166666666666665</v>
      </c>
    </row>
    <row r="49" spans="2:6" x14ac:dyDescent="0.25">
      <c r="B49" s="254">
        <v>44215</v>
      </c>
      <c r="C49" s="5" t="s">
        <v>624</v>
      </c>
      <c r="D49" s="5" t="s">
        <v>620</v>
      </c>
      <c r="E49" s="5" t="s">
        <v>10</v>
      </c>
      <c r="F49" s="255">
        <v>0.83333333333333337</v>
      </c>
    </row>
    <row r="50" spans="2:6" x14ac:dyDescent="0.25">
      <c r="B50" s="254">
        <v>44207</v>
      </c>
      <c r="C50" s="5" t="s">
        <v>624</v>
      </c>
      <c r="D50" s="5" t="s">
        <v>620</v>
      </c>
      <c r="E50" s="5" t="s">
        <v>12</v>
      </c>
      <c r="F50" s="255">
        <v>0.36249999999999999</v>
      </c>
    </row>
    <row r="51" spans="2:6" x14ac:dyDescent="0.25">
      <c r="B51" s="254">
        <v>44207</v>
      </c>
      <c r="C51" s="5" t="s">
        <v>624</v>
      </c>
      <c r="D51" s="5" t="s">
        <v>620</v>
      </c>
      <c r="E51" s="5" t="s">
        <v>10</v>
      </c>
      <c r="F51" s="255">
        <v>0.53333333333333333</v>
      </c>
    </row>
    <row r="52" spans="2:6" x14ac:dyDescent="0.25">
      <c r="B52" s="254">
        <v>44226</v>
      </c>
      <c r="C52" s="5" t="s">
        <v>624</v>
      </c>
      <c r="D52" s="5" t="s">
        <v>620</v>
      </c>
      <c r="E52" s="5" t="s">
        <v>12</v>
      </c>
      <c r="F52" s="255">
        <v>0.11666666666666665</v>
      </c>
    </row>
    <row r="53" spans="2:6" x14ac:dyDescent="0.25">
      <c r="B53" s="254">
        <v>44216</v>
      </c>
      <c r="C53" s="5" t="s">
        <v>623</v>
      </c>
      <c r="D53" s="5" t="s">
        <v>620</v>
      </c>
      <c r="E53" s="5" t="s">
        <v>10</v>
      </c>
      <c r="F53" s="255">
        <v>0.29166666666666669</v>
      </c>
    </row>
    <row r="54" spans="2:6" x14ac:dyDescent="0.25">
      <c r="B54" s="254">
        <v>44197</v>
      </c>
      <c r="C54" s="5" t="s">
        <v>624</v>
      </c>
      <c r="D54" s="5" t="s">
        <v>620</v>
      </c>
      <c r="E54" s="5" t="s">
        <v>11</v>
      </c>
      <c r="F54" s="255">
        <v>0.17500000000000002</v>
      </c>
    </row>
    <row r="55" spans="2:6" x14ac:dyDescent="0.25">
      <c r="B55" s="254">
        <v>44224</v>
      </c>
      <c r="C55" s="5" t="s">
        <v>623</v>
      </c>
      <c r="D55" s="5" t="s">
        <v>620</v>
      </c>
      <c r="E55" s="5" t="s">
        <v>10</v>
      </c>
      <c r="F55" s="255">
        <v>0.83333333333333337</v>
      </c>
    </row>
  </sheetData>
  <dataValidations count="1">
    <dataValidation type="list" allowBlank="1" showInputMessage="1" showErrorMessage="1" sqref="I4" xr:uid="{F90E5B28-F89C-41BA-8A9C-ECC749541BE5}">
      <formula1>$W$5:$W$8</formula1>
    </dataValidation>
  </dataValidations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2094-A40A-4FC4-85B5-DB12C003ACF8}">
  <sheetPr>
    <tabColor rgb="FFFF0000"/>
  </sheetPr>
  <dimension ref="A1:AC55"/>
  <sheetViews>
    <sheetView zoomScale="160" zoomScaleNormal="160" workbookViewId="0"/>
  </sheetViews>
  <sheetFormatPr defaultColWidth="8.85546875" defaultRowHeight="15" x14ac:dyDescent="0.25"/>
  <cols>
    <col min="1" max="1" width="0.85546875" customWidth="1"/>
    <col min="2" max="2" width="10.42578125" customWidth="1"/>
    <col min="3" max="3" width="10.42578125" bestFit="1" customWidth="1"/>
    <col min="6" max="6" width="9.28515625" bestFit="1" customWidth="1"/>
    <col min="21" max="21" width="10.42578125" bestFit="1" customWidth="1"/>
  </cols>
  <sheetData>
    <row r="1" spans="1:29" ht="5.25" customHeight="1" x14ac:dyDescent="0.25">
      <c r="A1" s="74"/>
    </row>
    <row r="2" spans="1:29" x14ac:dyDescent="0.25">
      <c r="B2" s="4" t="s">
        <v>626</v>
      </c>
    </row>
    <row r="4" spans="1:29" x14ac:dyDescent="0.25">
      <c r="B4" s="110" t="s">
        <v>96</v>
      </c>
      <c r="C4" s="110" t="s">
        <v>98</v>
      </c>
      <c r="D4" s="110" t="s">
        <v>619</v>
      </c>
      <c r="E4" s="110" t="s">
        <v>7</v>
      </c>
      <c r="F4" s="110" t="s">
        <v>622</v>
      </c>
      <c r="H4" s="138" t="s">
        <v>625</v>
      </c>
      <c r="I4" s="5" t="s">
        <v>10</v>
      </c>
      <c r="U4" s="4" t="s">
        <v>619</v>
      </c>
      <c r="W4" s="4" t="s">
        <v>7</v>
      </c>
      <c r="Y4" s="4" t="s">
        <v>96</v>
      </c>
      <c r="Z4" s="4" t="s">
        <v>98</v>
      </c>
      <c r="AA4" s="4" t="s">
        <v>619</v>
      </c>
      <c r="AB4" s="4" t="s">
        <v>7</v>
      </c>
      <c r="AC4" s="4" t="s">
        <v>622</v>
      </c>
    </row>
    <row r="5" spans="1:29" x14ac:dyDescent="0.25">
      <c r="B5" s="254">
        <v>44226</v>
      </c>
      <c r="C5" s="5" t="s">
        <v>620</v>
      </c>
      <c r="D5" s="5" t="s">
        <v>620</v>
      </c>
      <c r="E5" s="5" t="s">
        <v>10</v>
      </c>
      <c r="F5" s="255">
        <v>4.1666666666666664E-2</v>
      </c>
      <c r="U5" t="s">
        <v>620</v>
      </c>
      <c r="W5" t="s">
        <v>10</v>
      </c>
      <c r="Y5" s="251">
        <f ca="1">RANDBETWEEN("1/1/2021","1/31/2021")</f>
        <v>44207</v>
      </c>
      <c r="Z5" t="str" cm="1">
        <f t="array" aca="1" ref="Z5" ca="1">INDEX($U$5:$U$8,RANDBETWEEN(1,ROWS($U$5:$U$8)))</f>
        <v>E-Bay</v>
      </c>
      <c r="AA5" t="s">
        <v>620</v>
      </c>
      <c r="AB5" t="str" cm="1">
        <f t="array" aca="1" ref="AB5" ca="1">INDEX($W$5:$W$8,RANDBETWEEN(1,ROWS($W$5:$W$8)))</f>
        <v>Carlota</v>
      </c>
      <c r="AC5" s="252">
        <f ca="1">RANDBETWEEN(1,239)/10/24</f>
        <v>0.83333333333333337</v>
      </c>
    </row>
    <row r="6" spans="1:29" x14ac:dyDescent="0.25">
      <c r="B6" s="254">
        <v>44223</v>
      </c>
      <c r="C6" s="5" t="s">
        <v>624</v>
      </c>
      <c r="D6" s="5" t="s">
        <v>620</v>
      </c>
      <c r="E6" s="5" t="s">
        <v>10</v>
      </c>
      <c r="F6" s="255">
        <v>0.93333333333333324</v>
      </c>
      <c r="H6" s="110" t="s">
        <v>96</v>
      </c>
      <c r="I6" s="110" t="s">
        <v>98</v>
      </c>
      <c r="J6" s="110" t="s">
        <v>619</v>
      </c>
      <c r="K6" s="110" t="s">
        <v>7</v>
      </c>
      <c r="L6" s="110" t="s">
        <v>622</v>
      </c>
      <c r="N6" s="4" t="str">
        <f>"Formula in cell "&amp;ADDRESS(ROW(H7),COLUMN(H7),4)&amp;":"</f>
        <v>Formula in cell H7:</v>
      </c>
      <c r="U6" t="s">
        <v>624</v>
      </c>
      <c r="W6" t="s">
        <v>12</v>
      </c>
    </row>
    <row r="7" spans="1:29" x14ac:dyDescent="0.25">
      <c r="B7" s="254">
        <v>44220</v>
      </c>
      <c r="C7" s="5" t="s">
        <v>623</v>
      </c>
      <c r="D7" s="5" t="s">
        <v>620</v>
      </c>
      <c r="E7" s="5" t="s">
        <v>12</v>
      </c>
      <c r="F7" s="255">
        <v>0.8041666666666667</v>
      </c>
      <c r="H7" s="251" cm="1">
        <f t="array" ref="H7:L21">_xlfn._xlws.FILTER(B5:F55,E5:E55=I4)</f>
        <v>44226</v>
      </c>
      <c r="I7" t="str">
        <v>Amazon</v>
      </c>
      <c r="J7" t="str">
        <v>Amazon</v>
      </c>
      <c r="K7" t="str">
        <v>Quad</v>
      </c>
      <c r="L7" s="253">
        <v>4.1666666666666664E-2</v>
      </c>
      <c r="N7" t="str">
        <f ca="1">_xlfn.IFNA(_xlfn.FORMULATEXT(H7),"")</f>
        <v>=FILTER(B5:F55,E5:E55=I4)</v>
      </c>
      <c r="U7" t="s">
        <v>623</v>
      </c>
      <c r="W7" t="s">
        <v>13</v>
      </c>
    </row>
    <row r="8" spans="1:29" x14ac:dyDescent="0.25">
      <c r="B8" s="254">
        <v>44200</v>
      </c>
      <c r="C8" s="5" t="s">
        <v>620</v>
      </c>
      <c r="D8" s="5" t="s">
        <v>620</v>
      </c>
      <c r="E8" s="5" t="s">
        <v>11</v>
      </c>
      <c r="F8" s="255">
        <v>0.74583333333333324</v>
      </c>
      <c r="H8" s="251">
        <v>44223</v>
      </c>
      <c r="I8" t="str">
        <v>Gel.com</v>
      </c>
      <c r="J8" t="str">
        <v>Amazon</v>
      </c>
      <c r="K8" t="str">
        <v>Quad</v>
      </c>
      <c r="L8" s="253">
        <v>0.93333333333333324</v>
      </c>
      <c r="U8" t="s">
        <v>621</v>
      </c>
      <c r="W8" t="s">
        <v>11</v>
      </c>
    </row>
    <row r="9" spans="1:29" x14ac:dyDescent="0.25">
      <c r="B9" s="254">
        <v>44210</v>
      </c>
      <c r="C9" s="5" t="s">
        <v>621</v>
      </c>
      <c r="D9" s="5" t="s">
        <v>620</v>
      </c>
      <c r="E9" s="5" t="s">
        <v>12</v>
      </c>
      <c r="F9" s="255">
        <v>0.51666666666666672</v>
      </c>
      <c r="H9" s="251">
        <v>44218</v>
      </c>
      <c r="I9" t="str">
        <v>Gel.com</v>
      </c>
      <c r="J9" t="str">
        <v>Amazon</v>
      </c>
      <c r="K9" t="str">
        <v>Quad</v>
      </c>
      <c r="L9" s="253">
        <v>0.71250000000000002</v>
      </c>
    </row>
    <row r="10" spans="1:29" x14ac:dyDescent="0.25">
      <c r="B10" s="254">
        <v>44218</v>
      </c>
      <c r="C10" s="5" t="s">
        <v>624</v>
      </c>
      <c r="D10" s="5" t="s">
        <v>620</v>
      </c>
      <c r="E10" s="5" t="s">
        <v>10</v>
      </c>
      <c r="F10" s="255">
        <v>0.71250000000000002</v>
      </c>
      <c r="H10" s="251">
        <v>44205</v>
      </c>
      <c r="I10" t="str">
        <v>Boom.com</v>
      </c>
      <c r="J10" t="str">
        <v>Amazon</v>
      </c>
      <c r="K10" t="str">
        <v>Quad</v>
      </c>
      <c r="L10" s="253">
        <v>0.60416666666666663</v>
      </c>
    </row>
    <row r="11" spans="1:29" x14ac:dyDescent="0.25">
      <c r="B11" s="254">
        <v>44214</v>
      </c>
      <c r="C11" s="5" t="s">
        <v>621</v>
      </c>
      <c r="D11" s="5" t="s">
        <v>620</v>
      </c>
      <c r="E11" s="5" t="s">
        <v>13</v>
      </c>
      <c r="F11" s="255">
        <v>0.46249999999999997</v>
      </c>
      <c r="H11" s="251">
        <v>44216</v>
      </c>
      <c r="I11" t="str">
        <v>Gel.com</v>
      </c>
      <c r="J11" t="str">
        <v>Amazon</v>
      </c>
      <c r="K11" t="str">
        <v>Quad</v>
      </c>
      <c r="L11" s="253">
        <v>0.15</v>
      </c>
    </row>
    <row r="12" spans="1:29" x14ac:dyDescent="0.25">
      <c r="B12" s="254">
        <v>44218</v>
      </c>
      <c r="C12" s="5" t="s">
        <v>623</v>
      </c>
      <c r="D12" s="5" t="s">
        <v>620</v>
      </c>
      <c r="E12" s="5" t="s">
        <v>13</v>
      </c>
      <c r="F12" s="255">
        <v>0.26666666666666666</v>
      </c>
      <c r="H12" s="251">
        <v>44202</v>
      </c>
      <c r="I12" t="str">
        <v>Gel.com</v>
      </c>
      <c r="J12" t="str">
        <v>Amazon</v>
      </c>
      <c r="K12" t="str">
        <v>Quad</v>
      </c>
      <c r="L12" s="253">
        <v>0.10833333333333334</v>
      </c>
    </row>
    <row r="13" spans="1:29" x14ac:dyDescent="0.25">
      <c r="B13" s="254">
        <v>44205</v>
      </c>
      <c r="C13" s="5" t="s">
        <v>623</v>
      </c>
      <c r="D13" s="5" t="s">
        <v>620</v>
      </c>
      <c r="E13" s="5" t="s">
        <v>10</v>
      </c>
      <c r="F13" s="255">
        <v>0.60416666666666663</v>
      </c>
      <c r="H13" s="251">
        <v>44200</v>
      </c>
      <c r="I13" t="str">
        <v>E-Bay</v>
      </c>
      <c r="J13" t="str">
        <v>Amazon</v>
      </c>
      <c r="K13" t="str">
        <v>Quad</v>
      </c>
      <c r="L13" s="253">
        <v>0.27916666666666667</v>
      </c>
    </row>
    <row r="14" spans="1:29" x14ac:dyDescent="0.25">
      <c r="B14" s="254">
        <v>44201</v>
      </c>
      <c r="C14" s="5" t="s">
        <v>620</v>
      </c>
      <c r="D14" s="5" t="s">
        <v>620</v>
      </c>
      <c r="E14" s="5" t="s">
        <v>11</v>
      </c>
      <c r="F14" s="255">
        <v>0.73333333333333339</v>
      </c>
      <c r="H14" s="251">
        <v>44203</v>
      </c>
      <c r="I14" t="str">
        <v>Amazon</v>
      </c>
      <c r="J14" t="str">
        <v>Amazon</v>
      </c>
      <c r="K14" t="str">
        <v>Quad</v>
      </c>
      <c r="L14" s="253">
        <v>0.71250000000000002</v>
      </c>
    </row>
    <row r="15" spans="1:29" x14ac:dyDescent="0.25">
      <c r="B15" s="254">
        <v>44214</v>
      </c>
      <c r="C15" s="5" t="s">
        <v>620</v>
      </c>
      <c r="D15" s="5" t="s">
        <v>620</v>
      </c>
      <c r="E15" s="5" t="s">
        <v>11</v>
      </c>
      <c r="F15" s="255">
        <v>0.39999999999999997</v>
      </c>
      <c r="H15" s="251">
        <v>44226</v>
      </c>
      <c r="I15" t="str">
        <v>Amazon</v>
      </c>
      <c r="J15" t="str">
        <v>Amazon</v>
      </c>
      <c r="K15" t="str">
        <v>Quad</v>
      </c>
      <c r="L15" s="253">
        <v>0.72916666666666663</v>
      </c>
    </row>
    <row r="16" spans="1:29" x14ac:dyDescent="0.25">
      <c r="B16" s="254">
        <v>44224</v>
      </c>
      <c r="C16" s="5" t="s">
        <v>623</v>
      </c>
      <c r="D16" s="5" t="s">
        <v>620</v>
      </c>
      <c r="E16" s="5" t="s">
        <v>13</v>
      </c>
      <c r="F16" s="255">
        <v>0.82500000000000007</v>
      </c>
      <c r="H16" s="251">
        <v>44205</v>
      </c>
      <c r="I16" t="str">
        <v>E-Bay</v>
      </c>
      <c r="J16" t="str">
        <v>Amazon</v>
      </c>
      <c r="K16" t="str">
        <v>Quad</v>
      </c>
      <c r="L16" s="253">
        <v>0.9291666666666667</v>
      </c>
    </row>
    <row r="17" spans="2:12" x14ac:dyDescent="0.25">
      <c r="B17" s="254">
        <v>44204</v>
      </c>
      <c r="C17" s="5" t="s">
        <v>620</v>
      </c>
      <c r="D17" s="5" t="s">
        <v>620</v>
      </c>
      <c r="E17" s="5" t="s">
        <v>11</v>
      </c>
      <c r="F17" s="255">
        <v>0.8208333333333333</v>
      </c>
      <c r="H17" s="251">
        <v>44199</v>
      </c>
      <c r="I17" t="str">
        <v>Gel.com</v>
      </c>
      <c r="J17" t="str">
        <v>Amazon</v>
      </c>
      <c r="K17" t="str">
        <v>Quad</v>
      </c>
      <c r="L17" s="253">
        <v>0.625</v>
      </c>
    </row>
    <row r="18" spans="2:12" x14ac:dyDescent="0.25">
      <c r="B18" s="254">
        <v>44203</v>
      </c>
      <c r="C18" s="5" t="s">
        <v>621</v>
      </c>
      <c r="D18" s="5" t="s">
        <v>620</v>
      </c>
      <c r="E18" s="5" t="s">
        <v>13</v>
      </c>
      <c r="F18" s="255">
        <v>0.20416666666666669</v>
      </c>
      <c r="H18" s="251">
        <v>44215</v>
      </c>
      <c r="I18" t="str">
        <v>Gel.com</v>
      </c>
      <c r="J18" t="str">
        <v>Amazon</v>
      </c>
      <c r="K18" t="str">
        <v>Quad</v>
      </c>
      <c r="L18" s="253">
        <v>0.83333333333333337</v>
      </c>
    </row>
    <row r="19" spans="2:12" x14ac:dyDescent="0.25">
      <c r="B19" s="254">
        <v>44211</v>
      </c>
      <c r="C19" s="5" t="s">
        <v>624</v>
      </c>
      <c r="D19" s="5" t="s">
        <v>620</v>
      </c>
      <c r="E19" s="5" t="s">
        <v>13</v>
      </c>
      <c r="F19" s="255">
        <v>0.56666666666666665</v>
      </c>
      <c r="H19" s="251">
        <v>44207</v>
      </c>
      <c r="I19" t="str">
        <v>Gel.com</v>
      </c>
      <c r="J19" t="str">
        <v>Amazon</v>
      </c>
      <c r="K19" t="str">
        <v>Quad</v>
      </c>
      <c r="L19" s="253">
        <v>0.53333333333333333</v>
      </c>
    </row>
    <row r="20" spans="2:12" x14ac:dyDescent="0.25">
      <c r="B20" s="254">
        <v>44199</v>
      </c>
      <c r="C20" s="5" t="s">
        <v>620</v>
      </c>
      <c r="D20" s="5" t="s">
        <v>620</v>
      </c>
      <c r="E20" s="5" t="s">
        <v>13</v>
      </c>
      <c r="F20" s="255">
        <v>4.1666666666666664E-2</v>
      </c>
      <c r="H20" s="251">
        <v>44216</v>
      </c>
      <c r="I20" t="str">
        <v>Boom.com</v>
      </c>
      <c r="J20" t="str">
        <v>Amazon</v>
      </c>
      <c r="K20" t="str">
        <v>Quad</v>
      </c>
      <c r="L20" s="253">
        <v>0.29166666666666669</v>
      </c>
    </row>
    <row r="21" spans="2:12" x14ac:dyDescent="0.25">
      <c r="B21" s="254">
        <v>44221</v>
      </c>
      <c r="C21" s="5" t="s">
        <v>621</v>
      </c>
      <c r="D21" s="5" t="s">
        <v>620</v>
      </c>
      <c r="E21" s="5" t="s">
        <v>13</v>
      </c>
      <c r="F21" s="255">
        <v>0.16250000000000001</v>
      </c>
      <c r="H21" s="251">
        <v>44224</v>
      </c>
      <c r="I21" t="str">
        <v>Boom.com</v>
      </c>
      <c r="J21" t="str">
        <v>Amazon</v>
      </c>
      <c r="K21" t="str">
        <v>Quad</v>
      </c>
      <c r="L21" s="253">
        <v>0.83333333333333337</v>
      </c>
    </row>
    <row r="22" spans="2:12" x14ac:dyDescent="0.25">
      <c r="B22" s="254">
        <v>44216</v>
      </c>
      <c r="C22" s="5" t="s">
        <v>624</v>
      </c>
      <c r="D22" s="5" t="s">
        <v>620</v>
      </c>
      <c r="E22" s="5" t="s">
        <v>10</v>
      </c>
      <c r="F22" s="255">
        <v>0.15</v>
      </c>
      <c r="H22" s="251"/>
      <c r="L22" s="253"/>
    </row>
    <row r="23" spans="2:12" x14ac:dyDescent="0.25">
      <c r="B23" s="254">
        <v>44202</v>
      </c>
      <c r="C23" s="5" t="s">
        <v>624</v>
      </c>
      <c r="D23" s="5" t="s">
        <v>620</v>
      </c>
      <c r="E23" s="5" t="s">
        <v>10</v>
      </c>
      <c r="F23" s="255">
        <v>0.10833333333333334</v>
      </c>
      <c r="H23" s="251"/>
      <c r="L23" s="253"/>
    </row>
    <row r="24" spans="2:12" x14ac:dyDescent="0.25">
      <c r="B24" s="254">
        <v>44204</v>
      </c>
      <c r="C24" s="5" t="s">
        <v>621</v>
      </c>
      <c r="D24" s="5" t="s">
        <v>620</v>
      </c>
      <c r="E24" s="5" t="s">
        <v>11</v>
      </c>
      <c r="F24" s="255">
        <v>0.97083333333333333</v>
      </c>
      <c r="H24" s="251"/>
      <c r="L24" s="253"/>
    </row>
    <row r="25" spans="2:12" x14ac:dyDescent="0.25">
      <c r="B25" s="254">
        <v>44209</v>
      </c>
      <c r="C25" s="5" t="s">
        <v>624</v>
      </c>
      <c r="D25" s="5" t="s">
        <v>620</v>
      </c>
      <c r="E25" s="5" t="s">
        <v>11</v>
      </c>
      <c r="F25" s="255">
        <v>0.8125</v>
      </c>
      <c r="H25" s="251"/>
      <c r="L25" s="253"/>
    </row>
    <row r="26" spans="2:12" x14ac:dyDescent="0.25">
      <c r="B26" s="254">
        <v>44208</v>
      </c>
      <c r="C26" s="5" t="s">
        <v>623</v>
      </c>
      <c r="D26" s="5" t="s">
        <v>620</v>
      </c>
      <c r="E26" s="5" t="s">
        <v>13</v>
      </c>
      <c r="F26" s="255">
        <v>0.79166666666666663</v>
      </c>
      <c r="H26" s="251"/>
      <c r="L26" s="253"/>
    </row>
    <row r="27" spans="2:12" x14ac:dyDescent="0.25">
      <c r="B27" s="254">
        <v>44200</v>
      </c>
      <c r="C27" s="5" t="s">
        <v>621</v>
      </c>
      <c r="D27" s="5" t="s">
        <v>620</v>
      </c>
      <c r="E27" s="5" t="s">
        <v>10</v>
      </c>
      <c r="F27" s="255">
        <v>0.27916666666666667</v>
      </c>
      <c r="H27" s="251"/>
      <c r="L27" s="253"/>
    </row>
    <row r="28" spans="2:12" x14ac:dyDescent="0.25">
      <c r="B28" s="254">
        <v>44225</v>
      </c>
      <c r="C28" s="5" t="s">
        <v>623</v>
      </c>
      <c r="D28" s="5" t="s">
        <v>620</v>
      </c>
      <c r="E28" s="5" t="s">
        <v>13</v>
      </c>
      <c r="F28" s="255">
        <v>0.8666666666666667</v>
      </c>
      <c r="H28" s="251"/>
      <c r="L28" s="253"/>
    </row>
    <row r="29" spans="2:12" x14ac:dyDescent="0.25">
      <c r="B29" s="254">
        <v>44200</v>
      </c>
      <c r="C29" s="5" t="s">
        <v>624</v>
      </c>
      <c r="D29" s="5" t="s">
        <v>620</v>
      </c>
      <c r="E29" s="5" t="s">
        <v>13</v>
      </c>
      <c r="F29" s="255">
        <v>0.70000000000000007</v>
      </c>
      <c r="H29" s="251"/>
      <c r="L29" s="253"/>
    </row>
    <row r="30" spans="2:12" x14ac:dyDescent="0.25">
      <c r="B30" s="254">
        <v>44207</v>
      </c>
      <c r="C30" s="5" t="s">
        <v>624</v>
      </c>
      <c r="D30" s="5" t="s">
        <v>620</v>
      </c>
      <c r="E30" s="5" t="s">
        <v>11</v>
      </c>
      <c r="F30" s="255">
        <v>0.6166666666666667</v>
      </c>
      <c r="H30" s="251"/>
      <c r="L30" s="253"/>
    </row>
    <row r="31" spans="2:12" x14ac:dyDescent="0.25">
      <c r="B31" s="254">
        <v>44214</v>
      </c>
      <c r="C31" s="5" t="s">
        <v>624</v>
      </c>
      <c r="D31" s="5" t="s">
        <v>620</v>
      </c>
      <c r="E31" s="5" t="s">
        <v>11</v>
      </c>
      <c r="F31" s="255">
        <v>0.65</v>
      </c>
      <c r="H31" s="251"/>
      <c r="L31" s="253"/>
    </row>
    <row r="32" spans="2:12" x14ac:dyDescent="0.25">
      <c r="B32" s="254">
        <v>44217</v>
      </c>
      <c r="C32" s="5" t="s">
        <v>620</v>
      </c>
      <c r="D32" s="5" t="s">
        <v>620</v>
      </c>
      <c r="E32" s="5" t="s">
        <v>13</v>
      </c>
      <c r="F32" s="255">
        <v>1.2499999999999999E-2</v>
      </c>
      <c r="H32" s="251"/>
      <c r="L32" s="253"/>
    </row>
    <row r="33" spans="2:12" x14ac:dyDescent="0.25">
      <c r="B33" s="254">
        <v>44206</v>
      </c>
      <c r="C33" s="5" t="s">
        <v>624</v>
      </c>
      <c r="D33" s="5" t="s">
        <v>620</v>
      </c>
      <c r="E33" s="5" t="s">
        <v>12</v>
      </c>
      <c r="F33" s="255">
        <v>0.77083333333333337</v>
      </c>
      <c r="H33" s="251"/>
      <c r="L33" s="253"/>
    </row>
    <row r="34" spans="2:12" x14ac:dyDescent="0.25">
      <c r="B34" s="254">
        <v>44203</v>
      </c>
      <c r="C34" s="5" t="s">
        <v>623</v>
      </c>
      <c r="D34" s="5" t="s">
        <v>620</v>
      </c>
      <c r="E34" s="5" t="s">
        <v>12</v>
      </c>
      <c r="F34" s="255">
        <v>0.79166666666666663</v>
      </c>
      <c r="H34" s="251"/>
      <c r="L34" s="253"/>
    </row>
    <row r="35" spans="2:12" x14ac:dyDescent="0.25">
      <c r="B35" s="254">
        <v>44225</v>
      </c>
      <c r="C35" s="5" t="s">
        <v>620</v>
      </c>
      <c r="D35" s="5" t="s">
        <v>620</v>
      </c>
      <c r="E35" s="5" t="s">
        <v>13</v>
      </c>
      <c r="F35" s="255">
        <v>0.30833333333333335</v>
      </c>
      <c r="H35" s="251"/>
      <c r="L35" s="253"/>
    </row>
    <row r="36" spans="2:12" x14ac:dyDescent="0.25">
      <c r="B36" s="254">
        <v>44209</v>
      </c>
      <c r="C36" s="5" t="s">
        <v>624</v>
      </c>
      <c r="D36" s="5" t="s">
        <v>620</v>
      </c>
      <c r="E36" s="5" t="s">
        <v>11</v>
      </c>
      <c r="F36" s="255">
        <v>0.84583333333333333</v>
      </c>
      <c r="H36" s="251"/>
      <c r="L36" s="253"/>
    </row>
    <row r="37" spans="2:12" x14ac:dyDescent="0.25">
      <c r="B37" s="254">
        <v>44226</v>
      </c>
      <c r="C37" s="5" t="s">
        <v>621</v>
      </c>
      <c r="D37" s="5" t="s">
        <v>620</v>
      </c>
      <c r="E37" s="5" t="s">
        <v>13</v>
      </c>
      <c r="F37" s="255">
        <v>0.94166666666666676</v>
      </c>
      <c r="H37" s="251"/>
      <c r="L37" s="253"/>
    </row>
    <row r="38" spans="2:12" x14ac:dyDescent="0.25">
      <c r="B38" s="254">
        <v>44216</v>
      </c>
      <c r="C38" s="5" t="s">
        <v>620</v>
      </c>
      <c r="D38" s="5" t="s">
        <v>620</v>
      </c>
      <c r="E38" s="5" t="s">
        <v>13</v>
      </c>
      <c r="F38" s="255">
        <v>0.90416666666666667</v>
      </c>
      <c r="H38" s="251"/>
      <c r="L38" s="253"/>
    </row>
    <row r="39" spans="2:12" x14ac:dyDescent="0.25">
      <c r="B39" s="254">
        <v>44203</v>
      </c>
      <c r="C39" s="5" t="s">
        <v>620</v>
      </c>
      <c r="D39" s="5" t="s">
        <v>620</v>
      </c>
      <c r="E39" s="5" t="s">
        <v>10</v>
      </c>
      <c r="F39" s="255">
        <v>0.71250000000000002</v>
      </c>
      <c r="H39" s="251"/>
      <c r="L39" s="253"/>
    </row>
    <row r="40" spans="2:12" x14ac:dyDescent="0.25">
      <c r="B40" s="254">
        <v>44197</v>
      </c>
      <c r="C40" s="5" t="s">
        <v>624</v>
      </c>
      <c r="D40" s="5" t="s">
        <v>620</v>
      </c>
      <c r="E40" s="5" t="s">
        <v>13</v>
      </c>
      <c r="F40" s="255">
        <v>0.31666666666666665</v>
      </c>
      <c r="H40" s="251"/>
      <c r="L40" s="253"/>
    </row>
    <row r="41" spans="2:12" x14ac:dyDescent="0.25">
      <c r="B41" s="254">
        <v>44226</v>
      </c>
      <c r="C41" s="5" t="s">
        <v>620</v>
      </c>
      <c r="D41" s="5" t="s">
        <v>620</v>
      </c>
      <c r="E41" s="5" t="s">
        <v>10</v>
      </c>
      <c r="F41" s="255">
        <v>0.72916666666666663</v>
      </c>
      <c r="H41" s="251"/>
      <c r="L41" s="253"/>
    </row>
    <row r="42" spans="2:12" x14ac:dyDescent="0.25">
      <c r="B42" s="254">
        <v>44211</v>
      </c>
      <c r="C42" s="5" t="s">
        <v>621</v>
      </c>
      <c r="D42" s="5" t="s">
        <v>620</v>
      </c>
      <c r="E42" s="5" t="s">
        <v>13</v>
      </c>
      <c r="F42" s="255">
        <v>0.6</v>
      </c>
      <c r="H42" s="251"/>
      <c r="L42" s="253"/>
    </row>
    <row r="43" spans="2:12" x14ac:dyDescent="0.25">
      <c r="B43" s="254">
        <v>44203</v>
      </c>
      <c r="C43" s="5" t="s">
        <v>623</v>
      </c>
      <c r="D43" s="5" t="s">
        <v>620</v>
      </c>
      <c r="E43" s="5" t="s">
        <v>11</v>
      </c>
      <c r="F43" s="255">
        <v>0.7416666666666667</v>
      </c>
      <c r="H43" s="251"/>
      <c r="L43" s="253"/>
    </row>
    <row r="44" spans="2:12" x14ac:dyDescent="0.25">
      <c r="B44" s="254">
        <v>44205</v>
      </c>
      <c r="C44" s="5" t="s">
        <v>621</v>
      </c>
      <c r="D44" s="5" t="s">
        <v>620</v>
      </c>
      <c r="E44" s="5" t="s">
        <v>10</v>
      </c>
      <c r="F44" s="255">
        <v>0.9291666666666667</v>
      </c>
      <c r="H44" s="251"/>
      <c r="L44" s="253"/>
    </row>
    <row r="45" spans="2:12" x14ac:dyDescent="0.25">
      <c r="B45" s="254">
        <v>44200</v>
      </c>
      <c r="C45" s="5" t="s">
        <v>623</v>
      </c>
      <c r="D45" s="5" t="s">
        <v>620</v>
      </c>
      <c r="E45" s="5" t="s">
        <v>11</v>
      </c>
      <c r="F45" s="255">
        <v>0.27499999999999997</v>
      </c>
      <c r="H45" s="251"/>
      <c r="L45" s="253"/>
    </row>
    <row r="46" spans="2:12" x14ac:dyDescent="0.25">
      <c r="B46" s="254">
        <v>44226</v>
      </c>
      <c r="C46" s="5" t="s">
        <v>624</v>
      </c>
      <c r="D46" s="5" t="s">
        <v>620</v>
      </c>
      <c r="E46" s="5" t="s">
        <v>11</v>
      </c>
      <c r="F46" s="255">
        <v>0.32500000000000001</v>
      </c>
      <c r="H46" s="251"/>
      <c r="L46" s="253"/>
    </row>
    <row r="47" spans="2:12" x14ac:dyDescent="0.25">
      <c r="B47" s="254">
        <v>44199</v>
      </c>
      <c r="C47" s="5" t="s">
        <v>624</v>
      </c>
      <c r="D47" s="5" t="s">
        <v>620</v>
      </c>
      <c r="E47" s="5" t="s">
        <v>10</v>
      </c>
      <c r="F47" s="255">
        <v>0.625</v>
      </c>
      <c r="H47" s="251"/>
      <c r="L47" s="253"/>
    </row>
    <row r="48" spans="2:12" x14ac:dyDescent="0.25">
      <c r="B48" s="254">
        <v>44211</v>
      </c>
      <c r="C48" s="5" t="s">
        <v>623</v>
      </c>
      <c r="D48" s="5" t="s">
        <v>620</v>
      </c>
      <c r="E48" s="5" t="s">
        <v>11</v>
      </c>
      <c r="F48" s="255">
        <v>0.19166666666666665</v>
      </c>
      <c r="H48" s="251"/>
      <c r="L48" s="253"/>
    </row>
    <row r="49" spans="2:12" x14ac:dyDescent="0.25">
      <c r="B49" s="254">
        <v>44215</v>
      </c>
      <c r="C49" s="5" t="s">
        <v>624</v>
      </c>
      <c r="D49" s="5" t="s">
        <v>620</v>
      </c>
      <c r="E49" s="5" t="s">
        <v>10</v>
      </c>
      <c r="F49" s="255">
        <v>0.83333333333333337</v>
      </c>
      <c r="H49" s="251"/>
      <c r="L49" s="253"/>
    </row>
    <row r="50" spans="2:12" x14ac:dyDescent="0.25">
      <c r="B50" s="254">
        <v>44207</v>
      </c>
      <c r="C50" s="5" t="s">
        <v>624</v>
      </c>
      <c r="D50" s="5" t="s">
        <v>620</v>
      </c>
      <c r="E50" s="5" t="s">
        <v>12</v>
      </c>
      <c r="F50" s="255">
        <v>0.36249999999999999</v>
      </c>
      <c r="H50" s="251"/>
      <c r="L50" s="253"/>
    </row>
    <row r="51" spans="2:12" x14ac:dyDescent="0.25">
      <c r="B51" s="254">
        <v>44207</v>
      </c>
      <c r="C51" s="5" t="s">
        <v>624</v>
      </c>
      <c r="D51" s="5" t="s">
        <v>620</v>
      </c>
      <c r="E51" s="5" t="s">
        <v>10</v>
      </c>
      <c r="F51" s="255">
        <v>0.53333333333333333</v>
      </c>
      <c r="H51" s="251"/>
      <c r="L51" s="253"/>
    </row>
    <row r="52" spans="2:12" x14ac:dyDescent="0.25">
      <c r="B52" s="254">
        <v>44226</v>
      </c>
      <c r="C52" s="5" t="s">
        <v>624</v>
      </c>
      <c r="D52" s="5" t="s">
        <v>620</v>
      </c>
      <c r="E52" s="5" t="s">
        <v>12</v>
      </c>
      <c r="F52" s="255">
        <v>0.11666666666666665</v>
      </c>
      <c r="H52" s="251"/>
      <c r="L52" s="253"/>
    </row>
    <row r="53" spans="2:12" x14ac:dyDescent="0.25">
      <c r="B53" s="254">
        <v>44216</v>
      </c>
      <c r="C53" s="5" t="s">
        <v>623</v>
      </c>
      <c r="D53" s="5" t="s">
        <v>620</v>
      </c>
      <c r="E53" s="5" t="s">
        <v>10</v>
      </c>
      <c r="F53" s="255">
        <v>0.29166666666666669</v>
      </c>
      <c r="H53" s="251"/>
      <c r="L53" s="253"/>
    </row>
    <row r="54" spans="2:12" x14ac:dyDescent="0.25">
      <c r="B54" s="254">
        <v>44197</v>
      </c>
      <c r="C54" s="5" t="s">
        <v>624</v>
      </c>
      <c r="D54" s="5" t="s">
        <v>620</v>
      </c>
      <c r="E54" s="5" t="s">
        <v>11</v>
      </c>
      <c r="F54" s="255">
        <v>0.17500000000000002</v>
      </c>
      <c r="H54" s="251"/>
      <c r="L54" s="253"/>
    </row>
    <row r="55" spans="2:12" x14ac:dyDescent="0.25">
      <c r="B55" s="254">
        <v>44224</v>
      </c>
      <c r="C55" s="5" t="s">
        <v>623</v>
      </c>
      <c r="D55" s="5" t="s">
        <v>620</v>
      </c>
      <c r="E55" s="5" t="s">
        <v>10</v>
      </c>
      <c r="F55" s="255">
        <v>0.83333333333333337</v>
      </c>
      <c r="H55" s="251"/>
      <c r="L55" s="253"/>
    </row>
  </sheetData>
  <conditionalFormatting sqref="H7:L55">
    <cfRule type="expression" dxfId="23" priority="1">
      <formula>H7&lt;&gt;""</formula>
    </cfRule>
  </conditionalFormatting>
  <dataValidations count="1">
    <dataValidation type="list" allowBlank="1" showInputMessage="1" showErrorMessage="1" sqref="I4" xr:uid="{58611076-2564-4F3E-A8B0-613EF210A568}">
      <formula1>$W$5:$W$8</formula1>
    </dataValidation>
  </dataValidations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84E1-B9E6-4510-A83F-5EF3036ADB80}">
  <sheetPr>
    <tabColor rgb="FF0000FF"/>
  </sheetPr>
  <dimension ref="A1:H20"/>
  <sheetViews>
    <sheetView zoomScale="145" zoomScaleNormal="145" workbookViewId="0"/>
  </sheetViews>
  <sheetFormatPr defaultColWidth="8.85546875" defaultRowHeight="15" x14ac:dyDescent="0.25"/>
  <cols>
    <col min="1" max="1" width="0.85546875" customWidth="1"/>
    <col min="2" max="2" width="21" customWidth="1"/>
    <col min="4" max="4" width="1.85546875" customWidth="1"/>
    <col min="6" max="6" width="1.42578125" customWidth="1"/>
    <col min="7" max="7" width="11.85546875" bestFit="1" customWidth="1"/>
    <col min="9" max="9" width="1.85546875" customWidth="1"/>
  </cols>
  <sheetData>
    <row r="1" spans="1:8" ht="5.25" customHeight="1" x14ac:dyDescent="0.25">
      <c r="A1" s="74"/>
    </row>
    <row r="2" spans="1:8" x14ac:dyDescent="0.25">
      <c r="B2" s="4" t="s">
        <v>635</v>
      </c>
    </row>
    <row r="3" spans="1:8" ht="5.25" customHeight="1" x14ac:dyDescent="0.25"/>
    <row r="4" spans="1:8" x14ac:dyDescent="0.25">
      <c r="G4" s="4" t="s">
        <v>630</v>
      </c>
    </row>
    <row r="5" spans="1:8" x14ac:dyDescent="0.25">
      <c r="B5" s="125" t="s">
        <v>631</v>
      </c>
      <c r="C5" s="5">
        <v>25</v>
      </c>
    </row>
    <row r="6" spans="1:8" x14ac:dyDescent="0.25">
      <c r="B6" s="125" t="s">
        <v>632</v>
      </c>
      <c r="C6" s="5" t="s">
        <v>629</v>
      </c>
      <c r="E6" s="4" t="s">
        <v>627</v>
      </c>
      <c r="G6" s="6" t="s">
        <v>639</v>
      </c>
      <c r="H6" s="6" t="s">
        <v>292</v>
      </c>
    </row>
    <row r="7" spans="1:8" x14ac:dyDescent="0.25">
      <c r="B7" s="6" t="s">
        <v>633</v>
      </c>
      <c r="C7" s="223"/>
      <c r="G7" s="5">
        <v>0</v>
      </c>
      <c r="H7" s="5">
        <v>11.95</v>
      </c>
    </row>
    <row r="8" spans="1:8" x14ac:dyDescent="0.25">
      <c r="G8" s="5">
        <v>5</v>
      </c>
      <c r="H8" s="5">
        <v>16.95</v>
      </c>
    </row>
    <row r="9" spans="1:8" x14ac:dyDescent="0.25">
      <c r="G9" s="5">
        <v>15</v>
      </c>
      <c r="H9" s="5">
        <v>29.95</v>
      </c>
    </row>
    <row r="10" spans="1:8" ht="3.75" customHeight="1" x14ac:dyDescent="0.25"/>
    <row r="11" spans="1:8" x14ac:dyDescent="0.25">
      <c r="E11" s="4" t="s">
        <v>628</v>
      </c>
      <c r="G11" s="6" t="s">
        <v>639</v>
      </c>
      <c r="H11" s="6" t="s">
        <v>292</v>
      </c>
    </row>
    <row r="12" spans="1:8" x14ac:dyDescent="0.25">
      <c r="G12" s="5">
        <v>0</v>
      </c>
      <c r="H12" s="5">
        <v>9.9499999999999993</v>
      </c>
    </row>
    <row r="13" spans="1:8" x14ac:dyDescent="0.25">
      <c r="G13" s="5">
        <v>2</v>
      </c>
      <c r="H13" s="5">
        <v>13.95</v>
      </c>
    </row>
    <row r="14" spans="1:8" x14ac:dyDescent="0.25">
      <c r="G14" s="5">
        <v>10</v>
      </c>
      <c r="H14" s="5">
        <v>29.95</v>
      </c>
    </row>
    <row r="15" spans="1:8" x14ac:dyDescent="0.25">
      <c r="G15" s="5">
        <v>25</v>
      </c>
      <c r="H15" s="5">
        <v>45.95</v>
      </c>
    </row>
    <row r="16" spans="1:8" ht="3.75" customHeight="1" x14ac:dyDescent="0.25"/>
    <row r="17" spans="5:8" x14ac:dyDescent="0.25">
      <c r="E17" s="4" t="s">
        <v>629</v>
      </c>
      <c r="G17" s="6" t="s">
        <v>639</v>
      </c>
      <c r="H17" s="6" t="s">
        <v>292</v>
      </c>
    </row>
    <row r="18" spans="5:8" x14ac:dyDescent="0.25">
      <c r="G18" s="5">
        <v>0</v>
      </c>
      <c r="H18" s="5">
        <v>16.95</v>
      </c>
    </row>
    <row r="19" spans="5:8" x14ac:dyDescent="0.25">
      <c r="G19" s="5">
        <v>7</v>
      </c>
      <c r="H19" s="5">
        <v>20.95</v>
      </c>
    </row>
    <row r="20" spans="5:8" x14ac:dyDescent="0.25">
      <c r="G20" s="5">
        <v>20</v>
      </c>
      <c r="H20" s="5">
        <v>29.95</v>
      </c>
    </row>
  </sheetData>
  <conditionalFormatting sqref="J11:J20">
    <cfRule type="expression" dxfId="22" priority="1">
      <formula>J11&lt;&gt;""</formula>
    </cfRule>
  </conditionalFormatting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64D6-EC7A-4DB6-9019-E4F87C00EE6F}">
  <sheetPr>
    <tabColor rgb="FFFF0000"/>
  </sheetPr>
  <dimension ref="A1:L20"/>
  <sheetViews>
    <sheetView zoomScale="145" zoomScaleNormal="145" workbookViewId="0"/>
  </sheetViews>
  <sheetFormatPr defaultColWidth="8.85546875" defaultRowHeight="15" x14ac:dyDescent="0.25"/>
  <cols>
    <col min="1" max="1" width="0.85546875" customWidth="1"/>
    <col min="2" max="2" width="21" customWidth="1"/>
    <col min="4" max="4" width="1.85546875" customWidth="1"/>
    <col min="6" max="6" width="1.42578125" customWidth="1"/>
    <col min="7" max="7" width="11.85546875" bestFit="1" customWidth="1"/>
    <col min="9" max="9" width="1.85546875" customWidth="1"/>
  </cols>
  <sheetData>
    <row r="1" spans="1:12" ht="5.25" customHeight="1" x14ac:dyDescent="0.25">
      <c r="A1" s="74"/>
    </row>
    <row r="2" spans="1:12" x14ac:dyDescent="0.25">
      <c r="B2" s="4" t="s">
        <v>636</v>
      </c>
    </row>
    <row r="3" spans="1:12" ht="5.25" customHeight="1" x14ac:dyDescent="0.25"/>
    <row r="4" spans="1:12" x14ac:dyDescent="0.25">
      <c r="G4" s="4" t="s">
        <v>630</v>
      </c>
    </row>
    <row r="5" spans="1:12" x14ac:dyDescent="0.25">
      <c r="B5" s="125" t="s">
        <v>631</v>
      </c>
      <c r="C5" s="5">
        <v>25</v>
      </c>
      <c r="L5" s="4" t="str">
        <f>"Formula in cell "&amp;ADDRESS(ROW(C7),COLUMN(C7),4)&amp;":"</f>
        <v>Formula in cell C7:</v>
      </c>
    </row>
    <row r="6" spans="1:12" x14ac:dyDescent="0.25">
      <c r="B6" s="125" t="s">
        <v>632</v>
      </c>
      <c r="C6" s="5" t="s">
        <v>629</v>
      </c>
      <c r="E6" s="4" t="s">
        <v>627</v>
      </c>
      <c r="G6" s="6" t="s">
        <v>639</v>
      </c>
      <c r="H6" s="6" t="s">
        <v>292</v>
      </c>
      <c r="J6" s="6" t="s">
        <v>634</v>
      </c>
      <c r="L6" t="str">
        <f ca="1">_xlfn.IFNA(_xlfn.FORMULATEXT(C7),"")</f>
        <v>=LOOKUP(C5,SWITCH(C6,E6,G7:H9,E11,G12:H15,E17,G18:H20))</v>
      </c>
    </row>
    <row r="7" spans="1:12" x14ac:dyDescent="0.25">
      <c r="B7" s="6" t="s">
        <v>633</v>
      </c>
      <c r="C7" s="223">
        <f>LOOKUP(C5,_xlfn.SWITCH(C6,E6,G7:H9,E11,G12:H15,E17,G18:H20))</f>
        <v>29.95</v>
      </c>
      <c r="G7" s="5">
        <v>0</v>
      </c>
      <c r="H7" s="5">
        <v>11.95</v>
      </c>
      <c r="J7" t="str" cm="1">
        <f t="array" ref="J7:J9">_xlfn._xlws.FILTER(E6:E20,E6:E20&lt;&gt;"")</f>
        <v>UPS</v>
      </c>
    </row>
    <row r="8" spans="1:12" x14ac:dyDescent="0.25">
      <c r="G8" s="5">
        <v>5</v>
      </c>
      <c r="H8" s="5">
        <v>16.95</v>
      </c>
      <c r="J8" t="str">
        <v>Fed X</v>
      </c>
      <c r="L8" s="4" t="str">
        <f>"Formula in cell "&amp;ADDRESS(ROW(J7),COLUMN(J7),4)&amp;":"</f>
        <v>Formula in cell J7:</v>
      </c>
    </row>
    <row r="9" spans="1:12" x14ac:dyDescent="0.25">
      <c r="G9" s="5">
        <v>15</v>
      </c>
      <c r="H9" s="5">
        <v>29.95</v>
      </c>
      <c r="J9" t="str">
        <v>DHL</v>
      </c>
      <c r="L9" t="str">
        <f ca="1">_xlfn.IFNA(_xlfn.FORMULATEXT(J7),"")</f>
        <v>=FILTER(E6:E20,E6:E20&lt;&gt;"")</v>
      </c>
    </row>
    <row r="10" spans="1:12" ht="3.75" customHeight="1" x14ac:dyDescent="0.25"/>
    <row r="11" spans="1:12" x14ac:dyDescent="0.25">
      <c r="E11" s="4" t="s">
        <v>628</v>
      </c>
      <c r="G11" s="6" t="s">
        <v>639</v>
      </c>
      <c r="H11" s="6" t="s">
        <v>292</v>
      </c>
    </row>
    <row r="12" spans="1:12" x14ac:dyDescent="0.25">
      <c r="G12" s="5">
        <v>0</v>
      </c>
      <c r="H12" s="5">
        <v>9.9499999999999993</v>
      </c>
    </row>
    <row r="13" spans="1:12" x14ac:dyDescent="0.25">
      <c r="G13" s="5">
        <v>2</v>
      </c>
      <c r="H13" s="5">
        <v>13.95</v>
      </c>
    </row>
    <row r="14" spans="1:12" x14ac:dyDescent="0.25">
      <c r="G14" s="5">
        <v>10</v>
      </c>
      <c r="H14" s="5">
        <v>29.95</v>
      </c>
    </row>
    <row r="15" spans="1:12" x14ac:dyDescent="0.25">
      <c r="G15" s="5">
        <v>25</v>
      </c>
      <c r="H15" s="5">
        <v>45.95</v>
      </c>
    </row>
    <row r="16" spans="1:12" ht="3.75" customHeight="1" x14ac:dyDescent="0.25"/>
    <row r="17" spans="5:8" x14ac:dyDescent="0.25">
      <c r="E17" s="4" t="s">
        <v>629</v>
      </c>
      <c r="G17" s="6" t="s">
        <v>639</v>
      </c>
      <c r="H17" s="6" t="s">
        <v>292</v>
      </c>
    </row>
    <row r="18" spans="5:8" x14ac:dyDescent="0.25">
      <c r="G18" s="5">
        <v>0</v>
      </c>
      <c r="H18" s="5">
        <v>16.95</v>
      </c>
    </row>
    <row r="19" spans="5:8" x14ac:dyDescent="0.25">
      <c r="G19" s="5">
        <v>7</v>
      </c>
      <c r="H19" s="5">
        <v>20.95</v>
      </c>
    </row>
    <row r="20" spans="5:8" x14ac:dyDescent="0.25">
      <c r="G20" s="5">
        <v>20</v>
      </c>
      <c r="H20" s="5">
        <v>29.95</v>
      </c>
    </row>
  </sheetData>
  <conditionalFormatting sqref="J7:J20">
    <cfRule type="expression" dxfId="21" priority="1">
      <formula>J7&lt;&gt;""</formula>
    </cfRule>
  </conditionalFormatting>
  <dataValidations count="1">
    <dataValidation type="list" allowBlank="1" showInputMessage="1" showErrorMessage="1" sqref="C6" xr:uid="{667EA988-D297-4973-A182-775AFCB19DD0}">
      <formula1>_xlfn.ANCHORARRAY($J$7)</formula1>
    </dataValidation>
  </dataValidations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4CB5-616E-49AE-A530-9E46994963F6}">
  <sheetPr>
    <tabColor rgb="FF0000FF"/>
  </sheetPr>
  <dimension ref="A1:AD24"/>
  <sheetViews>
    <sheetView zoomScale="145" zoomScaleNormal="145" workbookViewId="0"/>
  </sheetViews>
  <sheetFormatPr defaultColWidth="8.85546875" defaultRowHeight="15" x14ac:dyDescent="0.25"/>
  <cols>
    <col min="1" max="1" width="7" bestFit="1" customWidth="1"/>
    <col min="2" max="3" width="8.140625" customWidth="1"/>
    <col min="4" max="4" width="6.42578125" customWidth="1"/>
    <col min="5" max="5" width="1" customWidth="1"/>
    <col min="6" max="6" width="9.28515625" customWidth="1"/>
    <col min="7" max="7" width="9.7109375" customWidth="1"/>
    <col min="8" max="8" width="7.7109375" customWidth="1"/>
    <col min="9" max="9" width="1" customWidth="1"/>
    <col min="10" max="10" width="4" customWidth="1"/>
    <col min="11" max="11" width="1" customWidth="1"/>
    <col min="12" max="14" width="10.7109375" customWidth="1"/>
    <col min="15" max="15" width="2.42578125" customWidth="1"/>
    <col min="16" max="27" width="10.7109375" customWidth="1"/>
    <col min="28" max="28" width="9.7109375" customWidth="1"/>
    <col min="29" max="29" width="7.7109375" customWidth="1"/>
    <col min="30" max="30" width="24" customWidth="1"/>
    <col min="32" max="32" width="9.140625" customWidth="1"/>
  </cols>
  <sheetData>
    <row r="1" spans="1:16" ht="3.75" customHeight="1" x14ac:dyDescent="0.25"/>
    <row r="2" spans="1:16" x14ac:dyDescent="0.25">
      <c r="A2" s="4" t="s">
        <v>665</v>
      </c>
    </row>
    <row r="3" spans="1:16" ht="3.75" customHeight="1" x14ac:dyDescent="0.25">
      <c r="A3" s="4"/>
    </row>
    <row r="4" spans="1:16" x14ac:dyDescent="0.25">
      <c r="B4" s="206" t="s">
        <v>96</v>
      </c>
      <c r="C4" s="207" t="s">
        <v>292</v>
      </c>
      <c r="D4" s="208" t="s">
        <v>240</v>
      </c>
      <c r="F4" s="138" t="s">
        <v>3</v>
      </c>
      <c r="G4" s="26">
        <v>3</v>
      </c>
    </row>
    <row r="5" spans="1:16" x14ac:dyDescent="0.25">
      <c r="B5" s="214">
        <v>44105</v>
      </c>
      <c r="C5" s="37">
        <v>212.46</v>
      </c>
      <c r="D5" s="205" t="s">
        <v>241</v>
      </c>
    </row>
    <row r="6" spans="1:16" x14ac:dyDescent="0.25">
      <c r="B6" s="214">
        <v>44109</v>
      </c>
      <c r="C6" s="37">
        <v>210.38</v>
      </c>
      <c r="D6" s="205" t="s">
        <v>241</v>
      </c>
      <c r="F6" s="184" t="s">
        <v>96</v>
      </c>
      <c r="G6" s="110" t="s">
        <v>292</v>
      </c>
      <c r="H6" s="184" t="s">
        <v>240</v>
      </c>
      <c r="L6" s="184" t="s">
        <v>96</v>
      </c>
      <c r="M6" s="110" t="s">
        <v>292</v>
      </c>
      <c r="N6" s="184" t="s">
        <v>240</v>
      </c>
      <c r="P6" s="4" t="str">
        <f>"Formula in "&amp;ADDRESS(ROW(F7),COLUMN(F7),4)&amp;":"</f>
        <v>Formula in F7:</v>
      </c>
    </row>
    <row r="7" spans="1:16" ht="17.25" x14ac:dyDescent="0.3">
      <c r="B7" s="214">
        <v>44104</v>
      </c>
      <c r="C7" s="37">
        <v>210.33</v>
      </c>
      <c r="D7" s="205" t="s">
        <v>241</v>
      </c>
      <c r="F7" s="212"/>
      <c r="G7" s="213"/>
      <c r="J7" s="4" t="s">
        <v>194</v>
      </c>
      <c r="L7" s="212"/>
      <c r="M7" s="213"/>
      <c r="P7" s="170" t="str">
        <f ca="1">_xlfn.IFNA(_xlfn.FORMULATEXT(F7),"")</f>
        <v/>
      </c>
    </row>
    <row r="8" spans="1:16" x14ac:dyDescent="0.25">
      <c r="B8" s="214">
        <v>44111</v>
      </c>
      <c r="C8" s="37">
        <v>209.83</v>
      </c>
      <c r="D8" s="205" t="s">
        <v>241</v>
      </c>
      <c r="F8" s="212"/>
      <c r="G8" s="213"/>
      <c r="L8" s="212"/>
      <c r="M8" s="213"/>
    </row>
    <row r="9" spans="1:16" x14ac:dyDescent="0.25">
      <c r="B9" s="214">
        <v>44102</v>
      </c>
      <c r="C9" s="37">
        <v>209.44</v>
      </c>
      <c r="D9" s="205" t="s">
        <v>241</v>
      </c>
      <c r="F9" s="212"/>
      <c r="G9" s="213"/>
      <c r="L9" s="212"/>
      <c r="M9" s="213"/>
      <c r="P9" s="4" t="str">
        <f>"Formula in "&amp;ADDRESS(ROW(L7),COLUMN(L7),4)&amp;":"</f>
        <v>Formula in L7:</v>
      </c>
    </row>
    <row r="10" spans="1:16" ht="17.25" x14ac:dyDescent="0.3">
      <c r="B10" s="214">
        <v>44099</v>
      </c>
      <c r="C10" s="37">
        <v>207.82</v>
      </c>
      <c r="D10" s="205" t="s">
        <v>241</v>
      </c>
      <c r="P10" s="170" t="str">
        <f ca="1">_xlfn.IFNA(_xlfn.FORMULATEXT(L7),"")</f>
        <v/>
      </c>
    </row>
    <row r="11" spans="1:16" x14ac:dyDescent="0.25">
      <c r="B11" s="214">
        <v>44096</v>
      </c>
      <c r="C11" s="37">
        <v>207.42</v>
      </c>
      <c r="D11" s="205" t="s">
        <v>241</v>
      </c>
    </row>
    <row r="12" spans="1:16" x14ac:dyDescent="0.25">
      <c r="B12" s="214">
        <v>44103</v>
      </c>
      <c r="C12" s="37">
        <v>207.26</v>
      </c>
      <c r="D12" s="205" t="s">
        <v>241</v>
      </c>
    </row>
    <row r="13" spans="1:16" x14ac:dyDescent="0.25">
      <c r="B13" s="214">
        <v>44106</v>
      </c>
      <c r="C13" s="37">
        <v>206.19</v>
      </c>
      <c r="D13" s="205" t="s">
        <v>241</v>
      </c>
      <c r="F13" s="212"/>
      <c r="G13" s="213"/>
      <c r="L13" s="212"/>
      <c r="M13" s="213"/>
    </row>
    <row r="14" spans="1:16" x14ac:dyDescent="0.25">
      <c r="B14" s="214">
        <v>44110</v>
      </c>
      <c r="C14" s="37">
        <v>205.91</v>
      </c>
      <c r="D14" s="205" t="s">
        <v>241</v>
      </c>
    </row>
    <row r="15" spans="1:16" x14ac:dyDescent="0.25">
      <c r="B15" s="214">
        <v>44098</v>
      </c>
      <c r="C15" s="37">
        <v>203.19</v>
      </c>
      <c r="D15" s="205" t="s">
        <v>241</v>
      </c>
    </row>
    <row r="16" spans="1:16" x14ac:dyDescent="0.25">
      <c r="B16" s="215">
        <v>44097</v>
      </c>
      <c r="C16" s="104">
        <v>200.59</v>
      </c>
      <c r="D16" s="211" t="s">
        <v>241</v>
      </c>
    </row>
    <row r="20" spans="6:30" x14ac:dyDescent="0.25">
      <c r="AB20">
        <f>ROWS(st[Date])</f>
        <v>12</v>
      </c>
      <c r="AD20" s="212">
        <f>LARGE(st[Date],G4)</f>
        <v>44109</v>
      </c>
    </row>
    <row r="21" spans="6:30" x14ac:dyDescent="0.25">
      <c r="F21" s="212"/>
      <c r="G21" s="213"/>
      <c r="AB21">
        <f>G4</f>
        <v>3</v>
      </c>
    </row>
    <row r="22" spans="6:30" x14ac:dyDescent="0.25">
      <c r="F22" s="212"/>
      <c r="G22" s="213"/>
      <c r="AB22">
        <f>AB20-AB21</f>
        <v>9</v>
      </c>
    </row>
    <row r="23" spans="6:30" x14ac:dyDescent="0.25">
      <c r="G23" s="213"/>
    </row>
    <row r="24" spans="6:30" x14ac:dyDescent="0.25">
      <c r="G24" s="213"/>
    </row>
  </sheetData>
  <conditionalFormatting sqref="G23:H24 F21:H22 F13:H13 F7:H9">
    <cfRule type="expression" dxfId="20" priority="2">
      <formula>F7&lt;&gt;""</formula>
    </cfRule>
  </conditionalFormatting>
  <conditionalFormatting sqref="L13:N13 L7:N9">
    <cfRule type="expression" dxfId="19" priority="1">
      <formula>L7&lt;&gt;""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B2E3-0063-4461-8B4E-E8493A3E9535}">
  <sheetPr>
    <tabColor rgb="FFFF0000"/>
  </sheetPr>
  <dimension ref="A1:AD24"/>
  <sheetViews>
    <sheetView zoomScale="145" zoomScaleNormal="145" workbookViewId="0"/>
  </sheetViews>
  <sheetFormatPr defaultColWidth="8.85546875" defaultRowHeight="15" x14ac:dyDescent="0.25"/>
  <cols>
    <col min="1" max="1" width="7" bestFit="1" customWidth="1"/>
    <col min="2" max="3" width="8.140625" customWidth="1"/>
    <col min="4" max="4" width="6.42578125" customWidth="1"/>
    <col min="5" max="5" width="1" customWidth="1"/>
    <col min="6" max="6" width="9.28515625" customWidth="1"/>
    <col min="7" max="7" width="9.7109375" customWidth="1"/>
    <col min="8" max="8" width="7.7109375" customWidth="1"/>
    <col min="9" max="9" width="1" customWidth="1"/>
    <col min="10" max="10" width="4" customWidth="1"/>
    <col min="11" max="11" width="1" customWidth="1"/>
    <col min="12" max="14" width="10.7109375" customWidth="1"/>
    <col min="15" max="15" width="2.42578125" customWidth="1"/>
    <col min="16" max="27" width="10.7109375" customWidth="1"/>
    <col min="28" max="28" width="9.7109375" customWidth="1"/>
    <col min="29" max="29" width="7.7109375" customWidth="1"/>
    <col min="30" max="30" width="24" customWidth="1"/>
    <col min="32" max="32" width="9.140625" customWidth="1"/>
  </cols>
  <sheetData>
    <row r="1" spans="1:16" ht="3.75" customHeight="1" x14ac:dyDescent="0.25"/>
    <row r="2" spans="1:16" x14ac:dyDescent="0.25">
      <c r="A2" s="4" t="s">
        <v>637</v>
      </c>
    </row>
    <row r="3" spans="1:16" ht="3.75" customHeight="1" x14ac:dyDescent="0.25">
      <c r="A3" s="4"/>
    </row>
    <row r="4" spans="1:16" x14ac:dyDescent="0.25">
      <c r="B4" s="206" t="s">
        <v>96</v>
      </c>
      <c r="C4" s="207" t="s">
        <v>292</v>
      </c>
      <c r="D4" s="208" t="s">
        <v>240</v>
      </c>
      <c r="F4" s="138" t="s">
        <v>3</v>
      </c>
      <c r="G4" s="26">
        <v>3</v>
      </c>
    </row>
    <row r="5" spans="1:16" x14ac:dyDescent="0.25">
      <c r="B5" s="214">
        <v>44105</v>
      </c>
      <c r="C5" s="37">
        <v>212.46</v>
      </c>
      <c r="D5" s="205" t="s">
        <v>241</v>
      </c>
    </row>
    <row r="6" spans="1:16" x14ac:dyDescent="0.25">
      <c r="B6" s="214">
        <v>44109</v>
      </c>
      <c r="C6" s="37">
        <v>210.38</v>
      </c>
      <c r="D6" s="205" t="s">
        <v>241</v>
      </c>
      <c r="F6" s="184" t="s">
        <v>96</v>
      </c>
      <c r="G6" s="110" t="s">
        <v>292</v>
      </c>
      <c r="H6" s="184" t="s">
        <v>240</v>
      </c>
      <c r="L6" s="184" t="s">
        <v>96</v>
      </c>
      <c r="M6" s="110" t="s">
        <v>292</v>
      </c>
      <c r="N6" s="184" t="s">
        <v>240</v>
      </c>
      <c r="P6" s="4" t="str">
        <f>"Formula in "&amp;ADDRESS(ROW(F7),COLUMN(F7),4)&amp;":"</f>
        <v>Formula in F7:</v>
      </c>
    </row>
    <row r="7" spans="1:16" ht="17.25" x14ac:dyDescent="0.3">
      <c r="B7" s="214">
        <v>44104</v>
      </c>
      <c r="C7" s="37">
        <v>210.33</v>
      </c>
      <c r="D7" s="205" t="s">
        <v>241</v>
      </c>
      <c r="F7" s="212" cm="1">
        <f t="array" ref="F7:H9">_xlfn._xlws.FILTER(st_an[],st_an[Date]&gt;=LARGE(st_an[Date],G4))</f>
        <v>44109</v>
      </c>
      <c r="G7" s="213">
        <v>210.38</v>
      </c>
      <c r="H7" t="str">
        <v>MSFT</v>
      </c>
      <c r="L7" s="212" cm="1">
        <f t="array" ref="L7:N9">_xlfn._xlws.FILTER(st_an[],_xlfn.SEQUENCE(ROWS(st_an[Date]))&gt;ROWS(st_an[Date])-G4)</f>
        <v>44110</v>
      </c>
      <c r="M7" s="213">
        <v>205.91</v>
      </c>
      <c r="N7" t="str">
        <v>MSFT</v>
      </c>
      <c r="P7" s="170" t="str">
        <f ca="1">_xlfn.IFNA(_xlfn.FORMULATEXT(F7),"")</f>
        <v>=FILTER(st_an,st_an[Date]&gt;=LARGE(st_an[Date],G4))</v>
      </c>
    </row>
    <row r="8" spans="1:16" x14ac:dyDescent="0.25">
      <c r="B8" s="214">
        <v>44111</v>
      </c>
      <c r="C8" s="37">
        <v>209.83</v>
      </c>
      <c r="D8" s="205" t="s">
        <v>241</v>
      </c>
      <c r="F8" s="212">
        <v>44111</v>
      </c>
      <c r="G8" s="213">
        <v>209.83</v>
      </c>
      <c r="H8" t="str">
        <v>MSFT</v>
      </c>
      <c r="L8" s="212">
        <v>44098</v>
      </c>
      <c r="M8" s="213">
        <v>203.19</v>
      </c>
      <c r="N8" t="str">
        <v>MSFT</v>
      </c>
    </row>
    <row r="9" spans="1:16" x14ac:dyDescent="0.25">
      <c r="B9" s="214">
        <v>44102</v>
      </c>
      <c r="C9" s="37">
        <v>209.44</v>
      </c>
      <c r="D9" s="205" t="s">
        <v>241</v>
      </c>
      <c r="F9" s="212">
        <v>44110</v>
      </c>
      <c r="G9" s="213">
        <v>205.91</v>
      </c>
      <c r="H9" t="str">
        <v>MSFT</v>
      </c>
      <c r="J9" s="4" t="s">
        <v>638</v>
      </c>
      <c r="K9" s="4"/>
      <c r="L9" s="212">
        <v>44097</v>
      </c>
      <c r="M9" s="213">
        <v>200.59</v>
      </c>
      <c r="N9" t="str">
        <v>MSFT</v>
      </c>
      <c r="P9" s="4" t="str">
        <f>"Formula in "&amp;ADDRESS(ROW(L7),COLUMN(L7),4)&amp;":"</f>
        <v>Formula in L7:</v>
      </c>
    </row>
    <row r="10" spans="1:16" ht="17.25" x14ac:dyDescent="0.3">
      <c r="B10" s="214">
        <v>44099</v>
      </c>
      <c r="C10" s="37">
        <v>207.82</v>
      </c>
      <c r="D10" s="205" t="s">
        <v>241</v>
      </c>
      <c r="P10" s="170" t="str">
        <f ca="1">_xlfn.IFNA(_xlfn.FORMULATEXT(L7),"")</f>
        <v>=FILTER(st_an,SEQUENCE(ROWS(st_an[Date]))&gt;ROWS(st_an[Date])-G4)</v>
      </c>
    </row>
    <row r="11" spans="1:16" x14ac:dyDescent="0.25">
      <c r="B11" s="214">
        <v>44096</v>
      </c>
      <c r="C11" s="37">
        <v>207.42</v>
      </c>
      <c r="D11" s="205" t="s">
        <v>241</v>
      </c>
    </row>
    <row r="12" spans="1:16" x14ac:dyDescent="0.25">
      <c r="B12" s="214">
        <v>44103</v>
      </c>
      <c r="C12" s="37">
        <v>207.26</v>
      </c>
      <c r="D12" s="205" t="s">
        <v>241</v>
      </c>
    </row>
    <row r="13" spans="1:16" x14ac:dyDescent="0.25">
      <c r="B13" s="214">
        <v>44106</v>
      </c>
      <c r="C13" s="37">
        <v>206.19</v>
      </c>
      <c r="D13" s="205" t="s">
        <v>241</v>
      </c>
      <c r="F13" s="212"/>
      <c r="G13" s="213"/>
    </row>
    <row r="14" spans="1:16" x14ac:dyDescent="0.25">
      <c r="B14" s="214">
        <v>44110</v>
      </c>
      <c r="C14" s="37">
        <v>205.91</v>
      </c>
      <c r="D14" s="205" t="s">
        <v>241</v>
      </c>
    </row>
    <row r="15" spans="1:16" x14ac:dyDescent="0.25">
      <c r="B15" s="214">
        <v>44098</v>
      </c>
      <c r="C15" s="37">
        <v>203.19</v>
      </c>
      <c r="D15" s="205" t="s">
        <v>241</v>
      </c>
    </row>
    <row r="16" spans="1:16" x14ac:dyDescent="0.25">
      <c r="B16" s="215">
        <v>44097</v>
      </c>
      <c r="C16" s="104">
        <v>200.59</v>
      </c>
      <c r="D16" s="211" t="s">
        <v>241</v>
      </c>
    </row>
    <row r="20" spans="6:30" x14ac:dyDescent="0.25">
      <c r="AB20">
        <f>ROWS(st_an[Date])</f>
        <v>12</v>
      </c>
      <c r="AD20" s="212">
        <f>LARGE(st_an[Date],G4)</f>
        <v>44109</v>
      </c>
    </row>
    <row r="21" spans="6:30" x14ac:dyDescent="0.25">
      <c r="F21" s="212"/>
      <c r="G21" s="213"/>
      <c r="AB21">
        <f>G4</f>
        <v>3</v>
      </c>
    </row>
    <row r="22" spans="6:30" x14ac:dyDescent="0.25">
      <c r="F22" s="212"/>
      <c r="G22" s="213"/>
      <c r="AB22">
        <f>AB20-AB21</f>
        <v>9</v>
      </c>
    </row>
    <row r="23" spans="6:30" x14ac:dyDescent="0.25">
      <c r="G23" s="213"/>
    </row>
    <row r="24" spans="6:30" x14ac:dyDescent="0.25">
      <c r="G24" s="213"/>
    </row>
  </sheetData>
  <conditionalFormatting sqref="G23:H24 F21:H22 L7:N9 F13:H13 F7:H9">
    <cfRule type="expression" dxfId="11" priority="2">
      <formula>F7&lt;&gt;""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89FA-D20C-48E5-A2EC-2F388D5BEBA6}">
  <sheetPr>
    <tabColor rgb="FF0000FF"/>
  </sheetPr>
  <dimension ref="B1:S11"/>
  <sheetViews>
    <sheetView showGridLines="0" zoomScale="115" zoomScaleNormal="115" workbookViewId="0"/>
  </sheetViews>
  <sheetFormatPr defaultColWidth="8.85546875" defaultRowHeight="15" x14ac:dyDescent="0.25"/>
  <cols>
    <col min="1" max="1" width="3.42578125" customWidth="1"/>
  </cols>
  <sheetData>
    <row r="1" spans="2:19" ht="3.75" customHeight="1" x14ac:dyDescent="0.25"/>
    <row r="2" spans="2:19" ht="15.75" thickBot="1" x14ac:dyDescent="0.3">
      <c r="B2" t="s">
        <v>684</v>
      </c>
    </row>
    <row r="3" spans="2:19" ht="108" customHeight="1" thickBot="1" x14ac:dyDescent="0.3">
      <c r="B3" s="286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8"/>
    </row>
    <row r="4" spans="2:19" ht="15.75" thickBot="1" x14ac:dyDescent="0.3">
      <c r="B4" t="s">
        <v>676</v>
      </c>
    </row>
    <row r="5" spans="2:19" ht="108" customHeight="1" thickBot="1" x14ac:dyDescent="0.3">
      <c r="B5" s="286"/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8"/>
    </row>
    <row r="6" spans="2:19" ht="15.75" thickBot="1" x14ac:dyDescent="0.3">
      <c r="B6" t="s">
        <v>677</v>
      </c>
    </row>
    <row r="7" spans="2:19" ht="108" customHeight="1" thickBot="1" x14ac:dyDescent="0.3">
      <c r="B7" s="286"/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8"/>
    </row>
    <row r="8" spans="2:19" ht="15.75" thickBot="1" x14ac:dyDescent="0.3">
      <c r="B8" t="s">
        <v>678</v>
      </c>
    </row>
    <row r="9" spans="2:19" ht="108" customHeight="1" thickBot="1" x14ac:dyDescent="0.3">
      <c r="B9" s="286"/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8"/>
    </row>
    <row r="10" spans="2:19" ht="15.75" thickBot="1" x14ac:dyDescent="0.3">
      <c r="B10" t="s">
        <v>685</v>
      </c>
    </row>
    <row r="11" spans="2:19" ht="108" customHeight="1" thickBot="1" x14ac:dyDescent="0.3">
      <c r="B11" s="286"/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8"/>
    </row>
  </sheetData>
  <mergeCells count="5">
    <mergeCell ref="B3:S3"/>
    <mergeCell ref="B5:S5"/>
    <mergeCell ref="B7:S7"/>
    <mergeCell ref="B9:S9"/>
    <mergeCell ref="B11:S11"/>
  </mergeCells>
  <conditionalFormatting sqref="F7:H9">
    <cfRule type="expression" dxfId="3" priority="2">
      <formula>F7&lt;&gt;""</formula>
    </cfRule>
  </conditionalFormatting>
  <conditionalFormatting sqref="L7:N9">
    <cfRule type="expression" dxfId="2" priority="1">
      <formula>L7&lt;&gt;""</formula>
    </cfRule>
  </conditionalFormatting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2E03-5622-4B8C-AA8E-CE508AFBCAF4}">
  <sheetPr>
    <tabColor rgb="FFFF0000"/>
  </sheetPr>
  <dimension ref="B1:S11"/>
  <sheetViews>
    <sheetView showGridLines="0" zoomScale="145" zoomScaleNormal="145" workbookViewId="0"/>
  </sheetViews>
  <sheetFormatPr defaultColWidth="8.85546875" defaultRowHeight="15" x14ac:dyDescent="0.25"/>
  <cols>
    <col min="1" max="1" width="3.42578125" customWidth="1"/>
  </cols>
  <sheetData>
    <row r="1" spans="2:19" ht="3.75" customHeight="1" x14ac:dyDescent="0.25"/>
    <row r="2" spans="2:19" ht="15.75" thickBot="1" x14ac:dyDescent="0.3">
      <c r="B2" t="s">
        <v>684</v>
      </c>
    </row>
    <row r="3" spans="2:19" ht="108" customHeight="1" thickBot="1" x14ac:dyDescent="0.3">
      <c r="B3" s="286" t="s">
        <v>679</v>
      </c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8"/>
    </row>
    <row r="4" spans="2:19" ht="15.75" thickBot="1" x14ac:dyDescent="0.3">
      <c r="B4" t="s">
        <v>676</v>
      </c>
    </row>
    <row r="5" spans="2:19" ht="108" customHeight="1" thickBot="1" x14ac:dyDescent="0.3">
      <c r="B5" s="286" t="s">
        <v>680</v>
      </c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8"/>
    </row>
    <row r="6" spans="2:19" ht="15.75" thickBot="1" x14ac:dyDescent="0.3">
      <c r="B6" t="s">
        <v>677</v>
      </c>
    </row>
    <row r="7" spans="2:19" ht="108" customHeight="1" thickBot="1" x14ac:dyDescent="0.3">
      <c r="B7" s="286" t="s">
        <v>681</v>
      </c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8"/>
    </row>
    <row r="8" spans="2:19" ht="15.75" thickBot="1" x14ac:dyDescent="0.3">
      <c r="B8" t="s">
        <v>678</v>
      </c>
    </row>
    <row r="9" spans="2:19" ht="108" customHeight="1" thickBot="1" x14ac:dyDescent="0.3">
      <c r="B9" s="286" t="s">
        <v>682</v>
      </c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8"/>
    </row>
    <row r="10" spans="2:19" ht="15.75" thickBot="1" x14ac:dyDescent="0.3">
      <c r="B10" t="s">
        <v>685</v>
      </c>
    </row>
    <row r="11" spans="2:19" ht="108" customHeight="1" thickBot="1" x14ac:dyDescent="0.3">
      <c r="B11" s="286" t="s">
        <v>683</v>
      </c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8"/>
    </row>
  </sheetData>
  <mergeCells count="5">
    <mergeCell ref="B3:S3"/>
    <mergeCell ref="B5:S5"/>
    <mergeCell ref="B7:S7"/>
    <mergeCell ref="B9:S9"/>
    <mergeCell ref="B11:S11"/>
  </mergeCells>
  <conditionalFormatting sqref="F7:H9">
    <cfRule type="expression" dxfId="1" priority="2">
      <formula>F7&lt;&gt;""</formula>
    </cfRule>
  </conditionalFormatting>
  <conditionalFormatting sqref="L7:N9">
    <cfRule type="expression" dxfId="0" priority="1">
      <formula>L7&lt;&gt;""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Ch14(1)</vt:lpstr>
      <vt:lpstr>Ch14(2)</vt:lpstr>
      <vt:lpstr>Ch14(3)</vt:lpstr>
      <vt:lpstr>Ch14(4)</vt:lpstr>
      <vt:lpstr>Ch14(5)</vt:lpstr>
      <vt:lpstr>Ch14(6)</vt:lpstr>
      <vt:lpstr>Ch14(7)</vt:lpstr>
      <vt:lpstr>Ch14(8)</vt:lpstr>
      <vt:lpstr>Ch14(9)</vt:lpstr>
      <vt:lpstr>Ch14(10)</vt:lpstr>
      <vt:lpstr>Ch14(11)</vt:lpstr>
      <vt:lpstr>Ch14(12)</vt:lpstr>
      <vt:lpstr>Ch14(13)</vt:lpstr>
      <vt:lpstr>Ch14(14)</vt:lpstr>
      <vt:lpstr>Ch14(15-16)</vt:lpstr>
      <vt:lpstr>Ch14(17-21)</vt:lpstr>
      <vt:lpstr>Ch14(17-21an)</vt:lpstr>
      <vt:lpstr>Ch14(22-25)</vt:lpstr>
      <vt:lpstr>Ch14(22-25an)</vt:lpstr>
      <vt:lpstr>Ch14(26)</vt:lpstr>
      <vt:lpstr>Ch14(26an)</vt:lpstr>
      <vt:lpstr>Ch14(27)</vt:lpstr>
      <vt:lpstr>Ch14(27an)</vt:lpstr>
      <vt:lpstr>Ch14(28)</vt:lpstr>
      <vt:lpstr>Ch14(28an)</vt:lpstr>
      <vt:lpstr>Ch14(29)</vt:lpstr>
      <vt:lpstr>Ch14(29an)</vt:lpstr>
      <vt:lpstr>Ch14(30)</vt:lpstr>
      <vt:lpstr>Ch14(30an)</vt:lpstr>
      <vt:lpstr>Ch14(31)</vt:lpstr>
      <vt:lpstr>Ch14(31an)</vt:lpstr>
      <vt:lpstr>Ch14(32)</vt:lpstr>
      <vt:lpstr>Ch14(32an)</vt:lpstr>
      <vt:lpstr>Ch14(33)</vt:lpstr>
      <vt:lpstr>Ch14(33an)</vt:lpstr>
      <vt:lpstr>Ch14(34)</vt:lpstr>
      <vt:lpstr>Ch14(34an)</vt:lpstr>
      <vt:lpstr>Ch14(35)</vt:lpstr>
      <vt:lpstr>Ch14(35an)</vt:lpstr>
      <vt:lpstr>Ch14(36)</vt:lpstr>
      <vt:lpstr>Ch14(36an)</vt:lpstr>
      <vt:lpstr>Ch14(37)</vt:lpstr>
      <vt:lpstr>Ch14(37an)</vt:lpstr>
      <vt:lpstr>Ch14(38-40)</vt:lpstr>
      <vt:lpstr>Ch14(38-40an)</vt:lpstr>
      <vt:lpstr>Ch14(41)</vt:lpstr>
      <vt:lpstr>Ch14(42)</vt:lpstr>
      <vt:lpstr>Ch14(42an)</vt:lpstr>
      <vt:lpstr>Ch14(43)</vt:lpstr>
      <vt:lpstr>Ch14(43an)</vt:lpstr>
      <vt:lpstr>Ch14(44)</vt:lpstr>
      <vt:lpstr>Ch14(45)</vt:lpstr>
      <vt:lpstr>Ch14(45an)</vt:lpstr>
      <vt:lpstr>Ch14(46-47)</vt:lpstr>
      <vt:lpstr>Ch14(46-47an)</vt:lpstr>
      <vt:lpstr>Ch14(48)</vt:lpstr>
      <vt:lpstr>Ch14(48an)</vt:lpstr>
      <vt:lpstr>Ch14(49)</vt:lpstr>
      <vt:lpstr>Ch14(49an)</vt:lpstr>
      <vt:lpstr>Ch14(50)</vt:lpstr>
      <vt:lpstr>Ch14(51)</vt:lpstr>
      <vt:lpstr>Ch14(51an)</vt:lpstr>
      <vt:lpstr>Ch14(52)</vt:lpstr>
      <vt:lpstr>Ch14(52an)</vt:lpstr>
      <vt:lpstr>Ch14(53)</vt:lpstr>
      <vt:lpstr>Ch14(53an)</vt:lpstr>
      <vt:lpstr>Ch14(54-55)</vt:lpstr>
      <vt:lpstr>Ch14(56)</vt:lpstr>
      <vt:lpstr>Ch14(56an)</vt:lpstr>
      <vt:lpstr>Ch14(57)</vt:lpstr>
      <vt:lpstr>Ch14(58)</vt:lpstr>
      <vt:lpstr>Ch14(58an)</vt:lpstr>
      <vt:lpstr>Ch14(59-62)</vt:lpstr>
      <vt:lpstr>Ch14(59-62an)</vt:lpstr>
      <vt:lpstr>Practice Problems ==&gt;</vt:lpstr>
      <vt:lpstr>PPCh14(1)</vt:lpstr>
      <vt:lpstr>PPCh14(1an)</vt:lpstr>
      <vt:lpstr>PPCh14(2)</vt:lpstr>
      <vt:lpstr>PPCh14(2an)</vt:lpstr>
      <vt:lpstr>PPCh14(3)</vt:lpstr>
      <vt:lpstr>PPCh14(3an)</vt:lpstr>
      <vt:lpstr>PPCh14(4)</vt:lpstr>
      <vt:lpstr>PPCh14(4an)</vt:lpstr>
      <vt:lpstr>PPCh14(5)</vt:lpstr>
      <vt:lpstr>PPCh14(5an)</vt:lpstr>
      <vt:lpstr>PPCh14(6)</vt:lpstr>
      <vt:lpstr>PPCh14(6an)</vt:lpstr>
      <vt:lpstr>PPCh14(7)</vt:lpstr>
      <vt:lpstr>PPCh14(7an)</vt:lpstr>
      <vt:lpstr>PPCh14(8)</vt:lpstr>
      <vt:lpstr>PPCh14(8an)</vt:lpstr>
      <vt:lpstr>PPCh14(9)</vt:lpstr>
      <vt:lpstr>PPCh14(9an)</vt:lpstr>
      <vt:lpstr>PPCh14(10)</vt:lpstr>
      <vt:lpstr>PPCh14(10an)</vt:lpstr>
      <vt:lpstr>PPCh14(11)</vt:lpstr>
      <vt:lpstr>PPCh14(11an)</vt:lpstr>
      <vt:lpstr>PPCh14(12)</vt:lpstr>
      <vt:lpstr>PPCh14(12an)</vt:lpstr>
      <vt:lpstr>PPCh14(13)</vt:lpstr>
      <vt:lpstr>PPCh14(13an)</vt:lpstr>
      <vt:lpstr>PPCh14(14)</vt:lpstr>
      <vt:lpstr>PPCh14(14an)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cp:lastPrinted>2020-10-11T01:35:33Z</cp:lastPrinted>
  <dcterms:created xsi:type="dcterms:W3CDTF">2015-06-05T18:17:20Z</dcterms:created>
  <dcterms:modified xsi:type="dcterms:W3CDTF">2022-02-23T09:55:06Z</dcterms:modified>
</cp:coreProperties>
</file>